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1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8708" lockStructure="1"/>
  <bookViews>
    <workbookView visibility="visible" minimized="0" showHorizontalScroll="1" showVerticalScroll="1" showSheetTabs="1" tabRatio="600" firstSheet="0" activeTab="0" autoFilterDateGrouping="1"/>
  </bookViews>
  <sheets>
    <sheet name="Accueil" sheetId="1" state="visible" r:id="rId1"/>
    <sheet name="Paramètres" sheetId="2" state="visible" r:id="rId2"/>
    <sheet name="Estimation Annuelle" sheetId="3" state="visible" r:id="rId3"/>
    <sheet name="Journal" sheetId="4" state="visible" r:id="rId4"/>
    <sheet name="Tableau de Bord" sheetId="5" state="visible" r:id="rId5"/>
    <sheet name="Budget 12 Mois" sheetId="6" state="visible" r:id="rId6"/>
    <sheet name="Synthèse Annuelle" sheetId="7" state="visible" r:id="rId7"/>
    <sheet name="Mariage" sheetId="8" state="visible" r:id="rId8"/>
    <sheet name="Business" sheetId="9" state="visible" r:id="rId9"/>
    <sheet name="Immobilier" sheetId="10" state="visible" r:id="rId10"/>
    <sheet name="Objectifs" sheetId="11" state="visible" r:id="rId11"/>
    <sheet name="Dettes" sheetId="12" state="visible" r:id="rId12"/>
    <sheet name="Récurrents" sheetId="13" state="visible" r:id="rId13"/>
    <sheet name="Listes" sheetId="14" state="visible" r:id="rId14"/>
    <sheet name="Calculs" sheetId="15" state="veryHidden" r:id="rId15"/>
    <sheet name="Guide" sheetId="16" state="visible" r:id="rId16"/>
  </sheets>
  <definedNames>
    <definedName name="Nom_Foyer">'Paramètres'!$E$9</definedName>
    <definedName name="Responsable">'Paramètres'!$E$10</definedName>
    <definedName name="Adresse_Entite">'Paramètres'!$E$12</definedName>
    <definedName name="Ville_Entite">'Paramètres'!$E$13</definedName>
    <definedName name="Pays_Entite">'Paramètres'!$E$14</definedName>
    <definedName name="Tel_Entite">'Paramètres'!$E$15</definedName>
    <definedName name="Email_Entite">'Paramètres'!$E$16</definedName>
    <definedName name="Site_Entite">'Paramètres'!$E$17</definedName>
    <definedName name="Devise_Base">'Paramètres'!$E$24</definedName>
    <definedName name="Symbole_Base">'Paramètres'!$E$26</definedName>
    <definedName name="Solde_Initial">'Paramètres'!$E$33</definedName>
    <definedName name="Taux_Cible">'Paramètres'!$E$34</definedName>
    <definedName name="Seuil_Alerte">'Paramètres'!$E$35</definedName>
    <definedName name="Plafond_Mensuel">'Paramètres'!$E$36</definedName>
    <definedName name="Liste_Comptes">'Paramètres'!$C$41:$C$60</definedName>
    <definedName name="Annee_Travail">'Tableau de Bord'!$D$4</definedName>
    <definedName name="Mois_Suivi">'Tableau de Bord'!$G$4</definedName>
    <definedName name="Mois_Num">'Tableau de Bord'!$H$4</definedName>
    <definedName name="Codes_Devises">'Listes'!$B$6:$B$31</definedName>
    <definedName name="Noms_Devises">'Listes'!$C$6:$C$31</definedName>
    <definedName name="Symboles_Devises">'Listes'!$D$6:$D$31</definedName>
    <definedName name="Taux_Devises">'Listes'!$G$6:$G$31</definedName>
    <definedName name="Facteurs_Frequence">'Listes'!$AO$6:$AO$11</definedName>
    <definedName name="J_Date">'Journal'!$B$13:$B$3012</definedName>
    <definedName name="J_Type">'Journal'!$C$13:$C$3012</definedName>
    <definedName name="J_Module">'Journal'!$D$13:$D$3012</definedName>
    <definedName name="J_Cat">'Journal'!$E$13:$E$3012</definedName>
    <definedName name="J_Libelle">'Journal'!$F$13:$F$3012</definedName>
    <definedName name="J_Compte">'Journal'!$H$13:$H$3012</definedName>
    <definedName name="J_Entree">'Journal'!$J$13:$J$3012</definedName>
    <definedName name="J_Sortie">'Journal'!$K$13:$K$3012</definedName>
    <definedName name="J_Moyen">'Journal'!$N$13:$N$3012</definedName>
    <definedName name="J_Projet">'Journal'!$O$13:$O$3012</definedName>
    <definedName name="J_Nature">'Journal'!$P$13:$P$3012</definedName>
    <definedName name="J_Statut">'Journal'!$Q$13:$Q$3012</definedName>
    <definedName name="J_Montant">'Journal'!$U$13:$U$3012</definedName>
    <definedName name="J_Mois">'Journal'!$V$13:$V$3012</definedName>
    <definedName name="J_Annee">'Journal'!$W$13:$W$3012</definedName>
    <definedName name="P_Annee">'Estimation Annuelle'!$B$12:$B$211</definedName>
    <definedName name="P_Module">'Estimation Annuelle'!$C$12:$C$211</definedName>
    <definedName name="P_Type">'Estimation Annuelle'!$D$12:$D$211</definedName>
    <definedName name="P_Cat">'Estimation Annuelle'!$E$12:$E$211</definedName>
    <definedName name="P_Total">'Estimation Annuelle'!$R$12:$R$211</definedName>
    <definedName name="P_Mois">'Estimation Annuelle'!$F$12:$Q$211</definedName>
    <definedName name="Liste_Projets">'Calculs'!$B$246:$B$285</definedName>
    <definedName name="Dime_Active">'Paramètres'!$E$68</definedName>
    <definedName name="Dime_Taux">'Paramètres'!$E$69</definedName>
    <definedName name="Dime_Base">'Paramètres'!$E$70</definedName>
    <definedName name="Perimetre">'Paramètres'!$E$71</definedName>
    <definedName name="Perimetre_Filtre">'Paramètres'!$K$71</definedName>
    <definedName name="P_M1">'Estimation Annuelle'!$F$12:$F$211</definedName>
    <definedName name="P_M2">'Estimation Annuelle'!$G$12:$G$211</definedName>
    <definedName name="P_M3">'Estimation Annuelle'!$H$12:$H$211</definedName>
    <definedName name="P_M4">'Estimation Annuelle'!$I$12:$I$211</definedName>
    <definedName name="P_M5">'Estimation Annuelle'!$J$12:$J$211</definedName>
    <definedName name="P_M6">'Estimation Annuelle'!$K$12:$K$211</definedName>
    <definedName name="P_M7">'Estimation Annuelle'!$L$12:$L$211</definedName>
    <definedName name="P_M8">'Estimation Annuelle'!$M$12:$M$211</definedName>
    <definedName name="P_M9">'Estimation Annuelle'!$N$12:$N$211</definedName>
    <definedName name="P_M10">'Estimation Annuelle'!$O$12:$O$211</definedName>
    <definedName name="P_M11">'Estimation Annuelle'!$P$12:$P$211</definedName>
    <definedName name="P_M12">'Estimation Annuelle'!$Q$12:$Q$211</definedName>
    <definedName name="Liste_Modules">'Listes'!$I$6:$I$9</definedName>
    <definedName name="Liste_Types">'Listes'!$J$6:$J$11</definedName>
    <definedName name="Liste_Natures">'Listes'!$K$6:$K$8</definedName>
    <definedName name="Liste_Statuts">'Listes'!$L$6:$L$9</definedName>
    <definedName name="Liste_Moyens">'Listes'!$M$6:$M$18</definedName>
    <definedName name="Liste_Frequences">'Listes'!$N$6:$N$11</definedName>
    <definedName name="Liste_OuiNon">'Listes'!$O$6:$O$7</definedName>
    <definedName name="Liste_TypesBien">'Listes'!$P$6:$P$14</definedName>
    <definedName name="Liste_StatutsBien">'Listes'!$Q$6:$Q$12</definedName>
    <definedName name="Liste_Titres">'Listes'!$R$6:$R$12</definedName>
    <definedName name="Liste_StatutsProjet">'Listes'!$S$6:$S$12</definedName>
    <definedName name="Liste_TypesProjet">'Listes'!$T$6:$T$15</definedName>
    <definedName name="Liste_Mois">'Listes'!$U$6:$U$17</definedName>
    <definedName name="Liste_Situations">'Listes'!$V$6:$V$11</definedName>
    <definedName name="Sens_Types">'Listes'!$AC$6:$AC$11</definedName>
    <definedName name="Liste_Bases_Dime">'Listes'!$AD$6:$AD$8</definedName>
    <definedName name="Liste_Perimetres">'Listes'!$AE$6:$AE$10</definedName>
    <definedName name="Cat_1">'Listes'!$X$6:$X$53</definedName>
    <definedName name="Cat_2">'Listes'!$Y$6:$Y$34</definedName>
    <definedName name="Cat_3">'Listes'!$Z$6:$Z$39</definedName>
    <definedName name="Cat_4">'Listes'!$AA$6:$AA$37</definedName>
    <definedName name="_xlnm._FilterDatabase" localSheetId="2" hidden="1">'Estimation Annuelle'!$B$11:$V$211</definedName>
    <definedName name="_xlnm._FilterDatabase" localSheetId="3" hidden="1">'Journal'!$B$12:$W$3012</definedName>
  </definedNames>
  <calcPr calcId="124519" fullCalcOnLoad="1"/>
</workbook>
</file>

<file path=xl/styles.xml><?xml version="1.0" encoding="utf-8"?>
<styleSheet xmlns="http://schemas.openxmlformats.org/spreadsheetml/2006/main">
  <numFmts count="6">
    <numFmt numFmtId="164" formatCode="#,##0.0000"/>
    <numFmt numFmtId="165" formatCode="0.0000"/>
    <numFmt numFmtId="166" formatCode="#,##0;[Red]-#,##0"/>
    <numFmt numFmtId="167" formatCode="0.0%"/>
    <numFmt numFmtId="168" formatCode="dd/mm/yyyy"/>
    <numFmt numFmtId="169" formatCode="#,##0;[Red]-#,##0;"/>
  </numFmts>
  <fonts count="43">
    <font>
      <name val="Calibri"/>
      <family val="2"/>
      <color theme="1"/>
      <sz val="11"/>
      <scheme val="minor"/>
    </font>
    <font>
      <name val="Arial"/>
      <b val="1"/>
      <color rgb="001A3557"/>
      <sz val="9"/>
    </font>
    <font>
      <name val="Arial"/>
      <b val="1"/>
      <color rgb="00FFFFFF"/>
      <sz val="19"/>
    </font>
    <font>
      <name val="Arial"/>
      <color rgb="00FFFFFF"/>
      <sz val="10"/>
    </font>
    <font>
      <name val="Arial"/>
      <b val="1"/>
      <color rgb="00404040"/>
      <sz val="11"/>
    </font>
    <font>
      <name val="Arial"/>
      <b val="1"/>
      <color rgb="00FFFFFF"/>
      <sz val="9"/>
    </font>
    <font>
      <name val="Arial"/>
      <b val="1"/>
      <color rgb="001A3557"/>
      <sz val="10"/>
    </font>
    <font>
      <name val="Arial"/>
      <color rgb="00404040"/>
      <sz val="10"/>
    </font>
    <font>
      <name val="Arial"/>
      <b val="1"/>
      <color rgb="002E5480"/>
      <sz val="10"/>
    </font>
    <font>
      <name val="Arial"/>
      <i val="1"/>
      <color rgb="00404040"/>
      <sz val="9"/>
    </font>
    <font>
      <name val="Arial"/>
      <color rgb="00404040"/>
      <sz val="9"/>
    </font>
    <font>
      <name val="Arial"/>
      <color rgb="007A8794"/>
      <sz val="8"/>
    </font>
    <font>
      <name val="Arial"/>
      <b val="1"/>
      <color rgb="007A8794"/>
      <sz val="8"/>
    </font>
    <font>
      <name val="Arial"/>
      <b val="1"/>
      <color rgb="00FFFFFF"/>
      <sz val="11"/>
    </font>
    <font>
      <name val="Arial"/>
      <b val="1"/>
      <color rgb="00404040"/>
      <sz val="10"/>
    </font>
    <font>
      <name val="Arial"/>
      <i val="1"/>
      <color rgb="007A8794"/>
      <sz val="9"/>
    </font>
    <font>
      <name val="Arial"/>
      <b val="1"/>
      <color rgb="002E5480"/>
      <sz val="11"/>
    </font>
    <font>
      <name val="Arial"/>
      <b val="1"/>
      <color rgb="00FFFFFF"/>
      <sz val="12"/>
    </font>
    <font>
      <name val="Arial"/>
      <b val="1"/>
      <color rgb="001A3557"/>
      <sz val="11"/>
    </font>
    <font>
      <name val="Arial"/>
      <b val="1"/>
      <color rgb="007A8794"/>
      <sz val="9"/>
    </font>
    <font>
      <name val="Arial"/>
      <b val="1"/>
      <color rgb="001A3557"/>
      <sz val="18"/>
    </font>
    <font>
      <name val="Arial"/>
      <b val="1"/>
      <color rgb="001E6B3C"/>
      <sz val="18"/>
    </font>
    <font>
      <name val="Arial"/>
      <b val="1"/>
      <color rgb="008B1A1A"/>
      <sz val="18"/>
    </font>
    <font>
      <name val="Arial"/>
      <b val="1"/>
      <color rgb="002E5480"/>
      <sz val="18"/>
    </font>
    <font>
      <name val="Arial"/>
      <b val="1"/>
      <color rgb="0010706B"/>
      <sz val="18"/>
    </font>
    <font>
      <name val="Arial"/>
      <b val="1"/>
      <color rgb="00E07B22"/>
      <sz val="18"/>
    </font>
    <font>
      <name val="Arial"/>
      <b val="1"/>
      <color rgb="00FFFFFF"/>
      <sz val="10"/>
    </font>
    <font>
      <name val="Arial"/>
      <color rgb="007A8794"/>
      <sz val="9"/>
    </font>
    <font>
      <name val="Arial"/>
      <b val="1"/>
      <color rgb="00404040"/>
      <sz val="9"/>
    </font>
    <font>
      <name val="Arial"/>
      <b val="1"/>
      <color rgb="001E6B3C"/>
      <sz val="10"/>
    </font>
    <font>
      <name val="Arial"/>
      <b val="1"/>
      <color rgb="008B1A1A"/>
      <sz val="10"/>
    </font>
    <font>
      <name val="Arial"/>
      <b val="1"/>
      <color rgb="004A5C8C"/>
      <sz val="18"/>
    </font>
    <font>
      <name val="Arial"/>
      <b val="1"/>
      <color rgb="00404040"/>
      <sz val="12"/>
    </font>
    <font>
      <name val="Arial"/>
      <b val="1"/>
      <color rgb="00B8860B"/>
      <sz val="18"/>
    </font>
    <font>
      <name val="Arial"/>
      <b val="1"/>
      <color rgb="00B8860B"/>
      <sz val="11"/>
    </font>
    <font>
      <name val="Arial"/>
      <b val="1"/>
      <color rgb="008B1A1A"/>
      <sz val="11"/>
    </font>
    <font>
      <name val="Arial"/>
      <color rgb="00B8860B"/>
      <sz val="9"/>
    </font>
    <font>
      <name val="Arial"/>
      <b val="1"/>
      <color rgb="007A8794"/>
      <sz val="18"/>
    </font>
    <font>
      <name val="Arial"/>
      <color rgb="0010706B"/>
      <sz val="9"/>
    </font>
    <font>
      <name val="Arial"/>
      <b val="1"/>
      <color rgb="001A3557"/>
      <sz val="12"/>
    </font>
    <font>
      <name val="Arial"/>
      <b val="1"/>
      <color rgb="00FFFFFF"/>
      <sz val="16"/>
    </font>
    <font>
      <name val="Arial"/>
      <color rgb="00FFFFFF"/>
      <sz val="9"/>
    </font>
    <font>
      <name val="Arial"/>
      <i val="1"/>
      <color rgb="007A8794"/>
      <sz val="10"/>
    </font>
  </fonts>
  <fills count="19">
    <fill>
      <patternFill/>
    </fill>
    <fill>
      <patternFill patternType="gray125"/>
    </fill>
    <fill>
      <patternFill patternType="solid">
        <fgColor rgb="00FDF6E3"/>
      </patternFill>
    </fill>
    <fill>
      <patternFill patternType="solid">
        <fgColor rgb="001A3557"/>
      </patternFill>
    </fill>
    <fill>
      <patternFill patternType="solid">
        <fgColor rgb="00234468"/>
      </patternFill>
    </fill>
    <fill>
      <patternFill patternType="solid">
        <fgColor rgb="00B8860B"/>
      </patternFill>
    </fill>
    <fill>
      <patternFill patternType="solid">
        <fgColor rgb="002E5480"/>
      </patternFill>
    </fill>
    <fill>
      <patternFill patternType="solid">
        <fgColor rgb="00FFFBEA"/>
      </patternFill>
    </fill>
    <fill>
      <patternFill patternType="solid">
        <fgColor rgb="00F2F2F2"/>
      </patternFill>
    </fill>
    <fill>
      <patternFill patternType="solid">
        <fgColor rgb="00D6E4F0"/>
      </patternFill>
    </fill>
    <fill>
      <patternFill patternType="solid">
        <fgColor rgb="00FFFFFF"/>
      </patternFill>
    </fill>
    <fill>
      <patternFill patternType="solid">
        <fgColor rgb="007A8794"/>
      </patternFill>
    </fill>
    <fill>
      <patternFill patternType="solid">
        <fgColor rgb="001E6B3C"/>
      </patternFill>
    </fill>
    <fill>
      <patternFill patternType="solid">
        <fgColor rgb="0010706B"/>
      </patternFill>
    </fill>
    <fill>
      <patternFill patternType="solid">
        <fgColor rgb="008B1A1A"/>
      </patternFill>
    </fill>
    <fill>
      <patternFill patternType="solid">
        <fgColor rgb="004A5C8C"/>
      </patternFill>
    </fill>
    <fill>
      <patternFill patternType="solid">
        <fgColor rgb="00E07B22"/>
      </patternFill>
    </fill>
    <fill>
      <patternFill patternType="solid">
        <fgColor rgb="00FDFBF3"/>
      </patternFill>
    </fill>
    <fill>
      <patternFill patternType="solid">
        <fgColor rgb="009C3A5F"/>
      </patternFill>
    </fill>
  </fills>
  <borders count="56">
    <border>
      <left/>
      <right/>
      <top/>
      <bottom/>
      <diagonal/>
    </border>
    <border>
      <left style="thin">
        <color rgb="00D9A93C"/>
      </left>
      <right style="thin">
        <color rgb="00D9A93C"/>
      </right>
      <top style="thin">
        <color rgb="00D9A93C"/>
      </top>
      <bottom style="thin">
        <color rgb="00D9A93C"/>
      </bottom>
    </border>
    <border>
      <left style="thin">
        <color rgb="002E5480"/>
      </left>
      <right style="thin">
        <color rgb="002E5480"/>
      </right>
      <top style="thin">
        <color rgb="002E5480"/>
      </top>
      <bottom style="thin">
        <color rgb="002E5480"/>
      </bottom>
    </border>
    <border>
      <left style="thin">
        <color rgb="00D6DEE8"/>
      </left>
      <right style="thin">
        <color rgb="00D6DEE8"/>
      </right>
      <top style="thin">
        <color rgb="00D6DEE8"/>
      </top>
      <bottom style="thin">
        <color rgb="00D6DEE8"/>
      </bottom>
    </border>
    <border>
      <left style="thin">
        <color rgb="00E3CE84"/>
      </left>
      <right style="thin">
        <color rgb="00E3CE84"/>
      </right>
      <top style="thin">
        <color rgb="00E3CE84"/>
      </top>
      <bottom style="thin">
        <color rgb="00E3CE84"/>
      </bottom>
    </border>
    <border>
      <left/>
      <right/>
      <top style="thin">
        <color rgb="00D6DEE8"/>
      </top>
      <bottom/>
      <diagonal/>
    </border>
    <border>
      <left/>
      <right style="thin">
        <color rgb="00D6DEE8"/>
      </right>
      <top style="thin">
        <color rgb="00D6DEE8"/>
      </top>
      <bottom/>
      <diagonal/>
    </border>
    <border>
      <left/>
      <right/>
      <top style="thin">
        <color rgb="00D6DEE8"/>
      </top>
      <bottom style="thin">
        <color rgb="00D6DEE8"/>
      </bottom>
      <diagonal/>
    </border>
    <border>
      <left/>
      <right style="thin">
        <color rgb="00D6DEE8"/>
      </right>
      <top style="thin">
        <color rgb="00D6DEE8"/>
      </top>
      <bottom style="thin">
        <color rgb="00D6DEE8"/>
      </bottom>
      <diagonal/>
    </border>
    <border>
      <left style="thin">
        <color rgb="00D6DEE8"/>
      </left>
      <top style="thin">
        <color rgb="00D6DEE8"/>
      </top>
    </border>
    <border>
      <top style="thin">
        <color rgb="00D6DEE8"/>
      </top>
    </border>
    <border>
      <right style="thin">
        <color rgb="00D6DEE8"/>
      </right>
      <top style="thin">
        <color rgb="00D6DEE8"/>
      </top>
    </border>
    <border>
      <left style="thin">
        <color rgb="00D6DEE8"/>
      </left>
    </border>
    <border/>
    <border>
      <right style="thin">
        <color rgb="00D6DEE8"/>
      </right>
    </border>
    <border>
      <left style="thin">
        <color rgb="00D6DEE8"/>
      </left>
      <bottom style="thin">
        <color rgb="00D6DEE8"/>
      </bottom>
    </border>
    <border>
      <bottom style="thin">
        <color rgb="00D6DEE8"/>
      </bottom>
    </border>
    <border>
      <right style="thin">
        <color rgb="00D6DEE8"/>
      </right>
      <bottom style="thin">
        <color rgb="00D6DEE8"/>
      </bottom>
    </border>
    <border>
      <left style="thin">
        <color rgb="00D6DEE8"/>
      </left>
      <top style="medium">
        <color rgb="001A3557"/>
      </top>
    </border>
    <border>
      <top style="medium">
        <color rgb="001A3557"/>
      </top>
    </border>
    <border>
      <right style="thin">
        <color rgb="00D6DEE8"/>
      </right>
      <top style="medium">
        <color rgb="001A3557"/>
      </top>
    </border>
    <border>
      <left style="thin">
        <color rgb="00D6DEE8"/>
      </left>
      <top style="medium">
        <color rgb="001E6B3C"/>
      </top>
    </border>
    <border>
      <top style="medium">
        <color rgb="001E6B3C"/>
      </top>
    </border>
    <border>
      <right style="thin">
        <color rgb="00D6DEE8"/>
      </right>
      <top style="medium">
        <color rgb="001E6B3C"/>
      </top>
    </border>
    <border>
      <left style="thin">
        <color rgb="00D6DEE8"/>
      </left>
      <top style="medium">
        <color rgb="008B1A1A"/>
      </top>
    </border>
    <border>
      <top style="medium">
        <color rgb="008B1A1A"/>
      </top>
    </border>
    <border>
      <right style="thin">
        <color rgb="00D6DEE8"/>
      </right>
      <top style="medium">
        <color rgb="008B1A1A"/>
      </top>
    </border>
    <border>
      <left style="thin">
        <color rgb="00D6DEE8"/>
      </left>
      <top style="medium">
        <color rgb="002E5480"/>
      </top>
    </border>
    <border>
      <top style="medium">
        <color rgb="002E5480"/>
      </top>
    </border>
    <border>
      <right style="thin">
        <color rgb="00D6DEE8"/>
      </right>
      <top style="medium">
        <color rgb="002E5480"/>
      </top>
    </border>
    <border>
      <left style="thin">
        <color rgb="00D6DEE8"/>
      </left>
      <top style="medium">
        <color rgb="0010706B"/>
      </top>
    </border>
    <border>
      <top style="medium">
        <color rgb="0010706B"/>
      </top>
    </border>
    <border>
      <right style="thin">
        <color rgb="00D6DEE8"/>
      </right>
      <top style="medium">
        <color rgb="0010706B"/>
      </top>
    </border>
    <border>
      <left style="thin">
        <color rgb="00D6DEE8"/>
      </left>
      <top style="medium">
        <color rgb="00E07B22"/>
      </top>
    </border>
    <border>
      <top style="medium">
        <color rgb="00E07B22"/>
      </top>
    </border>
    <border>
      <right style="thin">
        <color rgb="00D6DEE8"/>
      </right>
      <top style="medium">
        <color rgb="00E07B22"/>
      </top>
    </border>
    <border>
      <left style="thin">
        <color rgb="00D6DEE8"/>
      </left>
      <top style="medium">
        <color rgb="004A5C8C"/>
      </top>
    </border>
    <border>
      <top style="medium">
        <color rgb="004A5C8C"/>
      </top>
    </border>
    <border>
      <right style="thin">
        <color rgb="00D6DEE8"/>
      </right>
      <top style="medium">
        <color rgb="004A5C8C"/>
      </top>
    </border>
    <border>
      <left style="thin">
        <color rgb="00D6DEE8"/>
      </left>
      <top style="medium">
        <color rgb="00B8860B"/>
      </top>
    </border>
    <border>
      <top style="medium">
        <color rgb="00B8860B"/>
      </top>
    </border>
    <border>
      <right style="thin">
        <color rgb="00D6DEE8"/>
      </right>
      <top style="medium">
        <color rgb="00B8860B"/>
      </top>
    </border>
    <border>
      <left/>
      <right/>
      <top style="thin">
        <color rgb="002E5480"/>
      </top>
      <bottom/>
      <diagonal/>
    </border>
    <border>
      <left/>
      <right style="thin">
        <color rgb="002E5480"/>
      </right>
      <top style="thin">
        <color rgb="002E5480"/>
      </top>
      <bottom/>
      <diagonal/>
    </border>
    <border>
      <left/>
      <right style="thin">
        <color rgb="002E5480"/>
      </right>
      <top style="thin">
        <color rgb="002E5480"/>
      </top>
      <bottom style="thin">
        <color rgb="002E5480"/>
      </bottom>
      <diagonal/>
    </border>
    <border>
      <left style="thin">
        <color rgb="00B8860B"/>
      </left>
      <right style="thin">
        <color rgb="00B8860B"/>
      </right>
      <top style="thin">
        <color rgb="00B8860B"/>
      </top>
      <bottom style="thin">
        <color rgb="00B8860B"/>
      </bottom>
    </border>
    <border>
      <left style="thin">
        <color rgb="00D6DEE8"/>
      </left>
      <top style="medium">
        <color rgb="007A8794"/>
      </top>
    </border>
    <border>
      <top style="medium">
        <color rgb="007A8794"/>
      </top>
    </border>
    <border>
      <right style="thin">
        <color rgb="00D6DEE8"/>
      </right>
      <top style="medium">
        <color rgb="007A8794"/>
      </top>
    </border>
    <border>
      <left/>
      <right/>
      <top style="thin">
        <color rgb="00E3CE84"/>
      </top>
      <bottom/>
      <diagonal/>
    </border>
    <border>
      <left/>
      <right style="thin">
        <color rgb="00E3CE84"/>
      </right>
      <top style="thin">
        <color rgb="00E3CE84"/>
      </top>
      <bottom/>
      <diagonal/>
    </border>
    <border>
      <left/>
      <right style="thin">
        <color rgb="00E3CE84"/>
      </right>
      <top style="thin">
        <color rgb="00E3CE84"/>
      </top>
      <bottom style="thin">
        <color rgb="00E3CE84"/>
      </bottom>
      <diagonal/>
    </border>
    <border>
      <left style="thin">
        <color rgb="001A3557"/>
      </left>
      <right style="thin">
        <color rgb="001A3557"/>
      </right>
      <top style="thin">
        <color rgb="001A3557"/>
      </top>
      <bottom style="thin">
        <color rgb="001A3557"/>
      </bottom>
    </border>
    <border>
      <left style="thin">
        <color rgb="009C3A5F"/>
      </left>
      <right style="thin">
        <color rgb="009C3A5F"/>
      </right>
      <top style="thin">
        <color rgb="009C3A5F"/>
      </top>
      <bottom style="thin">
        <color rgb="009C3A5F"/>
      </bottom>
    </border>
    <border>
      <left style="thin">
        <color rgb="00E07B22"/>
      </left>
      <right style="thin">
        <color rgb="00E07B22"/>
      </right>
      <top style="thin">
        <color rgb="00E07B22"/>
      </top>
      <bottom style="thin">
        <color rgb="00E07B22"/>
      </bottom>
    </border>
    <border>
      <left style="thin">
        <color rgb="001E6B3C"/>
      </left>
      <right style="thin">
        <color rgb="001E6B3C"/>
      </right>
      <top style="thin">
        <color rgb="001E6B3C"/>
      </top>
      <bottom style="thin">
        <color rgb="001E6B3C"/>
      </bottom>
    </border>
  </borders>
  <cellStyleXfs count="1">
    <xf numFmtId="0" fontId="0" fillId="0" borderId="0"/>
  </cellStyleXfs>
  <cellXfs count="254">
    <xf numFmtId="0" fontId="0" fillId="0" borderId="0" pivotButton="0" quotePrefix="0" xfId="0"/>
    <xf numFmtId="0" fontId="0" fillId="5" borderId="0" pivotButton="0" quotePrefix="0" xfId="0"/>
    <xf numFmtId="0" fontId="18" fillId="2" borderId="0" applyAlignment="1" pivotButton="0" quotePrefix="0" xfId="0">
      <alignment horizontal="left" vertical="center" indent="1"/>
    </xf>
    <xf numFmtId="0" fontId="0" fillId="2" borderId="0" pivotButton="0" quotePrefix="0" xfId="0"/>
    <xf numFmtId="0" fontId="39" fillId="0" borderId="0" applyAlignment="1" applyProtection="1" pivotButton="0" quotePrefix="0" xfId="0">
      <alignment horizontal="left" vertical="center" indent="1"/>
      <protection locked="1" hidden="1"/>
    </xf>
    <xf numFmtId="0" fontId="27" fillId="0" borderId="0" applyAlignment="1" applyProtection="1" pivotButton="0" quotePrefix="0" xfId="0">
      <alignment horizontal="left" vertical="center" indent="1"/>
      <protection locked="1" hidden="1"/>
    </xf>
    <xf numFmtId="0" fontId="13" fillId="4" borderId="0" applyAlignment="1" pivotButton="0" quotePrefix="0" xfId="0">
      <alignment horizontal="left" vertical="center" indent="1"/>
    </xf>
    <xf numFmtId="0" fontId="0" fillId="4" borderId="0" pivotButton="0" quotePrefix="0" xfId="0"/>
    <xf numFmtId="0" fontId="40" fillId="3" borderId="52" applyAlignment="1" pivotButton="0" quotePrefix="0" xfId="0">
      <alignment horizontal="center" vertical="center" wrapText="1"/>
    </xf>
    <xf numFmtId="0" fontId="0" fillId="3" borderId="52" pivotButton="0" quotePrefix="0" xfId="0"/>
    <xf numFmtId="0" fontId="40" fillId="6" borderId="2" applyAlignment="1" pivotButton="0" quotePrefix="0" xfId="0">
      <alignment horizontal="center" vertical="center" wrapText="1"/>
    </xf>
    <xf numFmtId="0" fontId="0" fillId="6" borderId="2" pivotButton="0" quotePrefix="0" xfId="0"/>
    <xf numFmtId="0" fontId="40" fillId="5" borderId="45" applyAlignment="1" pivotButton="0" quotePrefix="0" xfId="0">
      <alignment horizontal="center" vertical="center" wrapText="1"/>
    </xf>
    <xf numFmtId="0" fontId="0" fillId="5" borderId="45" pivotButton="0" quotePrefix="0" xfId="0"/>
    <xf numFmtId="0" fontId="41" fillId="3" borderId="52" applyAlignment="1" pivotButton="0" quotePrefix="0" xfId="0">
      <alignment horizontal="center" vertical="center" wrapText="1"/>
    </xf>
    <xf numFmtId="0" fontId="41" fillId="6" borderId="2" applyAlignment="1" pivotButton="0" quotePrefix="0" xfId="0">
      <alignment horizontal="center" vertical="center" wrapText="1"/>
    </xf>
    <xf numFmtId="0" fontId="41" fillId="5" borderId="45" applyAlignment="1" pivotButton="0" quotePrefix="0" xfId="0">
      <alignment horizontal="center" vertical="center" wrapText="1"/>
    </xf>
    <xf numFmtId="0" fontId="42" fillId="0" borderId="0" applyAlignment="1" pivotButton="0" quotePrefix="0" xfId="0">
      <alignment horizontal="left" vertical="center" indent="1"/>
    </xf>
    <xf numFmtId="0" fontId="40" fillId="18" borderId="53" applyAlignment="1" pivotButton="0" quotePrefix="0" xfId="0">
      <alignment horizontal="center" vertical="center" wrapText="1"/>
    </xf>
    <xf numFmtId="0" fontId="0" fillId="18" borderId="53" pivotButton="0" quotePrefix="0" xfId="0"/>
    <xf numFmtId="0" fontId="40" fillId="16" borderId="54" applyAlignment="1" pivotButton="0" quotePrefix="0" xfId="0">
      <alignment horizontal="center" vertical="center" wrapText="1"/>
    </xf>
    <xf numFmtId="0" fontId="0" fillId="16" borderId="54" pivotButton="0" quotePrefix="0" xfId="0"/>
    <xf numFmtId="0" fontId="40" fillId="12" borderId="55" applyAlignment="1" pivotButton="0" quotePrefix="0" xfId="0">
      <alignment horizontal="center" vertical="center" wrapText="1"/>
    </xf>
    <xf numFmtId="0" fontId="0" fillId="12" borderId="55" pivotButton="0" quotePrefix="0" xfId="0"/>
    <xf numFmtId="0" fontId="41" fillId="18" borderId="53" applyAlignment="1" pivotButton="0" quotePrefix="0" xfId="0">
      <alignment horizontal="center" vertical="center" wrapText="1"/>
    </xf>
    <xf numFmtId="0" fontId="41" fillId="16" borderId="54" applyAlignment="1" pivotButton="0" quotePrefix="0" xfId="0">
      <alignment horizontal="center" vertical="center" wrapText="1"/>
    </xf>
    <xf numFmtId="0" fontId="41" fillId="12" borderId="55" applyAlignment="1" pivotButton="0" quotePrefix="0" xfId="0">
      <alignment horizontal="center" vertical="center" wrapText="1"/>
    </xf>
    <xf numFmtId="0" fontId="19" fillId="10" borderId="27" applyAlignment="1" pivotButton="0" quotePrefix="0" xfId="0">
      <alignment horizontal="left" vertical="center" indent="1"/>
    </xf>
    <xf numFmtId="0" fontId="0" fillId="10" borderId="29" pivotButton="0" quotePrefix="0" xfId="0"/>
    <xf numFmtId="0" fontId="19" fillId="10" borderId="24" applyAlignment="1" pivotButton="0" quotePrefix="0" xfId="0">
      <alignment horizontal="left" vertical="center" indent="1"/>
    </xf>
    <xf numFmtId="0" fontId="0" fillId="10" borderId="26" pivotButton="0" quotePrefix="0" xfId="0"/>
    <xf numFmtId="0" fontId="19" fillId="10" borderId="21" applyAlignment="1" pivotButton="0" quotePrefix="0" xfId="0">
      <alignment horizontal="left" vertical="center" indent="1"/>
    </xf>
    <xf numFmtId="0" fontId="0" fillId="10" borderId="23" pivotButton="0" quotePrefix="0" xfId="0"/>
    <xf numFmtId="166" fontId="23" fillId="10" borderId="12" applyAlignment="1" applyProtection="1" pivotButton="0" quotePrefix="0" xfId="0">
      <alignment horizontal="left" vertical="center" indent="1"/>
      <protection locked="1" hidden="1"/>
    </xf>
    <xf numFmtId="0" fontId="0" fillId="10" borderId="14" pivotButton="0" quotePrefix="0" xfId="0"/>
    <xf numFmtId="166" fontId="22" fillId="10" borderId="12" applyAlignment="1" applyProtection="1" pivotButton="0" quotePrefix="0" xfId="0">
      <alignment horizontal="left" vertical="center" indent="1"/>
      <protection locked="1" hidden="1"/>
    </xf>
    <xf numFmtId="166" fontId="21" fillId="10" borderId="12" applyAlignment="1" applyProtection="1" pivotButton="0" quotePrefix="0" xfId="0">
      <alignment horizontal="left" vertical="center" indent="1"/>
      <protection locked="1" hidden="1"/>
    </xf>
    <xf numFmtId="0" fontId="11" fillId="10" borderId="15" applyAlignment="1" pivotButton="0" quotePrefix="0" xfId="0">
      <alignment horizontal="left" vertical="center" indent="1"/>
    </xf>
    <xf numFmtId="0" fontId="0" fillId="10" borderId="17" pivotButton="0" quotePrefix="0" xfId="0"/>
    <xf numFmtId="0" fontId="18" fillId="10" borderId="3" applyAlignment="1" pivotButton="0" quotePrefix="0" xfId="0">
      <alignment horizontal="left" vertical="center" indent="1"/>
    </xf>
    <xf numFmtId="0" fontId="0" fillId="10" borderId="3" pivotButton="0" quotePrefix="0" xfId="0"/>
    <xf numFmtId="0" fontId="9" fillId="2" borderId="1" applyAlignment="1" pivotButton="0" quotePrefix="0" xfId="0">
      <alignment horizontal="left" vertical="center" wrapText="1" indent="1"/>
    </xf>
    <xf numFmtId="0" fontId="0" fillId="2" borderId="1" pivotButton="0" quotePrefix="0" xfId="0"/>
    <xf numFmtId="0" fontId="1" fillId="0" borderId="0" applyAlignment="1" pivotButton="0" quotePrefix="0" xfId="0">
      <alignment horizontal="left" vertical="center" indent="1"/>
    </xf>
    <xf numFmtId="0" fontId="27" fillId="0" borderId="0" applyAlignment="1" pivotButton="0" quotePrefix="0" xfId="0">
      <alignment horizontal="left" vertical="center" indent="1"/>
    </xf>
    <xf numFmtId="0" fontId="15" fillId="0" borderId="0" applyAlignment="1" pivotButton="0" quotePrefix="0" xfId="0">
      <alignment horizontal="left" vertical="center" indent="1"/>
    </xf>
    <xf numFmtId="0" fontId="2" fillId="3" borderId="0" applyAlignment="1" pivotButton="0" quotePrefix="0" xfId="0">
      <alignment horizontal="left" vertical="center" indent="1"/>
    </xf>
    <xf numFmtId="0" fontId="0" fillId="3" borderId="0" pivotButton="0" quotePrefix="0" xfId="0"/>
    <xf numFmtId="0" fontId="3" fillId="4" borderId="0" applyAlignment="1" pivotButton="0" quotePrefix="0" xfId="0">
      <alignment horizontal="left" vertical="center" indent="1"/>
    </xf>
    <xf numFmtId="0" fontId="1" fillId="2" borderId="1" applyAlignment="1" pivotButton="0" quotePrefix="0" xfId="0">
      <alignment horizontal="center" vertical="center"/>
    </xf>
    <xf numFmtId="0" fontId="5" fillId="3" borderId="1" applyAlignment="1" pivotButton="0" quotePrefix="0" xfId="0">
      <alignment horizontal="center" vertical="center"/>
    </xf>
    <xf numFmtId="0" fontId="0" fillId="3" borderId="1" pivotButton="0" quotePrefix="0" xfId="0"/>
    <xf numFmtId="0" fontId="14" fillId="0" borderId="0" applyAlignment="1" pivotButton="0" quotePrefix="0" xfId="0">
      <alignment horizontal="left" vertical="center" indent="1"/>
    </xf>
    <xf numFmtId="0" fontId="4" fillId="7" borderId="4" applyAlignment="1" applyProtection="1" pivotButton="0" quotePrefix="0" xfId="0">
      <alignment horizontal="left" vertical="center" indent="1"/>
      <protection locked="0" hidden="0"/>
    </xf>
    <xf numFmtId="0" fontId="7" fillId="7" borderId="4" applyProtection="1" pivotButton="0" quotePrefix="0" xfId="0">
      <protection locked="0" hidden="0"/>
    </xf>
    <xf numFmtId="0" fontId="15" fillId="0" borderId="0" applyAlignment="1" pivotButton="0" quotePrefix="0" xfId="0">
      <alignment horizontal="left" vertical="center" wrapText="1" indent="1"/>
    </xf>
    <xf numFmtId="49" fontId="4" fillId="7" borderId="4" applyAlignment="1" applyProtection="1" pivotButton="0" quotePrefix="0" xfId="0">
      <alignment horizontal="left" vertical="center" indent="1"/>
      <protection locked="0" hidden="0"/>
    </xf>
    <xf numFmtId="3" fontId="4" fillId="7" borderId="4" applyAlignment="1" applyProtection="1" pivotButton="0" quotePrefix="0" xfId="0">
      <alignment horizontal="left" vertical="center" indent="1"/>
      <protection locked="0" hidden="0"/>
    </xf>
    <xf numFmtId="0" fontId="16" fillId="8" borderId="3" applyAlignment="1" applyProtection="1" pivotButton="0" quotePrefix="0" xfId="0">
      <alignment horizontal="left" vertical="center" indent="1"/>
      <protection locked="1" hidden="1"/>
    </xf>
    <xf numFmtId="0" fontId="0" fillId="8" borderId="3" pivotButton="0" quotePrefix="0" xfId="0"/>
    <xf numFmtId="1" fontId="16" fillId="8" borderId="3" applyAlignment="1" applyProtection="1" pivotButton="0" quotePrefix="0" xfId="0">
      <alignment horizontal="left" vertical="center" indent="1"/>
      <protection locked="1" hidden="1"/>
    </xf>
    <xf numFmtId="166" fontId="4" fillId="7" borderId="4" applyAlignment="1" applyProtection="1" pivotButton="0" quotePrefix="0" xfId="0">
      <alignment horizontal="left" vertical="center" indent="1"/>
      <protection locked="0" hidden="0"/>
    </xf>
    <xf numFmtId="167" fontId="4" fillId="7" borderId="4" applyAlignment="1" applyProtection="1" pivotButton="0" quotePrefix="0" xfId="0">
      <alignment horizontal="left" vertical="center" indent="1"/>
      <protection locked="0" hidden="0"/>
    </xf>
    <xf numFmtId="0" fontId="5" fillId="6" borderId="2" applyAlignment="1" pivotButton="0" quotePrefix="0" xfId="0">
      <alignment horizontal="center" vertical="center" wrapText="1"/>
    </xf>
    <xf numFmtId="0" fontId="0" fillId="8" borderId="3" applyProtection="1" pivotButton="0" quotePrefix="0" xfId="0">
      <protection locked="1" hidden="1"/>
    </xf>
    <xf numFmtId="166" fontId="7" fillId="7" borderId="4" applyProtection="1" pivotButton="0" quotePrefix="0" xfId="0">
      <protection locked="0" hidden="0"/>
    </xf>
    <xf numFmtId="166" fontId="0" fillId="0" borderId="3" applyProtection="1" pivotButton="0" quotePrefix="0" xfId="0">
      <protection locked="1" hidden="1"/>
    </xf>
    <xf numFmtId="166" fontId="6" fillId="0" borderId="3" applyProtection="1" pivotButton="0" quotePrefix="0" xfId="0">
      <protection locked="1" hidden="1"/>
    </xf>
    <xf numFmtId="0" fontId="13" fillId="3" borderId="0" pivotButton="0" quotePrefix="0" xfId="0"/>
    <xf numFmtId="166" fontId="17" fillId="3" borderId="0" applyAlignment="1" applyProtection="1" pivotButton="0" quotePrefix="0" xfId="0">
      <alignment horizontal="right" vertical="center"/>
      <protection locked="1" hidden="1"/>
    </xf>
    <xf numFmtId="0" fontId="11" fillId="0" borderId="0" applyProtection="1" pivotButton="0" quotePrefix="0" xfId="0">
      <protection locked="1" hidden="1"/>
    </xf>
    <xf numFmtId="0" fontId="18" fillId="9" borderId="3" applyAlignment="1" pivotButton="0" quotePrefix="0" xfId="0">
      <alignment horizontal="left" vertical="center" indent="1"/>
    </xf>
    <xf numFmtId="0" fontId="0" fillId="0" borderId="7" pivotButton="0" quotePrefix="0" xfId="0"/>
    <xf numFmtId="0" fontId="0" fillId="0" borderId="8" pivotButton="0" quotePrefix="0" xfId="0"/>
    <xf numFmtId="0" fontId="0" fillId="10" borderId="22" pivotButton="0" quotePrefix="0" xfId="0"/>
    <xf numFmtId="0" fontId="0" fillId="10" borderId="25" pivotButton="0" quotePrefix="0" xfId="0"/>
    <xf numFmtId="0" fontId="19" fillId="10" borderId="30" applyAlignment="1" pivotButton="0" quotePrefix="0" xfId="0">
      <alignment horizontal="left" vertical="center" indent="1"/>
    </xf>
    <xf numFmtId="0" fontId="0" fillId="10" borderId="31" pivotButton="0" quotePrefix="0" xfId="0"/>
    <xf numFmtId="0" fontId="0" fillId="10" borderId="32" pivotButton="0" quotePrefix="0" xfId="0"/>
    <xf numFmtId="0" fontId="0" fillId="10" borderId="28" pivotButton="0" quotePrefix="0" xfId="0"/>
    <xf numFmtId="0" fontId="19" fillId="10" borderId="33" applyAlignment="1" pivotButton="0" quotePrefix="0" xfId="0">
      <alignment horizontal="left" vertical="center" indent="1"/>
    </xf>
    <xf numFmtId="0" fontId="0" fillId="10" borderId="34" pivotButton="0" quotePrefix="0" xfId="0"/>
    <xf numFmtId="0" fontId="0" fillId="10" borderId="35" pivotButton="0" quotePrefix="0" xfId="0"/>
    <xf numFmtId="0" fontId="0" fillId="10" borderId="13" pivotButton="0" quotePrefix="0" xfId="0"/>
    <xf numFmtId="166" fontId="24" fillId="10" borderId="12" applyAlignment="1" applyProtection="1" pivotButton="0" quotePrefix="0" xfId="0">
      <alignment horizontal="left" vertical="center" indent="1"/>
      <protection locked="1" hidden="1"/>
    </xf>
    <xf numFmtId="167" fontId="25" fillId="10" borderId="12" applyAlignment="1" applyProtection="1" pivotButton="0" quotePrefix="0" xfId="0">
      <alignment horizontal="left" vertical="center" indent="1"/>
      <protection locked="1" hidden="1"/>
    </xf>
    <xf numFmtId="0" fontId="0" fillId="10" borderId="16" pivotButton="0" quotePrefix="0" xfId="0"/>
    <xf numFmtId="1" fontId="7" fillId="8" borderId="3" applyAlignment="1" applyProtection="1" pivotButton="0" quotePrefix="0" xfId="0">
      <alignment horizontal="center" vertical="center"/>
      <protection locked="1" hidden="1"/>
    </xf>
    <xf numFmtId="169" fontId="7" fillId="7" borderId="4" applyProtection="1" pivotButton="0" quotePrefix="0" xfId="0">
      <protection locked="0" hidden="0"/>
    </xf>
    <xf numFmtId="169" fontId="6" fillId="8" borderId="3" applyProtection="1" pivotButton="0" quotePrefix="0" xfId="0">
      <protection locked="1" hidden="1"/>
    </xf>
    <xf numFmtId="169" fontId="7" fillId="8" borderId="3" applyProtection="1" pivotButton="0" quotePrefix="0" xfId="0">
      <protection locked="1" hidden="1"/>
    </xf>
    <xf numFmtId="167" fontId="7" fillId="8" borderId="3" applyProtection="1" pivotButton="0" quotePrefix="0" xfId="0">
      <protection locked="1" hidden="1"/>
    </xf>
    <xf numFmtId="0" fontId="7" fillId="0" borderId="3" applyProtection="1" pivotButton="0" quotePrefix="0" xfId="0">
      <protection locked="0" hidden="0"/>
    </xf>
    <xf numFmtId="0" fontId="19" fillId="10" borderId="18" applyAlignment="1" pivotButton="0" quotePrefix="0" xfId="0">
      <alignment horizontal="left" vertical="center" indent="1"/>
    </xf>
    <xf numFmtId="0" fontId="0" fillId="10" borderId="19" pivotButton="0" quotePrefix="0" xfId="0"/>
    <xf numFmtId="0" fontId="0" fillId="10" borderId="20" pivotButton="0" quotePrefix="0" xfId="0"/>
    <xf numFmtId="3" fontId="20" fillId="10" borderId="12" applyAlignment="1" applyProtection="1" pivotButton="0" quotePrefix="0" xfId="0">
      <alignment horizontal="left" vertical="center" indent="1"/>
      <protection locked="1" hidden="1"/>
    </xf>
    <xf numFmtId="166" fontId="25" fillId="10" borderId="12" applyAlignment="1" applyProtection="1" pivotButton="0" quotePrefix="0" xfId="0">
      <alignment horizontal="left" vertical="center" indent="1"/>
      <protection locked="1" hidden="1"/>
    </xf>
    <xf numFmtId="0" fontId="11" fillId="10" borderId="15" applyAlignment="1" applyProtection="1" pivotButton="0" quotePrefix="0" xfId="0">
      <alignment horizontal="left" vertical="center" indent="1"/>
      <protection locked="1" hidden="1"/>
    </xf>
    <xf numFmtId="0" fontId="14" fillId="5" borderId="0" applyAlignment="1" pivotButton="0" quotePrefix="0" xfId="0">
      <alignment horizontal="center" vertical="center"/>
    </xf>
    <xf numFmtId="0" fontId="26" fillId="3" borderId="0" applyAlignment="1" pivotButton="0" quotePrefix="0" xfId="0">
      <alignment horizontal="center" vertical="center"/>
    </xf>
    <xf numFmtId="0" fontId="26" fillId="6" borderId="0" applyAlignment="1" pivotButton="0" quotePrefix="0" xfId="0">
      <alignment horizontal="center" vertical="center"/>
    </xf>
    <xf numFmtId="0" fontId="0" fillId="6" borderId="0" pivotButton="0" quotePrefix="0" xfId="0"/>
    <xf numFmtId="0" fontId="26" fillId="11" borderId="0" applyAlignment="1" pivotButton="0" quotePrefix="0" xfId="0">
      <alignment horizontal="center" vertical="center"/>
    </xf>
    <xf numFmtId="0" fontId="0" fillId="11" borderId="0" pivotButton="0" quotePrefix="0" xfId="0"/>
    <xf numFmtId="168" fontId="7" fillId="7" borderId="4" applyProtection="1" pivotButton="0" quotePrefix="0" xfId="0">
      <protection locked="0" hidden="0"/>
    </xf>
    <xf numFmtId="0" fontId="28" fillId="8" borderId="3" applyAlignment="1" applyProtection="1" pivotButton="0" quotePrefix="0" xfId="0">
      <alignment horizontal="center" vertical="center"/>
      <protection locked="1" hidden="1"/>
    </xf>
    <xf numFmtId="166" fontId="29" fillId="8" borderId="3" applyProtection="1" pivotButton="0" quotePrefix="0" xfId="0">
      <protection locked="1" hidden="1"/>
    </xf>
    <xf numFmtId="166" fontId="30" fillId="8" borderId="3" applyProtection="1" pivotButton="0" quotePrefix="0" xfId="0">
      <protection locked="1" hidden="1"/>
    </xf>
    <xf numFmtId="166" fontId="6" fillId="8" borderId="3" applyProtection="1" pivotButton="0" quotePrefix="0" xfId="0">
      <protection locked="1" hidden="1"/>
    </xf>
    <xf numFmtId="0" fontId="7" fillId="7" borderId="4" applyAlignment="1" applyProtection="1" pivotButton="0" quotePrefix="0" xfId="0">
      <alignment horizontal="center" vertical="center"/>
      <protection locked="0" hidden="0"/>
    </xf>
    <xf numFmtId="164" fontId="27" fillId="8" borderId="3" applyProtection="1" pivotButton="0" quotePrefix="0" xfId="0">
      <protection locked="1" hidden="1"/>
    </xf>
    <xf numFmtId="166" fontId="27" fillId="8" borderId="3" applyProtection="1" pivotButton="0" quotePrefix="0" xfId="0">
      <protection locked="1" hidden="1"/>
    </xf>
    <xf numFmtId="1" fontId="27" fillId="8" borderId="3" applyAlignment="1" applyProtection="1" pivotButton="0" quotePrefix="0" xfId="0">
      <alignment horizontal="center" vertical="center"/>
      <protection locked="1" hidden="1"/>
    </xf>
    <xf numFmtId="0" fontId="3" fillId="4" borderId="0" applyAlignment="1" applyProtection="1" pivotButton="0" quotePrefix="0" xfId="0">
      <alignment horizontal="left" vertical="center" indent="1"/>
      <protection locked="1" hidden="1"/>
    </xf>
    <xf numFmtId="0" fontId="26" fillId="4" borderId="0" applyAlignment="1" pivotButton="0" quotePrefix="0" xfId="0">
      <alignment horizontal="left" vertical="center" indent="1"/>
    </xf>
    <xf numFmtId="1" fontId="7" fillId="7" borderId="4" applyAlignment="1" applyProtection="1" pivotButton="0" quotePrefix="0" xfId="0">
      <alignment horizontal="center" vertical="center"/>
      <protection locked="0" hidden="0"/>
    </xf>
    <xf numFmtId="0" fontId="27" fillId="0" borderId="0" applyAlignment="1" pivotButton="0" quotePrefix="0" xfId="0">
      <alignment horizontal="center" vertical="center"/>
    </xf>
    <xf numFmtId="0" fontId="11" fillId="0" borderId="0" applyAlignment="1" applyProtection="1" pivotButton="0" quotePrefix="0" xfId="0">
      <alignment horizontal="center" vertical="center"/>
      <protection locked="1" hidden="1"/>
    </xf>
    <xf numFmtId="0" fontId="15" fillId="0" borderId="0" applyAlignment="1" applyProtection="1" pivotButton="0" quotePrefix="0" xfId="0">
      <alignment horizontal="right" vertical="center" indent="1"/>
      <protection locked="1" hidden="1"/>
    </xf>
    <xf numFmtId="0" fontId="19" fillId="10" borderId="36" applyAlignment="1" pivotButton="0" quotePrefix="0" xfId="0">
      <alignment horizontal="left" vertical="center" indent="1"/>
    </xf>
    <xf numFmtId="0" fontId="0" fillId="10" borderId="37" pivotButton="0" quotePrefix="0" xfId="0"/>
    <xf numFmtId="0" fontId="0" fillId="10" borderId="38" pivotButton="0" quotePrefix="0" xfId="0"/>
    <xf numFmtId="167" fontId="31" fillId="10" borderId="12" applyAlignment="1" applyProtection="1" pivotButton="0" quotePrefix="0" xfId="0">
      <alignment horizontal="left" vertical="center" indent="1"/>
      <protection locked="1" hidden="1"/>
    </xf>
    <xf numFmtId="0" fontId="19" fillId="10" borderId="39" applyAlignment="1" pivotButton="0" quotePrefix="0" xfId="0">
      <alignment horizontal="left" vertical="center" indent="1"/>
    </xf>
    <xf numFmtId="0" fontId="0" fillId="10" borderId="40" pivotButton="0" quotePrefix="0" xfId="0"/>
    <xf numFmtId="0" fontId="0" fillId="10" borderId="41" pivotButton="0" quotePrefix="0" xfId="0"/>
    <xf numFmtId="166" fontId="20" fillId="10" borderId="12" applyAlignment="1" applyProtection="1" pivotButton="0" quotePrefix="0" xfId="0">
      <alignment horizontal="left" vertical="center" indent="1"/>
      <protection locked="1" hidden="1"/>
    </xf>
    <xf numFmtId="166" fontId="33" fillId="10" borderId="12" applyAlignment="1" applyProtection="1" pivotButton="0" quotePrefix="0" xfId="0">
      <alignment horizontal="left" vertical="center" indent="1"/>
      <protection locked="1" hidden="1"/>
    </xf>
    <xf numFmtId="0" fontId="0" fillId="0" borderId="44" pivotButton="0" quotePrefix="0" xfId="0"/>
    <xf numFmtId="0" fontId="7" fillId="0" borderId="3" applyAlignment="1" applyProtection="1" pivotButton="0" quotePrefix="0" xfId="0">
      <alignment horizontal="left" vertical="center" indent="1"/>
      <protection locked="1" hidden="1"/>
    </xf>
    <xf numFmtId="0" fontId="0" fillId="0" borderId="3" pivotButton="0" quotePrefix="0" xfId="0"/>
    <xf numFmtId="167" fontId="0" fillId="0" borderId="3" applyProtection="1" pivotButton="0" quotePrefix="0" xfId="0">
      <protection locked="1" hidden="1"/>
    </xf>
    <xf numFmtId="0" fontId="28" fillId="0" borderId="3" applyAlignment="1" applyProtection="1" pivotButton="0" quotePrefix="0" xfId="0">
      <alignment horizontal="center" vertical="center"/>
      <protection locked="1" hidden="1"/>
    </xf>
    <xf numFmtId="0" fontId="26" fillId="3" borderId="3" pivotButton="0" quotePrefix="0" xfId="0"/>
    <xf numFmtId="166" fontId="26" fillId="3" borderId="3" applyProtection="1" pivotButton="0" quotePrefix="0" xfId="0">
      <protection locked="1" hidden="1"/>
    </xf>
    <xf numFmtId="167" fontId="26" fillId="3" borderId="3" applyProtection="1" pivotButton="0" quotePrefix="0" xfId="0">
      <protection locked="1" hidden="1"/>
    </xf>
    <xf numFmtId="0" fontId="7" fillId="2" borderId="3" applyAlignment="1" pivotButton="0" quotePrefix="0" xfId="0">
      <alignment horizontal="left" vertical="center" indent="1"/>
    </xf>
    <xf numFmtId="0" fontId="0" fillId="2" borderId="3" pivotButton="0" quotePrefix="0" xfId="0"/>
    <xf numFmtId="166" fontId="18" fillId="2" borderId="3" applyAlignment="1" applyProtection="1" pivotButton="0" quotePrefix="0" xfId="0">
      <alignment horizontal="right" vertical="center" indent="1"/>
      <protection locked="1" hidden="1"/>
    </xf>
    <xf numFmtId="166" fontId="34" fillId="2" borderId="3" applyAlignment="1" applyProtection="1" pivotButton="0" quotePrefix="0" xfId="0">
      <alignment horizontal="right" vertical="center" indent="1"/>
      <protection locked="1" hidden="1"/>
    </xf>
    <xf numFmtId="0" fontId="14" fillId="2" borderId="3" applyAlignment="1" pivotButton="0" quotePrefix="0" xfId="0">
      <alignment horizontal="left" vertical="center" indent="1"/>
    </xf>
    <xf numFmtId="166" fontId="35" fillId="2" borderId="3" applyAlignment="1" applyProtection="1" pivotButton="0" quotePrefix="0" xfId="0">
      <alignment horizontal="right" vertical="center" indent="1"/>
      <protection locked="1" hidden="1"/>
    </xf>
    <xf numFmtId="0" fontId="6" fillId="2" borderId="3" applyAlignment="1" applyProtection="1" pivotButton="0" quotePrefix="0" xfId="0">
      <alignment horizontal="left" vertical="center" indent="1"/>
      <protection locked="1" hidden="1"/>
    </xf>
    <xf numFmtId="0" fontId="7" fillId="10" borderId="3" applyAlignment="1" applyProtection="1" pivotButton="0" quotePrefix="0" xfId="0">
      <alignment horizontal="left" vertical="center" indent="1"/>
      <protection locked="1" hidden="1"/>
    </xf>
    <xf numFmtId="0" fontId="13" fillId="3" borderId="0" applyAlignment="1" pivotButton="0" quotePrefix="0" xfId="0">
      <alignment horizontal="left" vertical="center" indent="1"/>
    </xf>
    <xf numFmtId="0" fontId="13" fillId="3" borderId="0" applyAlignment="1" pivotButton="0" quotePrefix="0" xfId="0">
      <alignment horizontal="center" vertical="center"/>
    </xf>
    <xf numFmtId="0" fontId="13" fillId="4" borderId="0" applyAlignment="1" pivotButton="0" quotePrefix="0" xfId="0">
      <alignment horizontal="center" vertical="center"/>
    </xf>
    <xf numFmtId="0" fontId="18" fillId="2" borderId="0" applyAlignment="1" pivotButton="0" quotePrefix="0" xfId="0">
      <alignment horizontal="center" vertical="center"/>
    </xf>
    <xf numFmtId="0" fontId="5" fillId="6" borderId="2" applyAlignment="1" pivotButton="0" quotePrefix="0" xfId="0">
      <alignment horizontal="center" vertical="center"/>
    </xf>
    <xf numFmtId="0" fontId="5" fillId="5" borderId="45" applyAlignment="1" pivotButton="0" quotePrefix="0" xfId="0">
      <alignment horizontal="center" vertical="center" wrapText="1"/>
    </xf>
    <xf numFmtId="0" fontId="13" fillId="3" borderId="3" applyAlignment="1" pivotButton="0" quotePrefix="0" xfId="0">
      <alignment horizontal="left" vertical="center" indent="1"/>
    </xf>
    <xf numFmtId="0" fontId="0" fillId="3" borderId="3" pivotButton="0" quotePrefix="0" xfId="0"/>
    <xf numFmtId="169" fontId="0" fillId="3" borderId="3" pivotButton="0" quotePrefix="0" xfId="0"/>
    <xf numFmtId="169" fontId="0" fillId="17" borderId="3" pivotButton="0" quotePrefix="0" xfId="0"/>
    <xf numFmtId="0" fontId="0" fillId="17" borderId="3" pivotButton="0" quotePrefix="0" xfId="0"/>
    <xf numFmtId="0" fontId="0" fillId="0" borderId="3" applyAlignment="1" pivotButton="0" quotePrefix="0" xfId="0">
      <alignment horizontal="center" vertical="center"/>
    </xf>
    <xf numFmtId="0" fontId="7" fillId="0" borderId="3" applyAlignment="1" pivotButton="0" quotePrefix="0" xfId="0">
      <alignment horizontal="left" vertical="center" indent="1"/>
    </xf>
    <xf numFmtId="169" fontId="0" fillId="8" borderId="3" applyProtection="1" pivotButton="0" quotePrefix="0" xfId="0">
      <protection locked="1" hidden="1"/>
    </xf>
    <xf numFmtId="169" fontId="0" fillId="0" borderId="3" applyProtection="1" pivotButton="0" quotePrefix="0" xfId="0">
      <protection locked="1" hidden="1"/>
    </xf>
    <xf numFmtId="169" fontId="0" fillId="17" borderId="3" applyProtection="1" pivotButton="0" quotePrefix="0" xfId="0">
      <protection locked="1" hidden="1"/>
    </xf>
    <xf numFmtId="166" fontId="0" fillId="17" borderId="3" applyProtection="1" pivotButton="0" quotePrefix="0" xfId="0">
      <protection locked="1" hidden="1"/>
    </xf>
    <xf numFmtId="167" fontId="0" fillId="17" borderId="3" applyProtection="1" pivotButton="0" quotePrefix="0" xfId="0">
      <protection locked="1" hidden="1"/>
    </xf>
    <xf numFmtId="0" fontId="26" fillId="12" borderId="3" pivotButton="0" quotePrefix="0" xfId="0"/>
    <xf numFmtId="169" fontId="26" fillId="12" borderId="3" applyProtection="1" pivotButton="0" quotePrefix="0" xfId="0">
      <protection locked="1" hidden="1"/>
    </xf>
    <xf numFmtId="169" fontId="26" fillId="17" borderId="3" applyProtection="1" pivotButton="0" quotePrefix="0" xfId="0">
      <protection locked="1" hidden="1"/>
    </xf>
    <xf numFmtId="166" fontId="26" fillId="17" borderId="3" applyProtection="1" pivotButton="0" quotePrefix="0" xfId="0">
      <protection locked="1" hidden="1"/>
    </xf>
    <xf numFmtId="167" fontId="26" fillId="17" borderId="3" applyProtection="1" pivotButton="0" quotePrefix="0" xfId="0">
      <protection locked="1" hidden="1"/>
    </xf>
    <xf numFmtId="169" fontId="0" fillId="8" borderId="3" pivotButton="0" quotePrefix="0" xfId="0"/>
    <xf numFmtId="169" fontId="0" fillId="0" borderId="3" pivotButton="0" quotePrefix="0" xfId="0"/>
    <xf numFmtId="0" fontId="13" fillId="13" borderId="3" applyAlignment="1" pivotButton="0" quotePrefix="0" xfId="0">
      <alignment horizontal="left" vertical="center" indent="1"/>
    </xf>
    <xf numFmtId="0" fontId="0" fillId="13" borderId="3" pivotButton="0" quotePrefix="0" xfId="0"/>
    <xf numFmtId="169" fontId="0" fillId="13" borderId="3" pivotButton="0" quotePrefix="0" xfId="0"/>
    <xf numFmtId="0" fontId="26" fillId="13" borderId="3" pivotButton="0" quotePrefix="0" xfId="0"/>
    <xf numFmtId="169" fontId="26" fillId="13" borderId="3" applyProtection="1" pivotButton="0" quotePrefix="0" xfId="0">
      <protection locked="1" hidden="1"/>
    </xf>
    <xf numFmtId="0" fontId="13" fillId="14" borderId="3" applyAlignment="1" pivotButton="0" quotePrefix="0" xfId="0">
      <alignment horizontal="left" vertical="center" indent="1"/>
    </xf>
    <xf numFmtId="0" fontId="0" fillId="14" borderId="3" pivotButton="0" quotePrefix="0" xfId="0"/>
    <xf numFmtId="169" fontId="0" fillId="14" borderId="3" pivotButton="0" quotePrefix="0" xfId="0"/>
    <xf numFmtId="0" fontId="26" fillId="14" borderId="3" pivotButton="0" quotePrefix="0" xfId="0"/>
    <xf numFmtId="169" fontId="26" fillId="14" borderId="3" applyProtection="1" pivotButton="0" quotePrefix="0" xfId="0">
      <protection locked="1" hidden="1"/>
    </xf>
    <xf numFmtId="0" fontId="13" fillId="4" borderId="3" applyAlignment="1" pivotButton="0" quotePrefix="0" xfId="0">
      <alignment horizontal="left" vertical="center" indent="1"/>
    </xf>
    <xf numFmtId="0" fontId="0" fillId="4" borderId="3" pivotButton="0" quotePrefix="0" xfId="0"/>
    <xf numFmtId="169" fontId="0" fillId="4" borderId="3" pivotButton="0" quotePrefix="0" xfId="0"/>
    <xf numFmtId="0" fontId="26" fillId="4" borderId="3" pivotButton="0" quotePrefix="0" xfId="0"/>
    <xf numFmtId="169" fontId="26" fillId="4" borderId="3" applyProtection="1" pivotButton="0" quotePrefix="0" xfId="0">
      <protection locked="1" hidden="1"/>
    </xf>
    <xf numFmtId="0" fontId="13" fillId="15" borderId="3" applyAlignment="1" pivotButton="0" quotePrefix="0" xfId="0">
      <alignment horizontal="left" vertical="center" indent="1"/>
    </xf>
    <xf numFmtId="0" fontId="0" fillId="15" borderId="3" pivotButton="0" quotePrefix="0" xfId="0"/>
    <xf numFmtId="169" fontId="0" fillId="15" borderId="3" pivotButton="0" quotePrefix="0" xfId="0"/>
    <xf numFmtId="0" fontId="26" fillId="15" borderId="3" pivotButton="0" quotePrefix="0" xfId="0"/>
    <xf numFmtId="169" fontId="26" fillId="15" borderId="3" applyProtection="1" pivotButton="0" quotePrefix="0" xfId="0">
      <protection locked="1" hidden="1"/>
    </xf>
    <xf numFmtId="166" fontId="26" fillId="12" borderId="3" applyProtection="1" pivotButton="0" quotePrefix="0" xfId="0">
      <protection locked="1" hidden="1"/>
    </xf>
    <xf numFmtId="166" fontId="26" fillId="14" borderId="3" applyProtection="1" pivotButton="0" quotePrefix="0" xfId="0">
      <protection locked="1" hidden="1"/>
    </xf>
    <xf numFmtId="0" fontId="26" fillId="6" borderId="3" pivotButton="0" quotePrefix="0" xfId="0"/>
    <xf numFmtId="166" fontId="26" fillId="6" borderId="3" applyProtection="1" pivotButton="0" quotePrefix="0" xfId="0">
      <protection locked="1" hidden="1"/>
    </xf>
    <xf numFmtId="167" fontId="26" fillId="13" borderId="3" applyProtection="1" pivotButton="0" quotePrefix="0" xfId="0">
      <protection locked="1" hidden="1"/>
    </xf>
    <xf numFmtId="0" fontId="26" fillId="16" borderId="3" pivotButton="0" quotePrefix="0" xfId="0"/>
    <xf numFmtId="167" fontId="26" fillId="16" borderId="3" applyProtection="1" pivotButton="0" quotePrefix="0" xfId="0">
      <protection locked="1" hidden="1"/>
    </xf>
    <xf numFmtId="0" fontId="21" fillId="10" borderId="12" applyAlignment="1" applyProtection="1" pivotButton="0" quotePrefix="0" xfId="0">
      <alignment horizontal="left" vertical="center" indent="1"/>
      <protection locked="1" hidden="1"/>
    </xf>
    <xf numFmtId="0" fontId="22" fillId="10" borderId="12" applyAlignment="1" applyProtection="1" pivotButton="0" quotePrefix="0" xfId="0">
      <alignment horizontal="left" vertical="center" indent="1"/>
      <protection locked="1" hidden="1"/>
    </xf>
    <xf numFmtId="0" fontId="0" fillId="0" borderId="3" applyProtection="1" pivotButton="0" quotePrefix="0" xfId="0">
      <protection locked="1" hidden="1"/>
    </xf>
    <xf numFmtId="0" fontId="36" fillId="0" borderId="3" applyProtection="1" pivotButton="0" quotePrefix="0" xfId="0">
      <protection locked="1" hidden="1"/>
    </xf>
    <xf numFmtId="168" fontId="4" fillId="7" borderId="4" applyAlignment="1" applyProtection="1" pivotButton="0" quotePrefix="0" xfId="0">
      <alignment horizontal="left" vertical="center" indent="1"/>
      <protection locked="0" hidden="0"/>
    </xf>
    <xf numFmtId="3" fontId="16" fillId="8" borderId="3" applyAlignment="1" applyProtection="1" pivotButton="0" quotePrefix="0" xfId="0">
      <alignment horizontal="left" vertical="center" indent="1"/>
      <protection locked="1" hidden="1"/>
    </xf>
    <xf numFmtId="0" fontId="19" fillId="10" borderId="46" applyAlignment="1" pivotButton="0" quotePrefix="0" xfId="0">
      <alignment horizontal="left" vertical="center" indent="1"/>
    </xf>
    <xf numFmtId="0" fontId="0" fillId="10" borderId="47" pivotButton="0" quotePrefix="0" xfId="0"/>
    <xf numFmtId="0" fontId="0" fillId="10" borderId="48" pivotButton="0" quotePrefix="0" xfId="0"/>
    <xf numFmtId="166" fontId="37" fillId="10" borderId="12" applyAlignment="1" applyProtection="1" pivotButton="0" quotePrefix="0" xfId="0">
      <alignment horizontal="left" vertical="center" indent="1"/>
      <protection locked="1" hidden="1"/>
    </xf>
    <xf numFmtId="166" fontId="31" fillId="10" borderId="12" applyAlignment="1" applyProtection="1" pivotButton="0" quotePrefix="0" xfId="0">
      <alignment horizontal="left" vertical="center" indent="1"/>
      <protection locked="1" hidden="1"/>
    </xf>
    <xf numFmtId="0" fontId="7" fillId="0" borderId="3" applyAlignment="1" pivotButton="0" quotePrefix="0" xfId="0">
      <alignment horizontal="center" vertical="center"/>
    </xf>
    <xf numFmtId="0" fontId="7" fillId="0" borderId="3" applyAlignment="1" applyProtection="1" pivotButton="0" quotePrefix="0" xfId="0">
      <alignment horizontal="center" vertical="center"/>
      <protection locked="1" hidden="1"/>
    </xf>
    <xf numFmtId="0" fontId="6" fillId="8" borderId="3" pivotButton="0" quotePrefix="0" xfId="0"/>
    <xf numFmtId="167" fontId="6" fillId="8" borderId="3" applyProtection="1" pivotButton="0" quotePrefix="0" xfId="0">
      <protection locked="1" hidden="1"/>
    </xf>
    <xf numFmtId="0" fontId="7" fillId="0" borderId="3" pivotButton="0" quotePrefix="0" xfId="0"/>
    <xf numFmtId="166" fontId="7" fillId="0" borderId="3" applyProtection="1" pivotButton="0" quotePrefix="0" xfId="0">
      <protection locked="1" hidden="1"/>
    </xf>
    <xf numFmtId="167" fontId="7" fillId="0" borderId="3" applyProtection="1" pivotButton="0" quotePrefix="0" xfId="0">
      <protection locked="1" hidden="1"/>
    </xf>
    <xf numFmtId="0" fontId="7" fillId="0" borderId="3" applyProtection="1" pivotButton="0" quotePrefix="0" xfId="0">
      <protection locked="1" hidden="1"/>
    </xf>
    <xf numFmtId="167" fontId="16" fillId="8" borderId="3" applyAlignment="1" applyProtection="1" pivotButton="0" quotePrefix="0" xfId="0">
      <alignment horizontal="left" vertical="center" indent="1"/>
      <protection locked="1" hidden="1"/>
    </xf>
    <xf numFmtId="166" fontId="16" fillId="8" borderId="3" applyAlignment="1" applyProtection="1" pivotButton="0" quotePrefix="0" xfId="0">
      <alignment horizontal="left" vertical="center" indent="1"/>
      <protection locked="1" hidden="1"/>
    </xf>
    <xf numFmtId="3" fontId="7" fillId="7" borderId="4" applyProtection="1" pivotButton="0" quotePrefix="0" xfId="0">
      <protection locked="0" hidden="0"/>
    </xf>
    <xf numFmtId="169" fontId="7" fillId="0" borderId="3" applyProtection="1" pivotButton="0" quotePrefix="0" xfId="0">
      <protection locked="1" hidden="1"/>
    </xf>
    <xf numFmtId="0" fontId="7" fillId="8" borderId="3" applyAlignment="1" applyProtection="1" pivotButton="0" quotePrefix="0" xfId="0">
      <alignment horizontal="center" vertical="center"/>
      <protection locked="1" hidden="1"/>
    </xf>
    <xf numFmtId="0" fontId="26" fillId="3" borderId="0" pivotButton="0" quotePrefix="0" xfId="0"/>
    <xf numFmtId="166" fontId="26" fillId="3" borderId="0" applyProtection="1" pivotButton="0" quotePrefix="0" xfId="0">
      <protection locked="1" hidden="1"/>
    </xf>
    <xf numFmtId="10" fontId="4" fillId="7" borderId="4" applyAlignment="1" applyProtection="1" pivotButton="0" quotePrefix="0" xfId="0">
      <alignment horizontal="left" vertical="center" indent="1"/>
      <protection locked="0" hidden="0"/>
    </xf>
    <xf numFmtId="3" fontId="7" fillId="8" borderId="3" applyProtection="1" pivotButton="0" quotePrefix="0" xfId="0">
      <protection locked="1" hidden="1"/>
    </xf>
    <xf numFmtId="10" fontId="7" fillId="7" borderId="4" applyProtection="1" pivotButton="0" quotePrefix="0" xfId="0">
      <protection locked="0" hidden="0"/>
    </xf>
    <xf numFmtId="168" fontId="7" fillId="8" borderId="3" applyProtection="1" pivotButton="0" quotePrefix="0" xfId="0">
      <protection locked="1" hidden="1"/>
    </xf>
    <xf numFmtId="0" fontId="14" fillId="0" borderId="0" pivotButton="0" quotePrefix="0" xfId="0"/>
    <xf numFmtId="0" fontId="4" fillId="7" borderId="4" applyAlignment="1" applyProtection="1" pivotButton="0" quotePrefix="0" xfId="0">
      <alignment horizontal="center" vertical="center"/>
      <protection locked="0" hidden="0"/>
    </xf>
    <xf numFmtId="0" fontId="0" fillId="0" borderId="51" applyProtection="1" pivotButton="0" quotePrefix="0" xfId="0">
      <protection locked="0" hidden="0"/>
    </xf>
    <xf numFmtId="0" fontId="10" fillId="0" borderId="3" applyAlignment="1" pivotButton="0" quotePrefix="0" xfId="0">
      <alignment horizontal="center" vertical="center"/>
    </xf>
    <xf numFmtId="168" fontId="10" fillId="0" borderId="3" applyProtection="1" pivotButton="0" quotePrefix="0" xfId="0">
      <protection locked="1" hidden="1"/>
    </xf>
    <xf numFmtId="169" fontId="10" fillId="0" borderId="3" applyProtection="1" pivotButton="0" quotePrefix="0" xfId="0">
      <protection locked="1" hidden="1"/>
    </xf>
    <xf numFmtId="3" fontId="23" fillId="10" borderId="12" applyAlignment="1" applyProtection="1" pivotButton="0" quotePrefix="0" xfId="0">
      <alignment horizontal="left" vertical="center" indent="1"/>
      <protection locked="1" hidden="1"/>
    </xf>
    <xf numFmtId="166" fontId="7" fillId="8" borderId="3" applyProtection="1" pivotButton="0" quotePrefix="0" xfId="0">
      <protection locked="1" hidden="1"/>
    </xf>
    <xf numFmtId="0" fontId="4" fillId="5" borderId="0" applyAlignment="1" pivotButton="0" quotePrefix="0" xfId="0">
      <alignment horizontal="left" vertical="center" indent="1"/>
    </xf>
    <xf numFmtId="0" fontId="11" fillId="0" borderId="0" applyAlignment="1" pivotButton="0" quotePrefix="0" xfId="0">
      <alignment horizontal="right" vertical="center"/>
    </xf>
    <xf numFmtId="0" fontId="12" fillId="0" borderId="0" pivotButton="0" quotePrefix="0" xfId="0"/>
    <xf numFmtId="0" fontId="6" fillId="0" borderId="3" pivotButton="0" quotePrefix="0" xfId="0"/>
    <xf numFmtId="164" fontId="7" fillId="7" borderId="4" applyProtection="1" pivotButton="0" quotePrefix="0" xfId="0">
      <protection locked="0" hidden="0"/>
    </xf>
    <xf numFmtId="164" fontId="8" fillId="0" borderId="3" applyProtection="1" pivotButton="0" quotePrefix="0" xfId="0">
      <protection locked="1" hidden="1"/>
    </xf>
    <xf numFmtId="0" fontId="10" fillId="0" borderId="3" applyProtection="1" pivotButton="0" quotePrefix="0" xfId="0">
      <protection locked="0" hidden="0"/>
    </xf>
    <xf numFmtId="0" fontId="10" fillId="0" borderId="3" pivotButton="0" quotePrefix="0" xfId="0"/>
    <xf numFmtId="165" fontId="0" fillId="0" borderId="0" pivotButton="0" quotePrefix="0" xfId="0"/>
    <xf numFmtId="0" fontId="0" fillId="0" borderId="0" applyProtection="1" pivotButton="0" quotePrefix="0" xfId="0">
      <protection locked="0" hidden="0"/>
    </xf>
    <xf numFmtId="0" fontId="0" fillId="2" borderId="1" applyProtection="1" pivotButton="0" quotePrefix="0" xfId="0">
      <protection locked="0" hidden="0"/>
    </xf>
    <xf numFmtId="0" fontId="5" fillId="6" borderId="0" applyAlignment="1" pivotButton="0" quotePrefix="0" xfId="0">
      <alignment horizontal="center" vertical="center" wrapText="1"/>
    </xf>
    <xf numFmtId="0" fontId="11" fillId="0" borderId="3" applyProtection="1" pivotButton="0" quotePrefix="0" xfId="0">
      <protection locked="1" hidden="1"/>
    </xf>
    <xf numFmtId="0" fontId="10" fillId="0" borderId="3" applyProtection="1" pivotButton="0" quotePrefix="0" xfId="0">
      <protection locked="1" hidden="1"/>
    </xf>
    <xf numFmtId="0" fontId="15" fillId="0" borderId="0" pivotButton="0" quotePrefix="0" xfId="0"/>
    <xf numFmtId="0" fontId="7" fillId="7" borderId="4" pivotButton="0" quotePrefix="0" xfId="0"/>
    <xf numFmtId="0" fontId="17" fillId="4" borderId="0" applyAlignment="1" pivotButton="0" quotePrefix="0" xfId="0">
      <alignment horizontal="left" vertical="center" indent="1"/>
    </xf>
    <xf numFmtId="0" fontId="34" fillId="0" borderId="0" applyAlignment="1" pivotButton="0" quotePrefix="0" xfId="0">
      <alignment horizontal="center" vertical="top"/>
    </xf>
    <xf numFmtId="0" fontId="7" fillId="0" borderId="0" applyAlignment="1" pivotButton="0" quotePrefix="0" xfId="0">
      <alignment horizontal="left" vertical="top" wrapText="1" indent="1"/>
    </xf>
  </cellXfs>
  <cellStyles count="1">
    <cellStyle name="Normal" xfId="0" builtinId="0" hidden="0"/>
  </cellStyles>
  <dxfs count="1845">
    <dxf>
      <numFmt numFmtId="1986" formatCode="#,##0 &quot;FCFA&quot;"/>
    </dxf>
    <dxf>
      <numFmt numFmtId="1987" formatCode="#,##0 &quot;FCFA&quot;"/>
    </dxf>
    <dxf>
      <numFmt numFmtId="1988" formatCode="#,##0 &quot;€&quot;"/>
    </dxf>
    <dxf>
      <numFmt numFmtId="1989" formatCode="&quot;$&quot; #,##0"/>
    </dxf>
    <dxf>
      <numFmt numFmtId="1990" formatCode="&quot;£&quot; #,##0"/>
    </dxf>
    <dxf>
      <numFmt numFmtId="1991" formatCode="&quot;C$&quot; #,##0"/>
    </dxf>
    <dxf>
      <numFmt numFmtId="1992" formatCode="#,##0 &quot;CHF&quot;"/>
    </dxf>
    <dxf>
      <numFmt numFmtId="1993" formatCode="#,##0 &quot;DH&quot;"/>
    </dxf>
    <dxf>
      <numFmt numFmtId="1994" formatCode="&quot;₦&quot; #,##0"/>
    </dxf>
    <dxf>
      <numFmt numFmtId="1995" formatCode="&quot;₵&quot; #,##0"/>
    </dxf>
    <dxf>
      <numFmt numFmtId="1996" formatCode="#,##0 &quot;FC&quot;"/>
    </dxf>
    <dxf>
      <numFmt numFmtId="1997" formatCode="&quot;R&quot; #,##0"/>
    </dxf>
    <dxf>
      <numFmt numFmtId="1998" formatCode="#,##0 &quot;AED&quot;"/>
    </dxf>
    <dxf>
      <numFmt numFmtId="1999" formatCode="#,##0 &quot;MRU&quot;"/>
    </dxf>
    <dxf>
      <numFmt numFmtId="2000" formatCode="#,##0 &quot;GNF&quot;"/>
    </dxf>
    <dxf>
      <numFmt numFmtId="2001" formatCode="#,##0 &quot;FCFA&quot;"/>
    </dxf>
    <dxf>
      <numFmt numFmtId="2002" formatCode="#,##0 &quot;FCFA&quot;"/>
    </dxf>
    <dxf>
      <numFmt numFmtId="2003" formatCode="#,##0 &quot;€&quot;"/>
    </dxf>
    <dxf>
      <numFmt numFmtId="2004" formatCode="&quot;$&quot; #,##0"/>
    </dxf>
    <dxf>
      <numFmt numFmtId="2005" formatCode="&quot;£&quot; #,##0"/>
    </dxf>
    <dxf>
      <numFmt numFmtId="2006" formatCode="&quot;C$&quot; #,##0"/>
    </dxf>
    <dxf>
      <numFmt numFmtId="2007" formatCode="#,##0 &quot;CHF&quot;"/>
    </dxf>
    <dxf>
      <numFmt numFmtId="2008" formatCode="#,##0 &quot;DH&quot;"/>
    </dxf>
    <dxf>
      <numFmt numFmtId="2009" formatCode="&quot;₦&quot; #,##0"/>
    </dxf>
    <dxf>
      <numFmt numFmtId="2010" formatCode="&quot;₵&quot; #,##0"/>
    </dxf>
    <dxf>
      <numFmt numFmtId="2011" formatCode="#,##0 &quot;FC&quot;"/>
    </dxf>
    <dxf>
      <numFmt numFmtId="2012" formatCode="&quot;R&quot; #,##0"/>
    </dxf>
    <dxf>
      <numFmt numFmtId="2013" formatCode="#,##0 &quot;AED&quot;"/>
    </dxf>
    <dxf>
      <numFmt numFmtId="2014" formatCode="#,##0 &quot;MRU&quot;"/>
    </dxf>
    <dxf>
      <numFmt numFmtId="2015" formatCode="#,##0 &quot;GNF&quot;"/>
    </dxf>
    <dxf>
      <numFmt numFmtId="2016" formatCode="#,##0 &quot;FCFA&quot;"/>
    </dxf>
    <dxf>
      <numFmt numFmtId="2017" formatCode="#,##0 &quot;FCFA&quot;"/>
    </dxf>
    <dxf>
      <numFmt numFmtId="2018" formatCode="#,##0 &quot;€&quot;"/>
    </dxf>
    <dxf>
      <numFmt numFmtId="2019" formatCode="&quot;$&quot; #,##0"/>
    </dxf>
    <dxf>
      <numFmt numFmtId="2020" formatCode="&quot;£&quot; #,##0"/>
    </dxf>
    <dxf>
      <numFmt numFmtId="2021" formatCode="&quot;C$&quot; #,##0"/>
    </dxf>
    <dxf>
      <numFmt numFmtId="2022" formatCode="#,##0 &quot;CHF&quot;"/>
    </dxf>
    <dxf>
      <numFmt numFmtId="2023" formatCode="#,##0 &quot;DH&quot;"/>
    </dxf>
    <dxf>
      <numFmt numFmtId="2024" formatCode="&quot;₦&quot; #,##0"/>
    </dxf>
    <dxf>
      <numFmt numFmtId="2025" formatCode="&quot;₵&quot; #,##0"/>
    </dxf>
    <dxf>
      <numFmt numFmtId="2026" formatCode="#,##0 &quot;FC&quot;"/>
    </dxf>
    <dxf>
      <numFmt numFmtId="2027" formatCode="&quot;R&quot; #,##0"/>
    </dxf>
    <dxf>
      <numFmt numFmtId="2028" formatCode="#,##0 &quot;AED&quot;"/>
    </dxf>
    <dxf>
      <numFmt numFmtId="2029" formatCode="#,##0 &quot;MRU&quot;"/>
    </dxf>
    <dxf>
      <numFmt numFmtId="2030" formatCode="#,##0 &quot;GNF&quot;"/>
    </dxf>
    <dxf>
      <numFmt numFmtId="201" formatCode="#,##0 &quot;FCFA&quot;"/>
    </dxf>
    <dxf>
      <numFmt numFmtId="202" formatCode="#,##0 &quot;FCFA&quot;"/>
    </dxf>
    <dxf>
      <numFmt numFmtId="203" formatCode="#,##0 &quot;€&quot;"/>
    </dxf>
    <dxf>
      <numFmt numFmtId="204" formatCode="&quot;$&quot; #,##0"/>
    </dxf>
    <dxf>
      <numFmt numFmtId="205" formatCode="&quot;£&quot; #,##0"/>
    </dxf>
    <dxf>
      <numFmt numFmtId="206" formatCode="&quot;C$&quot; #,##0"/>
    </dxf>
    <dxf>
      <numFmt numFmtId="207" formatCode="#,##0 &quot;CHF&quot;"/>
    </dxf>
    <dxf>
      <numFmt numFmtId="208" formatCode="#,##0 &quot;DH&quot;"/>
    </dxf>
    <dxf>
      <numFmt numFmtId="209" formatCode="&quot;₦&quot; #,##0"/>
    </dxf>
    <dxf>
      <numFmt numFmtId="210" formatCode="&quot;₵&quot; #,##0"/>
    </dxf>
    <dxf>
      <numFmt numFmtId="211" formatCode="#,##0 &quot;FC&quot;"/>
    </dxf>
    <dxf>
      <numFmt numFmtId="212" formatCode="&quot;R&quot; #,##0"/>
    </dxf>
    <dxf>
      <numFmt numFmtId="213" formatCode="#,##0 &quot;AED&quot;"/>
    </dxf>
    <dxf>
      <numFmt numFmtId="214" formatCode="#,##0 &quot;MRU&quot;"/>
    </dxf>
    <dxf>
      <numFmt numFmtId="215" formatCode="#,##0 &quot;GNF&quot;"/>
    </dxf>
    <dxf>
      <numFmt numFmtId="216" formatCode="#,##0 &quot;FCFA&quot;"/>
    </dxf>
    <dxf>
      <numFmt numFmtId="217" formatCode="#,##0 &quot;FCFA&quot;"/>
    </dxf>
    <dxf>
      <numFmt numFmtId="218" formatCode="#,##0 &quot;€&quot;"/>
    </dxf>
    <dxf>
      <numFmt numFmtId="219" formatCode="&quot;$&quot; #,##0"/>
    </dxf>
    <dxf>
      <numFmt numFmtId="220" formatCode="&quot;£&quot; #,##0"/>
    </dxf>
    <dxf>
      <numFmt numFmtId="221" formatCode="&quot;C$&quot; #,##0"/>
    </dxf>
    <dxf>
      <numFmt numFmtId="222" formatCode="#,##0 &quot;CHF&quot;"/>
    </dxf>
    <dxf>
      <numFmt numFmtId="223" formatCode="#,##0 &quot;DH&quot;"/>
    </dxf>
    <dxf>
      <numFmt numFmtId="224" formatCode="&quot;₦&quot; #,##0"/>
    </dxf>
    <dxf>
      <numFmt numFmtId="225" formatCode="&quot;₵&quot; #,##0"/>
    </dxf>
    <dxf>
      <numFmt numFmtId="226" formatCode="#,##0 &quot;FC&quot;"/>
    </dxf>
    <dxf>
      <numFmt numFmtId="227" formatCode="&quot;R&quot; #,##0"/>
    </dxf>
    <dxf>
      <numFmt numFmtId="228" formatCode="#,##0 &quot;AED&quot;"/>
    </dxf>
    <dxf>
      <numFmt numFmtId="229" formatCode="#,##0 &quot;MRU&quot;"/>
    </dxf>
    <dxf>
      <numFmt numFmtId="230" formatCode="#,##0 &quot;GNF&quot;"/>
    </dxf>
    <dxf>
      <fill>
        <patternFill>
          <bgColor rgb="00F2F2F2"/>
        </patternFill>
      </fill>
    </dxf>
    <dxf>
      <font>
        <b val="1"/>
        <color rgb="001E6B3C"/>
      </font>
    </dxf>
    <dxf>
      <font>
        <b val="1"/>
        <color rgb="008B1A1A"/>
      </font>
    </dxf>
    <dxf>
      <numFmt numFmtId="231" formatCode="#,##0 &quot;FCFA&quot;"/>
    </dxf>
    <dxf>
      <numFmt numFmtId="232" formatCode="#,##0 &quot;FCFA&quot;"/>
    </dxf>
    <dxf>
      <numFmt numFmtId="233" formatCode="#,##0 &quot;€&quot;"/>
    </dxf>
    <dxf>
      <numFmt numFmtId="234" formatCode="&quot;$&quot; #,##0"/>
    </dxf>
    <dxf>
      <numFmt numFmtId="235" formatCode="&quot;£&quot; #,##0"/>
    </dxf>
    <dxf>
      <numFmt numFmtId="236" formatCode="&quot;C$&quot; #,##0"/>
    </dxf>
    <dxf>
      <numFmt numFmtId="237" formatCode="#,##0 &quot;CHF&quot;"/>
    </dxf>
    <dxf>
      <numFmt numFmtId="238" formatCode="#,##0 &quot;DH&quot;"/>
    </dxf>
    <dxf>
      <numFmt numFmtId="239" formatCode="&quot;₦&quot; #,##0"/>
    </dxf>
    <dxf>
      <numFmt numFmtId="240" formatCode="&quot;₵&quot; #,##0"/>
    </dxf>
    <dxf>
      <numFmt numFmtId="241" formatCode="#,##0 &quot;FC&quot;"/>
    </dxf>
    <dxf>
      <numFmt numFmtId="242" formatCode="&quot;R&quot; #,##0"/>
    </dxf>
    <dxf>
      <numFmt numFmtId="243" formatCode="#,##0 &quot;AED&quot;"/>
    </dxf>
    <dxf>
      <numFmt numFmtId="244" formatCode="#,##0 &quot;MRU&quot;"/>
    </dxf>
    <dxf>
      <numFmt numFmtId="245" formatCode="#,##0 &quot;GNF&quot;"/>
    </dxf>
    <dxf>
      <numFmt numFmtId="366" formatCode="#,##0 &quot;FCFA&quot;"/>
    </dxf>
    <dxf>
      <numFmt numFmtId="367" formatCode="#,##0 &quot;FCFA&quot;"/>
    </dxf>
    <dxf>
      <numFmt numFmtId="368" formatCode="#,##0 &quot;€&quot;"/>
    </dxf>
    <dxf>
      <numFmt numFmtId="369" formatCode="&quot;$&quot; #,##0"/>
    </dxf>
    <dxf>
      <numFmt numFmtId="370" formatCode="&quot;£&quot; #,##0"/>
    </dxf>
    <dxf>
      <numFmt numFmtId="371" formatCode="&quot;C$&quot; #,##0"/>
    </dxf>
    <dxf>
      <numFmt numFmtId="372" formatCode="#,##0 &quot;CHF&quot;"/>
    </dxf>
    <dxf>
      <numFmt numFmtId="373" formatCode="#,##0 &quot;DH&quot;"/>
    </dxf>
    <dxf>
      <numFmt numFmtId="374" formatCode="&quot;₦&quot; #,##0"/>
    </dxf>
    <dxf>
      <numFmt numFmtId="375" formatCode="&quot;₵&quot; #,##0"/>
    </dxf>
    <dxf>
      <numFmt numFmtId="376" formatCode="#,##0 &quot;FC&quot;"/>
    </dxf>
    <dxf>
      <numFmt numFmtId="377" formatCode="&quot;R&quot; #,##0"/>
    </dxf>
    <dxf>
      <numFmt numFmtId="378" formatCode="#,##0 &quot;AED&quot;"/>
    </dxf>
    <dxf>
      <numFmt numFmtId="379" formatCode="#,##0 &quot;MRU&quot;"/>
    </dxf>
    <dxf>
      <numFmt numFmtId="380" formatCode="#,##0 &quot;GNF&quot;"/>
    </dxf>
    <dxf>
      <numFmt numFmtId="381" formatCode="#,##0 &quot;FCFA&quot;"/>
    </dxf>
    <dxf>
      <numFmt numFmtId="382" formatCode="#,##0 &quot;FCFA&quot;"/>
    </dxf>
    <dxf>
      <numFmt numFmtId="383" formatCode="#,##0 &quot;€&quot;"/>
    </dxf>
    <dxf>
      <numFmt numFmtId="384" formatCode="&quot;$&quot; #,##0"/>
    </dxf>
    <dxf>
      <numFmt numFmtId="385" formatCode="&quot;£&quot; #,##0"/>
    </dxf>
    <dxf>
      <numFmt numFmtId="386" formatCode="&quot;C$&quot; #,##0"/>
    </dxf>
    <dxf>
      <numFmt numFmtId="387" formatCode="#,##0 &quot;CHF&quot;"/>
    </dxf>
    <dxf>
      <numFmt numFmtId="388" formatCode="#,##0 &quot;DH&quot;"/>
    </dxf>
    <dxf>
      <numFmt numFmtId="389" formatCode="&quot;₦&quot; #,##0"/>
    </dxf>
    <dxf>
      <numFmt numFmtId="390" formatCode="&quot;₵&quot; #,##0"/>
    </dxf>
    <dxf>
      <numFmt numFmtId="391" formatCode="#,##0 &quot;FC&quot;"/>
    </dxf>
    <dxf>
      <numFmt numFmtId="392" formatCode="&quot;R&quot; #,##0"/>
    </dxf>
    <dxf>
      <numFmt numFmtId="393" formatCode="#,##0 &quot;AED&quot;"/>
    </dxf>
    <dxf>
      <numFmt numFmtId="394" formatCode="#,##0 &quot;MRU&quot;"/>
    </dxf>
    <dxf>
      <numFmt numFmtId="395" formatCode="#,##0 &quot;GNF&quot;"/>
    </dxf>
    <dxf>
      <numFmt numFmtId="396" formatCode="#,##0 &quot;FCFA&quot;"/>
    </dxf>
    <dxf>
      <numFmt numFmtId="397" formatCode="#,##0 &quot;FCFA&quot;"/>
    </dxf>
    <dxf>
      <numFmt numFmtId="398" formatCode="#,##0 &quot;€&quot;"/>
    </dxf>
    <dxf>
      <numFmt numFmtId="399" formatCode="&quot;$&quot; #,##0"/>
    </dxf>
    <dxf>
      <numFmt numFmtId="400" formatCode="&quot;£&quot; #,##0"/>
    </dxf>
    <dxf>
      <numFmt numFmtId="401" formatCode="&quot;C$&quot; #,##0"/>
    </dxf>
    <dxf>
      <numFmt numFmtId="402" formatCode="#,##0 &quot;CHF&quot;"/>
    </dxf>
    <dxf>
      <numFmt numFmtId="403" formatCode="#,##0 &quot;DH&quot;"/>
    </dxf>
    <dxf>
      <numFmt numFmtId="404" formatCode="&quot;₦&quot; #,##0"/>
    </dxf>
    <dxf>
      <numFmt numFmtId="405" formatCode="&quot;₵&quot; #,##0"/>
    </dxf>
    <dxf>
      <numFmt numFmtId="406" formatCode="#,##0 &quot;FC&quot;"/>
    </dxf>
    <dxf>
      <numFmt numFmtId="407" formatCode="&quot;R&quot; #,##0"/>
    </dxf>
    <dxf>
      <numFmt numFmtId="408" formatCode="#,##0 &quot;AED&quot;"/>
    </dxf>
    <dxf>
      <numFmt numFmtId="409" formatCode="#,##0 &quot;MRU&quot;"/>
    </dxf>
    <dxf>
      <numFmt numFmtId="410" formatCode="#,##0 &quot;GNF&quot;"/>
    </dxf>
    <dxf>
      <numFmt numFmtId="411" formatCode="#,##0 &quot;FCFA&quot;"/>
    </dxf>
    <dxf>
      <numFmt numFmtId="412" formatCode="#,##0 &quot;FCFA&quot;"/>
    </dxf>
    <dxf>
      <numFmt numFmtId="413" formatCode="#,##0 &quot;€&quot;"/>
    </dxf>
    <dxf>
      <numFmt numFmtId="414" formatCode="&quot;$&quot; #,##0"/>
    </dxf>
    <dxf>
      <numFmt numFmtId="415" formatCode="&quot;£&quot; #,##0"/>
    </dxf>
    <dxf>
      <numFmt numFmtId="416" formatCode="&quot;C$&quot; #,##0"/>
    </dxf>
    <dxf>
      <numFmt numFmtId="417" formatCode="#,##0 &quot;CHF&quot;"/>
    </dxf>
    <dxf>
      <numFmt numFmtId="418" formatCode="#,##0 &quot;DH&quot;"/>
    </dxf>
    <dxf>
      <numFmt numFmtId="419" formatCode="&quot;₦&quot; #,##0"/>
    </dxf>
    <dxf>
      <numFmt numFmtId="420" formatCode="&quot;₵&quot; #,##0"/>
    </dxf>
    <dxf>
      <numFmt numFmtId="421" formatCode="#,##0 &quot;FC&quot;"/>
    </dxf>
    <dxf>
      <numFmt numFmtId="422" formatCode="&quot;R&quot; #,##0"/>
    </dxf>
    <dxf>
      <numFmt numFmtId="423" formatCode="#,##0 &quot;AED&quot;"/>
    </dxf>
    <dxf>
      <numFmt numFmtId="424" formatCode="#,##0 &quot;MRU&quot;"/>
    </dxf>
    <dxf>
      <numFmt numFmtId="425" formatCode="#,##0 &quot;GNF&quot;"/>
    </dxf>
    <dxf>
      <numFmt numFmtId="426" formatCode="#,##0 &quot;FCFA&quot;;-#,##0 &quot;FCFA&quot;;"/>
    </dxf>
    <dxf>
      <numFmt numFmtId="427" formatCode="#,##0 &quot;FCFA&quot;;-#,##0 &quot;FCFA&quot;;"/>
    </dxf>
    <dxf>
      <numFmt numFmtId="428" formatCode="#,##0 &quot;€&quot;;-#,##0 &quot;€&quot;;"/>
    </dxf>
    <dxf>
      <numFmt numFmtId="429" formatCode="&quot;$&quot; #,##0;-&quot;$&quot; #,##0;"/>
    </dxf>
    <dxf>
      <numFmt numFmtId="430" formatCode="&quot;£&quot; #,##0;-&quot;£&quot; #,##0;"/>
    </dxf>
    <dxf>
      <numFmt numFmtId="431" formatCode="&quot;C$&quot; #,##0;-&quot;C$&quot; #,##0;"/>
    </dxf>
    <dxf>
      <numFmt numFmtId="432" formatCode="#,##0 &quot;CHF&quot;;-#,##0 &quot;CHF&quot;;"/>
    </dxf>
    <dxf>
      <numFmt numFmtId="433" formatCode="#,##0 &quot;DH&quot;;-#,##0 &quot;DH&quot;;"/>
    </dxf>
    <dxf>
      <numFmt numFmtId="434" formatCode="&quot;₦&quot; #,##0;-&quot;₦&quot; #,##0;"/>
    </dxf>
    <dxf>
      <numFmt numFmtId="435" formatCode="&quot;₵&quot; #,##0;-&quot;₵&quot; #,##0;"/>
    </dxf>
    <dxf>
      <numFmt numFmtId="436" formatCode="#,##0 &quot;FC&quot;;-#,##0 &quot;FC&quot;;"/>
    </dxf>
    <dxf>
      <numFmt numFmtId="437" formatCode="&quot;R&quot; #,##0;-&quot;R&quot; #,##0;"/>
    </dxf>
    <dxf>
      <numFmt numFmtId="438" formatCode="#,##0 &quot;AED&quot;;-#,##0 &quot;AED&quot;;"/>
    </dxf>
    <dxf>
      <numFmt numFmtId="439" formatCode="#,##0 &quot;MRU&quot;;-#,##0 &quot;MRU&quot;;"/>
    </dxf>
    <dxf>
      <numFmt numFmtId="440" formatCode="#,##0 &quot;GNF&quot;;-#,##0 &quot;GNF&quot;;"/>
    </dxf>
    <dxf>
      <numFmt numFmtId="246" formatCode="#,##0 &quot;FCFA&quot;"/>
    </dxf>
    <dxf>
      <numFmt numFmtId="247" formatCode="#,##0 &quot;FCFA&quot;"/>
    </dxf>
    <dxf>
      <numFmt numFmtId="248" formatCode="#,##0 &quot;€&quot;"/>
    </dxf>
    <dxf>
      <numFmt numFmtId="249" formatCode="&quot;$&quot; #,##0"/>
    </dxf>
    <dxf>
      <numFmt numFmtId="250" formatCode="&quot;£&quot; #,##0"/>
    </dxf>
    <dxf>
      <numFmt numFmtId="251" formatCode="&quot;C$&quot; #,##0"/>
    </dxf>
    <dxf>
      <numFmt numFmtId="252" formatCode="#,##0 &quot;CHF&quot;"/>
    </dxf>
    <dxf>
      <numFmt numFmtId="253" formatCode="#,##0 &quot;DH&quot;"/>
    </dxf>
    <dxf>
      <numFmt numFmtId="254" formatCode="&quot;₦&quot; #,##0"/>
    </dxf>
    <dxf>
      <numFmt numFmtId="255" formatCode="&quot;₵&quot; #,##0"/>
    </dxf>
    <dxf>
      <numFmt numFmtId="256" formatCode="#,##0 &quot;FC&quot;"/>
    </dxf>
    <dxf>
      <numFmt numFmtId="257" formatCode="&quot;R&quot; #,##0"/>
    </dxf>
    <dxf>
      <numFmt numFmtId="258" formatCode="#,##0 &quot;AED&quot;"/>
    </dxf>
    <dxf>
      <numFmt numFmtId="259" formatCode="#,##0 &quot;MRU&quot;"/>
    </dxf>
    <dxf>
      <numFmt numFmtId="260" formatCode="#,##0 &quot;GNF&quot;"/>
    </dxf>
    <dxf>
      <numFmt numFmtId="261" formatCode="#,##0 &quot;FCFA&quot;"/>
    </dxf>
    <dxf>
      <numFmt numFmtId="262" formatCode="#,##0 &quot;FCFA&quot;"/>
    </dxf>
    <dxf>
      <numFmt numFmtId="263" formatCode="#,##0 &quot;€&quot;"/>
    </dxf>
    <dxf>
      <numFmt numFmtId="264" formatCode="&quot;$&quot; #,##0"/>
    </dxf>
    <dxf>
      <numFmt numFmtId="265" formatCode="&quot;£&quot; #,##0"/>
    </dxf>
    <dxf>
      <numFmt numFmtId="266" formatCode="&quot;C$&quot; #,##0"/>
    </dxf>
    <dxf>
      <numFmt numFmtId="267" formatCode="#,##0 &quot;CHF&quot;"/>
    </dxf>
    <dxf>
      <numFmt numFmtId="268" formatCode="#,##0 &quot;DH&quot;"/>
    </dxf>
    <dxf>
      <numFmt numFmtId="269" formatCode="&quot;₦&quot; #,##0"/>
    </dxf>
    <dxf>
      <numFmt numFmtId="270" formatCode="&quot;₵&quot; #,##0"/>
    </dxf>
    <dxf>
      <numFmt numFmtId="271" formatCode="#,##0 &quot;FC&quot;"/>
    </dxf>
    <dxf>
      <numFmt numFmtId="272" formatCode="&quot;R&quot; #,##0"/>
    </dxf>
    <dxf>
      <numFmt numFmtId="273" formatCode="#,##0 &quot;AED&quot;"/>
    </dxf>
    <dxf>
      <numFmt numFmtId="274" formatCode="#,##0 &quot;MRU&quot;"/>
    </dxf>
    <dxf>
      <numFmt numFmtId="275" formatCode="#,##0 &quot;GNF&quot;"/>
    </dxf>
    <dxf>
      <numFmt numFmtId="276" formatCode="#,##0 &quot;FCFA&quot;"/>
    </dxf>
    <dxf>
      <numFmt numFmtId="277" formatCode="#,##0 &quot;FCFA&quot;"/>
    </dxf>
    <dxf>
      <numFmt numFmtId="278" formatCode="#,##0 &quot;€&quot;"/>
    </dxf>
    <dxf>
      <numFmt numFmtId="279" formatCode="&quot;$&quot; #,##0"/>
    </dxf>
    <dxf>
      <numFmt numFmtId="280" formatCode="&quot;£&quot; #,##0"/>
    </dxf>
    <dxf>
      <numFmt numFmtId="281" formatCode="&quot;C$&quot; #,##0"/>
    </dxf>
    <dxf>
      <numFmt numFmtId="282" formatCode="#,##0 &quot;CHF&quot;"/>
    </dxf>
    <dxf>
      <numFmt numFmtId="283" formatCode="#,##0 &quot;DH&quot;"/>
    </dxf>
    <dxf>
      <numFmt numFmtId="284" formatCode="&quot;₦&quot; #,##0"/>
    </dxf>
    <dxf>
      <numFmt numFmtId="285" formatCode="&quot;₵&quot; #,##0"/>
    </dxf>
    <dxf>
      <numFmt numFmtId="286" formatCode="#,##0 &quot;FC&quot;"/>
    </dxf>
    <dxf>
      <numFmt numFmtId="287" formatCode="&quot;R&quot; #,##0"/>
    </dxf>
    <dxf>
      <numFmt numFmtId="288" formatCode="#,##0 &quot;AED&quot;"/>
    </dxf>
    <dxf>
      <numFmt numFmtId="289" formatCode="#,##0 &quot;MRU&quot;"/>
    </dxf>
    <dxf>
      <numFmt numFmtId="290" formatCode="#,##0 &quot;GNF&quot;"/>
    </dxf>
    <dxf>
      <numFmt numFmtId="291" formatCode="#,##0 &quot;FCFA&quot;"/>
    </dxf>
    <dxf>
      <numFmt numFmtId="292" formatCode="#,##0 &quot;FCFA&quot;"/>
    </dxf>
    <dxf>
      <numFmt numFmtId="293" formatCode="#,##0 &quot;€&quot;"/>
    </dxf>
    <dxf>
      <numFmt numFmtId="294" formatCode="&quot;$&quot; #,##0"/>
    </dxf>
    <dxf>
      <numFmt numFmtId="295" formatCode="&quot;£&quot; #,##0"/>
    </dxf>
    <dxf>
      <numFmt numFmtId="296" formatCode="&quot;C$&quot; #,##0"/>
    </dxf>
    <dxf>
      <numFmt numFmtId="297" formatCode="#,##0 &quot;CHF&quot;"/>
    </dxf>
    <dxf>
      <numFmt numFmtId="298" formatCode="#,##0 &quot;DH&quot;"/>
    </dxf>
    <dxf>
      <numFmt numFmtId="299" formatCode="&quot;₦&quot; #,##0"/>
    </dxf>
    <dxf>
      <numFmt numFmtId="300" formatCode="&quot;₵&quot; #,##0"/>
    </dxf>
    <dxf>
      <numFmt numFmtId="301" formatCode="#,##0 &quot;FC&quot;"/>
    </dxf>
    <dxf>
      <numFmt numFmtId="302" formatCode="&quot;R&quot; #,##0"/>
    </dxf>
    <dxf>
      <numFmt numFmtId="303" formatCode="#,##0 &quot;AED&quot;"/>
    </dxf>
    <dxf>
      <numFmt numFmtId="304" formatCode="#,##0 &quot;MRU&quot;"/>
    </dxf>
    <dxf>
      <numFmt numFmtId="305" formatCode="#,##0 &quot;GNF&quot;"/>
    </dxf>
    <dxf>
      <numFmt numFmtId="306" formatCode="#,##0 &quot;FCFA&quot;"/>
    </dxf>
    <dxf>
      <numFmt numFmtId="307" formatCode="#,##0 &quot;FCFA&quot;"/>
    </dxf>
    <dxf>
      <numFmt numFmtId="308" formatCode="#,##0 &quot;€&quot;"/>
    </dxf>
    <dxf>
      <numFmt numFmtId="309" formatCode="&quot;$&quot; #,##0"/>
    </dxf>
    <dxf>
      <numFmt numFmtId="310" formatCode="&quot;£&quot; #,##0"/>
    </dxf>
    <dxf>
      <numFmt numFmtId="311" formatCode="&quot;C$&quot; #,##0"/>
    </dxf>
    <dxf>
      <numFmt numFmtId="312" formatCode="#,##0 &quot;CHF&quot;"/>
    </dxf>
    <dxf>
      <numFmt numFmtId="313" formatCode="#,##0 &quot;DH&quot;"/>
    </dxf>
    <dxf>
      <numFmt numFmtId="314" formatCode="&quot;₦&quot; #,##0"/>
    </dxf>
    <dxf>
      <numFmt numFmtId="315" formatCode="&quot;₵&quot; #,##0"/>
    </dxf>
    <dxf>
      <numFmt numFmtId="316" formatCode="#,##0 &quot;FC&quot;"/>
    </dxf>
    <dxf>
      <numFmt numFmtId="317" formatCode="&quot;R&quot; #,##0"/>
    </dxf>
    <dxf>
      <numFmt numFmtId="318" formatCode="#,##0 &quot;AED&quot;"/>
    </dxf>
    <dxf>
      <numFmt numFmtId="319" formatCode="#,##0 &quot;MRU&quot;"/>
    </dxf>
    <dxf>
      <numFmt numFmtId="320" formatCode="#,##0 &quot;GNF&quot;"/>
    </dxf>
    <dxf>
      <fill>
        <patternFill>
          <bgColor rgb="00D4EDDA"/>
        </patternFill>
      </fill>
    </dxf>
    <dxf>
      <fill>
        <patternFill>
          <bgColor rgb="00FBEBD8"/>
        </patternFill>
      </fill>
    </dxf>
    <dxf>
      <fill>
        <patternFill>
          <bgColor rgb="00FFF7D6"/>
        </patternFill>
      </fill>
    </dxf>
    <dxf>
      <font>
        <strike val="1"/>
        <color rgb="007A8794"/>
      </font>
    </dxf>
    <dxf>
      <numFmt numFmtId="321" formatCode="#,##0 &quot;FCFA&quot;;-#,##0 &quot;FCFA&quot;;"/>
    </dxf>
    <dxf>
      <numFmt numFmtId="322" formatCode="#,##0 &quot;FCFA&quot;;-#,##0 &quot;FCFA&quot;;"/>
    </dxf>
    <dxf>
      <numFmt numFmtId="323" formatCode="#,##0 &quot;€&quot;;-#,##0 &quot;€&quot;;"/>
    </dxf>
    <dxf>
      <numFmt numFmtId="324" formatCode="&quot;$&quot; #,##0;-&quot;$&quot; #,##0;"/>
    </dxf>
    <dxf>
      <numFmt numFmtId="325" formatCode="&quot;£&quot; #,##0;-&quot;£&quot; #,##0;"/>
    </dxf>
    <dxf>
      <numFmt numFmtId="326" formatCode="&quot;C$&quot; #,##0;-&quot;C$&quot; #,##0;"/>
    </dxf>
    <dxf>
      <numFmt numFmtId="327" formatCode="#,##0 &quot;CHF&quot;;-#,##0 &quot;CHF&quot;;"/>
    </dxf>
    <dxf>
      <numFmt numFmtId="328" formatCode="#,##0 &quot;DH&quot;;-#,##0 &quot;DH&quot;;"/>
    </dxf>
    <dxf>
      <numFmt numFmtId="329" formatCode="&quot;₦&quot; #,##0;-&quot;₦&quot; #,##0;"/>
    </dxf>
    <dxf>
      <numFmt numFmtId="330" formatCode="&quot;₵&quot; #,##0;-&quot;₵&quot; #,##0;"/>
    </dxf>
    <dxf>
      <numFmt numFmtId="331" formatCode="#,##0 &quot;FC&quot;;-#,##0 &quot;FC&quot;;"/>
    </dxf>
    <dxf>
      <numFmt numFmtId="332" formatCode="&quot;R&quot; #,##0;-&quot;R&quot; #,##0;"/>
    </dxf>
    <dxf>
      <numFmt numFmtId="333" formatCode="#,##0 &quot;AED&quot;;-#,##0 &quot;AED&quot;;"/>
    </dxf>
    <dxf>
      <numFmt numFmtId="334" formatCode="#,##0 &quot;MRU&quot;;-#,##0 &quot;MRU&quot;;"/>
    </dxf>
    <dxf>
      <numFmt numFmtId="335" formatCode="#,##0 &quot;GNF&quot;;-#,##0 &quot;GNF&quot;;"/>
    </dxf>
    <dxf>
      <fill>
        <patternFill>
          <bgColor rgb="00F8D7DA"/>
        </patternFill>
      </fill>
    </dxf>
    <dxf>
      <numFmt numFmtId="336" formatCode="#,##0 &quot;FCFA&quot;;-#,##0 &quot;FCFA&quot;;"/>
    </dxf>
    <dxf>
      <numFmt numFmtId="337" formatCode="#,##0 &quot;FCFA&quot;;-#,##0 &quot;FCFA&quot;;"/>
    </dxf>
    <dxf>
      <numFmt numFmtId="338" formatCode="#,##0 &quot;€&quot;;-#,##0 &quot;€&quot;;"/>
    </dxf>
    <dxf>
      <numFmt numFmtId="339" formatCode="&quot;$&quot; #,##0;-&quot;$&quot; #,##0;"/>
    </dxf>
    <dxf>
      <numFmt numFmtId="340" formatCode="&quot;£&quot; #,##0;-&quot;£&quot; #,##0;"/>
    </dxf>
    <dxf>
      <numFmt numFmtId="341" formatCode="&quot;C$&quot; #,##0;-&quot;C$&quot; #,##0;"/>
    </dxf>
    <dxf>
      <numFmt numFmtId="342" formatCode="#,##0 &quot;CHF&quot;;-#,##0 &quot;CHF&quot;;"/>
    </dxf>
    <dxf>
      <numFmt numFmtId="343" formatCode="#,##0 &quot;DH&quot;;-#,##0 &quot;DH&quot;;"/>
    </dxf>
    <dxf>
      <numFmt numFmtId="344" formatCode="&quot;₦&quot; #,##0;-&quot;₦&quot; #,##0;"/>
    </dxf>
    <dxf>
      <numFmt numFmtId="345" formatCode="&quot;₵&quot; #,##0;-&quot;₵&quot; #,##0;"/>
    </dxf>
    <dxf>
      <numFmt numFmtId="346" formatCode="#,##0 &quot;FC&quot;;-#,##0 &quot;FC&quot;;"/>
    </dxf>
    <dxf>
      <numFmt numFmtId="347" formatCode="&quot;R&quot; #,##0;-&quot;R&quot; #,##0;"/>
    </dxf>
    <dxf>
      <numFmt numFmtId="348" formatCode="#,##0 &quot;AED&quot;;-#,##0 &quot;AED&quot;;"/>
    </dxf>
    <dxf>
      <numFmt numFmtId="349" formatCode="#,##0 &quot;MRU&quot;;-#,##0 &quot;MRU&quot;;"/>
    </dxf>
    <dxf>
      <numFmt numFmtId="350" formatCode="#,##0 &quot;GNF&quot;;-#,##0 &quot;GNF&quot;;"/>
    </dxf>
    <dxf>
      <numFmt numFmtId="351" formatCode="#,##0 &quot;FCFA&quot;;-#,##0 &quot;FCFA&quot;;"/>
    </dxf>
    <dxf>
      <numFmt numFmtId="352" formatCode="#,##0 &quot;FCFA&quot;;-#,##0 &quot;FCFA&quot;;"/>
    </dxf>
    <dxf>
      <numFmt numFmtId="353" formatCode="#,##0 &quot;€&quot;;-#,##0 &quot;€&quot;;"/>
    </dxf>
    <dxf>
      <numFmt numFmtId="354" formatCode="&quot;$&quot; #,##0;-&quot;$&quot; #,##0;"/>
    </dxf>
    <dxf>
      <numFmt numFmtId="355" formatCode="&quot;£&quot; #,##0;-&quot;£&quot; #,##0;"/>
    </dxf>
    <dxf>
      <numFmt numFmtId="356" formatCode="&quot;C$&quot; #,##0;-&quot;C$&quot; #,##0;"/>
    </dxf>
    <dxf>
      <numFmt numFmtId="357" formatCode="#,##0 &quot;CHF&quot;;-#,##0 &quot;CHF&quot;;"/>
    </dxf>
    <dxf>
      <numFmt numFmtId="358" formatCode="#,##0 &quot;DH&quot;;-#,##0 &quot;DH&quot;;"/>
    </dxf>
    <dxf>
      <numFmt numFmtId="359" formatCode="&quot;₦&quot; #,##0;-&quot;₦&quot; #,##0;"/>
    </dxf>
    <dxf>
      <numFmt numFmtId="360" formatCode="&quot;₵&quot; #,##0;-&quot;₵&quot; #,##0;"/>
    </dxf>
    <dxf>
      <numFmt numFmtId="361" formatCode="#,##0 &quot;FC&quot;;-#,##0 &quot;FC&quot;;"/>
    </dxf>
    <dxf>
      <numFmt numFmtId="362" formatCode="&quot;R&quot; #,##0;-&quot;R&quot; #,##0;"/>
    </dxf>
    <dxf>
      <numFmt numFmtId="363" formatCode="#,##0 &quot;AED&quot;;-#,##0 &quot;AED&quot;;"/>
    </dxf>
    <dxf>
      <numFmt numFmtId="364" formatCode="#,##0 &quot;MRU&quot;;-#,##0 &quot;MRU&quot;;"/>
    </dxf>
    <dxf>
      <numFmt numFmtId="365" formatCode="#,##0 &quot;GNF&quot;;-#,##0 &quot;GNF&quot;;"/>
    </dxf>
    <dxf>
      <numFmt numFmtId="900" formatCode=";;;"/>
    </dxf>
    <dxf>
      <numFmt numFmtId="486" formatCode="#,##0 &quot;FCFA&quot;"/>
    </dxf>
    <dxf>
      <numFmt numFmtId="487" formatCode="#,##0 &quot;FCFA&quot;"/>
    </dxf>
    <dxf>
      <numFmt numFmtId="488" formatCode="#,##0 &quot;€&quot;"/>
    </dxf>
    <dxf>
      <numFmt numFmtId="489" formatCode="&quot;$&quot; #,##0"/>
    </dxf>
    <dxf>
      <numFmt numFmtId="490" formatCode="&quot;£&quot; #,##0"/>
    </dxf>
    <dxf>
      <numFmt numFmtId="491" formatCode="&quot;C$&quot; #,##0"/>
    </dxf>
    <dxf>
      <numFmt numFmtId="492" formatCode="#,##0 &quot;CHF&quot;"/>
    </dxf>
    <dxf>
      <numFmt numFmtId="493" formatCode="#,##0 &quot;DH&quot;"/>
    </dxf>
    <dxf>
      <numFmt numFmtId="494" formatCode="&quot;₦&quot; #,##0"/>
    </dxf>
    <dxf>
      <numFmt numFmtId="495" formatCode="&quot;₵&quot; #,##0"/>
    </dxf>
    <dxf>
      <numFmt numFmtId="496" formatCode="#,##0 &quot;FC&quot;"/>
    </dxf>
    <dxf>
      <numFmt numFmtId="497" formatCode="&quot;R&quot; #,##0"/>
    </dxf>
    <dxf>
      <numFmt numFmtId="498" formatCode="#,##0 &quot;AED&quot;"/>
    </dxf>
    <dxf>
      <numFmt numFmtId="499" formatCode="#,##0 &quot;MRU&quot;"/>
    </dxf>
    <dxf>
      <numFmt numFmtId="500" formatCode="#,##0 &quot;GNF&quot;"/>
    </dxf>
    <dxf>
      <numFmt numFmtId="501" formatCode="#,##0 &quot;FCFA&quot;"/>
    </dxf>
    <dxf>
      <numFmt numFmtId="502" formatCode="#,##0 &quot;FCFA&quot;"/>
    </dxf>
    <dxf>
      <numFmt numFmtId="503" formatCode="#,##0 &quot;€&quot;"/>
    </dxf>
    <dxf>
      <numFmt numFmtId="504" formatCode="&quot;$&quot; #,##0"/>
    </dxf>
    <dxf>
      <numFmt numFmtId="505" formatCode="&quot;£&quot; #,##0"/>
    </dxf>
    <dxf>
      <numFmt numFmtId="506" formatCode="&quot;C$&quot; #,##0"/>
    </dxf>
    <dxf>
      <numFmt numFmtId="507" formatCode="#,##0 &quot;CHF&quot;"/>
    </dxf>
    <dxf>
      <numFmt numFmtId="508" formatCode="#,##0 &quot;DH&quot;"/>
    </dxf>
    <dxf>
      <numFmt numFmtId="509" formatCode="&quot;₦&quot; #,##0"/>
    </dxf>
    <dxf>
      <numFmt numFmtId="510" formatCode="&quot;₵&quot; #,##0"/>
    </dxf>
    <dxf>
      <numFmt numFmtId="511" formatCode="#,##0 &quot;FC&quot;"/>
    </dxf>
    <dxf>
      <numFmt numFmtId="512" formatCode="&quot;R&quot; #,##0"/>
    </dxf>
    <dxf>
      <numFmt numFmtId="513" formatCode="#,##0 &quot;AED&quot;"/>
    </dxf>
    <dxf>
      <numFmt numFmtId="514" formatCode="#,##0 &quot;MRU&quot;"/>
    </dxf>
    <dxf>
      <numFmt numFmtId="515" formatCode="#,##0 &quot;GNF&quot;"/>
    </dxf>
    <dxf>
      <numFmt numFmtId="516" formatCode="#,##0 &quot;FCFA&quot;"/>
    </dxf>
    <dxf>
      <numFmt numFmtId="517" formatCode="#,##0 &quot;FCFA&quot;"/>
    </dxf>
    <dxf>
      <numFmt numFmtId="518" formatCode="#,##0 &quot;€&quot;"/>
    </dxf>
    <dxf>
      <numFmt numFmtId="519" formatCode="&quot;$&quot; #,##0"/>
    </dxf>
    <dxf>
      <numFmt numFmtId="520" formatCode="&quot;£&quot; #,##0"/>
    </dxf>
    <dxf>
      <numFmt numFmtId="521" formatCode="&quot;C$&quot; #,##0"/>
    </dxf>
    <dxf>
      <numFmt numFmtId="522" formatCode="#,##0 &quot;CHF&quot;"/>
    </dxf>
    <dxf>
      <numFmt numFmtId="523" formatCode="#,##0 &quot;DH&quot;"/>
    </dxf>
    <dxf>
      <numFmt numFmtId="524" formatCode="&quot;₦&quot; #,##0"/>
    </dxf>
    <dxf>
      <numFmt numFmtId="525" formatCode="&quot;₵&quot; #,##0"/>
    </dxf>
    <dxf>
      <numFmt numFmtId="526" formatCode="#,##0 &quot;FC&quot;"/>
    </dxf>
    <dxf>
      <numFmt numFmtId="527" formatCode="&quot;R&quot; #,##0"/>
    </dxf>
    <dxf>
      <numFmt numFmtId="528" formatCode="#,##0 &quot;AED&quot;"/>
    </dxf>
    <dxf>
      <numFmt numFmtId="529" formatCode="#,##0 &quot;MRU&quot;"/>
    </dxf>
    <dxf>
      <numFmt numFmtId="530" formatCode="#,##0 &quot;GNF&quot;"/>
    </dxf>
    <dxf>
      <numFmt numFmtId="531" formatCode="#,##0 &quot;FCFA&quot;"/>
    </dxf>
    <dxf>
      <numFmt numFmtId="532" formatCode="#,##0 &quot;FCFA&quot;"/>
    </dxf>
    <dxf>
      <numFmt numFmtId="533" formatCode="#,##0 &quot;€&quot;"/>
    </dxf>
    <dxf>
      <numFmt numFmtId="534" formatCode="&quot;$&quot; #,##0"/>
    </dxf>
    <dxf>
      <numFmt numFmtId="535" formatCode="&quot;£&quot; #,##0"/>
    </dxf>
    <dxf>
      <numFmt numFmtId="536" formatCode="&quot;C$&quot; #,##0"/>
    </dxf>
    <dxf>
      <numFmt numFmtId="537" formatCode="#,##0 &quot;CHF&quot;"/>
    </dxf>
    <dxf>
      <numFmt numFmtId="538" formatCode="#,##0 &quot;DH&quot;"/>
    </dxf>
    <dxf>
      <numFmt numFmtId="539" formatCode="&quot;₦&quot; #,##0"/>
    </dxf>
    <dxf>
      <numFmt numFmtId="540" formatCode="&quot;₵&quot; #,##0"/>
    </dxf>
    <dxf>
      <numFmt numFmtId="541" formatCode="#,##0 &quot;FC&quot;"/>
    </dxf>
    <dxf>
      <numFmt numFmtId="542" formatCode="&quot;R&quot; #,##0"/>
    </dxf>
    <dxf>
      <numFmt numFmtId="543" formatCode="#,##0 &quot;AED&quot;"/>
    </dxf>
    <dxf>
      <numFmt numFmtId="544" formatCode="#,##0 &quot;MRU&quot;"/>
    </dxf>
    <dxf>
      <numFmt numFmtId="545" formatCode="#,##0 &quot;GNF&quot;"/>
    </dxf>
    <dxf>
      <numFmt numFmtId="546" formatCode="#,##0 &quot;FCFA&quot;"/>
    </dxf>
    <dxf>
      <numFmt numFmtId="547" formatCode="#,##0 &quot;FCFA&quot;"/>
    </dxf>
    <dxf>
      <numFmt numFmtId="548" formatCode="#,##0 &quot;€&quot;"/>
    </dxf>
    <dxf>
      <numFmt numFmtId="549" formatCode="&quot;$&quot; #,##0"/>
    </dxf>
    <dxf>
      <numFmt numFmtId="550" formatCode="&quot;£&quot; #,##0"/>
    </dxf>
    <dxf>
      <numFmt numFmtId="551" formatCode="&quot;C$&quot; #,##0"/>
    </dxf>
    <dxf>
      <numFmt numFmtId="552" formatCode="#,##0 &quot;CHF&quot;"/>
    </dxf>
    <dxf>
      <numFmt numFmtId="553" formatCode="#,##0 &quot;DH&quot;"/>
    </dxf>
    <dxf>
      <numFmt numFmtId="554" formatCode="&quot;₦&quot; #,##0"/>
    </dxf>
    <dxf>
      <numFmt numFmtId="555" formatCode="&quot;₵&quot; #,##0"/>
    </dxf>
    <dxf>
      <numFmt numFmtId="556" formatCode="#,##0 &quot;FC&quot;"/>
    </dxf>
    <dxf>
      <numFmt numFmtId="557" formatCode="&quot;R&quot; #,##0"/>
    </dxf>
    <dxf>
      <numFmt numFmtId="558" formatCode="#,##0 &quot;AED&quot;"/>
    </dxf>
    <dxf>
      <numFmt numFmtId="559" formatCode="#,##0 &quot;MRU&quot;"/>
    </dxf>
    <dxf>
      <numFmt numFmtId="560" formatCode="#,##0 &quot;GNF&quot;"/>
    </dxf>
    <dxf>
      <numFmt numFmtId="561" formatCode="#,##0 &quot;FCFA&quot;"/>
    </dxf>
    <dxf>
      <numFmt numFmtId="562" formatCode="#,##0 &quot;FCFA&quot;"/>
    </dxf>
    <dxf>
      <numFmt numFmtId="563" formatCode="#,##0 &quot;€&quot;"/>
    </dxf>
    <dxf>
      <numFmt numFmtId="564" formatCode="&quot;$&quot; #,##0"/>
    </dxf>
    <dxf>
      <numFmt numFmtId="565" formatCode="&quot;£&quot; #,##0"/>
    </dxf>
    <dxf>
      <numFmt numFmtId="566" formatCode="&quot;C$&quot; #,##0"/>
    </dxf>
    <dxf>
      <numFmt numFmtId="567" formatCode="#,##0 &quot;CHF&quot;"/>
    </dxf>
    <dxf>
      <numFmt numFmtId="568" formatCode="#,##0 &quot;DH&quot;"/>
    </dxf>
    <dxf>
      <numFmt numFmtId="569" formatCode="&quot;₦&quot; #,##0"/>
    </dxf>
    <dxf>
      <numFmt numFmtId="570" formatCode="&quot;₵&quot; #,##0"/>
    </dxf>
    <dxf>
      <numFmt numFmtId="571" formatCode="#,##0 &quot;FC&quot;"/>
    </dxf>
    <dxf>
      <numFmt numFmtId="572" formatCode="&quot;R&quot; #,##0"/>
    </dxf>
    <dxf>
      <numFmt numFmtId="573" formatCode="#,##0 &quot;AED&quot;"/>
    </dxf>
    <dxf>
      <numFmt numFmtId="574" formatCode="#,##0 &quot;MRU&quot;"/>
    </dxf>
    <dxf>
      <numFmt numFmtId="575" formatCode="#,##0 &quot;GNF&quot;"/>
    </dxf>
    <dxf>
      <numFmt numFmtId="576" formatCode="#,##0 &quot;FCFA&quot;"/>
    </dxf>
    <dxf>
      <numFmt numFmtId="577" formatCode="#,##0 &quot;FCFA&quot;"/>
    </dxf>
    <dxf>
      <numFmt numFmtId="578" formatCode="#,##0 &quot;€&quot;"/>
    </dxf>
    <dxf>
      <numFmt numFmtId="579" formatCode="&quot;$&quot; #,##0"/>
    </dxf>
    <dxf>
      <numFmt numFmtId="580" formatCode="&quot;£&quot; #,##0"/>
    </dxf>
    <dxf>
      <numFmt numFmtId="581" formatCode="&quot;C$&quot; #,##0"/>
    </dxf>
    <dxf>
      <numFmt numFmtId="582" formatCode="#,##0 &quot;CHF&quot;"/>
    </dxf>
    <dxf>
      <numFmt numFmtId="583" formatCode="#,##0 &quot;DH&quot;"/>
    </dxf>
    <dxf>
      <numFmt numFmtId="584" formatCode="&quot;₦&quot; #,##0"/>
    </dxf>
    <dxf>
      <numFmt numFmtId="585" formatCode="&quot;₵&quot; #,##0"/>
    </dxf>
    <dxf>
      <numFmt numFmtId="586" formatCode="#,##0 &quot;FC&quot;"/>
    </dxf>
    <dxf>
      <numFmt numFmtId="587" formatCode="&quot;R&quot; #,##0"/>
    </dxf>
    <dxf>
      <numFmt numFmtId="588" formatCode="#,##0 &quot;AED&quot;"/>
    </dxf>
    <dxf>
      <numFmt numFmtId="589" formatCode="#,##0 &quot;MRU&quot;"/>
    </dxf>
    <dxf>
      <numFmt numFmtId="590" formatCode="#,##0 &quot;GNF&quot;"/>
    </dxf>
    <dxf>
      <numFmt numFmtId="591" formatCode="#,##0 &quot;FCFA&quot;"/>
    </dxf>
    <dxf>
      <numFmt numFmtId="592" formatCode="#,##0 &quot;FCFA&quot;"/>
    </dxf>
    <dxf>
      <numFmt numFmtId="593" formatCode="#,##0 &quot;€&quot;"/>
    </dxf>
    <dxf>
      <numFmt numFmtId="594" formatCode="&quot;$&quot; #,##0"/>
    </dxf>
    <dxf>
      <numFmt numFmtId="595" formatCode="&quot;£&quot; #,##0"/>
    </dxf>
    <dxf>
      <numFmt numFmtId="596" formatCode="&quot;C$&quot; #,##0"/>
    </dxf>
    <dxf>
      <numFmt numFmtId="597" formatCode="#,##0 &quot;CHF&quot;"/>
    </dxf>
    <dxf>
      <numFmt numFmtId="598" formatCode="#,##0 &quot;DH&quot;"/>
    </dxf>
    <dxf>
      <numFmt numFmtId="599" formatCode="&quot;₦&quot; #,##0"/>
    </dxf>
    <dxf>
      <numFmt numFmtId="600" formatCode="&quot;₵&quot; #,##0"/>
    </dxf>
    <dxf>
      <numFmt numFmtId="601" formatCode="#,##0 &quot;FC&quot;"/>
    </dxf>
    <dxf>
      <numFmt numFmtId="602" formatCode="&quot;R&quot; #,##0"/>
    </dxf>
    <dxf>
      <numFmt numFmtId="603" formatCode="#,##0 &quot;AED&quot;"/>
    </dxf>
    <dxf>
      <numFmt numFmtId="604" formatCode="#,##0 &quot;MRU&quot;"/>
    </dxf>
    <dxf>
      <numFmt numFmtId="605" formatCode="#,##0 &quot;GNF&quot;"/>
    </dxf>
    <dxf>
      <numFmt numFmtId="606" formatCode="#,##0 &quot;FCFA&quot;"/>
    </dxf>
    <dxf>
      <numFmt numFmtId="607" formatCode="#,##0 &quot;FCFA&quot;"/>
    </dxf>
    <dxf>
      <numFmt numFmtId="608" formatCode="#,##0 &quot;€&quot;"/>
    </dxf>
    <dxf>
      <numFmt numFmtId="609" formatCode="&quot;$&quot; #,##0"/>
    </dxf>
    <dxf>
      <numFmt numFmtId="610" formatCode="&quot;£&quot; #,##0"/>
    </dxf>
    <dxf>
      <numFmt numFmtId="611" formatCode="&quot;C$&quot; #,##0"/>
    </dxf>
    <dxf>
      <numFmt numFmtId="612" formatCode="#,##0 &quot;CHF&quot;"/>
    </dxf>
    <dxf>
      <numFmt numFmtId="613" formatCode="#,##0 &quot;DH&quot;"/>
    </dxf>
    <dxf>
      <numFmt numFmtId="614" formatCode="&quot;₦&quot; #,##0"/>
    </dxf>
    <dxf>
      <numFmt numFmtId="615" formatCode="&quot;₵&quot; #,##0"/>
    </dxf>
    <dxf>
      <numFmt numFmtId="616" formatCode="#,##0 &quot;FC&quot;"/>
    </dxf>
    <dxf>
      <numFmt numFmtId="617" formatCode="&quot;R&quot; #,##0"/>
    </dxf>
    <dxf>
      <numFmt numFmtId="618" formatCode="#,##0 &quot;AED&quot;"/>
    </dxf>
    <dxf>
      <numFmt numFmtId="619" formatCode="#,##0 &quot;MRU&quot;"/>
    </dxf>
    <dxf>
      <numFmt numFmtId="620" formatCode="#,##0 &quot;GNF&quot;"/>
    </dxf>
    <dxf>
      <numFmt numFmtId="621" formatCode="#,##0 &quot;FCFA&quot;"/>
    </dxf>
    <dxf>
      <numFmt numFmtId="622" formatCode="#,##0 &quot;FCFA&quot;"/>
    </dxf>
    <dxf>
      <numFmt numFmtId="623" formatCode="#,##0 &quot;€&quot;"/>
    </dxf>
    <dxf>
      <numFmt numFmtId="624" formatCode="&quot;$&quot; #,##0"/>
    </dxf>
    <dxf>
      <numFmt numFmtId="625" formatCode="&quot;£&quot; #,##0"/>
    </dxf>
    <dxf>
      <numFmt numFmtId="626" formatCode="&quot;C$&quot; #,##0"/>
    </dxf>
    <dxf>
      <numFmt numFmtId="627" formatCode="#,##0 &quot;CHF&quot;"/>
    </dxf>
    <dxf>
      <numFmt numFmtId="628" formatCode="#,##0 &quot;DH&quot;"/>
    </dxf>
    <dxf>
      <numFmt numFmtId="629" formatCode="&quot;₦&quot; #,##0"/>
    </dxf>
    <dxf>
      <numFmt numFmtId="630" formatCode="&quot;₵&quot; #,##0"/>
    </dxf>
    <dxf>
      <numFmt numFmtId="631" formatCode="#,##0 &quot;FC&quot;"/>
    </dxf>
    <dxf>
      <numFmt numFmtId="632" formatCode="&quot;R&quot; #,##0"/>
    </dxf>
    <dxf>
      <numFmt numFmtId="633" formatCode="#,##0 &quot;AED&quot;"/>
    </dxf>
    <dxf>
      <numFmt numFmtId="634" formatCode="#,##0 &quot;MRU&quot;"/>
    </dxf>
    <dxf>
      <numFmt numFmtId="635" formatCode="#,##0 &quot;GNF&quot;"/>
    </dxf>
    <dxf>
      <numFmt numFmtId="636" formatCode="#,##0 &quot;FCFA&quot;"/>
    </dxf>
    <dxf>
      <numFmt numFmtId="637" formatCode="#,##0 &quot;FCFA&quot;"/>
    </dxf>
    <dxf>
      <numFmt numFmtId="638" formatCode="#,##0 &quot;€&quot;"/>
    </dxf>
    <dxf>
      <numFmt numFmtId="639" formatCode="&quot;$&quot; #,##0"/>
    </dxf>
    <dxf>
      <numFmt numFmtId="640" formatCode="&quot;£&quot; #,##0"/>
    </dxf>
    <dxf>
      <numFmt numFmtId="641" formatCode="&quot;C$&quot; #,##0"/>
    </dxf>
    <dxf>
      <numFmt numFmtId="642" formatCode="#,##0 &quot;CHF&quot;"/>
    </dxf>
    <dxf>
      <numFmt numFmtId="643" formatCode="#,##0 &quot;DH&quot;"/>
    </dxf>
    <dxf>
      <numFmt numFmtId="644" formatCode="&quot;₦&quot; #,##0"/>
    </dxf>
    <dxf>
      <numFmt numFmtId="645" formatCode="&quot;₵&quot; #,##0"/>
    </dxf>
    <dxf>
      <numFmt numFmtId="646" formatCode="#,##0 &quot;FC&quot;"/>
    </dxf>
    <dxf>
      <numFmt numFmtId="647" formatCode="&quot;R&quot; #,##0"/>
    </dxf>
    <dxf>
      <numFmt numFmtId="648" formatCode="#,##0 &quot;AED&quot;"/>
    </dxf>
    <dxf>
      <numFmt numFmtId="649" formatCode="#,##0 &quot;MRU&quot;"/>
    </dxf>
    <dxf>
      <numFmt numFmtId="650" formatCode="#,##0 &quot;GNF&quot;"/>
    </dxf>
    <dxf>
      <font>
        <b val="1"/>
        <color rgb="008B1A1A"/>
      </font>
      <fill>
        <patternFill>
          <bgColor rgb="00F8D7DA"/>
        </patternFill>
      </fill>
    </dxf>
    <dxf>
      <font>
        <b val="1"/>
        <color rgb="00E07B22"/>
      </font>
      <fill>
        <patternFill>
          <bgColor rgb="00FBEBD8"/>
        </patternFill>
      </fill>
    </dxf>
    <dxf>
      <font>
        <b val="1"/>
        <color rgb="001E6B3C"/>
      </font>
      <fill>
        <patternFill>
          <bgColor rgb="00D4EDDA"/>
        </patternFill>
      </fill>
    </dxf>
    <dxf>
      <numFmt numFmtId="846" formatCode="#,##0 &quot;FCFA&quot;;-#,##0 &quot;FCFA&quot;;"/>
    </dxf>
    <dxf>
      <numFmt numFmtId="847" formatCode="#,##0 &quot;FCFA&quot;;-#,##0 &quot;FCFA&quot;;"/>
    </dxf>
    <dxf>
      <numFmt numFmtId="848" formatCode="#,##0 &quot;€&quot;;-#,##0 &quot;€&quot;;"/>
    </dxf>
    <dxf>
      <numFmt numFmtId="849" formatCode="&quot;$&quot; #,##0;-&quot;$&quot; #,##0;"/>
    </dxf>
    <dxf>
      <numFmt numFmtId="850" formatCode="&quot;£&quot; #,##0;-&quot;£&quot; #,##0;"/>
    </dxf>
    <dxf>
      <numFmt numFmtId="851" formatCode="&quot;C$&quot; #,##0;-&quot;C$&quot; #,##0;"/>
    </dxf>
    <dxf>
      <numFmt numFmtId="852" formatCode="#,##0 &quot;CHF&quot;;-#,##0 &quot;CHF&quot;;"/>
    </dxf>
    <dxf>
      <numFmt numFmtId="853" formatCode="#,##0 &quot;DH&quot;;-#,##0 &quot;DH&quot;;"/>
    </dxf>
    <dxf>
      <numFmt numFmtId="854" formatCode="&quot;₦&quot; #,##0;-&quot;₦&quot; #,##0;"/>
    </dxf>
    <dxf>
      <numFmt numFmtId="855" formatCode="&quot;₵&quot; #,##0;-&quot;₵&quot; #,##0;"/>
    </dxf>
    <dxf>
      <numFmt numFmtId="856" formatCode="#,##0 &quot;FC&quot;;-#,##0 &quot;FC&quot;;"/>
    </dxf>
    <dxf>
      <numFmt numFmtId="857" formatCode="&quot;R&quot; #,##0;-&quot;R&quot; #,##0;"/>
    </dxf>
    <dxf>
      <numFmt numFmtId="858" formatCode="#,##0 &quot;AED&quot;;-#,##0 &quot;AED&quot;;"/>
    </dxf>
    <dxf>
      <numFmt numFmtId="859" formatCode="#,##0 &quot;MRU&quot;;-#,##0 &quot;MRU&quot;;"/>
    </dxf>
    <dxf>
      <numFmt numFmtId="860" formatCode="#,##0 &quot;GNF&quot;;-#,##0 &quot;GNF&quot;;"/>
    </dxf>
    <dxf>
      <numFmt numFmtId="861" formatCode="#,##0 &quot;FCFA&quot;"/>
    </dxf>
    <dxf>
      <numFmt numFmtId="862" formatCode="#,##0 &quot;FCFA&quot;"/>
    </dxf>
    <dxf>
      <numFmt numFmtId="863" formatCode="#,##0 &quot;€&quot;"/>
    </dxf>
    <dxf>
      <numFmt numFmtId="864" formatCode="&quot;$&quot; #,##0"/>
    </dxf>
    <dxf>
      <numFmt numFmtId="865" formatCode="&quot;£&quot; #,##0"/>
    </dxf>
    <dxf>
      <numFmt numFmtId="866" formatCode="&quot;C$&quot; #,##0"/>
    </dxf>
    <dxf>
      <numFmt numFmtId="867" formatCode="#,##0 &quot;CHF&quot;"/>
    </dxf>
    <dxf>
      <numFmt numFmtId="868" formatCode="#,##0 &quot;DH&quot;"/>
    </dxf>
    <dxf>
      <numFmt numFmtId="869" formatCode="&quot;₦&quot; #,##0"/>
    </dxf>
    <dxf>
      <numFmt numFmtId="870" formatCode="&quot;₵&quot; #,##0"/>
    </dxf>
    <dxf>
      <numFmt numFmtId="871" formatCode="#,##0 &quot;FC&quot;"/>
    </dxf>
    <dxf>
      <numFmt numFmtId="872" formatCode="&quot;R&quot; #,##0"/>
    </dxf>
    <dxf>
      <numFmt numFmtId="873" formatCode="#,##0 &quot;AED&quot;"/>
    </dxf>
    <dxf>
      <numFmt numFmtId="874" formatCode="#,##0 &quot;MRU&quot;"/>
    </dxf>
    <dxf>
      <numFmt numFmtId="875" formatCode="#,##0 &quot;GNF&quot;"/>
    </dxf>
    <dxf>
      <numFmt numFmtId="876" formatCode="#,##0 &quot;FCFA&quot;;-#,##0 &quot;FCFA&quot;;"/>
    </dxf>
    <dxf>
      <numFmt numFmtId="877" formatCode="#,##0 &quot;FCFA&quot;;-#,##0 &quot;FCFA&quot;;"/>
    </dxf>
    <dxf>
      <numFmt numFmtId="878" formatCode="#,##0 &quot;€&quot;;-#,##0 &quot;€&quot;;"/>
    </dxf>
    <dxf>
      <numFmt numFmtId="879" formatCode="&quot;$&quot; #,##0;-&quot;$&quot; #,##0;"/>
    </dxf>
    <dxf>
      <numFmt numFmtId="880" formatCode="&quot;£&quot; #,##0;-&quot;£&quot; #,##0;"/>
    </dxf>
    <dxf>
      <numFmt numFmtId="881" formatCode="&quot;C$&quot; #,##0;-&quot;C$&quot; #,##0;"/>
    </dxf>
    <dxf>
      <numFmt numFmtId="882" formatCode="#,##0 &quot;CHF&quot;;-#,##0 &quot;CHF&quot;;"/>
    </dxf>
    <dxf>
      <numFmt numFmtId="883" formatCode="#,##0 &quot;DH&quot;;-#,##0 &quot;DH&quot;;"/>
    </dxf>
    <dxf>
      <numFmt numFmtId="884" formatCode="&quot;₦&quot; #,##0;-&quot;₦&quot; #,##0;"/>
    </dxf>
    <dxf>
      <numFmt numFmtId="885" formatCode="&quot;₵&quot; #,##0;-&quot;₵&quot; #,##0;"/>
    </dxf>
    <dxf>
      <numFmt numFmtId="886" formatCode="#,##0 &quot;FC&quot;;-#,##0 &quot;FC&quot;;"/>
    </dxf>
    <dxf>
      <numFmt numFmtId="887" formatCode="&quot;R&quot; #,##0;-&quot;R&quot; #,##0;"/>
    </dxf>
    <dxf>
      <numFmt numFmtId="888" formatCode="#,##0 &quot;AED&quot;;-#,##0 &quot;AED&quot;;"/>
    </dxf>
    <dxf>
      <numFmt numFmtId="889" formatCode="#,##0 &quot;MRU&quot;;-#,##0 &quot;MRU&quot;;"/>
    </dxf>
    <dxf>
      <numFmt numFmtId="890" formatCode="#,##0 &quot;GNF&quot;;-#,##0 &quot;GNF&quot;;"/>
    </dxf>
    <dxf>
      <numFmt numFmtId="891" formatCode="#,##0 &quot;FCFA&quot;"/>
    </dxf>
    <dxf>
      <numFmt numFmtId="892" formatCode="#,##0 &quot;FCFA&quot;"/>
    </dxf>
    <dxf>
      <numFmt numFmtId="893" formatCode="#,##0 &quot;€&quot;"/>
    </dxf>
    <dxf>
      <numFmt numFmtId="894" formatCode="&quot;$&quot; #,##0"/>
    </dxf>
    <dxf>
      <numFmt numFmtId="895" formatCode="&quot;£&quot; #,##0"/>
    </dxf>
    <dxf>
      <numFmt numFmtId="896" formatCode="&quot;C$&quot; #,##0"/>
    </dxf>
    <dxf>
      <numFmt numFmtId="897" formatCode="#,##0 &quot;CHF&quot;"/>
    </dxf>
    <dxf>
      <numFmt numFmtId="898" formatCode="#,##0 &quot;DH&quot;"/>
    </dxf>
    <dxf>
      <numFmt numFmtId="899" formatCode="&quot;₦&quot; #,##0"/>
    </dxf>
    <dxf>
      <numFmt numFmtId="900" formatCode="&quot;₵&quot; #,##0"/>
    </dxf>
    <dxf>
      <numFmt numFmtId="901" formatCode="#,##0 &quot;FC&quot;"/>
    </dxf>
    <dxf>
      <numFmt numFmtId="902" formatCode="&quot;R&quot; #,##0"/>
    </dxf>
    <dxf>
      <numFmt numFmtId="903" formatCode="#,##0 &quot;AED&quot;"/>
    </dxf>
    <dxf>
      <numFmt numFmtId="904" formatCode="#,##0 &quot;MRU&quot;"/>
    </dxf>
    <dxf>
      <numFmt numFmtId="905" formatCode="#,##0 &quot;GNF&quot;"/>
    </dxf>
    <dxf>
      <numFmt numFmtId="906" formatCode="#,##0 &quot;FCFA&quot;;-#,##0 &quot;FCFA&quot;;"/>
    </dxf>
    <dxf>
      <numFmt numFmtId="907" formatCode="#,##0 &quot;FCFA&quot;;-#,##0 &quot;FCFA&quot;;"/>
    </dxf>
    <dxf>
      <numFmt numFmtId="908" formatCode="#,##0 &quot;€&quot;;-#,##0 &quot;€&quot;;"/>
    </dxf>
    <dxf>
      <numFmt numFmtId="909" formatCode="&quot;$&quot; #,##0;-&quot;$&quot; #,##0;"/>
    </dxf>
    <dxf>
      <numFmt numFmtId="910" formatCode="&quot;£&quot; #,##0;-&quot;£&quot; #,##0;"/>
    </dxf>
    <dxf>
      <numFmt numFmtId="911" formatCode="&quot;C$&quot; #,##0;-&quot;C$&quot; #,##0;"/>
    </dxf>
    <dxf>
      <numFmt numFmtId="912" formatCode="#,##0 &quot;CHF&quot;;-#,##0 &quot;CHF&quot;;"/>
    </dxf>
    <dxf>
      <numFmt numFmtId="913" formatCode="#,##0 &quot;DH&quot;;-#,##0 &quot;DH&quot;;"/>
    </dxf>
    <dxf>
      <numFmt numFmtId="914" formatCode="&quot;₦&quot; #,##0;-&quot;₦&quot; #,##0;"/>
    </dxf>
    <dxf>
      <numFmt numFmtId="915" formatCode="&quot;₵&quot; #,##0;-&quot;₵&quot; #,##0;"/>
    </dxf>
    <dxf>
      <numFmt numFmtId="916" formatCode="#,##0 &quot;FC&quot;;-#,##0 &quot;FC&quot;;"/>
    </dxf>
    <dxf>
      <numFmt numFmtId="917" formatCode="&quot;R&quot; #,##0;-&quot;R&quot; #,##0;"/>
    </dxf>
    <dxf>
      <numFmt numFmtId="918" formatCode="#,##0 &quot;AED&quot;;-#,##0 &quot;AED&quot;;"/>
    </dxf>
    <dxf>
      <numFmt numFmtId="919" formatCode="#,##0 &quot;MRU&quot;;-#,##0 &quot;MRU&quot;;"/>
    </dxf>
    <dxf>
      <numFmt numFmtId="920" formatCode="#,##0 &quot;GNF&quot;;-#,##0 &quot;GNF&quot;;"/>
    </dxf>
    <dxf>
      <numFmt numFmtId="921" formatCode="#,##0 &quot;FCFA&quot;"/>
    </dxf>
    <dxf>
      <numFmt numFmtId="922" formatCode="#,##0 &quot;FCFA&quot;"/>
    </dxf>
    <dxf>
      <numFmt numFmtId="923" formatCode="#,##0 &quot;€&quot;"/>
    </dxf>
    <dxf>
      <numFmt numFmtId="924" formatCode="&quot;$&quot; #,##0"/>
    </dxf>
    <dxf>
      <numFmt numFmtId="925" formatCode="&quot;£&quot; #,##0"/>
    </dxf>
    <dxf>
      <numFmt numFmtId="926" formatCode="&quot;C$&quot; #,##0"/>
    </dxf>
    <dxf>
      <numFmt numFmtId="927" formatCode="#,##0 &quot;CHF&quot;"/>
    </dxf>
    <dxf>
      <numFmt numFmtId="928" formatCode="#,##0 &quot;DH&quot;"/>
    </dxf>
    <dxf>
      <numFmt numFmtId="929" formatCode="&quot;₦&quot; #,##0"/>
    </dxf>
    <dxf>
      <numFmt numFmtId="930" formatCode="&quot;₵&quot; #,##0"/>
    </dxf>
    <dxf>
      <numFmt numFmtId="931" formatCode="#,##0 &quot;FC&quot;"/>
    </dxf>
    <dxf>
      <numFmt numFmtId="932" formatCode="&quot;R&quot; #,##0"/>
    </dxf>
    <dxf>
      <numFmt numFmtId="933" formatCode="#,##0 &quot;AED&quot;"/>
    </dxf>
    <dxf>
      <numFmt numFmtId="934" formatCode="#,##0 &quot;MRU&quot;"/>
    </dxf>
    <dxf>
      <numFmt numFmtId="935" formatCode="#,##0 &quot;GNF&quot;"/>
    </dxf>
    <dxf>
      <numFmt numFmtId="936" formatCode="#,##0 &quot;FCFA&quot;;-#,##0 &quot;FCFA&quot;;"/>
    </dxf>
    <dxf>
      <numFmt numFmtId="937" formatCode="#,##0 &quot;FCFA&quot;;-#,##0 &quot;FCFA&quot;;"/>
    </dxf>
    <dxf>
      <numFmt numFmtId="938" formatCode="#,##0 &quot;€&quot;;-#,##0 &quot;€&quot;;"/>
    </dxf>
    <dxf>
      <numFmt numFmtId="939" formatCode="&quot;$&quot; #,##0;-&quot;$&quot; #,##0;"/>
    </dxf>
    <dxf>
      <numFmt numFmtId="940" formatCode="&quot;£&quot; #,##0;-&quot;£&quot; #,##0;"/>
    </dxf>
    <dxf>
      <numFmt numFmtId="941" formatCode="&quot;C$&quot; #,##0;-&quot;C$&quot; #,##0;"/>
    </dxf>
    <dxf>
      <numFmt numFmtId="942" formatCode="#,##0 &quot;CHF&quot;;-#,##0 &quot;CHF&quot;;"/>
    </dxf>
    <dxf>
      <numFmt numFmtId="943" formatCode="#,##0 &quot;DH&quot;;-#,##0 &quot;DH&quot;;"/>
    </dxf>
    <dxf>
      <numFmt numFmtId="944" formatCode="&quot;₦&quot; #,##0;-&quot;₦&quot; #,##0;"/>
    </dxf>
    <dxf>
      <numFmt numFmtId="945" formatCode="&quot;₵&quot; #,##0;-&quot;₵&quot; #,##0;"/>
    </dxf>
    <dxf>
      <numFmt numFmtId="946" formatCode="#,##0 &quot;FC&quot;;-#,##0 &quot;FC&quot;;"/>
    </dxf>
    <dxf>
      <numFmt numFmtId="947" formatCode="&quot;R&quot; #,##0;-&quot;R&quot; #,##0;"/>
    </dxf>
    <dxf>
      <numFmt numFmtId="948" formatCode="#,##0 &quot;AED&quot;;-#,##0 &quot;AED&quot;;"/>
    </dxf>
    <dxf>
      <numFmt numFmtId="949" formatCode="#,##0 &quot;MRU&quot;;-#,##0 &quot;MRU&quot;;"/>
    </dxf>
    <dxf>
      <numFmt numFmtId="950" formatCode="#,##0 &quot;GNF&quot;;-#,##0 &quot;GNF&quot;;"/>
    </dxf>
    <dxf>
      <numFmt numFmtId="951" formatCode="#,##0 &quot;FCFA&quot;"/>
    </dxf>
    <dxf>
      <numFmt numFmtId="952" formatCode="#,##0 &quot;FCFA&quot;"/>
    </dxf>
    <dxf>
      <numFmt numFmtId="953" formatCode="#,##0 &quot;€&quot;"/>
    </dxf>
    <dxf>
      <numFmt numFmtId="954" formatCode="&quot;$&quot; #,##0"/>
    </dxf>
    <dxf>
      <numFmt numFmtId="955" formatCode="&quot;£&quot; #,##0"/>
    </dxf>
    <dxf>
      <numFmt numFmtId="956" formatCode="&quot;C$&quot; #,##0"/>
    </dxf>
    <dxf>
      <numFmt numFmtId="957" formatCode="#,##0 &quot;CHF&quot;"/>
    </dxf>
    <dxf>
      <numFmt numFmtId="958" formatCode="#,##0 &quot;DH&quot;"/>
    </dxf>
    <dxf>
      <numFmt numFmtId="959" formatCode="&quot;₦&quot; #,##0"/>
    </dxf>
    <dxf>
      <numFmt numFmtId="960" formatCode="&quot;₵&quot; #,##0"/>
    </dxf>
    <dxf>
      <numFmt numFmtId="961" formatCode="#,##0 &quot;FC&quot;"/>
    </dxf>
    <dxf>
      <numFmt numFmtId="962" formatCode="&quot;R&quot; #,##0"/>
    </dxf>
    <dxf>
      <numFmt numFmtId="963" formatCode="#,##0 &quot;AED&quot;"/>
    </dxf>
    <dxf>
      <numFmt numFmtId="964" formatCode="#,##0 &quot;MRU&quot;"/>
    </dxf>
    <dxf>
      <numFmt numFmtId="965" formatCode="#,##0 &quot;GNF&quot;"/>
    </dxf>
    <dxf>
      <numFmt numFmtId="966" formatCode="#,##0 &quot;FCFA&quot;;-#,##0 &quot;FCFA&quot;;"/>
    </dxf>
    <dxf>
      <numFmt numFmtId="967" formatCode="#,##0 &quot;FCFA&quot;;-#,##0 &quot;FCFA&quot;;"/>
    </dxf>
    <dxf>
      <numFmt numFmtId="968" formatCode="#,##0 &quot;€&quot;;-#,##0 &quot;€&quot;;"/>
    </dxf>
    <dxf>
      <numFmt numFmtId="969" formatCode="&quot;$&quot; #,##0;-&quot;$&quot; #,##0;"/>
    </dxf>
    <dxf>
      <numFmt numFmtId="970" formatCode="&quot;£&quot; #,##0;-&quot;£&quot; #,##0;"/>
    </dxf>
    <dxf>
      <numFmt numFmtId="971" formatCode="&quot;C$&quot; #,##0;-&quot;C$&quot; #,##0;"/>
    </dxf>
    <dxf>
      <numFmt numFmtId="972" formatCode="#,##0 &quot;CHF&quot;;-#,##0 &quot;CHF&quot;;"/>
    </dxf>
    <dxf>
      <numFmt numFmtId="973" formatCode="#,##0 &quot;DH&quot;;-#,##0 &quot;DH&quot;;"/>
    </dxf>
    <dxf>
      <numFmt numFmtId="974" formatCode="&quot;₦&quot; #,##0;-&quot;₦&quot; #,##0;"/>
    </dxf>
    <dxf>
      <numFmt numFmtId="975" formatCode="&quot;₵&quot; #,##0;-&quot;₵&quot; #,##0;"/>
    </dxf>
    <dxf>
      <numFmt numFmtId="976" formatCode="#,##0 &quot;FC&quot;;-#,##0 &quot;FC&quot;;"/>
    </dxf>
    <dxf>
      <numFmt numFmtId="977" formatCode="&quot;R&quot; #,##0;-&quot;R&quot; #,##0;"/>
    </dxf>
    <dxf>
      <numFmt numFmtId="978" formatCode="#,##0 &quot;AED&quot;;-#,##0 &quot;AED&quot;;"/>
    </dxf>
    <dxf>
      <numFmt numFmtId="979" formatCode="#,##0 &quot;MRU&quot;;-#,##0 &quot;MRU&quot;;"/>
    </dxf>
    <dxf>
      <numFmt numFmtId="980" formatCode="#,##0 &quot;GNF&quot;;-#,##0 &quot;GNF&quot;;"/>
    </dxf>
    <dxf>
      <numFmt numFmtId="981" formatCode="#,##0 &quot;FCFA&quot;"/>
    </dxf>
    <dxf>
      <numFmt numFmtId="982" formatCode="#,##0 &quot;FCFA&quot;"/>
    </dxf>
    <dxf>
      <numFmt numFmtId="983" formatCode="#,##0 &quot;€&quot;"/>
    </dxf>
    <dxf>
      <numFmt numFmtId="984" formatCode="&quot;$&quot; #,##0"/>
    </dxf>
    <dxf>
      <numFmt numFmtId="985" formatCode="&quot;£&quot; #,##0"/>
    </dxf>
    <dxf>
      <numFmt numFmtId="986" formatCode="&quot;C$&quot; #,##0"/>
    </dxf>
    <dxf>
      <numFmt numFmtId="987" formatCode="#,##0 &quot;CHF&quot;"/>
    </dxf>
    <dxf>
      <numFmt numFmtId="988" formatCode="#,##0 &quot;DH&quot;"/>
    </dxf>
    <dxf>
      <numFmt numFmtId="989" formatCode="&quot;₦&quot; #,##0"/>
    </dxf>
    <dxf>
      <numFmt numFmtId="990" formatCode="&quot;₵&quot; #,##0"/>
    </dxf>
    <dxf>
      <numFmt numFmtId="991" formatCode="#,##0 &quot;FC&quot;"/>
    </dxf>
    <dxf>
      <numFmt numFmtId="992" formatCode="&quot;R&quot; #,##0"/>
    </dxf>
    <dxf>
      <numFmt numFmtId="993" formatCode="#,##0 &quot;AED&quot;"/>
    </dxf>
    <dxf>
      <numFmt numFmtId="994" formatCode="#,##0 &quot;MRU&quot;"/>
    </dxf>
    <dxf>
      <numFmt numFmtId="995" formatCode="#,##0 &quot;GNF&quot;"/>
    </dxf>
    <dxf>
      <numFmt numFmtId="996" formatCode="#,##0 &quot;FCFA&quot;;-#,##0 &quot;FCFA&quot;;"/>
    </dxf>
    <dxf>
      <numFmt numFmtId="997" formatCode="#,##0 &quot;FCFA&quot;;-#,##0 &quot;FCFA&quot;;"/>
    </dxf>
    <dxf>
      <numFmt numFmtId="998" formatCode="#,##0 &quot;€&quot;;-#,##0 &quot;€&quot;;"/>
    </dxf>
    <dxf>
      <numFmt numFmtId="999" formatCode="&quot;$&quot; #,##0;-&quot;$&quot; #,##0;"/>
    </dxf>
    <dxf>
      <numFmt numFmtId="1000" formatCode="&quot;£&quot; #,##0;-&quot;£&quot; #,##0;"/>
    </dxf>
    <dxf>
      <numFmt numFmtId="1001" formatCode="&quot;C$&quot; #,##0;-&quot;C$&quot; #,##0;"/>
    </dxf>
    <dxf>
      <numFmt numFmtId="1002" formatCode="#,##0 &quot;CHF&quot;;-#,##0 &quot;CHF&quot;;"/>
    </dxf>
    <dxf>
      <numFmt numFmtId="1003" formatCode="#,##0 &quot;DH&quot;;-#,##0 &quot;DH&quot;;"/>
    </dxf>
    <dxf>
      <numFmt numFmtId="1004" formatCode="&quot;₦&quot; #,##0;-&quot;₦&quot; #,##0;"/>
    </dxf>
    <dxf>
      <numFmt numFmtId="1005" formatCode="&quot;₵&quot; #,##0;-&quot;₵&quot; #,##0;"/>
    </dxf>
    <dxf>
      <numFmt numFmtId="1006" formatCode="#,##0 &quot;FC&quot;;-#,##0 &quot;FC&quot;;"/>
    </dxf>
    <dxf>
      <numFmt numFmtId="1007" formatCode="&quot;R&quot; #,##0;-&quot;R&quot; #,##0;"/>
    </dxf>
    <dxf>
      <numFmt numFmtId="1008" formatCode="#,##0 &quot;AED&quot;;-#,##0 &quot;AED&quot;;"/>
    </dxf>
    <dxf>
      <numFmt numFmtId="1009" formatCode="#,##0 &quot;MRU&quot;;-#,##0 &quot;MRU&quot;;"/>
    </dxf>
    <dxf>
      <numFmt numFmtId="1010" formatCode="#,##0 &quot;GNF&quot;;-#,##0 &quot;GNF&quot;;"/>
    </dxf>
    <dxf>
      <numFmt numFmtId="1011" formatCode="#,##0 &quot;FCFA&quot;"/>
    </dxf>
    <dxf>
      <numFmt numFmtId="1012" formatCode="#,##0 &quot;FCFA&quot;"/>
    </dxf>
    <dxf>
      <numFmt numFmtId="1013" formatCode="#,##0 &quot;€&quot;"/>
    </dxf>
    <dxf>
      <numFmt numFmtId="1014" formatCode="&quot;$&quot; #,##0"/>
    </dxf>
    <dxf>
      <numFmt numFmtId="1015" formatCode="&quot;£&quot; #,##0"/>
    </dxf>
    <dxf>
      <numFmt numFmtId="1016" formatCode="&quot;C$&quot; #,##0"/>
    </dxf>
    <dxf>
      <numFmt numFmtId="1017" formatCode="#,##0 &quot;CHF&quot;"/>
    </dxf>
    <dxf>
      <numFmt numFmtId="1018" formatCode="#,##0 &quot;DH&quot;"/>
    </dxf>
    <dxf>
      <numFmt numFmtId="1019" formatCode="&quot;₦&quot; #,##0"/>
    </dxf>
    <dxf>
      <numFmt numFmtId="1020" formatCode="&quot;₵&quot; #,##0"/>
    </dxf>
    <dxf>
      <numFmt numFmtId="1021" formatCode="#,##0 &quot;FC&quot;"/>
    </dxf>
    <dxf>
      <numFmt numFmtId="1022" formatCode="&quot;R&quot; #,##0"/>
    </dxf>
    <dxf>
      <numFmt numFmtId="1023" formatCode="#,##0 &quot;AED&quot;"/>
    </dxf>
    <dxf>
      <numFmt numFmtId="1024" formatCode="#,##0 &quot;MRU&quot;"/>
    </dxf>
    <dxf>
      <numFmt numFmtId="1025" formatCode="#,##0 &quot;GNF&quot;"/>
    </dxf>
    <dxf>
      <numFmt numFmtId="1026" formatCode="#,##0 &quot;FCFA&quot;;-#,##0 &quot;FCFA&quot;;"/>
    </dxf>
    <dxf>
      <numFmt numFmtId="1027" formatCode="#,##0 &quot;FCFA&quot;;-#,##0 &quot;FCFA&quot;;"/>
    </dxf>
    <dxf>
      <numFmt numFmtId="1028" formatCode="#,##0 &quot;€&quot;;-#,##0 &quot;€&quot;;"/>
    </dxf>
    <dxf>
      <numFmt numFmtId="1029" formatCode="&quot;$&quot; #,##0;-&quot;$&quot; #,##0;"/>
    </dxf>
    <dxf>
      <numFmt numFmtId="1030" formatCode="&quot;£&quot; #,##0;-&quot;£&quot; #,##0;"/>
    </dxf>
    <dxf>
      <numFmt numFmtId="1031" formatCode="&quot;C$&quot; #,##0;-&quot;C$&quot; #,##0;"/>
    </dxf>
    <dxf>
      <numFmt numFmtId="1032" formatCode="#,##0 &quot;CHF&quot;;-#,##0 &quot;CHF&quot;;"/>
    </dxf>
    <dxf>
      <numFmt numFmtId="1033" formatCode="#,##0 &quot;DH&quot;;-#,##0 &quot;DH&quot;;"/>
    </dxf>
    <dxf>
      <numFmt numFmtId="1034" formatCode="&quot;₦&quot; #,##0;-&quot;₦&quot; #,##0;"/>
    </dxf>
    <dxf>
      <numFmt numFmtId="1035" formatCode="&quot;₵&quot; #,##0;-&quot;₵&quot; #,##0;"/>
    </dxf>
    <dxf>
      <numFmt numFmtId="1036" formatCode="#,##0 &quot;FC&quot;;-#,##0 &quot;FC&quot;;"/>
    </dxf>
    <dxf>
      <numFmt numFmtId="1037" formatCode="&quot;R&quot; #,##0;-&quot;R&quot; #,##0;"/>
    </dxf>
    <dxf>
      <numFmt numFmtId="1038" formatCode="#,##0 &quot;AED&quot;;-#,##0 &quot;AED&quot;;"/>
    </dxf>
    <dxf>
      <numFmt numFmtId="1039" formatCode="#,##0 &quot;MRU&quot;;-#,##0 &quot;MRU&quot;;"/>
    </dxf>
    <dxf>
      <numFmt numFmtId="1040" formatCode="#,##0 &quot;GNF&quot;;-#,##0 &quot;GNF&quot;;"/>
    </dxf>
    <dxf>
      <numFmt numFmtId="1041" formatCode="#,##0 &quot;FCFA&quot;"/>
    </dxf>
    <dxf>
      <numFmt numFmtId="1042" formatCode="#,##0 &quot;FCFA&quot;"/>
    </dxf>
    <dxf>
      <numFmt numFmtId="1043" formatCode="#,##0 &quot;€&quot;"/>
    </dxf>
    <dxf>
      <numFmt numFmtId="1044" formatCode="&quot;$&quot; #,##0"/>
    </dxf>
    <dxf>
      <numFmt numFmtId="1045" formatCode="&quot;£&quot; #,##0"/>
    </dxf>
    <dxf>
      <numFmt numFmtId="1046" formatCode="&quot;C$&quot; #,##0"/>
    </dxf>
    <dxf>
      <numFmt numFmtId="1047" formatCode="#,##0 &quot;CHF&quot;"/>
    </dxf>
    <dxf>
      <numFmt numFmtId="1048" formatCode="#,##0 &quot;DH&quot;"/>
    </dxf>
    <dxf>
      <numFmt numFmtId="1049" formatCode="&quot;₦&quot; #,##0"/>
    </dxf>
    <dxf>
      <numFmt numFmtId="1050" formatCode="&quot;₵&quot; #,##0"/>
    </dxf>
    <dxf>
      <numFmt numFmtId="1051" formatCode="#,##0 &quot;FC&quot;"/>
    </dxf>
    <dxf>
      <numFmt numFmtId="1052" formatCode="&quot;R&quot; #,##0"/>
    </dxf>
    <dxf>
      <numFmt numFmtId="1053" formatCode="#,##0 &quot;AED&quot;"/>
    </dxf>
    <dxf>
      <numFmt numFmtId="1054" formatCode="#,##0 &quot;MRU&quot;"/>
    </dxf>
    <dxf>
      <numFmt numFmtId="1055" formatCode="#,##0 &quot;GNF&quot;"/>
    </dxf>
    <dxf>
      <numFmt numFmtId="1056" formatCode="#,##0 &quot;FCFA&quot;;-#,##0 &quot;FCFA&quot;;"/>
    </dxf>
    <dxf>
      <numFmt numFmtId="1057" formatCode="#,##0 &quot;FCFA&quot;;-#,##0 &quot;FCFA&quot;;"/>
    </dxf>
    <dxf>
      <numFmt numFmtId="1058" formatCode="#,##0 &quot;€&quot;;-#,##0 &quot;€&quot;;"/>
    </dxf>
    <dxf>
      <numFmt numFmtId="1059" formatCode="&quot;$&quot; #,##0;-&quot;$&quot; #,##0;"/>
    </dxf>
    <dxf>
      <numFmt numFmtId="1060" formatCode="&quot;£&quot; #,##0;-&quot;£&quot; #,##0;"/>
    </dxf>
    <dxf>
      <numFmt numFmtId="1061" formatCode="&quot;C$&quot; #,##0;-&quot;C$&quot; #,##0;"/>
    </dxf>
    <dxf>
      <numFmt numFmtId="1062" formatCode="#,##0 &quot;CHF&quot;;-#,##0 &quot;CHF&quot;;"/>
    </dxf>
    <dxf>
      <numFmt numFmtId="1063" formatCode="#,##0 &quot;DH&quot;;-#,##0 &quot;DH&quot;;"/>
    </dxf>
    <dxf>
      <numFmt numFmtId="1064" formatCode="&quot;₦&quot; #,##0;-&quot;₦&quot; #,##0;"/>
    </dxf>
    <dxf>
      <numFmt numFmtId="1065" formatCode="&quot;₵&quot; #,##0;-&quot;₵&quot; #,##0;"/>
    </dxf>
    <dxf>
      <numFmt numFmtId="1066" formatCode="#,##0 &quot;FC&quot;;-#,##0 &quot;FC&quot;;"/>
    </dxf>
    <dxf>
      <numFmt numFmtId="1067" formatCode="&quot;R&quot; #,##0;-&quot;R&quot; #,##0;"/>
    </dxf>
    <dxf>
      <numFmt numFmtId="1068" formatCode="#,##0 &quot;AED&quot;;-#,##0 &quot;AED&quot;;"/>
    </dxf>
    <dxf>
      <numFmt numFmtId="1069" formatCode="#,##0 &quot;MRU&quot;;-#,##0 &quot;MRU&quot;;"/>
    </dxf>
    <dxf>
      <numFmt numFmtId="1070" formatCode="#,##0 &quot;GNF&quot;;-#,##0 &quot;GNF&quot;;"/>
    </dxf>
    <dxf>
      <numFmt numFmtId="1071" formatCode="#,##0 &quot;FCFA&quot;"/>
    </dxf>
    <dxf>
      <numFmt numFmtId="1072" formatCode="#,##0 &quot;FCFA&quot;"/>
    </dxf>
    <dxf>
      <numFmt numFmtId="1073" formatCode="#,##0 &quot;€&quot;"/>
    </dxf>
    <dxf>
      <numFmt numFmtId="1074" formatCode="&quot;$&quot; #,##0"/>
    </dxf>
    <dxf>
      <numFmt numFmtId="1075" formatCode="&quot;£&quot; #,##0"/>
    </dxf>
    <dxf>
      <numFmt numFmtId="1076" formatCode="&quot;C$&quot; #,##0"/>
    </dxf>
    <dxf>
      <numFmt numFmtId="1077" formatCode="#,##0 &quot;CHF&quot;"/>
    </dxf>
    <dxf>
      <numFmt numFmtId="1078" formatCode="#,##0 &quot;DH&quot;"/>
    </dxf>
    <dxf>
      <numFmt numFmtId="1079" formatCode="&quot;₦&quot; #,##0"/>
    </dxf>
    <dxf>
      <numFmt numFmtId="1080" formatCode="&quot;₵&quot; #,##0"/>
    </dxf>
    <dxf>
      <numFmt numFmtId="1081" formatCode="#,##0 &quot;FC&quot;"/>
    </dxf>
    <dxf>
      <numFmt numFmtId="1082" formatCode="&quot;R&quot; #,##0"/>
    </dxf>
    <dxf>
      <numFmt numFmtId="1083" formatCode="#,##0 &quot;AED&quot;"/>
    </dxf>
    <dxf>
      <numFmt numFmtId="1084" formatCode="#,##0 &quot;MRU&quot;"/>
    </dxf>
    <dxf>
      <numFmt numFmtId="1085" formatCode="#,##0 &quot;GNF&quot;"/>
    </dxf>
    <dxf>
      <numFmt numFmtId="1086" formatCode="#,##0 &quot;FCFA&quot;;-#,##0 &quot;FCFA&quot;;"/>
    </dxf>
    <dxf>
      <numFmt numFmtId="1087" formatCode="#,##0 &quot;FCFA&quot;;-#,##0 &quot;FCFA&quot;;"/>
    </dxf>
    <dxf>
      <numFmt numFmtId="1088" formatCode="#,##0 &quot;€&quot;;-#,##0 &quot;€&quot;;"/>
    </dxf>
    <dxf>
      <numFmt numFmtId="1089" formatCode="&quot;$&quot; #,##0;-&quot;$&quot; #,##0;"/>
    </dxf>
    <dxf>
      <numFmt numFmtId="1090" formatCode="&quot;£&quot; #,##0;-&quot;£&quot; #,##0;"/>
    </dxf>
    <dxf>
      <numFmt numFmtId="1091" formatCode="&quot;C$&quot; #,##0;-&quot;C$&quot; #,##0;"/>
    </dxf>
    <dxf>
      <numFmt numFmtId="1092" formatCode="#,##0 &quot;CHF&quot;;-#,##0 &quot;CHF&quot;;"/>
    </dxf>
    <dxf>
      <numFmt numFmtId="1093" formatCode="#,##0 &quot;DH&quot;;-#,##0 &quot;DH&quot;;"/>
    </dxf>
    <dxf>
      <numFmt numFmtId="1094" formatCode="&quot;₦&quot; #,##0;-&quot;₦&quot; #,##0;"/>
    </dxf>
    <dxf>
      <numFmt numFmtId="1095" formatCode="&quot;₵&quot; #,##0;-&quot;₵&quot; #,##0;"/>
    </dxf>
    <dxf>
      <numFmt numFmtId="1096" formatCode="#,##0 &quot;FC&quot;;-#,##0 &quot;FC&quot;;"/>
    </dxf>
    <dxf>
      <numFmt numFmtId="1097" formatCode="&quot;R&quot; #,##0;-&quot;R&quot; #,##0;"/>
    </dxf>
    <dxf>
      <numFmt numFmtId="1098" formatCode="#,##0 &quot;AED&quot;;-#,##0 &quot;AED&quot;;"/>
    </dxf>
    <dxf>
      <numFmt numFmtId="1099" formatCode="#,##0 &quot;MRU&quot;;-#,##0 &quot;MRU&quot;;"/>
    </dxf>
    <dxf>
      <numFmt numFmtId="1100" formatCode="#,##0 &quot;GNF&quot;;-#,##0 &quot;GNF&quot;;"/>
    </dxf>
    <dxf>
      <numFmt numFmtId="1101" formatCode="#,##0 &quot;FCFA&quot;"/>
    </dxf>
    <dxf>
      <numFmt numFmtId="1102" formatCode="#,##0 &quot;FCFA&quot;"/>
    </dxf>
    <dxf>
      <numFmt numFmtId="1103" formatCode="#,##0 &quot;€&quot;"/>
    </dxf>
    <dxf>
      <numFmt numFmtId="1104" formatCode="&quot;$&quot; #,##0"/>
    </dxf>
    <dxf>
      <numFmt numFmtId="1105" formatCode="&quot;£&quot; #,##0"/>
    </dxf>
    <dxf>
      <numFmt numFmtId="1106" formatCode="&quot;C$&quot; #,##0"/>
    </dxf>
    <dxf>
      <numFmt numFmtId="1107" formatCode="#,##0 &quot;CHF&quot;"/>
    </dxf>
    <dxf>
      <numFmt numFmtId="1108" formatCode="#,##0 &quot;DH&quot;"/>
    </dxf>
    <dxf>
      <numFmt numFmtId="1109" formatCode="&quot;₦&quot; #,##0"/>
    </dxf>
    <dxf>
      <numFmt numFmtId="1110" formatCode="&quot;₵&quot; #,##0"/>
    </dxf>
    <dxf>
      <numFmt numFmtId="1111" formatCode="#,##0 &quot;FC&quot;"/>
    </dxf>
    <dxf>
      <numFmt numFmtId="1112" formatCode="&quot;R&quot; #,##0"/>
    </dxf>
    <dxf>
      <numFmt numFmtId="1113" formatCode="#,##0 &quot;AED&quot;"/>
    </dxf>
    <dxf>
      <numFmt numFmtId="1114" formatCode="#,##0 &quot;MRU&quot;"/>
    </dxf>
    <dxf>
      <numFmt numFmtId="1115" formatCode="#,##0 &quot;GNF&quot;"/>
    </dxf>
    <dxf>
      <numFmt numFmtId="1116" formatCode="#,##0 &quot;FCFA&quot;;-#,##0 &quot;FCFA&quot;;"/>
    </dxf>
    <dxf>
      <numFmt numFmtId="1117" formatCode="#,##0 &quot;FCFA&quot;;-#,##0 &quot;FCFA&quot;;"/>
    </dxf>
    <dxf>
      <numFmt numFmtId="1118" formatCode="#,##0 &quot;€&quot;;-#,##0 &quot;€&quot;;"/>
    </dxf>
    <dxf>
      <numFmt numFmtId="1119" formatCode="&quot;$&quot; #,##0;-&quot;$&quot; #,##0;"/>
    </dxf>
    <dxf>
      <numFmt numFmtId="1120" formatCode="&quot;£&quot; #,##0;-&quot;£&quot; #,##0;"/>
    </dxf>
    <dxf>
      <numFmt numFmtId="1121" formatCode="&quot;C$&quot; #,##0;-&quot;C$&quot; #,##0;"/>
    </dxf>
    <dxf>
      <numFmt numFmtId="1122" formatCode="#,##0 &quot;CHF&quot;;-#,##0 &quot;CHF&quot;;"/>
    </dxf>
    <dxf>
      <numFmt numFmtId="1123" formatCode="#,##0 &quot;DH&quot;;-#,##0 &quot;DH&quot;;"/>
    </dxf>
    <dxf>
      <numFmt numFmtId="1124" formatCode="&quot;₦&quot; #,##0;-&quot;₦&quot; #,##0;"/>
    </dxf>
    <dxf>
      <numFmt numFmtId="1125" formatCode="&quot;₵&quot; #,##0;-&quot;₵&quot; #,##0;"/>
    </dxf>
    <dxf>
      <numFmt numFmtId="1126" formatCode="#,##0 &quot;FC&quot;;-#,##0 &quot;FC&quot;;"/>
    </dxf>
    <dxf>
      <numFmt numFmtId="1127" formatCode="&quot;R&quot; #,##0;-&quot;R&quot; #,##0;"/>
    </dxf>
    <dxf>
      <numFmt numFmtId="1128" formatCode="#,##0 &quot;AED&quot;;-#,##0 &quot;AED&quot;;"/>
    </dxf>
    <dxf>
      <numFmt numFmtId="1129" formatCode="#,##0 &quot;MRU&quot;;-#,##0 &quot;MRU&quot;;"/>
    </dxf>
    <dxf>
      <numFmt numFmtId="1130" formatCode="#,##0 &quot;GNF&quot;;-#,##0 &quot;GNF&quot;;"/>
    </dxf>
    <dxf>
      <numFmt numFmtId="1131" formatCode="#,##0 &quot;FCFA&quot;"/>
    </dxf>
    <dxf>
      <numFmt numFmtId="1132" formatCode="#,##0 &quot;FCFA&quot;"/>
    </dxf>
    <dxf>
      <numFmt numFmtId="1133" formatCode="#,##0 &quot;€&quot;"/>
    </dxf>
    <dxf>
      <numFmt numFmtId="1134" formatCode="&quot;$&quot; #,##0"/>
    </dxf>
    <dxf>
      <numFmt numFmtId="1135" formatCode="&quot;£&quot; #,##0"/>
    </dxf>
    <dxf>
      <numFmt numFmtId="1136" formatCode="&quot;C$&quot; #,##0"/>
    </dxf>
    <dxf>
      <numFmt numFmtId="1137" formatCode="#,##0 &quot;CHF&quot;"/>
    </dxf>
    <dxf>
      <numFmt numFmtId="1138" formatCode="#,##0 &quot;DH&quot;"/>
    </dxf>
    <dxf>
      <numFmt numFmtId="1139" formatCode="&quot;₦&quot; #,##0"/>
    </dxf>
    <dxf>
      <numFmt numFmtId="1140" formatCode="&quot;₵&quot; #,##0"/>
    </dxf>
    <dxf>
      <numFmt numFmtId="1141" formatCode="#,##0 &quot;FC&quot;"/>
    </dxf>
    <dxf>
      <numFmt numFmtId="1142" formatCode="&quot;R&quot; #,##0"/>
    </dxf>
    <dxf>
      <numFmt numFmtId="1143" formatCode="#,##0 &quot;AED&quot;"/>
    </dxf>
    <dxf>
      <numFmt numFmtId="1144" formatCode="#,##0 &quot;MRU&quot;"/>
    </dxf>
    <dxf>
      <numFmt numFmtId="1145" formatCode="#,##0 &quot;GNF&quot;"/>
    </dxf>
    <dxf>
      <numFmt numFmtId="1146" formatCode="#,##0 &quot;FCFA&quot;;-#,##0 &quot;FCFA&quot;;"/>
    </dxf>
    <dxf>
      <numFmt numFmtId="1147" formatCode="#,##0 &quot;FCFA&quot;;-#,##0 &quot;FCFA&quot;;"/>
    </dxf>
    <dxf>
      <numFmt numFmtId="1148" formatCode="#,##0 &quot;€&quot;;-#,##0 &quot;€&quot;;"/>
    </dxf>
    <dxf>
      <numFmt numFmtId="1149" formatCode="&quot;$&quot; #,##0;-&quot;$&quot; #,##0;"/>
    </dxf>
    <dxf>
      <numFmt numFmtId="1150" formatCode="&quot;£&quot; #,##0;-&quot;£&quot; #,##0;"/>
    </dxf>
    <dxf>
      <numFmt numFmtId="1151" formatCode="&quot;C$&quot; #,##0;-&quot;C$&quot; #,##0;"/>
    </dxf>
    <dxf>
      <numFmt numFmtId="1152" formatCode="#,##0 &quot;CHF&quot;;-#,##0 &quot;CHF&quot;;"/>
    </dxf>
    <dxf>
      <numFmt numFmtId="1153" formatCode="#,##0 &quot;DH&quot;;-#,##0 &quot;DH&quot;;"/>
    </dxf>
    <dxf>
      <numFmt numFmtId="1154" formatCode="&quot;₦&quot; #,##0;-&quot;₦&quot; #,##0;"/>
    </dxf>
    <dxf>
      <numFmt numFmtId="1155" formatCode="&quot;₵&quot; #,##0;-&quot;₵&quot; #,##0;"/>
    </dxf>
    <dxf>
      <numFmt numFmtId="1156" formatCode="#,##0 &quot;FC&quot;;-#,##0 &quot;FC&quot;;"/>
    </dxf>
    <dxf>
      <numFmt numFmtId="1157" formatCode="&quot;R&quot; #,##0;-&quot;R&quot; #,##0;"/>
    </dxf>
    <dxf>
      <numFmt numFmtId="1158" formatCode="#,##0 &quot;AED&quot;;-#,##0 &quot;AED&quot;;"/>
    </dxf>
    <dxf>
      <numFmt numFmtId="1159" formatCode="#,##0 &quot;MRU&quot;;-#,##0 &quot;MRU&quot;;"/>
    </dxf>
    <dxf>
      <numFmt numFmtId="1160" formatCode="#,##0 &quot;GNF&quot;;-#,##0 &quot;GNF&quot;;"/>
    </dxf>
    <dxf>
      <numFmt numFmtId="1161" formatCode="#,##0 &quot;FCFA&quot;"/>
    </dxf>
    <dxf>
      <numFmt numFmtId="1162" formatCode="#,##0 &quot;FCFA&quot;"/>
    </dxf>
    <dxf>
      <numFmt numFmtId="1163" formatCode="#,##0 &quot;€&quot;"/>
    </dxf>
    <dxf>
      <numFmt numFmtId="1164" formatCode="&quot;$&quot; #,##0"/>
    </dxf>
    <dxf>
      <numFmt numFmtId="1165" formatCode="&quot;£&quot; #,##0"/>
    </dxf>
    <dxf>
      <numFmt numFmtId="1166" formatCode="&quot;C$&quot; #,##0"/>
    </dxf>
    <dxf>
      <numFmt numFmtId="1167" formatCode="#,##0 &quot;CHF&quot;"/>
    </dxf>
    <dxf>
      <numFmt numFmtId="1168" formatCode="#,##0 &quot;DH&quot;"/>
    </dxf>
    <dxf>
      <numFmt numFmtId="1169" formatCode="&quot;₦&quot; #,##0"/>
    </dxf>
    <dxf>
      <numFmt numFmtId="1170" formatCode="&quot;₵&quot; #,##0"/>
    </dxf>
    <dxf>
      <numFmt numFmtId="1171" formatCode="#,##0 &quot;FC&quot;"/>
    </dxf>
    <dxf>
      <numFmt numFmtId="1172" formatCode="&quot;R&quot; #,##0"/>
    </dxf>
    <dxf>
      <numFmt numFmtId="1173" formatCode="#,##0 &quot;AED&quot;"/>
    </dxf>
    <dxf>
      <numFmt numFmtId="1174" formatCode="#,##0 &quot;MRU&quot;"/>
    </dxf>
    <dxf>
      <numFmt numFmtId="1175" formatCode="#,##0 &quot;GNF&quot;"/>
    </dxf>
    <dxf>
      <numFmt numFmtId="1176" formatCode="#,##0 &quot;FCFA&quot;;-#,##0 &quot;FCFA&quot;;"/>
    </dxf>
    <dxf>
      <numFmt numFmtId="1177" formatCode="#,##0 &quot;FCFA&quot;;-#,##0 &quot;FCFA&quot;;"/>
    </dxf>
    <dxf>
      <numFmt numFmtId="1178" formatCode="#,##0 &quot;€&quot;;-#,##0 &quot;€&quot;;"/>
    </dxf>
    <dxf>
      <numFmt numFmtId="1179" formatCode="&quot;$&quot; #,##0;-&quot;$&quot; #,##0;"/>
    </dxf>
    <dxf>
      <numFmt numFmtId="1180" formatCode="&quot;£&quot; #,##0;-&quot;£&quot; #,##0;"/>
    </dxf>
    <dxf>
      <numFmt numFmtId="1181" formatCode="&quot;C$&quot; #,##0;-&quot;C$&quot; #,##0;"/>
    </dxf>
    <dxf>
      <numFmt numFmtId="1182" formatCode="#,##0 &quot;CHF&quot;;-#,##0 &quot;CHF&quot;;"/>
    </dxf>
    <dxf>
      <numFmt numFmtId="1183" formatCode="#,##0 &quot;DH&quot;;-#,##0 &quot;DH&quot;;"/>
    </dxf>
    <dxf>
      <numFmt numFmtId="1184" formatCode="&quot;₦&quot; #,##0;-&quot;₦&quot; #,##0;"/>
    </dxf>
    <dxf>
      <numFmt numFmtId="1185" formatCode="&quot;₵&quot; #,##0;-&quot;₵&quot; #,##0;"/>
    </dxf>
    <dxf>
      <numFmt numFmtId="1186" formatCode="#,##0 &quot;FC&quot;;-#,##0 &quot;FC&quot;;"/>
    </dxf>
    <dxf>
      <numFmt numFmtId="1187" formatCode="&quot;R&quot; #,##0;-&quot;R&quot; #,##0;"/>
    </dxf>
    <dxf>
      <numFmt numFmtId="1188" formatCode="#,##0 &quot;AED&quot;;-#,##0 &quot;AED&quot;;"/>
    </dxf>
    <dxf>
      <numFmt numFmtId="1189" formatCode="#,##0 &quot;MRU&quot;;-#,##0 &quot;MRU&quot;;"/>
    </dxf>
    <dxf>
      <numFmt numFmtId="1190" formatCode="#,##0 &quot;GNF&quot;;-#,##0 &quot;GNF&quot;;"/>
    </dxf>
    <dxf>
      <numFmt numFmtId="1191" formatCode="#,##0 &quot;FCFA&quot;"/>
    </dxf>
    <dxf>
      <numFmt numFmtId="1192" formatCode="#,##0 &quot;FCFA&quot;"/>
    </dxf>
    <dxf>
      <numFmt numFmtId="1193" formatCode="#,##0 &quot;€&quot;"/>
    </dxf>
    <dxf>
      <numFmt numFmtId="1194" formatCode="&quot;$&quot; #,##0"/>
    </dxf>
    <dxf>
      <numFmt numFmtId="1195" formatCode="&quot;£&quot; #,##0"/>
    </dxf>
    <dxf>
      <numFmt numFmtId="1196" formatCode="&quot;C$&quot; #,##0"/>
    </dxf>
    <dxf>
      <numFmt numFmtId="1197" formatCode="#,##0 &quot;CHF&quot;"/>
    </dxf>
    <dxf>
      <numFmt numFmtId="1198" formatCode="#,##0 &quot;DH&quot;"/>
    </dxf>
    <dxf>
      <numFmt numFmtId="1199" formatCode="&quot;₦&quot; #,##0"/>
    </dxf>
    <dxf>
      <numFmt numFmtId="1200" formatCode="&quot;₵&quot; #,##0"/>
    </dxf>
    <dxf>
      <numFmt numFmtId="1201" formatCode="#,##0 &quot;FC&quot;"/>
    </dxf>
    <dxf>
      <numFmt numFmtId="1202" formatCode="&quot;R&quot; #,##0"/>
    </dxf>
    <dxf>
      <numFmt numFmtId="1203" formatCode="#,##0 &quot;AED&quot;"/>
    </dxf>
    <dxf>
      <numFmt numFmtId="1204" formatCode="#,##0 &quot;MRU&quot;"/>
    </dxf>
    <dxf>
      <numFmt numFmtId="1205" formatCode="#,##0 &quot;GNF&quot;"/>
    </dxf>
    <dxf>
      <numFmt numFmtId="1206" formatCode="#,##0 &quot;FCFA&quot;;-#,##0 &quot;FCFA&quot;;"/>
    </dxf>
    <dxf>
      <numFmt numFmtId="1207" formatCode="#,##0 &quot;FCFA&quot;;-#,##0 &quot;FCFA&quot;;"/>
    </dxf>
    <dxf>
      <numFmt numFmtId="1208" formatCode="#,##0 &quot;€&quot;;-#,##0 &quot;€&quot;;"/>
    </dxf>
    <dxf>
      <numFmt numFmtId="1209" formatCode="&quot;$&quot; #,##0;-&quot;$&quot; #,##0;"/>
    </dxf>
    <dxf>
      <numFmt numFmtId="1210" formatCode="&quot;£&quot; #,##0;-&quot;£&quot; #,##0;"/>
    </dxf>
    <dxf>
      <numFmt numFmtId="1211" formatCode="&quot;C$&quot; #,##0;-&quot;C$&quot; #,##0;"/>
    </dxf>
    <dxf>
      <numFmt numFmtId="1212" formatCode="#,##0 &quot;CHF&quot;;-#,##0 &quot;CHF&quot;;"/>
    </dxf>
    <dxf>
      <numFmt numFmtId="1213" formatCode="#,##0 &quot;DH&quot;;-#,##0 &quot;DH&quot;;"/>
    </dxf>
    <dxf>
      <numFmt numFmtId="1214" formatCode="&quot;₦&quot; #,##0;-&quot;₦&quot; #,##0;"/>
    </dxf>
    <dxf>
      <numFmt numFmtId="1215" formatCode="&quot;₵&quot; #,##0;-&quot;₵&quot; #,##0;"/>
    </dxf>
    <dxf>
      <numFmt numFmtId="1216" formatCode="#,##0 &quot;FC&quot;;-#,##0 &quot;FC&quot;;"/>
    </dxf>
    <dxf>
      <numFmt numFmtId="1217" formatCode="&quot;R&quot; #,##0;-&quot;R&quot; #,##0;"/>
    </dxf>
    <dxf>
      <numFmt numFmtId="1218" formatCode="#,##0 &quot;AED&quot;;-#,##0 &quot;AED&quot;;"/>
    </dxf>
    <dxf>
      <numFmt numFmtId="1219" formatCode="#,##0 &quot;MRU&quot;;-#,##0 &quot;MRU&quot;;"/>
    </dxf>
    <dxf>
      <numFmt numFmtId="1220" formatCode="#,##0 &quot;GNF&quot;;-#,##0 &quot;GNF&quot;;"/>
    </dxf>
    <dxf>
      <numFmt numFmtId="1221" formatCode="#,##0 &quot;FCFA&quot;"/>
    </dxf>
    <dxf>
      <numFmt numFmtId="1222" formatCode="#,##0 &quot;FCFA&quot;"/>
    </dxf>
    <dxf>
      <numFmt numFmtId="1223" formatCode="#,##0 &quot;€&quot;"/>
    </dxf>
    <dxf>
      <numFmt numFmtId="1224" formatCode="&quot;$&quot; #,##0"/>
    </dxf>
    <dxf>
      <numFmt numFmtId="1225" formatCode="&quot;£&quot; #,##0"/>
    </dxf>
    <dxf>
      <numFmt numFmtId="1226" formatCode="&quot;C$&quot; #,##0"/>
    </dxf>
    <dxf>
      <numFmt numFmtId="1227" formatCode="#,##0 &quot;CHF&quot;"/>
    </dxf>
    <dxf>
      <numFmt numFmtId="1228" formatCode="#,##0 &quot;DH&quot;"/>
    </dxf>
    <dxf>
      <numFmt numFmtId="1229" formatCode="&quot;₦&quot; #,##0"/>
    </dxf>
    <dxf>
      <numFmt numFmtId="1230" formatCode="&quot;₵&quot; #,##0"/>
    </dxf>
    <dxf>
      <numFmt numFmtId="1231" formatCode="#,##0 &quot;FC&quot;"/>
    </dxf>
    <dxf>
      <numFmt numFmtId="1232" formatCode="&quot;R&quot; #,##0"/>
    </dxf>
    <dxf>
      <numFmt numFmtId="1233" formatCode="#,##0 &quot;AED&quot;"/>
    </dxf>
    <dxf>
      <numFmt numFmtId="1234" formatCode="#,##0 &quot;MRU&quot;"/>
    </dxf>
    <dxf>
      <numFmt numFmtId="1235" formatCode="#,##0 &quot;GNF&quot;"/>
    </dxf>
    <dxf>
      <numFmt numFmtId="651" formatCode="#,##0 &quot;FCFA&quot;"/>
    </dxf>
    <dxf>
      <numFmt numFmtId="652" formatCode="#,##0 &quot;FCFA&quot;"/>
    </dxf>
    <dxf>
      <numFmt numFmtId="653" formatCode="#,##0 &quot;€&quot;"/>
    </dxf>
    <dxf>
      <numFmt numFmtId="654" formatCode="&quot;$&quot; #,##0"/>
    </dxf>
    <dxf>
      <numFmt numFmtId="655" formatCode="&quot;£&quot; #,##0"/>
    </dxf>
    <dxf>
      <numFmt numFmtId="656" formatCode="&quot;C$&quot; #,##0"/>
    </dxf>
    <dxf>
      <numFmt numFmtId="657" formatCode="#,##0 &quot;CHF&quot;"/>
    </dxf>
    <dxf>
      <numFmt numFmtId="658" formatCode="#,##0 &quot;DH&quot;"/>
    </dxf>
    <dxf>
      <numFmt numFmtId="659" formatCode="&quot;₦&quot; #,##0"/>
    </dxf>
    <dxf>
      <numFmt numFmtId="660" formatCode="&quot;₵&quot; #,##0"/>
    </dxf>
    <dxf>
      <numFmt numFmtId="661" formatCode="#,##0 &quot;FC&quot;"/>
    </dxf>
    <dxf>
      <numFmt numFmtId="662" formatCode="&quot;R&quot; #,##0"/>
    </dxf>
    <dxf>
      <numFmt numFmtId="663" formatCode="#,##0 &quot;AED&quot;"/>
    </dxf>
    <dxf>
      <numFmt numFmtId="664" formatCode="#,##0 &quot;MRU&quot;"/>
    </dxf>
    <dxf>
      <numFmt numFmtId="665" formatCode="#,##0 &quot;GNF&quot;"/>
    </dxf>
    <dxf>
      <numFmt numFmtId="666" formatCode="#,##0 &quot;FCFA&quot;"/>
    </dxf>
    <dxf>
      <numFmt numFmtId="667" formatCode="#,##0 &quot;FCFA&quot;"/>
    </dxf>
    <dxf>
      <numFmt numFmtId="668" formatCode="#,##0 &quot;€&quot;"/>
    </dxf>
    <dxf>
      <numFmt numFmtId="669" formatCode="&quot;$&quot; #,##0"/>
    </dxf>
    <dxf>
      <numFmt numFmtId="670" formatCode="&quot;£&quot; #,##0"/>
    </dxf>
    <dxf>
      <numFmt numFmtId="671" formatCode="&quot;C$&quot; #,##0"/>
    </dxf>
    <dxf>
      <numFmt numFmtId="672" formatCode="#,##0 &quot;CHF&quot;"/>
    </dxf>
    <dxf>
      <numFmt numFmtId="673" formatCode="#,##0 &quot;DH&quot;"/>
    </dxf>
    <dxf>
      <numFmt numFmtId="674" formatCode="&quot;₦&quot; #,##0"/>
    </dxf>
    <dxf>
      <numFmt numFmtId="675" formatCode="&quot;₵&quot; #,##0"/>
    </dxf>
    <dxf>
      <numFmt numFmtId="676" formatCode="#,##0 &quot;FC&quot;"/>
    </dxf>
    <dxf>
      <numFmt numFmtId="677" formatCode="&quot;R&quot; #,##0"/>
    </dxf>
    <dxf>
      <numFmt numFmtId="678" formatCode="#,##0 &quot;AED&quot;"/>
    </dxf>
    <dxf>
      <numFmt numFmtId="679" formatCode="#,##0 &quot;MRU&quot;"/>
    </dxf>
    <dxf>
      <numFmt numFmtId="680" formatCode="#,##0 &quot;GNF&quot;"/>
    </dxf>
    <dxf>
      <numFmt numFmtId="681" formatCode="#,##0 &quot;FCFA&quot;"/>
    </dxf>
    <dxf>
      <numFmt numFmtId="682" formatCode="#,##0 &quot;FCFA&quot;"/>
    </dxf>
    <dxf>
      <numFmt numFmtId="683" formatCode="#,##0 &quot;€&quot;"/>
    </dxf>
    <dxf>
      <numFmt numFmtId="684" formatCode="&quot;$&quot; #,##0"/>
    </dxf>
    <dxf>
      <numFmt numFmtId="685" formatCode="&quot;£&quot; #,##0"/>
    </dxf>
    <dxf>
      <numFmt numFmtId="686" formatCode="&quot;C$&quot; #,##0"/>
    </dxf>
    <dxf>
      <numFmt numFmtId="687" formatCode="#,##0 &quot;CHF&quot;"/>
    </dxf>
    <dxf>
      <numFmt numFmtId="688" formatCode="#,##0 &quot;DH&quot;"/>
    </dxf>
    <dxf>
      <numFmt numFmtId="689" formatCode="&quot;₦&quot; #,##0"/>
    </dxf>
    <dxf>
      <numFmt numFmtId="690" formatCode="&quot;₵&quot; #,##0"/>
    </dxf>
    <dxf>
      <numFmt numFmtId="691" formatCode="#,##0 &quot;FC&quot;"/>
    </dxf>
    <dxf>
      <numFmt numFmtId="692" formatCode="&quot;R&quot; #,##0"/>
    </dxf>
    <dxf>
      <numFmt numFmtId="693" formatCode="#,##0 &quot;AED&quot;"/>
    </dxf>
    <dxf>
      <numFmt numFmtId="694" formatCode="#,##0 &quot;MRU&quot;"/>
    </dxf>
    <dxf>
      <numFmt numFmtId="695" formatCode="#,##0 &quot;GNF&quot;"/>
    </dxf>
    <dxf>
      <numFmt numFmtId="696" formatCode="#,##0 &quot;FCFA&quot;"/>
    </dxf>
    <dxf>
      <numFmt numFmtId="697" formatCode="#,##0 &quot;FCFA&quot;"/>
    </dxf>
    <dxf>
      <numFmt numFmtId="698" formatCode="#,##0 &quot;€&quot;"/>
    </dxf>
    <dxf>
      <numFmt numFmtId="699" formatCode="&quot;$&quot; #,##0"/>
    </dxf>
    <dxf>
      <numFmt numFmtId="700" formatCode="&quot;£&quot; #,##0"/>
    </dxf>
    <dxf>
      <numFmt numFmtId="701" formatCode="&quot;C$&quot; #,##0"/>
    </dxf>
    <dxf>
      <numFmt numFmtId="702" formatCode="#,##0 &quot;CHF&quot;"/>
    </dxf>
    <dxf>
      <numFmt numFmtId="703" formatCode="#,##0 &quot;DH&quot;"/>
    </dxf>
    <dxf>
      <numFmt numFmtId="704" formatCode="&quot;₦&quot; #,##0"/>
    </dxf>
    <dxf>
      <numFmt numFmtId="705" formatCode="&quot;₵&quot; #,##0"/>
    </dxf>
    <dxf>
      <numFmt numFmtId="706" formatCode="#,##0 &quot;FC&quot;"/>
    </dxf>
    <dxf>
      <numFmt numFmtId="707" formatCode="&quot;R&quot; #,##0"/>
    </dxf>
    <dxf>
      <numFmt numFmtId="708" formatCode="#,##0 &quot;AED&quot;"/>
    </dxf>
    <dxf>
      <numFmt numFmtId="709" formatCode="#,##0 &quot;MRU&quot;"/>
    </dxf>
    <dxf>
      <numFmt numFmtId="710" formatCode="#,##0 &quot;GNF&quot;"/>
    </dxf>
    <dxf>
      <numFmt numFmtId="711" formatCode="#,##0 &quot;FCFA&quot;"/>
    </dxf>
    <dxf>
      <numFmt numFmtId="712" formatCode="#,##0 &quot;FCFA&quot;"/>
    </dxf>
    <dxf>
      <numFmt numFmtId="713" formatCode="#,##0 &quot;€&quot;"/>
    </dxf>
    <dxf>
      <numFmt numFmtId="714" formatCode="&quot;$&quot; #,##0"/>
    </dxf>
    <dxf>
      <numFmt numFmtId="715" formatCode="&quot;£&quot; #,##0"/>
    </dxf>
    <dxf>
      <numFmt numFmtId="716" formatCode="&quot;C$&quot; #,##0"/>
    </dxf>
    <dxf>
      <numFmt numFmtId="717" formatCode="#,##0 &quot;CHF&quot;"/>
    </dxf>
    <dxf>
      <numFmt numFmtId="718" formatCode="#,##0 &quot;DH&quot;"/>
    </dxf>
    <dxf>
      <numFmt numFmtId="719" formatCode="&quot;₦&quot; #,##0"/>
    </dxf>
    <dxf>
      <numFmt numFmtId="720" formatCode="&quot;₵&quot; #,##0"/>
    </dxf>
    <dxf>
      <numFmt numFmtId="721" formatCode="#,##0 &quot;FC&quot;"/>
    </dxf>
    <dxf>
      <numFmt numFmtId="722" formatCode="&quot;R&quot; #,##0"/>
    </dxf>
    <dxf>
      <numFmt numFmtId="723" formatCode="#,##0 &quot;AED&quot;"/>
    </dxf>
    <dxf>
      <numFmt numFmtId="724" formatCode="#,##0 &quot;MRU&quot;"/>
    </dxf>
    <dxf>
      <numFmt numFmtId="725" formatCode="#,##0 &quot;GNF&quot;"/>
    </dxf>
    <dxf>
      <numFmt numFmtId="726" formatCode="#,##0 &quot;FCFA&quot;"/>
    </dxf>
    <dxf>
      <numFmt numFmtId="727" formatCode="#,##0 &quot;FCFA&quot;"/>
    </dxf>
    <dxf>
      <numFmt numFmtId="728" formatCode="#,##0 &quot;€&quot;"/>
    </dxf>
    <dxf>
      <numFmt numFmtId="729" formatCode="&quot;$&quot; #,##0"/>
    </dxf>
    <dxf>
      <numFmt numFmtId="730" formatCode="&quot;£&quot; #,##0"/>
    </dxf>
    <dxf>
      <numFmt numFmtId="731" formatCode="&quot;C$&quot; #,##0"/>
    </dxf>
    <dxf>
      <numFmt numFmtId="732" formatCode="#,##0 &quot;CHF&quot;"/>
    </dxf>
    <dxf>
      <numFmt numFmtId="733" formatCode="#,##0 &quot;DH&quot;"/>
    </dxf>
    <dxf>
      <numFmt numFmtId="734" formatCode="&quot;₦&quot; #,##0"/>
    </dxf>
    <dxf>
      <numFmt numFmtId="735" formatCode="&quot;₵&quot; #,##0"/>
    </dxf>
    <dxf>
      <numFmt numFmtId="736" formatCode="#,##0 &quot;FC&quot;"/>
    </dxf>
    <dxf>
      <numFmt numFmtId="737" formatCode="&quot;R&quot; #,##0"/>
    </dxf>
    <dxf>
      <numFmt numFmtId="738" formatCode="#,##0 &quot;AED&quot;"/>
    </dxf>
    <dxf>
      <numFmt numFmtId="739" formatCode="#,##0 &quot;MRU&quot;"/>
    </dxf>
    <dxf>
      <numFmt numFmtId="740" formatCode="#,##0 &quot;GNF&quot;"/>
    </dxf>
    <dxf>
      <numFmt numFmtId="741" formatCode="#,##0 &quot;FCFA&quot;"/>
    </dxf>
    <dxf>
      <numFmt numFmtId="742" formatCode="#,##0 &quot;FCFA&quot;"/>
    </dxf>
    <dxf>
      <numFmt numFmtId="743" formatCode="#,##0 &quot;€&quot;"/>
    </dxf>
    <dxf>
      <numFmt numFmtId="744" formatCode="&quot;$&quot; #,##0"/>
    </dxf>
    <dxf>
      <numFmt numFmtId="745" formatCode="&quot;£&quot; #,##0"/>
    </dxf>
    <dxf>
      <numFmt numFmtId="746" formatCode="&quot;C$&quot; #,##0"/>
    </dxf>
    <dxf>
      <numFmt numFmtId="747" formatCode="#,##0 &quot;CHF&quot;"/>
    </dxf>
    <dxf>
      <numFmt numFmtId="748" formatCode="#,##0 &quot;DH&quot;"/>
    </dxf>
    <dxf>
      <numFmt numFmtId="749" formatCode="&quot;₦&quot; #,##0"/>
    </dxf>
    <dxf>
      <numFmt numFmtId="750" formatCode="&quot;₵&quot; #,##0"/>
    </dxf>
    <dxf>
      <numFmt numFmtId="751" formatCode="#,##0 &quot;FC&quot;"/>
    </dxf>
    <dxf>
      <numFmt numFmtId="752" formatCode="&quot;R&quot; #,##0"/>
    </dxf>
    <dxf>
      <numFmt numFmtId="753" formatCode="#,##0 &quot;AED&quot;"/>
    </dxf>
    <dxf>
      <numFmt numFmtId="754" formatCode="#,##0 &quot;MRU&quot;"/>
    </dxf>
    <dxf>
      <numFmt numFmtId="755" formatCode="#,##0 &quot;GNF&quot;"/>
    </dxf>
    <dxf>
      <numFmt numFmtId="756" formatCode="#,##0 &quot;FCFA&quot;"/>
    </dxf>
    <dxf>
      <numFmt numFmtId="757" formatCode="#,##0 &quot;FCFA&quot;"/>
    </dxf>
    <dxf>
      <numFmt numFmtId="758" formatCode="#,##0 &quot;€&quot;"/>
    </dxf>
    <dxf>
      <numFmt numFmtId="759" formatCode="&quot;$&quot; #,##0"/>
    </dxf>
    <dxf>
      <numFmt numFmtId="760" formatCode="&quot;£&quot; #,##0"/>
    </dxf>
    <dxf>
      <numFmt numFmtId="761" formatCode="&quot;C$&quot; #,##0"/>
    </dxf>
    <dxf>
      <numFmt numFmtId="762" formatCode="#,##0 &quot;CHF&quot;"/>
    </dxf>
    <dxf>
      <numFmt numFmtId="763" formatCode="#,##0 &quot;DH&quot;"/>
    </dxf>
    <dxf>
      <numFmt numFmtId="764" formatCode="&quot;₦&quot; #,##0"/>
    </dxf>
    <dxf>
      <numFmt numFmtId="765" formatCode="&quot;₵&quot; #,##0"/>
    </dxf>
    <dxf>
      <numFmt numFmtId="766" formatCode="#,##0 &quot;FC&quot;"/>
    </dxf>
    <dxf>
      <numFmt numFmtId="767" formatCode="&quot;R&quot; #,##0"/>
    </dxf>
    <dxf>
      <numFmt numFmtId="768" formatCode="#,##0 &quot;AED&quot;"/>
    </dxf>
    <dxf>
      <numFmt numFmtId="769" formatCode="#,##0 &quot;MRU&quot;"/>
    </dxf>
    <dxf>
      <numFmt numFmtId="770" formatCode="#,##0 &quot;GNF&quot;"/>
    </dxf>
    <dxf>
      <numFmt numFmtId="771" formatCode="#,##0 &quot;FCFA&quot;"/>
    </dxf>
    <dxf>
      <numFmt numFmtId="772" formatCode="#,##0 &quot;FCFA&quot;"/>
    </dxf>
    <dxf>
      <numFmt numFmtId="773" formatCode="#,##0 &quot;€&quot;"/>
    </dxf>
    <dxf>
      <numFmt numFmtId="774" formatCode="&quot;$&quot; #,##0"/>
    </dxf>
    <dxf>
      <numFmt numFmtId="775" formatCode="&quot;£&quot; #,##0"/>
    </dxf>
    <dxf>
      <numFmt numFmtId="776" formatCode="&quot;C$&quot; #,##0"/>
    </dxf>
    <dxf>
      <numFmt numFmtId="777" formatCode="#,##0 &quot;CHF&quot;"/>
    </dxf>
    <dxf>
      <numFmt numFmtId="778" formatCode="#,##0 &quot;DH&quot;"/>
    </dxf>
    <dxf>
      <numFmt numFmtId="779" formatCode="&quot;₦&quot; #,##0"/>
    </dxf>
    <dxf>
      <numFmt numFmtId="780" formatCode="&quot;₵&quot; #,##0"/>
    </dxf>
    <dxf>
      <numFmt numFmtId="781" formatCode="#,##0 &quot;FC&quot;"/>
    </dxf>
    <dxf>
      <numFmt numFmtId="782" formatCode="&quot;R&quot; #,##0"/>
    </dxf>
    <dxf>
      <numFmt numFmtId="783" formatCode="#,##0 &quot;AED&quot;"/>
    </dxf>
    <dxf>
      <numFmt numFmtId="784" formatCode="#,##0 &quot;MRU&quot;"/>
    </dxf>
    <dxf>
      <numFmt numFmtId="785" formatCode="#,##0 &quot;GNF&quot;"/>
    </dxf>
    <dxf>
      <numFmt numFmtId="786" formatCode="#,##0 &quot;FCFA&quot;"/>
    </dxf>
    <dxf>
      <numFmt numFmtId="787" formatCode="#,##0 &quot;FCFA&quot;"/>
    </dxf>
    <dxf>
      <numFmt numFmtId="788" formatCode="#,##0 &quot;€&quot;"/>
    </dxf>
    <dxf>
      <numFmt numFmtId="789" formatCode="&quot;$&quot; #,##0"/>
    </dxf>
    <dxf>
      <numFmt numFmtId="790" formatCode="&quot;£&quot; #,##0"/>
    </dxf>
    <dxf>
      <numFmt numFmtId="791" formatCode="&quot;C$&quot; #,##0"/>
    </dxf>
    <dxf>
      <numFmt numFmtId="792" formatCode="#,##0 &quot;CHF&quot;"/>
    </dxf>
    <dxf>
      <numFmt numFmtId="793" formatCode="#,##0 &quot;DH&quot;"/>
    </dxf>
    <dxf>
      <numFmt numFmtId="794" formatCode="&quot;₦&quot; #,##0"/>
    </dxf>
    <dxf>
      <numFmt numFmtId="795" formatCode="&quot;₵&quot; #,##0"/>
    </dxf>
    <dxf>
      <numFmt numFmtId="796" formatCode="#,##0 &quot;FC&quot;"/>
    </dxf>
    <dxf>
      <numFmt numFmtId="797" formatCode="&quot;R&quot; #,##0"/>
    </dxf>
    <dxf>
      <numFmt numFmtId="798" formatCode="#,##0 &quot;AED&quot;"/>
    </dxf>
    <dxf>
      <numFmt numFmtId="799" formatCode="#,##0 &quot;MRU&quot;"/>
    </dxf>
    <dxf>
      <numFmt numFmtId="800" formatCode="#,##0 &quot;GNF&quot;"/>
    </dxf>
    <dxf>
      <numFmt numFmtId="801" formatCode="#,##0 &quot;FCFA&quot;"/>
    </dxf>
    <dxf>
      <numFmt numFmtId="802" formatCode="#,##0 &quot;FCFA&quot;"/>
    </dxf>
    <dxf>
      <numFmt numFmtId="803" formatCode="#,##0 &quot;€&quot;"/>
    </dxf>
    <dxf>
      <numFmt numFmtId="804" formatCode="&quot;$&quot; #,##0"/>
    </dxf>
    <dxf>
      <numFmt numFmtId="805" formatCode="&quot;£&quot; #,##0"/>
    </dxf>
    <dxf>
      <numFmt numFmtId="806" formatCode="&quot;C$&quot; #,##0"/>
    </dxf>
    <dxf>
      <numFmt numFmtId="807" formatCode="#,##0 &quot;CHF&quot;"/>
    </dxf>
    <dxf>
      <numFmt numFmtId="808" formatCode="#,##0 &quot;DH&quot;"/>
    </dxf>
    <dxf>
      <numFmt numFmtId="809" formatCode="&quot;₦&quot; #,##0"/>
    </dxf>
    <dxf>
      <numFmt numFmtId="810" formatCode="&quot;₵&quot; #,##0"/>
    </dxf>
    <dxf>
      <numFmt numFmtId="811" formatCode="#,##0 &quot;FC&quot;"/>
    </dxf>
    <dxf>
      <numFmt numFmtId="812" formatCode="&quot;R&quot; #,##0"/>
    </dxf>
    <dxf>
      <numFmt numFmtId="813" formatCode="#,##0 &quot;AED&quot;"/>
    </dxf>
    <dxf>
      <numFmt numFmtId="814" formatCode="#,##0 &quot;MRU&quot;"/>
    </dxf>
    <dxf>
      <numFmt numFmtId="815" formatCode="#,##0 &quot;GNF&quot;"/>
    </dxf>
    <dxf>
      <numFmt numFmtId="816" formatCode="#,##0 &quot;FCFA&quot;"/>
    </dxf>
    <dxf>
      <numFmt numFmtId="817" formatCode="#,##0 &quot;FCFA&quot;"/>
    </dxf>
    <dxf>
      <numFmt numFmtId="818" formatCode="#,##0 &quot;€&quot;"/>
    </dxf>
    <dxf>
      <numFmt numFmtId="819" formatCode="&quot;$&quot; #,##0"/>
    </dxf>
    <dxf>
      <numFmt numFmtId="820" formatCode="&quot;£&quot; #,##0"/>
    </dxf>
    <dxf>
      <numFmt numFmtId="821" formatCode="&quot;C$&quot; #,##0"/>
    </dxf>
    <dxf>
      <numFmt numFmtId="822" formatCode="#,##0 &quot;CHF&quot;"/>
    </dxf>
    <dxf>
      <numFmt numFmtId="823" formatCode="#,##0 &quot;DH&quot;"/>
    </dxf>
    <dxf>
      <numFmt numFmtId="824" formatCode="&quot;₦&quot; #,##0"/>
    </dxf>
    <dxf>
      <numFmt numFmtId="825" formatCode="&quot;₵&quot; #,##0"/>
    </dxf>
    <dxf>
      <numFmt numFmtId="826" formatCode="#,##0 &quot;FC&quot;"/>
    </dxf>
    <dxf>
      <numFmt numFmtId="827" formatCode="&quot;R&quot; #,##0"/>
    </dxf>
    <dxf>
      <numFmt numFmtId="828" formatCode="#,##0 &quot;AED&quot;"/>
    </dxf>
    <dxf>
      <numFmt numFmtId="829" formatCode="#,##0 &quot;MRU&quot;"/>
    </dxf>
    <dxf>
      <numFmt numFmtId="830" formatCode="#,##0 &quot;GNF&quot;"/>
    </dxf>
    <dxf>
      <numFmt numFmtId="831" formatCode="#,##0 &quot;FCFA&quot;"/>
    </dxf>
    <dxf>
      <numFmt numFmtId="832" formatCode="#,##0 &quot;FCFA&quot;"/>
    </dxf>
    <dxf>
      <numFmt numFmtId="833" formatCode="#,##0 &quot;€&quot;"/>
    </dxf>
    <dxf>
      <numFmt numFmtId="834" formatCode="&quot;$&quot; #,##0"/>
    </dxf>
    <dxf>
      <numFmt numFmtId="835" formatCode="&quot;£&quot; #,##0"/>
    </dxf>
    <dxf>
      <numFmt numFmtId="836" formatCode="&quot;C$&quot; #,##0"/>
    </dxf>
    <dxf>
      <numFmt numFmtId="837" formatCode="#,##0 &quot;CHF&quot;"/>
    </dxf>
    <dxf>
      <numFmt numFmtId="838" formatCode="#,##0 &quot;DH&quot;"/>
    </dxf>
    <dxf>
      <numFmt numFmtId="839" formatCode="&quot;₦&quot; #,##0"/>
    </dxf>
    <dxf>
      <numFmt numFmtId="840" formatCode="&quot;₵&quot; #,##0"/>
    </dxf>
    <dxf>
      <numFmt numFmtId="841" formatCode="#,##0 &quot;FC&quot;"/>
    </dxf>
    <dxf>
      <numFmt numFmtId="842" formatCode="&quot;R&quot; #,##0"/>
    </dxf>
    <dxf>
      <numFmt numFmtId="843" formatCode="#,##0 &quot;AED&quot;"/>
    </dxf>
    <dxf>
      <numFmt numFmtId="844" formatCode="#,##0 &quot;MRU&quot;"/>
    </dxf>
    <dxf>
      <numFmt numFmtId="845" formatCode="#,##0 &quot;GNF&quot;"/>
    </dxf>
    <dxf>
      <numFmt numFmtId="1236" formatCode="#,##0 &quot;FCFA&quot;"/>
    </dxf>
    <dxf>
      <numFmt numFmtId="1237" formatCode="#,##0 &quot;FCFA&quot;"/>
    </dxf>
    <dxf>
      <numFmt numFmtId="1238" formatCode="#,##0 &quot;€&quot;"/>
    </dxf>
    <dxf>
      <numFmt numFmtId="1239" formatCode="&quot;$&quot; #,##0"/>
    </dxf>
    <dxf>
      <numFmt numFmtId="1240" formatCode="&quot;£&quot; #,##0"/>
    </dxf>
    <dxf>
      <numFmt numFmtId="1241" formatCode="&quot;C$&quot; #,##0"/>
    </dxf>
    <dxf>
      <numFmt numFmtId="1242" formatCode="#,##0 &quot;CHF&quot;"/>
    </dxf>
    <dxf>
      <numFmt numFmtId="1243" formatCode="#,##0 &quot;DH&quot;"/>
    </dxf>
    <dxf>
      <numFmt numFmtId="1244" formatCode="&quot;₦&quot; #,##0"/>
    </dxf>
    <dxf>
      <numFmt numFmtId="1245" formatCode="&quot;₵&quot; #,##0"/>
    </dxf>
    <dxf>
      <numFmt numFmtId="1246" formatCode="#,##0 &quot;FC&quot;"/>
    </dxf>
    <dxf>
      <numFmt numFmtId="1247" formatCode="&quot;R&quot; #,##0"/>
    </dxf>
    <dxf>
      <numFmt numFmtId="1248" formatCode="#,##0 &quot;AED&quot;"/>
    </dxf>
    <dxf>
      <numFmt numFmtId="1249" formatCode="#,##0 &quot;MRU&quot;"/>
    </dxf>
    <dxf>
      <numFmt numFmtId="1250" formatCode="#,##0 &quot;GNF&quot;"/>
    </dxf>
    <dxf>
      <numFmt numFmtId="1251" formatCode="#,##0 &quot;FCFA&quot;"/>
    </dxf>
    <dxf>
      <numFmt numFmtId="1252" formatCode="#,##0 &quot;FCFA&quot;"/>
    </dxf>
    <dxf>
      <numFmt numFmtId="1253" formatCode="#,##0 &quot;€&quot;"/>
    </dxf>
    <dxf>
      <numFmt numFmtId="1254" formatCode="&quot;$&quot; #,##0"/>
    </dxf>
    <dxf>
      <numFmt numFmtId="1255" formatCode="&quot;£&quot; #,##0"/>
    </dxf>
    <dxf>
      <numFmt numFmtId="1256" formatCode="&quot;C$&quot; #,##0"/>
    </dxf>
    <dxf>
      <numFmt numFmtId="1257" formatCode="#,##0 &quot;CHF&quot;"/>
    </dxf>
    <dxf>
      <numFmt numFmtId="1258" formatCode="#,##0 &quot;DH&quot;"/>
    </dxf>
    <dxf>
      <numFmt numFmtId="1259" formatCode="&quot;₦&quot; #,##0"/>
    </dxf>
    <dxf>
      <numFmt numFmtId="1260" formatCode="&quot;₵&quot; #,##0"/>
    </dxf>
    <dxf>
      <numFmt numFmtId="1261" formatCode="#,##0 &quot;FC&quot;"/>
    </dxf>
    <dxf>
      <numFmt numFmtId="1262" formatCode="&quot;R&quot; #,##0"/>
    </dxf>
    <dxf>
      <numFmt numFmtId="1263" formatCode="#,##0 &quot;AED&quot;"/>
    </dxf>
    <dxf>
      <numFmt numFmtId="1264" formatCode="#,##0 &quot;MRU&quot;"/>
    </dxf>
    <dxf>
      <numFmt numFmtId="1265" formatCode="#,##0 &quot;GNF&quot;"/>
    </dxf>
    <dxf>
      <numFmt numFmtId="1266" formatCode="#,##0 &quot;FCFA&quot;"/>
    </dxf>
    <dxf>
      <numFmt numFmtId="1267" formatCode="#,##0 &quot;FCFA&quot;"/>
    </dxf>
    <dxf>
      <numFmt numFmtId="1268" formatCode="#,##0 &quot;€&quot;"/>
    </dxf>
    <dxf>
      <numFmt numFmtId="1269" formatCode="&quot;$&quot; #,##0"/>
    </dxf>
    <dxf>
      <numFmt numFmtId="1270" formatCode="&quot;£&quot; #,##0"/>
    </dxf>
    <dxf>
      <numFmt numFmtId="1271" formatCode="&quot;C$&quot; #,##0"/>
    </dxf>
    <dxf>
      <numFmt numFmtId="1272" formatCode="#,##0 &quot;CHF&quot;"/>
    </dxf>
    <dxf>
      <numFmt numFmtId="1273" formatCode="#,##0 &quot;DH&quot;"/>
    </dxf>
    <dxf>
      <numFmt numFmtId="1274" formatCode="&quot;₦&quot; #,##0"/>
    </dxf>
    <dxf>
      <numFmt numFmtId="1275" formatCode="&quot;₵&quot; #,##0"/>
    </dxf>
    <dxf>
      <numFmt numFmtId="1276" formatCode="#,##0 &quot;FC&quot;"/>
    </dxf>
    <dxf>
      <numFmt numFmtId="1277" formatCode="&quot;R&quot; #,##0"/>
    </dxf>
    <dxf>
      <numFmt numFmtId="1278" formatCode="#,##0 &quot;AED&quot;"/>
    </dxf>
    <dxf>
      <numFmt numFmtId="1279" formatCode="#,##0 &quot;MRU&quot;"/>
    </dxf>
    <dxf>
      <numFmt numFmtId="1280" formatCode="#,##0 &quot;GNF&quot;"/>
    </dxf>
    <dxf>
      <numFmt numFmtId="1281" formatCode="#,##0 &quot;FCFA&quot;"/>
    </dxf>
    <dxf>
      <numFmt numFmtId="1282" formatCode="#,##0 &quot;FCFA&quot;"/>
    </dxf>
    <dxf>
      <numFmt numFmtId="1283" formatCode="#,##0 &quot;€&quot;"/>
    </dxf>
    <dxf>
      <numFmt numFmtId="1284" formatCode="&quot;$&quot; #,##0"/>
    </dxf>
    <dxf>
      <numFmt numFmtId="1285" formatCode="&quot;£&quot; #,##0"/>
    </dxf>
    <dxf>
      <numFmt numFmtId="1286" formatCode="&quot;C$&quot; #,##0"/>
    </dxf>
    <dxf>
      <numFmt numFmtId="1287" formatCode="#,##0 &quot;CHF&quot;"/>
    </dxf>
    <dxf>
      <numFmt numFmtId="1288" formatCode="#,##0 &quot;DH&quot;"/>
    </dxf>
    <dxf>
      <numFmt numFmtId="1289" formatCode="&quot;₦&quot; #,##0"/>
    </dxf>
    <dxf>
      <numFmt numFmtId="1290" formatCode="&quot;₵&quot; #,##0"/>
    </dxf>
    <dxf>
      <numFmt numFmtId="1291" formatCode="#,##0 &quot;FC&quot;"/>
    </dxf>
    <dxf>
      <numFmt numFmtId="1292" formatCode="&quot;R&quot; #,##0"/>
    </dxf>
    <dxf>
      <numFmt numFmtId="1293" formatCode="#,##0 &quot;AED&quot;"/>
    </dxf>
    <dxf>
      <numFmt numFmtId="1294" formatCode="#,##0 &quot;MRU&quot;"/>
    </dxf>
    <dxf>
      <numFmt numFmtId="1295" formatCode="#,##0 &quot;GNF&quot;"/>
    </dxf>
    <dxf>
      <numFmt numFmtId="1296" formatCode="#,##0 &quot;FCFA&quot;"/>
    </dxf>
    <dxf>
      <numFmt numFmtId="1297" formatCode="#,##0 &quot;FCFA&quot;"/>
    </dxf>
    <dxf>
      <numFmt numFmtId="1298" formatCode="#,##0 &quot;€&quot;"/>
    </dxf>
    <dxf>
      <numFmt numFmtId="1299" formatCode="&quot;$&quot; #,##0"/>
    </dxf>
    <dxf>
      <numFmt numFmtId="1300" formatCode="&quot;£&quot; #,##0"/>
    </dxf>
    <dxf>
      <numFmt numFmtId="1301" formatCode="&quot;C$&quot; #,##0"/>
    </dxf>
    <dxf>
      <numFmt numFmtId="1302" formatCode="#,##0 &quot;CHF&quot;"/>
    </dxf>
    <dxf>
      <numFmt numFmtId="1303" formatCode="#,##0 &quot;DH&quot;"/>
    </dxf>
    <dxf>
      <numFmt numFmtId="1304" formatCode="&quot;₦&quot; #,##0"/>
    </dxf>
    <dxf>
      <numFmt numFmtId="1305" formatCode="&quot;₵&quot; #,##0"/>
    </dxf>
    <dxf>
      <numFmt numFmtId="1306" formatCode="#,##0 &quot;FC&quot;"/>
    </dxf>
    <dxf>
      <numFmt numFmtId="1307" formatCode="&quot;R&quot; #,##0"/>
    </dxf>
    <dxf>
      <numFmt numFmtId="1308" formatCode="#,##0 &quot;AED&quot;"/>
    </dxf>
    <dxf>
      <numFmt numFmtId="1309" formatCode="#,##0 &quot;MRU&quot;"/>
    </dxf>
    <dxf>
      <numFmt numFmtId="1310" formatCode="#,##0 &quot;GNF&quot;"/>
    </dxf>
    <dxf>
      <numFmt numFmtId="1311" formatCode="#,##0 &quot;FCFA&quot;"/>
    </dxf>
    <dxf>
      <numFmt numFmtId="1312" formatCode="#,##0 &quot;FCFA&quot;"/>
    </dxf>
    <dxf>
      <numFmt numFmtId="1313" formatCode="#,##0 &quot;€&quot;"/>
    </dxf>
    <dxf>
      <numFmt numFmtId="1314" formatCode="&quot;$&quot; #,##0"/>
    </dxf>
    <dxf>
      <numFmt numFmtId="1315" formatCode="&quot;£&quot; #,##0"/>
    </dxf>
    <dxf>
      <numFmt numFmtId="1316" formatCode="&quot;C$&quot; #,##0"/>
    </dxf>
    <dxf>
      <numFmt numFmtId="1317" formatCode="#,##0 &quot;CHF&quot;"/>
    </dxf>
    <dxf>
      <numFmt numFmtId="1318" formatCode="#,##0 &quot;DH&quot;"/>
    </dxf>
    <dxf>
      <numFmt numFmtId="1319" formatCode="&quot;₦&quot; #,##0"/>
    </dxf>
    <dxf>
      <numFmt numFmtId="1320" formatCode="&quot;₵&quot; #,##0"/>
    </dxf>
    <dxf>
      <numFmt numFmtId="1321" formatCode="#,##0 &quot;FC&quot;"/>
    </dxf>
    <dxf>
      <numFmt numFmtId="1322" formatCode="&quot;R&quot; #,##0"/>
    </dxf>
    <dxf>
      <numFmt numFmtId="1323" formatCode="#,##0 &quot;AED&quot;"/>
    </dxf>
    <dxf>
      <numFmt numFmtId="1324" formatCode="#,##0 &quot;MRU&quot;"/>
    </dxf>
    <dxf>
      <numFmt numFmtId="1325" formatCode="#,##0 &quot;GNF&quot;"/>
    </dxf>
    <dxf>
      <numFmt numFmtId="1326" formatCode="#,##0 &quot;FCFA&quot;;-#,##0 &quot;FCFA&quot;;"/>
    </dxf>
    <dxf>
      <numFmt numFmtId="1327" formatCode="#,##0 &quot;FCFA&quot;;-#,##0 &quot;FCFA&quot;;"/>
    </dxf>
    <dxf>
      <numFmt numFmtId="1328" formatCode="#,##0 &quot;€&quot;;-#,##0 &quot;€&quot;;"/>
    </dxf>
    <dxf>
      <numFmt numFmtId="1329" formatCode="&quot;$&quot; #,##0;-&quot;$&quot; #,##0;"/>
    </dxf>
    <dxf>
      <numFmt numFmtId="1330" formatCode="&quot;£&quot; #,##0;-&quot;£&quot; #,##0;"/>
    </dxf>
    <dxf>
      <numFmt numFmtId="1331" formatCode="&quot;C$&quot; #,##0;-&quot;C$&quot; #,##0;"/>
    </dxf>
    <dxf>
      <numFmt numFmtId="1332" formatCode="#,##0 &quot;CHF&quot;;-#,##0 &quot;CHF&quot;;"/>
    </dxf>
    <dxf>
      <numFmt numFmtId="1333" formatCode="#,##0 &quot;DH&quot;;-#,##0 &quot;DH&quot;;"/>
    </dxf>
    <dxf>
      <numFmt numFmtId="1334" formatCode="&quot;₦&quot; #,##0;-&quot;₦&quot; #,##0;"/>
    </dxf>
    <dxf>
      <numFmt numFmtId="1335" formatCode="&quot;₵&quot; #,##0;-&quot;₵&quot; #,##0;"/>
    </dxf>
    <dxf>
      <numFmt numFmtId="1336" formatCode="#,##0 &quot;FC&quot;;-#,##0 &quot;FC&quot;;"/>
    </dxf>
    <dxf>
      <numFmt numFmtId="1337" formatCode="&quot;R&quot; #,##0;-&quot;R&quot; #,##0;"/>
    </dxf>
    <dxf>
      <numFmt numFmtId="1338" formatCode="#,##0 &quot;AED&quot;;-#,##0 &quot;AED&quot;;"/>
    </dxf>
    <dxf>
      <numFmt numFmtId="1339" formatCode="#,##0 &quot;MRU&quot;;-#,##0 &quot;MRU&quot;;"/>
    </dxf>
    <dxf>
      <numFmt numFmtId="1340" formatCode="#,##0 &quot;GNF&quot;;-#,##0 &quot;GNF&quot;;"/>
    </dxf>
    <dxf>
      <numFmt numFmtId="1341" formatCode="#,##0 &quot;FCFA&quot;"/>
    </dxf>
    <dxf>
      <numFmt numFmtId="1342" formatCode="#,##0 &quot;FCFA&quot;"/>
    </dxf>
    <dxf>
      <numFmt numFmtId="1343" formatCode="#,##0 &quot;€&quot;"/>
    </dxf>
    <dxf>
      <numFmt numFmtId="1344" formatCode="&quot;$&quot; #,##0"/>
    </dxf>
    <dxf>
      <numFmt numFmtId="1345" formatCode="&quot;£&quot; #,##0"/>
    </dxf>
    <dxf>
      <numFmt numFmtId="1346" formatCode="&quot;C$&quot; #,##0"/>
    </dxf>
    <dxf>
      <numFmt numFmtId="1347" formatCode="#,##0 &quot;CHF&quot;"/>
    </dxf>
    <dxf>
      <numFmt numFmtId="1348" formatCode="#,##0 &quot;DH&quot;"/>
    </dxf>
    <dxf>
      <numFmt numFmtId="1349" formatCode="&quot;₦&quot; #,##0"/>
    </dxf>
    <dxf>
      <numFmt numFmtId="1350" formatCode="&quot;₵&quot; #,##0"/>
    </dxf>
    <dxf>
      <numFmt numFmtId="1351" formatCode="#,##0 &quot;FC&quot;"/>
    </dxf>
    <dxf>
      <numFmt numFmtId="1352" formatCode="&quot;R&quot; #,##0"/>
    </dxf>
    <dxf>
      <numFmt numFmtId="1353" formatCode="#,##0 &quot;AED&quot;"/>
    </dxf>
    <dxf>
      <numFmt numFmtId="1354" formatCode="#,##0 &quot;MRU&quot;"/>
    </dxf>
    <dxf>
      <numFmt numFmtId="1355" formatCode="#,##0 &quot;GNF&quot;"/>
    </dxf>
    <dxf>
      <numFmt numFmtId="1356" formatCode="#,##0 &quot;FCFA&quot;"/>
    </dxf>
    <dxf>
      <numFmt numFmtId="1357" formatCode="#,##0 &quot;FCFA&quot;"/>
    </dxf>
    <dxf>
      <numFmt numFmtId="1358" formatCode="#,##0 &quot;€&quot;"/>
    </dxf>
    <dxf>
      <numFmt numFmtId="1359" formatCode="&quot;$&quot; #,##0"/>
    </dxf>
    <dxf>
      <numFmt numFmtId="1360" formatCode="&quot;£&quot; #,##0"/>
    </dxf>
    <dxf>
      <numFmt numFmtId="1361" formatCode="&quot;C$&quot; #,##0"/>
    </dxf>
    <dxf>
      <numFmt numFmtId="1362" formatCode="#,##0 &quot;CHF&quot;"/>
    </dxf>
    <dxf>
      <numFmt numFmtId="1363" formatCode="#,##0 &quot;DH&quot;"/>
    </dxf>
    <dxf>
      <numFmt numFmtId="1364" formatCode="&quot;₦&quot; #,##0"/>
    </dxf>
    <dxf>
      <numFmt numFmtId="1365" formatCode="&quot;₵&quot; #,##0"/>
    </dxf>
    <dxf>
      <numFmt numFmtId="1366" formatCode="#,##0 &quot;FC&quot;"/>
    </dxf>
    <dxf>
      <numFmt numFmtId="1367" formatCode="&quot;R&quot; #,##0"/>
    </dxf>
    <dxf>
      <numFmt numFmtId="1368" formatCode="#,##0 &quot;AED&quot;"/>
    </dxf>
    <dxf>
      <numFmt numFmtId="1369" formatCode="#,##0 &quot;MRU&quot;"/>
    </dxf>
    <dxf>
      <numFmt numFmtId="1370" formatCode="#,##0 &quot;GNF&quot;"/>
    </dxf>
    <dxf>
      <numFmt numFmtId="1371" formatCode="#,##0 &quot;FCFA&quot;"/>
    </dxf>
    <dxf>
      <numFmt numFmtId="1372" formatCode="#,##0 &quot;FCFA&quot;"/>
    </dxf>
    <dxf>
      <numFmt numFmtId="1373" formatCode="#,##0 &quot;€&quot;"/>
    </dxf>
    <dxf>
      <numFmt numFmtId="1374" formatCode="&quot;$&quot; #,##0"/>
    </dxf>
    <dxf>
      <numFmt numFmtId="1375" formatCode="&quot;£&quot; #,##0"/>
    </dxf>
    <dxf>
      <numFmt numFmtId="1376" formatCode="&quot;C$&quot; #,##0"/>
    </dxf>
    <dxf>
      <numFmt numFmtId="1377" formatCode="#,##0 &quot;CHF&quot;"/>
    </dxf>
    <dxf>
      <numFmt numFmtId="1378" formatCode="#,##0 &quot;DH&quot;"/>
    </dxf>
    <dxf>
      <numFmt numFmtId="1379" formatCode="&quot;₦&quot; #,##0"/>
    </dxf>
    <dxf>
      <numFmt numFmtId="1380" formatCode="&quot;₵&quot; #,##0"/>
    </dxf>
    <dxf>
      <numFmt numFmtId="1381" formatCode="#,##0 &quot;FC&quot;"/>
    </dxf>
    <dxf>
      <numFmt numFmtId="1382" formatCode="&quot;R&quot; #,##0"/>
    </dxf>
    <dxf>
      <numFmt numFmtId="1383" formatCode="#,##0 &quot;AED&quot;"/>
    </dxf>
    <dxf>
      <numFmt numFmtId="1384" formatCode="#,##0 &quot;MRU&quot;"/>
    </dxf>
    <dxf>
      <numFmt numFmtId="1385" formatCode="#,##0 &quot;GNF&quot;"/>
    </dxf>
    <dxf>
      <numFmt numFmtId="1386" formatCode="#,##0 &quot;FCFA&quot;;-#,##0 &quot;FCFA&quot;;"/>
    </dxf>
    <dxf>
      <numFmt numFmtId="1387" formatCode="#,##0 &quot;FCFA&quot;;-#,##0 &quot;FCFA&quot;;"/>
    </dxf>
    <dxf>
      <numFmt numFmtId="1388" formatCode="#,##0 &quot;€&quot;;-#,##0 &quot;€&quot;;"/>
    </dxf>
    <dxf>
      <numFmt numFmtId="1389" formatCode="&quot;$&quot; #,##0;-&quot;$&quot; #,##0;"/>
    </dxf>
    <dxf>
      <numFmt numFmtId="1390" formatCode="&quot;£&quot; #,##0;-&quot;£&quot; #,##0;"/>
    </dxf>
    <dxf>
      <numFmt numFmtId="1391" formatCode="&quot;C$&quot; #,##0;-&quot;C$&quot; #,##0;"/>
    </dxf>
    <dxf>
      <numFmt numFmtId="1392" formatCode="#,##0 &quot;CHF&quot;;-#,##0 &quot;CHF&quot;;"/>
    </dxf>
    <dxf>
      <numFmt numFmtId="1393" formatCode="#,##0 &quot;DH&quot;;-#,##0 &quot;DH&quot;;"/>
    </dxf>
    <dxf>
      <numFmt numFmtId="1394" formatCode="&quot;₦&quot; #,##0;-&quot;₦&quot; #,##0;"/>
    </dxf>
    <dxf>
      <numFmt numFmtId="1395" formatCode="&quot;₵&quot; #,##0;-&quot;₵&quot; #,##0;"/>
    </dxf>
    <dxf>
      <numFmt numFmtId="1396" formatCode="#,##0 &quot;FC&quot;;-#,##0 &quot;FC&quot;;"/>
    </dxf>
    <dxf>
      <numFmt numFmtId="1397" formatCode="&quot;R&quot; #,##0;-&quot;R&quot; #,##0;"/>
    </dxf>
    <dxf>
      <numFmt numFmtId="1398" formatCode="#,##0 &quot;AED&quot;;-#,##0 &quot;AED&quot;;"/>
    </dxf>
    <dxf>
      <numFmt numFmtId="1399" formatCode="#,##0 &quot;MRU&quot;;-#,##0 &quot;MRU&quot;;"/>
    </dxf>
    <dxf>
      <numFmt numFmtId="1400" formatCode="#,##0 &quot;GNF&quot;;-#,##0 &quot;GNF&quot;;"/>
    </dxf>
    <dxf>
      <numFmt numFmtId="1596" formatCode="#,##0 &quot;FCFA&quot;"/>
    </dxf>
    <dxf>
      <numFmt numFmtId="1597" formatCode="#,##0 &quot;FCFA&quot;"/>
    </dxf>
    <dxf>
      <numFmt numFmtId="1598" formatCode="#,##0 &quot;€&quot;"/>
    </dxf>
    <dxf>
      <numFmt numFmtId="1599" formatCode="&quot;$&quot; #,##0"/>
    </dxf>
    <dxf>
      <numFmt numFmtId="1600" formatCode="&quot;£&quot; #,##0"/>
    </dxf>
    <dxf>
      <numFmt numFmtId="1601" formatCode="&quot;C$&quot; #,##0"/>
    </dxf>
    <dxf>
      <numFmt numFmtId="1602" formatCode="#,##0 &quot;CHF&quot;"/>
    </dxf>
    <dxf>
      <numFmt numFmtId="1603" formatCode="#,##0 &quot;DH&quot;"/>
    </dxf>
    <dxf>
      <numFmt numFmtId="1604" formatCode="&quot;₦&quot; #,##0"/>
    </dxf>
    <dxf>
      <numFmt numFmtId="1605" formatCode="&quot;₵&quot; #,##0"/>
    </dxf>
    <dxf>
      <numFmt numFmtId="1606" formatCode="#,##0 &quot;FC&quot;"/>
    </dxf>
    <dxf>
      <numFmt numFmtId="1607" formatCode="&quot;R&quot; #,##0"/>
    </dxf>
    <dxf>
      <numFmt numFmtId="1608" formatCode="#,##0 &quot;AED&quot;"/>
    </dxf>
    <dxf>
      <numFmt numFmtId="1609" formatCode="#,##0 &quot;MRU&quot;"/>
    </dxf>
    <dxf>
      <numFmt numFmtId="1610" formatCode="#,##0 &quot;GNF&quot;"/>
    </dxf>
    <dxf>
      <numFmt numFmtId="1611" formatCode="#,##0 &quot;FCFA&quot;"/>
    </dxf>
    <dxf>
      <numFmt numFmtId="1612" formatCode="#,##0 &quot;FCFA&quot;"/>
    </dxf>
    <dxf>
      <numFmt numFmtId="1613" formatCode="#,##0 &quot;€&quot;"/>
    </dxf>
    <dxf>
      <numFmt numFmtId="1614" formatCode="&quot;$&quot; #,##0"/>
    </dxf>
    <dxf>
      <numFmt numFmtId="1615" formatCode="&quot;£&quot; #,##0"/>
    </dxf>
    <dxf>
      <numFmt numFmtId="1616" formatCode="&quot;C$&quot; #,##0"/>
    </dxf>
    <dxf>
      <numFmt numFmtId="1617" formatCode="#,##0 &quot;CHF&quot;"/>
    </dxf>
    <dxf>
      <numFmt numFmtId="1618" formatCode="#,##0 &quot;DH&quot;"/>
    </dxf>
    <dxf>
      <numFmt numFmtId="1619" formatCode="&quot;₦&quot; #,##0"/>
    </dxf>
    <dxf>
      <numFmt numFmtId="1620" formatCode="&quot;₵&quot; #,##0"/>
    </dxf>
    <dxf>
      <numFmt numFmtId="1621" formatCode="#,##0 &quot;FC&quot;"/>
    </dxf>
    <dxf>
      <numFmt numFmtId="1622" formatCode="&quot;R&quot; #,##0"/>
    </dxf>
    <dxf>
      <numFmt numFmtId="1623" formatCode="#,##0 &quot;AED&quot;"/>
    </dxf>
    <dxf>
      <numFmt numFmtId="1624" formatCode="#,##0 &quot;MRU&quot;"/>
    </dxf>
    <dxf>
      <numFmt numFmtId="1625" formatCode="#,##0 &quot;GNF&quot;"/>
    </dxf>
    <dxf>
      <numFmt numFmtId="1626" formatCode="#,##0 &quot;FCFA&quot;"/>
    </dxf>
    <dxf>
      <numFmt numFmtId="1627" formatCode="#,##0 &quot;FCFA&quot;"/>
    </dxf>
    <dxf>
      <numFmt numFmtId="1628" formatCode="#,##0 &quot;€&quot;"/>
    </dxf>
    <dxf>
      <numFmt numFmtId="1629" formatCode="&quot;$&quot; #,##0"/>
    </dxf>
    <dxf>
      <numFmt numFmtId="1630" formatCode="&quot;£&quot; #,##0"/>
    </dxf>
    <dxf>
      <numFmt numFmtId="1631" formatCode="&quot;C$&quot; #,##0"/>
    </dxf>
    <dxf>
      <numFmt numFmtId="1632" formatCode="#,##0 &quot;CHF&quot;"/>
    </dxf>
    <dxf>
      <numFmt numFmtId="1633" formatCode="#,##0 &quot;DH&quot;"/>
    </dxf>
    <dxf>
      <numFmt numFmtId="1634" formatCode="&quot;₦&quot; #,##0"/>
    </dxf>
    <dxf>
      <numFmt numFmtId="1635" formatCode="&quot;₵&quot; #,##0"/>
    </dxf>
    <dxf>
      <numFmt numFmtId="1636" formatCode="#,##0 &quot;FC&quot;"/>
    </dxf>
    <dxf>
      <numFmt numFmtId="1637" formatCode="&quot;R&quot; #,##0"/>
    </dxf>
    <dxf>
      <numFmt numFmtId="1638" formatCode="#,##0 &quot;AED&quot;"/>
    </dxf>
    <dxf>
      <numFmt numFmtId="1639" formatCode="#,##0 &quot;MRU&quot;"/>
    </dxf>
    <dxf>
      <numFmt numFmtId="1640" formatCode="#,##0 &quot;GNF&quot;"/>
    </dxf>
    <dxf>
      <numFmt numFmtId="1641" formatCode="#,##0 &quot;FCFA&quot;;-#,##0 &quot;FCFA&quot;;"/>
    </dxf>
    <dxf>
      <numFmt numFmtId="1642" formatCode="#,##0 &quot;FCFA&quot;;-#,##0 &quot;FCFA&quot;;"/>
    </dxf>
    <dxf>
      <numFmt numFmtId="1643" formatCode="#,##0 &quot;€&quot;;-#,##0 &quot;€&quot;;"/>
    </dxf>
    <dxf>
      <numFmt numFmtId="1644" formatCode="&quot;$&quot; #,##0;-&quot;$&quot; #,##0;"/>
    </dxf>
    <dxf>
      <numFmt numFmtId="1645" formatCode="&quot;£&quot; #,##0;-&quot;£&quot; #,##0;"/>
    </dxf>
    <dxf>
      <numFmt numFmtId="1646" formatCode="&quot;C$&quot; #,##0;-&quot;C$&quot; #,##0;"/>
    </dxf>
    <dxf>
      <numFmt numFmtId="1647" formatCode="#,##0 &quot;CHF&quot;;-#,##0 &quot;CHF&quot;;"/>
    </dxf>
    <dxf>
      <numFmt numFmtId="1648" formatCode="#,##0 &quot;DH&quot;;-#,##0 &quot;DH&quot;;"/>
    </dxf>
    <dxf>
      <numFmt numFmtId="1649" formatCode="&quot;₦&quot; #,##0;-&quot;₦&quot; #,##0;"/>
    </dxf>
    <dxf>
      <numFmt numFmtId="1650" formatCode="&quot;₵&quot; #,##0;-&quot;₵&quot; #,##0;"/>
    </dxf>
    <dxf>
      <numFmt numFmtId="1651" formatCode="#,##0 &quot;FC&quot;;-#,##0 &quot;FC&quot;;"/>
    </dxf>
    <dxf>
      <numFmt numFmtId="1652" formatCode="&quot;R&quot; #,##0;-&quot;R&quot; #,##0;"/>
    </dxf>
    <dxf>
      <numFmt numFmtId="1653" formatCode="#,##0 &quot;AED&quot;;-#,##0 &quot;AED&quot;;"/>
    </dxf>
    <dxf>
      <numFmt numFmtId="1654" formatCode="#,##0 &quot;MRU&quot;;-#,##0 &quot;MRU&quot;;"/>
    </dxf>
    <dxf>
      <numFmt numFmtId="1655" formatCode="#,##0 &quot;GNF&quot;;-#,##0 &quot;GNF&quot;;"/>
    </dxf>
    <dxf>
      <numFmt numFmtId="1656" formatCode="#,##0 &quot;FCFA&quot;;-#,##0 &quot;FCFA&quot;;"/>
    </dxf>
    <dxf>
      <numFmt numFmtId="1657" formatCode="#,##0 &quot;FCFA&quot;;-#,##0 &quot;FCFA&quot;;"/>
    </dxf>
    <dxf>
      <numFmt numFmtId="1658" formatCode="#,##0 &quot;€&quot;;-#,##0 &quot;€&quot;;"/>
    </dxf>
    <dxf>
      <numFmt numFmtId="1659" formatCode="&quot;$&quot; #,##0;-&quot;$&quot; #,##0;"/>
    </dxf>
    <dxf>
      <numFmt numFmtId="1660" formatCode="&quot;£&quot; #,##0;-&quot;£&quot; #,##0;"/>
    </dxf>
    <dxf>
      <numFmt numFmtId="1661" formatCode="&quot;C$&quot; #,##0;-&quot;C$&quot; #,##0;"/>
    </dxf>
    <dxf>
      <numFmt numFmtId="1662" formatCode="#,##0 &quot;CHF&quot;;-#,##0 &quot;CHF&quot;;"/>
    </dxf>
    <dxf>
      <numFmt numFmtId="1663" formatCode="#,##0 &quot;DH&quot;;-#,##0 &quot;DH&quot;;"/>
    </dxf>
    <dxf>
      <numFmt numFmtId="1664" formatCode="&quot;₦&quot; #,##0;-&quot;₦&quot; #,##0;"/>
    </dxf>
    <dxf>
      <numFmt numFmtId="1665" formatCode="&quot;₵&quot; #,##0;-&quot;₵&quot; #,##0;"/>
    </dxf>
    <dxf>
      <numFmt numFmtId="1666" formatCode="#,##0 &quot;FC&quot;;-#,##0 &quot;FC&quot;;"/>
    </dxf>
    <dxf>
      <numFmt numFmtId="1667" formatCode="&quot;R&quot; #,##0;-&quot;R&quot; #,##0;"/>
    </dxf>
    <dxf>
      <numFmt numFmtId="1668" formatCode="#,##0 &quot;AED&quot;;-#,##0 &quot;AED&quot;;"/>
    </dxf>
    <dxf>
      <numFmt numFmtId="1669" formatCode="#,##0 &quot;MRU&quot;;-#,##0 &quot;MRU&quot;;"/>
    </dxf>
    <dxf>
      <numFmt numFmtId="1670" formatCode="#,##0 &quot;GNF&quot;;-#,##0 &quot;GNF&quot;;"/>
    </dxf>
    <dxf>
      <numFmt numFmtId="1671" formatCode="#,##0 &quot;FCFA&quot;"/>
    </dxf>
    <dxf>
      <numFmt numFmtId="1672" formatCode="#,##0 &quot;FCFA&quot;"/>
    </dxf>
    <dxf>
      <numFmt numFmtId="1673" formatCode="#,##0 &quot;€&quot;"/>
    </dxf>
    <dxf>
      <numFmt numFmtId="1674" formatCode="&quot;$&quot; #,##0"/>
    </dxf>
    <dxf>
      <numFmt numFmtId="1675" formatCode="&quot;£&quot; #,##0"/>
    </dxf>
    <dxf>
      <numFmt numFmtId="1676" formatCode="&quot;C$&quot; #,##0"/>
    </dxf>
    <dxf>
      <numFmt numFmtId="1677" formatCode="#,##0 &quot;CHF&quot;"/>
    </dxf>
    <dxf>
      <numFmt numFmtId="1678" formatCode="#,##0 &quot;DH&quot;"/>
    </dxf>
    <dxf>
      <numFmt numFmtId="1679" formatCode="&quot;₦&quot; #,##0"/>
    </dxf>
    <dxf>
      <numFmt numFmtId="1680" formatCode="&quot;₵&quot; #,##0"/>
    </dxf>
    <dxf>
      <numFmt numFmtId="1681" formatCode="#,##0 &quot;FC&quot;"/>
    </dxf>
    <dxf>
      <numFmt numFmtId="1682" formatCode="&quot;R&quot; #,##0"/>
    </dxf>
    <dxf>
      <numFmt numFmtId="1683" formatCode="#,##0 &quot;AED&quot;"/>
    </dxf>
    <dxf>
      <numFmt numFmtId="1684" formatCode="#,##0 &quot;MRU&quot;"/>
    </dxf>
    <dxf>
      <numFmt numFmtId="1685" formatCode="#,##0 &quot;GNF&quot;"/>
    </dxf>
    <dxf>
      <numFmt numFmtId="1686" formatCode="#,##0 &quot;FCFA&quot;"/>
    </dxf>
    <dxf>
      <numFmt numFmtId="1687" formatCode="#,##0 &quot;FCFA&quot;"/>
    </dxf>
    <dxf>
      <numFmt numFmtId="1688" formatCode="#,##0 &quot;€&quot;"/>
    </dxf>
    <dxf>
      <numFmt numFmtId="1689" formatCode="&quot;$&quot; #,##0"/>
    </dxf>
    <dxf>
      <numFmt numFmtId="1690" formatCode="&quot;£&quot; #,##0"/>
    </dxf>
    <dxf>
      <numFmt numFmtId="1691" formatCode="&quot;C$&quot; #,##0"/>
    </dxf>
    <dxf>
      <numFmt numFmtId="1692" formatCode="#,##0 &quot;CHF&quot;"/>
    </dxf>
    <dxf>
      <numFmt numFmtId="1693" formatCode="#,##0 &quot;DH&quot;"/>
    </dxf>
    <dxf>
      <numFmt numFmtId="1694" formatCode="&quot;₦&quot; #,##0"/>
    </dxf>
    <dxf>
      <numFmt numFmtId="1695" formatCode="&quot;₵&quot; #,##0"/>
    </dxf>
    <dxf>
      <numFmt numFmtId="1696" formatCode="#,##0 &quot;FC&quot;"/>
    </dxf>
    <dxf>
      <numFmt numFmtId="1697" formatCode="&quot;R&quot; #,##0"/>
    </dxf>
    <dxf>
      <numFmt numFmtId="1698" formatCode="#,##0 &quot;AED&quot;"/>
    </dxf>
    <dxf>
      <numFmt numFmtId="1699" formatCode="#,##0 &quot;MRU&quot;"/>
    </dxf>
    <dxf>
      <numFmt numFmtId="1700" formatCode="#,##0 &quot;GNF&quot;"/>
    </dxf>
    <dxf>
      <numFmt numFmtId="1701" formatCode="#,##0 &quot;FCFA&quot;"/>
    </dxf>
    <dxf>
      <numFmt numFmtId="1702" formatCode="#,##0 &quot;FCFA&quot;"/>
    </dxf>
    <dxf>
      <numFmt numFmtId="1703" formatCode="#,##0 &quot;€&quot;"/>
    </dxf>
    <dxf>
      <numFmt numFmtId="1704" formatCode="&quot;$&quot; #,##0"/>
    </dxf>
    <dxf>
      <numFmt numFmtId="1705" formatCode="&quot;£&quot; #,##0"/>
    </dxf>
    <dxf>
      <numFmt numFmtId="1706" formatCode="&quot;C$&quot; #,##0"/>
    </dxf>
    <dxf>
      <numFmt numFmtId="1707" formatCode="#,##0 &quot;CHF&quot;"/>
    </dxf>
    <dxf>
      <numFmt numFmtId="1708" formatCode="#,##0 &quot;DH&quot;"/>
    </dxf>
    <dxf>
      <numFmt numFmtId="1709" formatCode="&quot;₦&quot; #,##0"/>
    </dxf>
    <dxf>
      <numFmt numFmtId="1710" formatCode="&quot;₵&quot; #,##0"/>
    </dxf>
    <dxf>
      <numFmt numFmtId="1711" formatCode="#,##0 &quot;FC&quot;"/>
    </dxf>
    <dxf>
      <numFmt numFmtId="1712" formatCode="&quot;R&quot; #,##0"/>
    </dxf>
    <dxf>
      <numFmt numFmtId="1713" formatCode="#,##0 &quot;AED&quot;"/>
    </dxf>
    <dxf>
      <numFmt numFmtId="1714" formatCode="#,##0 &quot;MRU&quot;"/>
    </dxf>
    <dxf>
      <numFmt numFmtId="1715" formatCode="#,##0 &quot;GNF&quot;"/>
    </dxf>
    <dxf>
      <numFmt numFmtId="1716" formatCode="#,##0 &quot;FCFA&quot;"/>
    </dxf>
    <dxf>
      <numFmt numFmtId="1717" formatCode="#,##0 &quot;FCFA&quot;"/>
    </dxf>
    <dxf>
      <numFmt numFmtId="1718" formatCode="#,##0 &quot;€&quot;"/>
    </dxf>
    <dxf>
      <numFmt numFmtId="1719" formatCode="&quot;$&quot; #,##0"/>
    </dxf>
    <dxf>
      <numFmt numFmtId="1720" formatCode="&quot;£&quot; #,##0"/>
    </dxf>
    <dxf>
      <numFmt numFmtId="1721" formatCode="&quot;C$&quot; #,##0"/>
    </dxf>
    <dxf>
      <numFmt numFmtId="1722" formatCode="#,##0 &quot;CHF&quot;"/>
    </dxf>
    <dxf>
      <numFmt numFmtId="1723" formatCode="#,##0 &quot;DH&quot;"/>
    </dxf>
    <dxf>
      <numFmt numFmtId="1724" formatCode="&quot;₦&quot; #,##0"/>
    </dxf>
    <dxf>
      <numFmt numFmtId="1725" formatCode="&quot;₵&quot; #,##0"/>
    </dxf>
    <dxf>
      <numFmt numFmtId="1726" formatCode="#,##0 &quot;FC&quot;"/>
    </dxf>
    <dxf>
      <numFmt numFmtId="1727" formatCode="&quot;R&quot; #,##0"/>
    </dxf>
    <dxf>
      <numFmt numFmtId="1728" formatCode="#,##0 &quot;AED&quot;"/>
    </dxf>
    <dxf>
      <numFmt numFmtId="1729" formatCode="#,##0 &quot;MRU&quot;"/>
    </dxf>
    <dxf>
      <numFmt numFmtId="1730" formatCode="#,##0 &quot;GNF&quot;"/>
    </dxf>
    <dxf>
      <numFmt numFmtId="1731" formatCode="#,##0 &quot;FCFA&quot;"/>
    </dxf>
    <dxf>
      <numFmt numFmtId="1732" formatCode="#,##0 &quot;FCFA&quot;"/>
    </dxf>
    <dxf>
      <numFmt numFmtId="1733" formatCode="#,##0 &quot;€&quot;"/>
    </dxf>
    <dxf>
      <numFmt numFmtId="1734" formatCode="&quot;$&quot; #,##0"/>
    </dxf>
    <dxf>
      <numFmt numFmtId="1735" formatCode="&quot;£&quot; #,##0"/>
    </dxf>
    <dxf>
      <numFmt numFmtId="1736" formatCode="&quot;C$&quot; #,##0"/>
    </dxf>
    <dxf>
      <numFmt numFmtId="1737" formatCode="#,##0 &quot;CHF&quot;"/>
    </dxf>
    <dxf>
      <numFmt numFmtId="1738" formatCode="#,##0 &quot;DH&quot;"/>
    </dxf>
    <dxf>
      <numFmt numFmtId="1739" formatCode="&quot;₦&quot; #,##0"/>
    </dxf>
    <dxf>
      <numFmt numFmtId="1740" formatCode="&quot;₵&quot; #,##0"/>
    </dxf>
    <dxf>
      <numFmt numFmtId="1741" formatCode="#,##0 &quot;FC&quot;"/>
    </dxf>
    <dxf>
      <numFmt numFmtId="1742" formatCode="&quot;R&quot; #,##0"/>
    </dxf>
    <dxf>
      <numFmt numFmtId="1743" formatCode="#,##0 &quot;AED&quot;"/>
    </dxf>
    <dxf>
      <numFmt numFmtId="1744" formatCode="#,##0 &quot;MRU&quot;"/>
    </dxf>
    <dxf>
      <numFmt numFmtId="1745" formatCode="#,##0 &quot;GNF&quot;"/>
    </dxf>
    <dxf>
      <numFmt numFmtId="1401" formatCode="#,##0 &quot;FCFA&quot;"/>
    </dxf>
    <dxf>
      <numFmt numFmtId="1402" formatCode="#,##0 &quot;FCFA&quot;"/>
    </dxf>
    <dxf>
      <numFmt numFmtId="1403" formatCode="#,##0 &quot;€&quot;"/>
    </dxf>
    <dxf>
      <numFmt numFmtId="1404" formatCode="&quot;$&quot; #,##0"/>
    </dxf>
    <dxf>
      <numFmt numFmtId="1405" formatCode="&quot;£&quot; #,##0"/>
    </dxf>
    <dxf>
      <numFmt numFmtId="1406" formatCode="&quot;C$&quot; #,##0"/>
    </dxf>
    <dxf>
      <numFmt numFmtId="1407" formatCode="#,##0 &quot;CHF&quot;"/>
    </dxf>
    <dxf>
      <numFmt numFmtId="1408" formatCode="#,##0 &quot;DH&quot;"/>
    </dxf>
    <dxf>
      <numFmt numFmtId="1409" formatCode="&quot;₦&quot; #,##0"/>
    </dxf>
    <dxf>
      <numFmt numFmtId="1410" formatCode="&quot;₵&quot; #,##0"/>
    </dxf>
    <dxf>
      <numFmt numFmtId="1411" formatCode="#,##0 &quot;FC&quot;"/>
    </dxf>
    <dxf>
      <numFmt numFmtId="1412" formatCode="&quot;R&quot; #,##0"/>
    </dxf>
    <dxf>
      <numFmt numFmtId="1413" formatCode="#,##0 &quot;AED&quot;"/>
    </dxf>
    <dxf>
      <numFmt numFmtId="1414" formatCode="#,##0 &quot;MRU&quot;"/>
    </dxf>
    <dxf>
      <numFmt numFmtId="1415" formatCode="#,##0 &quot;GNF&quot;"/>
    </dxf>
    <dxf>
      <numFmt numFmtId="1416" formatCode="#,##0 &quot;FCFA&quot;"/>
    </dxf>
    <dxf>
      <numFmt numFmtId="1417" formatCode="#,##0 &quot;FCFA&quot;"/>
    </dxf>
    <dxf>
      <numFmt numFmtId="1418" formatCode="#,##0 &quot;€&quot;"/>
    </dxf>
    <dxf>
      <numFmt numFmtId="1419" formatCode="&quot;$&quot; #,##0"/>
    </dxf>
    <dxf>
      <numFmt numFmtId="1420" formatCode="&quot;£&quot; #,##0"/>
    </dxf>
    <dxf>
      <numFmt numFmtId="1421" formatCode="&quot;C$&quot; #,##0"/>
    </dxf>
    <dxf>
      <numFmt numFmtId="1422" formatCode="#,##0 &quot;CHF&quot;"/>
    </dxf>
    <dxf>
      <numFmt numFmtId="1423" formatCode="#,##0 &quot;DH&quot;"/>
    </dxf>
    <dxf>
      <numFmt numFmtId="1424" formatCode="&quot;₦&quot; #,##0"/>
    </dxf>
    <dxf>
      <numFmt numFmtId="1425" formatCode="&quot;₵&quot; #,##0"/>
    </dxf>
    <dxf>
      <numFmt numFmtId="1426" formatCode="#,##0 &quot;FC&quot;"/>
    </dxf>
    <dxf>
      <numFmt numFmtId="1427" formatCode="&quot;R&quot; #,##0"/>
    </dxf>
    <dxf>
      <numFmt numFmtId="1428" formatCode="#,##0 &quot;AED&quot;"/>
    </dxf>
    <dxf>
      <numFmt numFmtId="1429" formatCode="#,##0 &quot;MRU&quot;"/>
    </dxf>
    <dxf>
      <numFmt numFmtId="1430" formatCode="#,##0 &quot;GNF&quot;"/>
    </dxf>
    <dxf>
      <numFmt numFmtId="1431" formatCode="#,##0 &quot;FCFA&quot;"/>
    </dxf>
    <dxf>
      <numFmt numFmtId="1432" formatCode="#,##0 &quot;FCFA&quot;"/>
    </dxf>
    <dxf>
      <numFmt numFmtId="1433" formatCode="#,##0 &quot;€&quot;"/>
    </dxf>
    <dxf>
      <numFmt numFmtId="1434" formatCode="&quot;$&quot; #,##0"/>
    </dxf>
    <dxf>
      <numFmt numFmtId="1435" formatCode="&quot;£&quot; #,##0"/>
    </dxf>
    <dxf>
      <numFmt numFmtId="1436" formatCode="&quot;C$&quot; #,##0"/>
    </dxf>
    <dxf>
      <numFmt numFmtId="1437" formatCode="#,##0 &quot;CHF&quot;"/>
    </dxf>
    <dxf>
      <numFmt numFmtId="1438" formatCode="#,##0 &quot;DH&quot;"/>
    </dxf>
    <dxf>
      <numFmt numFmtId="1439" formatCode="&quot;₦&quot; #,##0"/>
    </dxf>
    <dxf>
      <numFmt numFmtId="1440" formatCode="&quot;₵&quot; #,##0"/>
    </dxf>
    <dxf>
      <numFmt numFmtId="1441" formatCode="#,##0 &quot;FC&quot;"/>
    </dxf>
    <dxf>
      <numFmt numFmtId="1442" formatCode="&quot;R&quot; #,##0"/>
    </dxf>
    <dxf>
      <numFmt numFmtId="1443" formatCode="#,##0 &quot;AED&quot;"/>
    </dxf>
    <dxf>
      <numFmt numFmtId="1444" formatCode="#,##0 &quot;MRU&quot;"/>
    </dxf>
    <dxf>
      <numFmt numFmtId="1445" formatCode="#,##0 &quot;GNF&quot;"/>
    </dxf>
    <dxf>
      <numFmt numFmtId="1446" formatCode="#,##0 &quot;FCFA&quot;"/>
    </dxf>
    <dxf>
      <numFmt numFmtId="1447" formatCode="#,##0 &quot;FCFA&quot;"/>
    </dxf>
    <dxf>
      <numFmt numFmtId="1448" formatCode="#,##0 &quot;€&quot;"/>
    </dxf>
    <dxf>
      <numFmt numFmtId="1449" formatCode="&quot;$&quot; #,##0"/>
    </dxf>
    <dxf>
      <numFmt numFmtId="1450" formatCode="&quot;£&quot; #,##0"/>
    </dxf>
    <dxf>
      <numFmt numFmtId="1451" formatCode="&quot;C$&quot; #,##0"/>
    </dxf>
    <dxf>
      <numFmt numFmtId="1452" formatCode="#,##0 &quot;CHF&quot;"/>
    </dxf>
    <dxf>
      <numFmt numFmtId="1453" formatCode="#,##0 &quot;DH&quot;"/>
    </dxf>
    <dxf>
      <numFmt numFmtId="1454" formatCode="&quot;₦&quot; #,##0"/>
    </dxf>
    <dxf>
      <numFmt numFmtId="1455" formatCode="&quot;₵&quot; #,##0"/>
    </dxf>
    <dxf>
      <numFmt numFmtId="1456" formatCode="#,##0 &quot;FC&quot;"/>
    </dxf>
    <dxf>
      <numFmt numFmtId="1457" formatCode="&quot;R&quot; #,##0"/>
    </dxf>
    <dxf>
      <numFmt numFmtId="1458" formatCode="#,##0 &quot;AED&quot;"/>
    </dxf>
    <dxf>
      <numFmt numFmtId="1459" formatCode="#,##0 &quot;MRU&quot;"/>
    </dxf>
    <dxf>
      <numFmt numFmtId="1460" formatCode="#,##0 &quot;GNF&quot;"/>
    </dxf>
    <dxf>
      <numFmt numFmtId="1461" formatCode="#,##0 &quot;FCFA&quot;"/>
    </dxf>
    <dxf>
      <numFmt numFmtId="1462" formatCode="#,##0 &quot;FCFA&quot;"/>
    </dxf>
    <dxf>
      <numFmt numFmtId="1463" formatCode="#,##0 &quot;€&quot;"/>
    </dxf>
    <dxf>
      <numFmt numFmtId="1464" formatCode="&quot;$&quot; #,##0"/>
    </dxf>
    <dxf>
      <numFmt numFmtId="1465" formatCode="&quot;£&quot; #,##0"/>
    </dxf>
    <dxf>
      <numFmt numFmtId="1466" formatCode="&quot;C$&quot; #,##0"/>
    </dxf>
    <dxf>
      <numFmt numFmtId="1467" formatCode="#,##0 &quot;CHF&quot;"/>
    </dxf>
    <dxf>
      <numFmt numFmtId="1468" formatCode="#,##0 &quot;DH&quot;"/>
    </dxf>
    <dxf>
      <numFmt numFmtId="1469" formatCode="&quot;₦&quot; #,##0"/>
    </dxf>
    <dxf>
      <numFmt numFmtId="1470" formatCode="&quot;₵&quot; #,##0"/>
    </dxf>
    <dxf>
      <numFmt numFmtId="1471" formatCode="#,##0 &quot;FC&quot;"/>
    </dxf>
    <dxf>
      <numFmt numFmtId="1472" formatCode="&quot;R&quot; #,##0"/>
    </dxf>
    <dxf>
      <numFmt numFmtId="1473" formatCode="#,##0 &quot;AED&quot;"/>
    </dxf>
    <dxf>
      <numFmt numFmtId="1474" formatCode="#,##0 &quot;MRU&quot;"/>
    </dxf>
    <dxf>
      <numFmt numFmtId="1475" formatCode="#,##0 &quot;GNF&quot;"/>
    </dxf>
    <dxf>
      <numFmt numFmtId="1476" formatCode="#,##0 &quot;FCFA&quot;;-#,##0 &quot;FCFA&quot;;"/>
    </dxf>
    <dxf>
      <numFmt numFmtId="1477" formatCode="#,##0 &quot;FCFA&quot;;-#,##0 &quot;FCFA&quot;;"/>
    </dxf>
    <dxf>
      <numFmt numFmtId="1478" formatCode="#,##0 &quot;€&quot;;-#,##0 &quot;€&quot;;"/>
    </dxf>
    <dxf>
      <numFmt numFmtId="1479" formatCode="&quot;$&quot; #,##0;-&quot;$&quot; #,##0;"/>
    </dxf>
    <dxf>
      <numFmt numFmtId="1480" formatCode="&quot;£&quot; #,##0;-&quot;£&quot; #,##0;"/>
    </dxf>
    <dxf>
      <numFmt numFmtId="1481" formatCode="&quot;C$&quot; #,##0;-&quot;C$&quot; #,##0;"/>
    </dxf>
    <dxf>
      <numFmt numFmtId="1482" formatCode="#,##0 &quot;CHF&quot;;-#,##0 &quot;CHF&quot;;"/>
    </dxf>
    <dxf>
      <numFmt numFmtId="1483" formatCode="#,##0 &quot;DH&quot;;-#,##0 &quot;DH&quot;;"/>
    </dxf>
    <dxf>
      <numFmt numFmtId="1484" formatCode="&quot;₦&quot; #,##0;-&quot;₦&quot; #,##0;"/>
    </dxf>
    <dxf>
      <numFmt numFmtId="1485" formatCode="&quot;₵&quot; #,##0;-&quot;₵&quot; #,##0;"/>
    </dxf>
    <dxf>
      <numFmt numFmtId="1486" formatCode="#,##0 &quot;FC&quot;;-#,##0 &quot;FC&quot;;"/>
    </dxf>
    <dxf>
      <numFmt numFmtId="1487" formatCode="&quot;R&quot; #,##0;-&quot;R&quot; #,##0;"/>
    </dxf>
    <dxf>
      <numFmt numFmtId="1488" formatCode="#,##0 &quot;AED&quot;;-#,##0 &quot;AED&quot;;"/>
    </dxf>
    <dxf>
      <numFmt numFmtId="1489" formatCode="#,##0 &quot;MRU&quot;;-#,##0 &quot;MRU&quot;;"/>
    </dxf>
    <dxf>
      <numFmt numFmtId="1490" formatCode="#,##0 &quot;GNF&quot;;-#,##0 &quot;GNF&quot;;"/>
    </dxf>
    <dxf>
      <numFmt numFmtId="1491" formatCode="#,##0 &quot;FCFA&quot;;-#,##0 &quot;FCFA&quot;;"/>
    </dxf>
    <dxf>
      <numFmt numFmtId="1492" formatCode="#,##0 &quot;FCFA&quot;;-#,##0 &quot;FCFA&quot;;"/>
    </dxf>
    <dxf>
      <numFmt numFmtId="1493" formatCode="#,##0 &quot;€&quot;;-#,##0 &quot;€&quot;;"/>
    </dxf>
    <dxf>
      <numFmt numFmtId="1494" formatCode="&quot;$&quot; #,##0;-&quot;$&quot; #,##0;"/>
    </dxf>
    <dxf>
      <numFmt numFmtId="1495" formatCode="&quot;£&quot; #,##0;-&quot;£&quot; #,##0;"/>
    </dxf>
    <dxf>
      <numFmt numFmtId="1496" formatCode="&quot;C$&quot; #,##0;-&quot;C$&quot; #,##0;"/>
    </dxf>
    <dxf>
      <numFmt numFmtId="1497" formatCode="#,##0 &quot;CHF&quot;;-#,##0 &quot;CHF&quot;;"/>
    </dxf>
    <dxf>
      <numFmt numFmtId="1498" formatCode="#,##0 &quot;DH&quot;;-#,##0 &quot;DH&quot;;"/>
    </dxf>
    <dxf>
      <numFmt numFmtId="1499" formatCode="&quot;₦&quot; #,##0;-&quot;₦&quot; #,##0;"/>
    </dxf>
    <dxf>
      <numFmt numFmtId="1500" formatCode="&quot;₵&quot; #,##0;-&quot;₵&quot; #,##0;"/>
    </dxf>
    <dxf>
      <numFmt numFmtId="1501" formatCode="#,##0 &quot;FC&quot;;-#,##0 &quot;FC&quot;;"/>
    </dxf>
    <dxf>
      <numFmt numFmtId="1502" formatCode="&quot;R&quot; #,##0;-&quot;R&quot; #,##0;"/>
    </dxf>
    <dxf>
      <numFmt numFmtId="1503" formatCode="#,##0 &quot;AED&quot;;-#,##0 &quot;AED&quot;;"/>
    </dxf>
    <dxf>
      <numFmt numFmtId="1504" formatCode="#,##0 &quot;MRU&quot;;-#,##0 &quot;MRU&quot;;"/>
    </dxf>
    <dxf>
      <numFmt numFmtId="1505" formatCode="#,##0 &quot;GNF&quot;;-#,##0 &quot;GNF&quot;;"/>
    </dxf>
    <dxf>
      <numFmt numFmtId="1506" formatCode="#,##0 &quot;FCFA&quot;"/>
    </dxf>
    <dxf>
      <numFmt numFmtId="1507" formatCode="#,##0 &quot;FCFA&quot;"/>
    </dxf>
    <dxf>
      <numFmt numFmtId="1508" formatCode="#,##0 &quot;€&quot;"/>
    </dxf>
    <dxf>
      <numFmt numFmtId="1509" formatCode="&quot;$&quot; #,##0"/>
    </dxf>
    <dxf>
      <numFmt numFmtId="1510" formatCode="&quot;£&quot; #,##0"/>
    </dxf>
    <dxf>
      <numFmt numFmtId="1511" formatCode="&quot;C$&quot; #,##0"/>
    </dxf>
    <dxf>
      <numFmt numFmtId="1512" formatCode="#,##0 &quot;CHF&quot;"/>
    </dxf>
    <dxf>
      <numFmt numFmtId="1513" formatCode="#,##0 &quot;DH&quot;"/>
    </dxf>
    <dxf>
      <numFmt numFmtId="1514" formatCode="&quot;₦&quot; #,##0"/>
    </dxf>
    <dxf>
      <numFmt numFmtId="1515" formatCode="&quot;₵&quot; #,##0"/>
    </dxf>
    <dxf>
      <numFmt numFmtId="1516" formatCode="#,##0 &quot;FC&quot;"/>
    </dxf>
    <dxf>
      <numFmt numFmtId="1517" formatCode="&quot;R&quot; #,##0"/>
    </dxf>
    <dxf>
      <numFmt numFmtId="1518" formatCode="#,##0 &quot;AED&quot;"/>
    </dxf>
    <dxf>
      <numFmt numFmtId="1519" formatCode="#,##0 &quot;MRU&quot;"/>
    </dxf>
    <dxf>
      <numFmt numFmtId="1520" formatCode="#,##0 &quot;GNF&quot;"/>
    </dxf>
    <dxf>
      <numFmt numFmtId="1521" formatCode="#,##0 &quot;FCFA&quot;;-#,##0 &quot;FCFA&quot;;"/>
    </dxf>
    <dxf>
      <numFmt numFmtId="1522" formatCode="#,##0 &quot;FCFA&quot;;-#,##0 &quot;FCFA&quot;;"/>
    </dxf>
    <dxf>
      <numFmt numFmtId="1523" formatCode="#,##0 &quot;€&quot;;-#,##0 &quot;€&quot;;"/>
    </dxf>
    <dxf>
      <numFmt numFmtId="1524" formatCode="&quot;$&quot; #,##0;-&quot;$&quot; #,##0;"/>
    </dxf>
    <dxf>
      <numFmt numFmtId="1525" formatCode="&quot;£&quot; #,##0;-&quot;£&quot; #,##0;"/>
    </dxf>
    <dxf>
      <numFmt numFmtId="1526" formatCode="&quot;C$&quot; #,##0;-&quot;C$&quot; #,##0;"/>
    </dxf>
    <dxf>
      <numFmt numFmtId="1527" formatCode="#,##0 &quot;CHF&quot;;-#,##0 &quot;CHF&quot;;"/>
    </dxf>
    <dxf>
      <numFmt numFmtId="1528" formatCode="#,##0 &quot;DH&quot;;-#,##0 &quot;DH&quot;;"/>
    </dxf>
    <dxf>
      <numFmt numFmtId="1529" formatCode="&quot;₦&quot; #,##0;-&quot;₦&quot; #,##0;"/>
    </dxf>
    <dxf>
      <numFmt numFmtId="1530" formatCode="&quot;₵&quot; #,##0;-&quot;₵&quot; #,##0;"/>
    </dxf>
    <dxf>
      <numFmt numFmtId="1531" formatCode="#,##0 &quot;FC&quot;;-#,##0 &quot;FC&quot;;"/>
    </dxf>
    <dxf>
      <numFmt numFmtId="1532" formatCode="&quot;R&quot; #,##0;-&quot;R&quot; #,##0;"/>
    </dxf>
    <dxf>
      <numFmt numFmtId="1533" formatCode="#,##0 &quot;AED&quot;;-#,##0 &quot;AED&quot;;"/>
    </dxf>
    <dxf>
      <numFmt numFmtId="1534" formatCode="#,##0 &quot;MRU&quot;;-#,##0 &quot;MRU&quot;;"/>
    </dxf>
    <dxf>
      <numFmt numFmtId="1535" formatCode="#,##0 &quot;GNF&quot;;-#,##0 &quot;GNF&quot;;"/>
    </dxf>
    <dxf>
      <numFmt numFmtId="1536" formatCode="#,##0 &quot;FCFA&quot;"/>
    </dxf>
    <dxf>
      <numFmt numFmtId="1537" formatCode="#,##0 &quot;FCFA&quot;"/>
    </dxf>
    <dxf>
      <numFmt numFmtId="1538" formatCode="#,##0 &quot;€&quot;"/>
    </dxf>
    <dxf>
      <numFmt numFmtId="1539" formatCode="&quot;$&quot; #,##0"/>
    </dxf>
    <dxf>
      <numFmt numFmtId="1540" formatCode="&quot;£&quot; #,##0"/>
    </dxf>
    <dxf>
      <numFmt numFmtId="1541" formatCode="&quot;C$&quot; #,##0"/>
    </dxf>
    <dxf>
      <numFmt numFmtId="1542" formatCode="#,##0 &quot;CHF&quot;"/>
    </dxf>
    <dxf>
      <numFmt numFmtId="1543" formatCode="#,##0 &quot;DH&quot;"/>
    </dxf>
    <dxf>
      <numFmt numFmtId="1544" formatCode="&quot;₦&quot; #,##0"/>
    </dxf>
    <dxf>
      <numFmt numFmtId="1545" formatCode="&quot;₵&quot; #,##0"/>
    </dxf>
    <dxf>
      <numFmt numFmtId="1546" formatCode="#,##0 &quot;FC&quot;"/>
    </dxf>
    <dxf>
      <numFmt numFmtId="1547" formatCode="&quot;R&quot; #,##0"/>
    </dxf>
    <dxf>
      <numFmt numFmtId="1548" formatCode="#,##0 &quot;AED&quot;"/>
    </dxf>
    <dxf>
      <numFmt numFmtId="1549" formatCode="#,##0 &quot;MRU&quot;"/>
    </dxf>
    <dxf>
      <numFmt numFmtId="1550" formatCode="#,##0 &quot;GNF&quot;"/>
    </dxf>
    <dxf>
      <numFmt numFmtId="1551" formatCode="#,##0 &quot;FCFA&quot;;-#,##0 &quot;FCFA&quot;;"/>
    </dxf>
    <dxf>
      <numFmt numFmtId="1552" formatCode="#,##0 &quot;FCFA&quot;;-#,##0 &quot;FCFA&quot;;"/>
    </dxf>
    <dxf>
      <numFmt numFmtId="1553" formatCode="#,##0 &quot;€&quot;;-#,##0 &quot;€&quot;;"/>
    </dxf>
    <dxf>
      <numFmt numFmtId="1554" formatCode="&quot;$&quot; #,##0;-&quot;$&quot; #,##0;"/>
    </dxf>
    <dxf>
      <numFmt numFmtId="1555" formatCode="&quot;£&quot; #,##0;-&quot;£&quot; #,##0;"/>
    </dxf>
    <dxf>
      <numFmt numFmtId="1556" formatCode="&quot;C$&quot; #,##0;-&quot;C$&quot; #,##0;"/>
    </dxf>
    <dxf>
      <numFmt numFmtId="1557" formatCode="#,##0 &quot;CHF&quot;;-#,##0 &quot;CHF&quot;;"/>
    </dxf>
    <dxf>
      <numFmt numFmtId="1558" formatCode="#,##0 &quot;DH&quot;;-#,##0 &quot;DH&quot;;"/>
    </dxf>
    <dxf>
      <numFmt numFmtId="1559" formatCode="&quot;₦&quot; #,##0;-&quot;₦&quot; #,##0;"/>
    </dxf>
    <dxf>
      <numFmt numFmtId="1560" formatCode="&quot;₵&quot; #,##0;-&quot;₵&quot; #,##0;"/>
    </dxf>
    <dxf>
      <numFmt numFmtId="1561" formatCode="#,##0 &quot;FC&quot;;-#,##0 &quot;FC&quot;;"/>
    </dxf>
    <dxf>
      <numFmt numFmtId="1562" formatCode="&quot;R&quot; #,##0;-&quot;R&quot; #,##0;"/>
    </dxf>
    <dxf>
      <numFmt numFmtId="1563" formatCode="#,##0 &quot;AED&quot;;-#,##0 &quot;AED&quot;;"/>
    </dxf>
    <dxf>
      <numFmt numFmtId="1564" formatCode="#,##0 &quot;MRU&quot;;-#,##0 &quot;MRU&quot;;"/>
    </dxf>
    <dxf>
      <numFmt numFmtId="1565" formatCode="#,##0 &quot;GNF&quot;;-#,##0 &quot;GNF&quot;;"/>
    </dxf>
    <dxf>
      <numFmt numFmtId="1566" formatCode="#,##0 &quot;FCFA&quot;"/>
    </dxf>
    <dxf>
      <numFmt numFmtId="1567" formatCode="#,##0 &quot;FCFA&quot;"/>
    </dxf>
    <dxf>
      <numFmt numFmtId="1568" formatCode="#,##0 &quot;€&quot;"/>
    </dxf>
    <dxf>
      <numFmt numFmtId="1569" formatCode="&quot;$&quot; #,##0"/>
    </dxf>
    <dxf>
      <numFmt numFmtId="1570" formatCode="&quot;£&quot; #,##0"/>
    </dxf>
    <dxf>
      <numFmt numFmtId="1571" formatCode="&quot;C$&quot; #,##0"/>
    </dxf>
    <dxf>
      <numFmt numFmtId="1572" formatCode="#,##0 &quot;CHF&quot;"/>
    </dxf>
    <dxf>
      <numFmt numFmtId="1573" formatCode="#,##0 &quot;DH&quot;"/>
    </dxf>
    <dxf>
      <numFmt numFmtId="1574" formatCode="&quot;₦&quot; #,##0"/>
    </dxf>
    <dxf>
      <numFmt numFmtId="1575" formatCode="&quot;₵&quot; #,##0"/>
    </dxf>
    <dxf>
      <numFmt numFmtId="1576" formatCode="#,##0 &quot;FC&quot;"/>
    </dxf>
    <dxf>
      <numFmt numFmtId="1577" formatCode="&quot;R&quot; #,##0"/>
    </dxf>
    <dxf>
      <numFmt numFmtId="1578" formatCode="#,##0 &quot;AED&quot;"/>
    </dxf>
    <dxf>
      <numFmt numFmtId="1579" formatCode="#,##0 &quot;MRU&quot;"/>
    </dxf>
    <dxf>
      <numFmt numFmtId="1580" formatCode="#,##0 &quot;GNF&quot;"/>
    </dxf>
    <dxf>
      <numFmt numFmtId="1581" formatCode="#,##0 &quot;FCFA&quot;"/>
    </dxf>
    <dxf>
      <numFmt numFmtId="1582" formatCode="#,##0 &quot;FCFA&quot;"/>
    </dxf>
    <dxf>
      <numFmt numFmtId="1583" formatCode="#,##0 &quot;€&quot;"/>
    </dxf>
    <dxf>
      <numFmt numFmtId="1584" formatCode="&quot;$&quot; #,##0"/>
    </dxf>
    <dxf>
      <numFmt numFmtId="1585" formatCode="&quot;£&quot; #,##0"/>
    </dxf>
    <dxf>
      <numFmt numFmtId="1586" formatCode="&quot;C$&quot; #,##0"/>
    </dxf>
    <dxf>
      <numFmt numFmtId="1587" formatCode="#,##0 &quot;CHF&quot;"/>
    </dxf>
    <dxf>
      <numFmt numFmtId="1588" formatCode="#,##0 &quot;DH&quot;"/>
    </dxf>
    <dxf>
      <numFmt numFmtId="1589" formatCode="&quot;₦&quot; #,##0"/>
    </dxf>
    <dxf>
      <numFmt numFmtId="1590" formatCode="&quot;₵&quot; #,##0"/>
    </dxf>
    <dxf>
      <numFmt numFmtId="1591" formatCode="#,##0 &quot;FC&quot;"/>
    </dxf>
    <dxf>
      <numFmt numFmtId="1592" formatCode="&quot;R&quot; #,##0"/>
    </dxf>
    <dxf>
      <numFmt numFmtId="1593" formatCode="#,##0 &quot;AED&quot;"/>
    </dxf>
    <dxf>
      <numFmt numFmtId="1594" formatCode="#,##0 &quot;MRU&quot;"/>
    </dxf>
    <dxf>
      <numFmt numFmtId="1595" formatCode="#,##0 &quot;GNF&quot;"/>
    </dxf>
    <dxf>
      <numFmt numFmtId="1746" formatCode="#,##0 &quot;FCFA&quot;"/>
    </dxf>
    <dxf>
      <numFmt numFmtId="1747" formatCode="#,##0 &quot;FCFA&quot;"/>
    </dxf>
    <dxf>
      <numFmt numFmtId="1748" formatCode="#,##0 &quot;€&quot;"/>
    </dxf>
    <dxf>
      <numFmt numFmtId="1749" formatCode="&quot;$&quot; #,##0"/>
    </dxf>
    <dxf>
      <numFmt numFmtId="1750" formatCode="&quot;£&quot; #,##0"/>
    </dxf>
    <dxf>
      <numFmt numFmtId="1751" formatCode="&quot;C$&quot; #,##0"/>
    </dxf>
    <dxf>
      <numFmt numFmtId="1752" formatCode="#,##0 &quot;CHF&quot;"/>
    </dxf>
    <dxf>
      <numFmt numFmtId="1753" formatCode="#,##0 &quot;DH&quot;"/>
    </dxf>
    <dxf>
      <numFmt numFmtId="1754" formatCode="&quot;₦&quot; #,##0"/>
    </dxf>
    <dxf>
      <numFmt numFmtId="1755" formatCode="&quot;₵&quot; #,##0"/>
    </dxf>
    <dxf>
      <numFmt numFmtId="1756" formatCode="#,##0 &quot;FC&quot;"/>
    </dxf>
    <dxf>
      <numFmt numFmtId="1757" formatCode="&quot;R&quot; #,##0"/>
    </dxf>
    <dxf>
      <numFmt numFmtId="1758" formatCode="#,##0 &quot;AED&quot;"/>
    </dxf>
    <dxf>
      <numFmt numFmtId="1759" formatCode="#,##0 &quot;MRU&quot;"/>
    </dxf>
    <dxf>
      <numFmt numFmtId="1760" formatCode="#,##0 &quot;GNF&quot;"/>
    </dxf>
    <dxf>
      <numFmt numFmtId="1761" formatCode="#,##0 &quot;FCFA&quot;"/>
    </dxf>
    <dxf>
      <numFmt numFmtId="1762" formatCode="#,##0 &quot;FCFA&quot;"/>
    </dxf>
    <dxf>
      <numFmt numFmtId="1763" formatCode="#,##0 &quot;€&quot;"/>
    </dxf>
    <dxf>
      <numFmt numFmtId="1764" formatCode="&quot;$&quot; #,##0"/>
    </dxf>
    <dxf>
      <numFmt numFmtId="1765" formatCode="&quot;£&quot; #,##0"/>
    </dxf>
    <dxf>
      <numFmt numFmtId="1766" formatCode="&quot;C$&quot; #,##0"/>
    </dxf>
    <dxf>
      <numFmt numFmtId="1767" formatCode="#,##0 &quot;CHF&quot;"/>
    </dxf>
    <dxf>
      <numFmt numFmtId="1768" formatCode="#,##0 &quot;DH&quot;"/>
    </dxf>
    <dxf>
      <numFmt numFmtId="1769" formatCode="&quot;₦&quot; #,##0"/>
    </dxf>
    <dxf>
      <numFmt numFmtId="1770" formatCode="&quot;₵&quot; #,##0"/>
    </dxf>
    <dxf>
      <numFmt numFmtId="1771" formatCode="#,##0 &quot;FC&quot;"/>
    </dxf>
    <dxf>
      <numFmt numFmtId="1772" formatCode="&quot;R&quot; #,##0"/>
    </dxf>
    <dxf>
      <numFmt numFmtId="1773" formatCode="#,##0 &quot;AED&quot;"/>
    </dxf>
    <dxf>
      <numFmt numFmtId="1774" formatCode="#,##0 &quot;MRU&quot;"/>
    </dxf>
    <dxf>
      <numFmt numFmtId="1775" formatCode="#,##0 &quot;GNF&quot;"/>
    </dxf>
    <dxf>
      <numFmt numFmtId="1776" formatCode="#,##0 &quot;FCFA&quot;"/>
    </dxf>
    <dxf>
      <numFmt numFmtId="1777" formatCode="#,##0 &quot;FCFA&quot;"/>
    </dxf>
    <dxf>
      <numFmt numFmtId="1778" formatCode="#,##0 &quot;€&quot;"/>
    </dxf>
    <dxf>
      <numFmt numFmtId="1779" formatCode="&quot;$&quot; #,##0"/>
    </dxf>
    <dxf>
      <numFmt numFmtId="1780" formatCode="&quot;£&quot; #,##0"/>
    </dxf>
    <dxf>
      <numFmt numFmtId="1781" formatCode="&quot;C$&quot; #,##0"/>
    </dxf>
    <dxf>
      <numFmt numFmtId="1782" formatCode="#,##0 &quot;CHF&quot;"/>
    </dxf>
    <dxf>
      <numFmt numFmtId="1783" formatCode="#,##0 &quot;DH&quot;"/>
    </dxf>
    <dxf>
      <numFmt numFmtId="1784" formatCode="&quot;₦&quot; #,##0"/>
    </dxf>
    <dxf>
      <numFmt numFmtId="1785" formatCode="&quot;₵&quot; #,##0"/>
    </dxf>
    <dxf>
      <numFmt numFmtId="1786" formatCode="#,##0 &quot;FC&quot;"/>
    </dxf>
    <dxf>
      <numFmt numFmtId="1787" formatCode="&quot;R&quot; #,##0"/>
    </dxf>
    <dxf>
      <numFmt numFmtId="1788" formatCode="#,##0 &quot;AED&quot;"/>
    </dxf>
    <dxf>
      <numFmt numFmtId="1789" formatCode="#,##0 &quot;MRU&quot;"/>
    </dxf>
    <dxf>
      <numFmt numFmtId="1790" formatCode="#,##0 &quot;GNF&quot;"/>
    </dxf>
    <dxf>
      <numFmt numFmtId="1791" formatCode="#,##0 &quot;FCFA&quot;"/>
    </dxf>
    <dxf>
      <numFmt numFmtId="1792" formatCode="#,##0 &quot;FCFA&quot;"/>
    </dxf>
    <dxf>
      <numFmt numFmtId="1793" formatCode="#,##0 &quot;€&quot;"/>
    </dxf>
    <dxf>
      <numFmt numFmtId="1794" formatCode="&quot;$&quot; #,##0"/>
    </dxf>
    <dxf>
      <numFmt numFmtId="1795" formatCode="&quot;£&quot; #,##0"/>
    </dxf>
    <dxf>
      <numFmt numFmtId="1796" formatCode="&quot;C$&quot; #,##0"/>
    </dxf>
    <dxf>
      <numFmt numFmtId="1797" formatCode="#,##0 &quot;CHF&quot;"/>
    </dxf>
    <dxf>
      <numFmt numFmtId="1798" formatCode="#,##0 &quot;DH&quot;"/>
    </dxf>
    <dxf>
      <numFmt numFmtId="1799" formatCode="&quot;₦&quot; #,##0"/>
    </dxf>
    <dxf>
      <numFmt numFmtId="1800" formatCode="&quot;₵&quot; #,##0"/>
    </dxf>
    <dxf>
      <numFmt numFmtId="1801" formatCode="#,##0 &quot;FC&quot;"/>
    </dxf>
    <dxf>
      <numFmt numFmtId="1802" formatCode="&quot;R&quot; #,##0"/>
    </dxf>
    <dxf>
      <numFmt numFmtId="1803" formatCode="#,##0 &quot;AED&quot;"/>
    </dxf>
    <dxf>
      <numFmt numFmtId="1804" formatCode="#,##0 &quot;MRU&quot;"/>
    </dxf>
    <dxf>
      <numFmt numFmtId="1805" formatCode="#,##0 &quot;GNF&quot;"/>
    </dxf>
    <dxf>
      <numFmt numFmtId="1806" formatCode="#,##0 &quot;FCFA&quot;;-#,##0 &quot;FCFA&quot;;"/>
    </dxf>
    <dxf>
      <numFmt numFmtId="1807" formatCode="#,##0 &quot;FCFA&quot;;-#,##0 &quot;FCFA&quot;;"/>
    </dxf>
    <dxf>
      <numFmt numFmtId="1808" formatCode="#,##0 &quot;€&quot;;-#,##0 &quot;€&quot;;"/>
    </dxf>
    <dxf>
      <numFmt numFmtId="1809" formatCode="&quot;$&quot; #,##0;-&quot;$&quot; #,##0;"/>
    </dxf>
    <dxf>
      <numFmt numFmtId="1810" formatCode="&quot;£&quot; #,##0;-&quot;£&quot; #,##0;"/>
    </dxf>
    <dxf>
      <numFmt numFmtId="1811" formatCode="&quot;C$&quot; #,##0;-&quot;C$&quot; #,##0;"/>
    </dxf>
    <dxf>
      <numFmt numFmtId="1812" formatCode="#,##0 &quot;CHF&quot;;-#,##0 &quot;CHF&quot;;"/>
    </dxf>
    <dxf>
      <numFmt numFmtId="1813" formatCode="#,##0 &quot;DH&quot;;-#,##0 &quot;DH&quot;;"/>
    </dxf>
    <dxf>
      <numFmt numFmtId="1814" formatCode="&quot;₦&quot; #,##0;-&quot;₦&quot; #,##0;"/>
    </dxf>
    <dxf>
      <numFmt numFmtId="1815" formatCode="&quot;₵&quot; #,##0;-&quot;₵&quot; #,##0;"/>
    </dxf>
    <dxf>
      <numFmt numFmtId="1816" formatCode="#,##0 &quot;FC&quot;;-#,##0 &quot;FC&quot;;"/>
    </dxf>
    <dxf>
      <numFmt numFmtId="1817" formatCode="&quot;R&quot; #,##0;-&quot;R&quot; #,##0;"/>
    </dxf>
    <dxf>
      <numFmt numFmtId="1818" formatCode="#,##0 &quot;AED&quot;;-#,##0 &quot;AED&quot;;"/>
    </dxf>
    <dxf>
      <numFmt numFmtId="1819" formatCode="#,##0 &quot;MRU&quot;;-#,##0 &quot;MRU&quot;;"/>
    </dxf>
    <dxf>
      <numFmt numFmtId="1820" formatCode="#,##0 &quot;GNF&quot;;-#,##0 &quot;GNF&quot;;"/>
    </dxf>
    <dxf>
      <numFmt numFmtId="1821" formatCode="#,##0 &quot;FCFA&quot;;-#,##0 &quot;FCFA&quot;;"/>
    </dxf>
    <dxf>
      <numFmt numFmtId="1822" formatCode="#,##0 &quot;FCFA&quot;;-#,##0 &quot;FCFA&quot;;"/>
    </dxf>
    <dxf>
      <numFmt numFmtId="1823" formatCode="#,##0 &quot;€&quot;;-#,##0 &quot;€&quot;;"/>
    </dxf>
    <dxf>
      <numFmt numFmtId="1824" formatCode="&quot;$&quot; #,##0;-&quot;$&quot; #,##0;"/>
    </dxf>
    <dxf>
      <numFmt numFmtId="1825" formatCode="&quot;£&quot; #,##0;-&quot;£&quot; #,##0;"/>
    </dxf>
    <dxf>
      <numFmt numFmtId="1826" formatCode="&quot;C$&quot; #,##0;-&quot;C$&quot; #,##0;"/>
    </dxf>
    <dxf>
      <numFmt numFmtId="1827" formatCode="#,##0 &quot;CHF&quot;;-#,##0 &quot;CHF&quot;;"/>
    </dxf>
    <dxf>
      <numFmt numFmtId="1828" formatCode="#,##0 &quot;DH&quot;;-#,##0 &quot;DH&quot;;"/>
    </dxf>
    <dxf>
      <numFmt numFmtId="1829" formatCode="&quot;₦&quot; #,##0;-&quot;₦&quot; #,##0;"/>
    </dxf>
    <dxf>
      <numFmt numFmtId="1830" formatCode="&quot;₵&quot; #,##0;-&quot;₵&quot; #,##0;"/>
    </dxf>
    <dxf>
      <numFmt numFmtId="1831" formatCode="#,##0 &quot;FC&quot;;-#,##0 &quot;FC&quot;;"/>
    </dxf>
    <dxf>
      <numFmt numFmtId="1832" formatCode="&quot;R&quot; #,##0;-&quot;R&quot; #,##0;"/>
    </dxf>
    <dxf>
      <numFmt numFmtId="1833" formatCode="#,##0 &quot;AED&quot;;-#,##0 &quot;AED&quot;;"/>
    </dxf>
    <dxf>
      <numFmt numFmtId="1834" formatCode="#,##0 &quot;MRU&quot;;-#,##0 &quot;MRU&quot;;"/>
    </dxf>
    <dxf>
      <numFmt numFmtId="1835" formatCode="#,##0 &quot;GNF&quot;;-#,##0 &quot;GNF&quot;;"/>
    </dxf>
    <dxf>
      <numFmt numFmtId="1836" formatCode="#,##0 &quot;FCFA&quot;"/>
    </dxf>
    <dxf>
      <numFmt numFmtId="1837" formatCode="#,##0 &quot;FCFA&quot;"/>
    </dxf>
    <dxf>
      <numFmt numFmtId="1838" formatCode="#,##0 &quot;€&quot;"/>
    </dxf>
    <dxf>
      <numFmt numFmtId="1839" formatCode="&quot;$&quot; #,##0"/>
    </dxf>
    <dxf>
      <numFmt numFmtId="1840" formatCode="&quot;£&quot; #,##0"/>
    </dxf>
    <dxf>
      <numFmt numFmtId="1841" formatCode="&quot;C$&quot; #,##0"/>
    </dxf>
    <dxf>
      <numFmt numFmtId="1842" formatCode="#,##0 &quot;CHF&quot;"/>
    </dxf>
    <dxf>
      <numFmt numFmtId="1843" formatCode="#,##0 &quot;DH&quot;"/>
    </dxf>
    <dxf>
      <numFmt numFmtId="1844" formatCode="&quot;₦&quot; #,##0"/>
    </dxf>
    <dxf>
      <numFmt numFmtId="1845" formatCode="&quot;₵&quot; #,##0"/>
    </dxf>
    <dxf>
      <numFmt numFmtId="1846" formatCode="#,##0 &quot;FC&quot;"/>
    </dxf>
    <dxf>
      <numFmt numFmtId="1847" formatCode="&quot;R&quot; #,##0"/>
    </dxf>
    <dxf>
      <numFmt numFmtId="1848" formatCode="#,##0 &quot;AED&quot;"/>
    </dxf>
    <dxf>
      <numFmt numFmtId="1849" formatCode="#,##0 &quot;MRU&quot;"/>
    </dxf>
    <dxf>
      <numFmt numFmtId="1850" formatCode="#,##0 &quot;GNF&quot;"/>
    </dxf>
    <dxf>
      <numFmt numFmtId="1851" formatCode="#,##0 &quot;FCFA&quot;"/>
    </dxf>
    <dxf>
      <numFmt numFmtId="1852" formatCode="#,##0 &quot;FCFA&quot;"/>
    </dxf>
    <dxf>
      <numFmt numFmtId="1853" formatCode="#,##0 &quot;€&quot;"/>
    </dxf>
    <dxf>
      <numFmt numFmtId="1854" formatCode="&quot;$&quot; #,##0"/>
    </dxf>
    <dxf>
      <numFmt numFmtId="1855" formatCode="&quot;£&quot; #,##0"/>
    </dxf>
    <dxf>
      <numFmt numFmtId="1856" formatCode="&quot;C$&quot; #,##0"/>
    </dxf>
    <dxf>
      <numFmt numFmtId="1857" formatCode="#,##0 &quot;CHF&quot;"/>
    </dxf>
    <dxf>
      <numFmt numFmtId="1858" formatCode="#,##0 &quot;DH&quot;"/>
    </dxf>
    <dxf>
      <numFmt numFmtId="1859" formatCode="&quot;₦&quot; #,##0"/>
    </dxf>
    <dxf>
      <numFmt numFmtId="1860" formatCode="&quot;₵&quot; #,##0"/>
    </dxf>
    <dxf>
      <numFmt numFmtId="1861" formatCode="#,##0 &quot;FC&quot;"/>
    </dxf>
    <dxf>
      <numFmt numFmtId="1862" formatCode="&quot;R&quot; #,##0"/>
    </dxf>
    <dxf>
      <numFmt numFmtId="1863" formatCode="#,##0 &quot;AED&quot;"/>
    </dxf>
    <dxf>
      <numFmt numFmtId="1864" formatCode="#,##0 &quot;MRU&quot;"/>
    </dxf>
    <dxf>
      <numFmt numFmtId="1865" formatCode="#,##0 &quot;GNF&quot;"/>
    </dxf>
    <dxf>
      <numFmt numFmtId="1866" formatCode="#,##0 &quot;FCFA&quot;"/>
    </dxf>
    <dxf>
      <numFmt numFmtId="1867" formatCode="#,##0 &quot;FCFA&quot;"/>
    </dxf>
    <dxf>
      <numFmt numFmtId="1868" formatCode="#,##0 &quot;€&quot;"/>
    </dxf>
    <dxf>
      <numFmt numFmtId="1869" formatCode="&quot;$&quot; #,##0"/>
    </dxf>
    <dxf>
      <numFmt numFmtId="1870" formatCode="&quot;£&quot; #,##0"/>
    </dxf>
    <dxf>
      <numFmt numFmtId="1871" formatCode="&quot;C$&quot; #,##0"/>
    </dxf>
    <dxf>
      <numFmt numFmtId="1872" formatCode="#,##0 &quot;CHF&quot;"/>
    </dxf>
    <dxf>
      <numFmt numFmtId="1873" formatCode="#,##0 &quot;DH&quot;"/>
    </dxf>
    <dxf>
      <numFmt numFmtId="1874" formatCode="&quot;₦&quot; #,##0"/>
    </dxf>
    <dxf>
      <numFmt numFmtId="1875" formatCode="&quot;₵&quot; #,##0"/>
    </dxf>
    <dxf>
      <numFmt numFmtId="1876" formatCode="#,##0 &quot;FC&quot;"/>
    </dxf>
    <dxf>
      <numFmt numFmtId="1877" formatCode="&quot;R&quot; #,##0"/>
    </dxf>
    <dxf>
      <numFmt numFmtId="1878" formatCode="#,##0 &quot;AED&quot;"/>
    </dxf>
    <dxf>
      <numFmt numFmtId="1879" formatCode="#,##0 &quot;MRU&quot;"/>
    </dxf>
    <dxf>
      <numFmt numFmtId="1880" formatCode="#,##0 &quot;GNF&quot;"/>
    </dxf>
    <dxf>
      <numFmt numFmtId="1881" formatCode="#,##0 &quot;FCFA&quot;"/>
    </dxf>
    <dxf>
      <numFmt numFmtId="1882" formatCode="#,##0 &quot;FCFA&quot;"/>
    </dxf>
    <dxf>
      <numFmt numFmtId="1883" formatCode="#,##0 &quot;€&quot;"/>
    </dxf>
    <dxf>
      <numFmt numFmtId="1884" formatCode="&quot;$&quot; #,##0"/>
    </dxf>
    <dxf>
      <numFmt numFmtId="1885" formatCode="&quot;£&quot; #,##0"/>
    </dxf>
    <dxf>
      <numFmt numFmtId="1886" formatCode="&quot;C$&quot; #,##0"/>
    </dxf>
    <dxf>
      <numFmt numFmtId="1887" formatCode="#,##0 &quot;CHF&quot;"/>
    </dxf>
    <dxf>
      <numFmt numFmtId="1888" formatCode="#,##0 &quot;DH&quot;"/>
    </dxf>
    <dxf>
      <numFmt numFmtId="1889" formatCode="&quot;₦&quot; #,##0"/>
    </dxf>
    <dxf>
      <numFmt numFmtId="1890" formatCode="&quot;₵&quot; #,##0"/>
    </dxf>
    <dxf>
      <numFmt numFmtId="1891" formatCode="#,##0 &quot;FC&quot;"/>
    </dxf>
    <dxf>
      <numFmt numFmtId="1892" formatCode="&quot;R&quot; #,##0"/>
    </dxf>
    <dxf>
      <numFmt numFmtId="1893" formatCode="#,##0 &quot;AED&quot;"/>
    </dxf>
    <dxf>
      <numFmt numFmtId="1894" formatCode="#,##0 &quot;MRU&quot;"/>
    </dxf>
    <dxf>
      <numFmt numFmtId="1895" formatCode="#,##0 &quot;GNF&quot;"/>
    </dxf>
    <dxf>
      <numFmt numFmtId="1896" formatCode="#,##0 &quot;FCFA&quot;"/>
    </dxf>
    <dxf>
      <numFmt numFmtId="1897" formatCode="#,##0 &quot;FCFA&quot;"/>
    </dxf>
    <dxf>
      <numFmt numFmtId="1898" formatCode="#,##0 &quot;€&quot;"/>
    </dxf>
    <dxf>
      <numFmt numFmtId="1899" formatCode="&quot;$&quot; #,##0"/>
    </dxf>
    <dxf>
      <numFmt numFmtId="1900" formatCode="&quot;£&quot; #,##0"/>
    </dxf>
    <dxf>
      <numFmt numFmtId="1901" formatCode="&quot;C$&quot; #,##0"/>
    </dxf>
    <dxf>
      <numFmt numFmtId="1902" formatCode="#,##0 &quot;CHF&quot;"/>
    </dxf>
    <dxf>
      <numFmt numFmtId="1903" formatCode="#,##0 &quot;DH&quot;"/>
    </dxf>
    <dxf>
      <numFmt numFmtId="1904" formatCode="&quot;₦&quot; #,##0"/>
    </dxf>
    <dxf>
      <numFmt numFmtId="1905" formatCode="&quot;₵&quot; #,##0"/>
    </dxf>
    <dxf>
      <numFmt numFmtId="1906" formatCode="#,##0 &quot;FC&quot;"/>
    </dxf>
    <dxf>
      <numFmt numFmtId="1907" formatCode="&quot;R&quot; #,##0"/>
    </dxf>
    <dxf>
      <numFmt numFmtId="1908" formatCode="#,##0 &quot;AED&quot;"/>
    </dxf>
    <dxf>
      <numFmt numFmtId="1909" formatCode="#,##0 &quot;MRU&quot;"/>
    </dxf>
    <dxf>
      <numFmt numFmtId="1910" formatCode="#,##0 &quot;GNF&quot;"/>
    </dxf>
    <dxf>
      <numFmt numFmtId="1911" formatCode="#,##0 &quot;FCFA&quot;"/>
    </dxf>
    <dxf>
      <numFmt numFmtId="1912" formatCode="#,##0 &quot;FCFA&quot;"/>
    </dxf>
    <dxf>
      <numFmt numFmtId="1913" formatCode="#,##0 &quot;€&quot;"/>
    </dxf>
    <dxf>
      <numFmt numFmtId="1914" formatCode="&quot;$&quot; #,##0"/>
    </dxf>
    <dxf>
      <numFmt numFmtId="1915" formatCode="&quot;£&quot; #,##0"/>
    </dxf>
    <dxf>
      <numFmt numFmtId="1916" formatCode="&quot;C$&quot; #,##0"/>
    </dxf>
    <dxf>
      <numFmt numFmtId="1917" formatCode="#,##0 &quot;CHF&quot;"/>
    </dxf>
    <dxf>
      <numFmt numFmtId="1918" formatCode="#,##0 &quot;DH&quot;"/>
    </dxf>
    <dxf>
      <numFmt numFmtId="1919" formatCode="&quot;₦&quot; #,##0"/>
    </dxf>
    <dxf>
      <numFmt numFmtId="1920" formatCode="&quot;₵&quot; #,##0"/>
    </dxf>
    <dxf>
      <numFmt numFmtId="1921" formatCode="#,##0 &quot;FC&quot;"/>
    </dxf>
    <dxf>
      <numFmt numFmtId="1922" formatCode="&quot;R&quot; #,##0"/>
    </dxf>
    <dxf>
      <numFmt numFmtId="1923" formatCode="#,##0 &quot;AED&quot;"/>
    </dxf>
    <dxf>
      <numFmt numFmtId="1924" formatCode="#,##0 &quot;MRU&quot;"/>
    </dxf>
    <dxf>
      <numFmt numFmtId="1925" formatCode="#,##0 &quot;GNF&quot;"/>
    </dxf>
    <dxf>
      <numFmt numFmtId="1926" formatCode="#,##0 &quot;FCFA&quot;;-#,##0 &quot;FCFA&quot;;"/>
    </dxf>
    <dxf>
      <numFmt numFmtId="1927" formatCode="#,##0 &quot;FCFA&quot;;-#,##0 &quot;FCFA&quot;;"/>
    </dxf>
    <dxf>
      <numFmt numFmtId="1928" formatCode="#,##0 &quot;€&quot;;-#,##0 &quot;€&quot;;"/>
    </dxf>
    <dxf>
      <numFmt numFmtId="1929" formatCode="&quot;$&quot; #,##0;-&quot;$&quot; #,##0;"/>
    </dxf>
    <dxf>
      <numFmt numFmtId="1930" formatCode="&quot;£&quot; #,##0;-&quot;£&quot; #,##0;"/>
    </dxf>
    <dxf>
      <numFmt numFmtId="1931" formatCode="&quot;C$&quot; #,##0;-&quot;C$&quot; #,##0;"/>
    </dxf>
    <dxf>
      <numFmt numFmtId="1932" formatCode="#,##0 &quot;CHF&quot;;-#,##0 &quot;CHF&quot;;"/>
    </dxf>
    <dxf>
      <numFmt numFmtId="1933" formatCode="#,##0 &quot;DH&quot;;-#,##0 &quot;DH&quot;;"/>
    </dxf>
    <dxf>
      <numFmt numFmtId="1934" formatCode="&quot;₦&quot; #,##0;-&quot;₦&quot; #,##0;"/>
    </dxf>
    <dxf>
      <numFmt numFmtId="1935" formatCode="&quot;₵&quot; #,##0;-&quot;₵&quot; #,##0;"/>
    </dxf>
    <dxf>
      <numFmt numFmtId="1936" formatCode="#,##0 &quot;FC&quot;;-#,##0 &quot;FC&quot;;"/>
    </dxf>
    <dxf>
      <numFmt numFmtId="1937" formatCode="&quot;R&quot; #,##0;-&quot;R&quot; #,##0;"/>
    </dxf>
    <dxf>
      <numFmt numFmtId="1938" formatCode="#,##0 &quot;AED&quot;;-#,##0 &quot;AED&quot;;"/>
    </dxf>
    <dxf>
      <numFmt numFmtId="1939" formatCode="#,##0 &quot;MRU&quot;;-#,##0 &quot;MRU&quot;;"/>
    </dxf>
    <dxf>
      <numFmt numFmtId="1940" formatCode="#,##0 &quot;GNF&quot;;-#,##0 &quot;GNF&quot;;"/>
    </dxf>
    <dxf>
      <numFmt numFmtId="1941" formatCode="#,##0 &quot;FCFA&quot;;-#,##0 &quot;FCFA&quot;;"/>
    </dxf>
    <dxf>
      <numFmt numFmtId="1942" formatCode="#,##0 &quot;FCFA&quot;;-#,##0 &quot;FCFA&quot;;"/>
    </dxf>
    <dxf>
      <numFmt numFmtId="1943" formatCode="#,##0 &quot;€&quot;;-#,##0 &quot;€&quot;;"/>
    </dxf>
    <dxf>
      <numFmt numFmtId="1944" formatCode="&quot;$&quot; #,##0;-&quot;$&quot; #,##0;"/>
    </dxf>
    <dxf>
      <numFmt numFmtId="1945" formatCode="&quot;£&quot; #,##0;-&quot;£&quot; #,##0;"/>
    </dxf>
    <dxf>
      <numFmt numFmtId="1946" formatCode="&quot;C$&quot; #,##0;-&quot;C$&quot; #,##0;"/>
    </dxf>
    <dxf>
      <numFmt numFmtId="1947" formatCode="#,##0 &quot;CHF&quot;;-#,##0 &quot;CHF&quot;;"/>
    </dxf>
    <dxf>
      <numFmt numFmtId="1948" formatCode="#,##0 &quot;DH&quot;;-#,##0 &quot;DH&quot;;"/>
    </dxf>
    <dxf>
      <numFmt numFmtId="1949" formatCode="&quot;₦&quot; #,##0;-&quot;₦&quot; #,##0;"/>
    </dxf>
    <dxf>
      <numFmt numFmtId="1950" formatCode="&quot;₵&quot; #,##0;-&quot;₵&quot; #,##0;"/>
    </dxf>
    <dxf>
      <numFmt numFmtId="1951" formatCode="#,##0 &quot;FC&quot;;-#,##0 &quot;FC&quot;;"/>
    </dxf>
    <dxf>
      <numFmt numFmtId="1952" formatCode="&quot;R&quot; #,##0;-&quot;R&quot; #,##0;"/>
    </dxf>
    <dxf>
      <numFmt numFmtId="1953" formatCode="#,##0 &quot;AED&quot;;-#,##0 &quot;AED&quot;;"/>
    </dxf>
    <dxf>
      <numFmt numFmtId="1954" formatCode="#,##0 &quot;MRU&quot;;-#,##0 &quot;MRU&quot;;"/>
    </dxf>
    <dxf>
      <numFmt numFmtId="1955" formatCode="#,##0 &quot;GNF&quot;;-#,##0 &quot;GNF&quot;;"/>
    </dxf>
    <dxf>
      <numFmt numFmtId="1956" formatCode="#,##0 &quot;FCFA&quot;"/>
    </dxf>
    <dxf>
      <numFmt numFmtId="1957" formatCode="#,##0 &quot;FCFA&quot;"/>
    </dxf>
    <dxf>
      <numFmt numFmtId="1958" formatCode="#,##0 &quot;€&quot;"/>
    </dxf>
    <dxf>
      <numFmt numFmtId="1959" formatCode="&quot;$&quot; #,##0"/>
    </dxf>
    <dxf>
      <numFmt numFmtId="1960" formatCode="&quot;£&quot; #,##0"/>
    </dxf>
    <dxf>
      <numFmt numFmtId="1961" formatCode="&quot;C$&quot; #,##0"/>
    </dxf>
    <dxf>
      <numFmt numFmtId="1962" formatCode="#,##0 &quot;CHF&quot;"/>
    </dxf>
    <dxf>
      <numFmt numFmtId="1963" formatCode="#,##0 &quot;DH&quot;"/>
    </dxf>
    <dxf>
      <numFmt numFmtId="1964" formatCode="&quot;₦&quot; #,##0"/>
    </dxf>
    <dxf>
      <numFmt numFmtId="1965" formatCode="&quot;₵&quot; #,##0"/>
    </dxf>
    <dxf>
      <numFmt numFmtId="1966" formatCode="#,##0 &quot;FC&quot;"/>
    </dxf>
    <dxf>
      <numFmt numFmtId="1967" formatCode="&quot;R&quot; #,##0"/>
    </dxf>
    <dxf>
      <numFmt numFmtId="1968" formatCode="#,##0 &quot;AED&quot;"/>
    </dxf>
    <dxf>
      <numFmt numFmtId="1969" formatCode="#,##0 &quot;MRU&quot;"/>
    </dxf>
    <dxf>
      <numFmt numFmtId="1970" formatCode="#,##0 &quot;GNF&quot;"/>
    </dxf>
    <dxf>
      <numFmt numFmtId="1971" formatCode="#,##0 &quot;FCFA&quot;;-#,##0 &quot;FCFA&quot;;"/>
    </dxf>
    <dxf>
      <numFmt numFmtId="1972" formatCode="#,##0 &quot;FCFA&quot;;-#,##0 &quot;FCFA&quot;;"/>
    </dxf>
    <dxf>
      <numFmt numFmtId="1973" formatCode="#,##0 &quot;€&quot;;-#,##0 &quot;€&quot;;"/>
    </dxf>
    <dxf>
      <numFmt numFmtId="1974" formatCode="&quot;$&quot; #,##0;-&quot;$&quot; #,##0;"/>
    </dxf>
    <dxf>
      <numFmt numFmtId="1975" formatCode="&quot;£&quot; #,##0;-&quot;£&quot; #,##0;"/>
    </dxf>
    <dxf>
      <numFmt numFmtId="1976" formatCode="&quot;C$&quot; #,##0;-&quot;C$&quot; #,##0;"/>
    </dxf>
    <dxf>
      <numFmt numFmtId="1977" formatCode="#,##0 &quot;CHF&quot;;-#,##0 &quot;CHF&quot;;"/>
    </dxf>
    <dxf>
      <numFmt numFmtId="1978" formatCode="#,##0 &quot;DH&quot;;-#,##0 &quot;DH&quot;;"/>
    </dxf>
    <dxf>
      <numFmt numFmtId="1979" formatCode="&quot;₦&quot; #,##0;-&quot;₦&quot; #,##0;"/>
    </dxf>
    <dxf>
      <numFmt numFmtId="1980" formatCode="&quot;₵&quot; #,##0;-&quot;₵&quot; #,##0;"/>
    </dxf>
    <dxf>
      <numFmt numFmtId="1981" formatCode="#,##0 &quot;FC&quot;;-#,##0 &quot;FC&quot;;"/>
    </dxf>
    <dxf>
      <numFmt numFmtId="1982" formatCode="&quot;R&quot; #,##0;-&quot;R&quot; #,##0;"/>
    </dxf>
    <dxf>
      <numFmt numFmtId="1983" formatCode="#,##0 &quot;AED&quot;;-#,##0 &quot;AED&quot;;"/>
    </dxf>
    <dxf>
      <numFmt numFmtId="1984" formatCode="#,##0 &quot;MRU&quot;;-#,##0 &quot;MRU&quot;;"/>
    </dxf>
    <dxf>
      <numFmt numFmtId="1985" formatCode="#,##0 &quot;GNF&quot;;-#,##0 &quot;GNF&quot;;"/>
    </dxf>
    <dxf>
      <numFmt numFmtId="441" formatCode="#,##0 &quot;FCFA&quot;"/>
    </dxf>
    <dxf>
      <numFmt numFmtId="442" formatCode="#,##0 &quot;FCFA&quot;"/>
    </dxf>
    <dxf>
      <numFmt numFmtId="443" formatCode="#,##0 &quot;€&quot;"/>
    </dxf>
    <dxf>
      <numFmt numFmtId="444" formatCode="&quot;$&quot; #,##0"/>
    </dxf>
    <dxf>
      <numFmt numFmtId="445" formatCode="&quot;£&quot; #,##0"/>
    </dxf>
    <dxf>
      <numFmt numFmtId="446" formatCode="&quot;C$&quot; #,##0"/>
    </dxf>
    <dxf>
      <numFmt numFmtId="447" formatCode="#,##0 &quot;CHF&quot;"/>
    </dxf>
    <dxf>
      <numFmt numFmtId="448" formatCode="#,##0 &quot;DH&quot;"/>
    </dxf>
    <dxf>
      <numFmt numFmtId="449" formatCode="&quot;₦&quot; #,##0"/>
    </dxf>
    <dxf>
      <numFmt numFmtId="450" formatCode="&quot;₵&quot; #,##0"/>
    </dxf>
    <dxf>
      <numFmt numFmtId="451" formatCode="#,##0 &quot;FC&quot;"/>
    </dxf>
    <dxf>
      <numFmt numFmtId="452" formatCode="&quot;R&quot; #,##0"/>
    </dxf>
    <dxf>
      <numFmt numFmtId="453" formatCode="#,##0 &quot;AED&quot;"/>
    </dxf>
    <dxf>
      <numFmt numFmtId="454" formatCode="#,##0 &quot;MRU&quot;"/>
    </dxf>
    <dxf>
      <numFmt numFmtId="455" formatCode="#,##0 &quot;GNF&quot;"/>
    </dxf>
    <dxf>
      <font>
        <b val="1"/>
        <color rgb="008B1A1A"/>
      </font>
      <fill>
        <patternFill>
          <bgColor rgb="00FBE8E6"/>
        </patternFill>
      </fill>
    </dxf>
    <dxf>
      <font>
        <b val="1"/>
        <color rgb="00E07B22"/>
      </font>
      <fill>
        <patternFill>
          <bgColor rgb="00FCEFD9"/>
        </patternFill>
      </fill>
    </dxf>
    <dxf>
      <font>
        <b val="1"/>
        <color rgb="001E6B3C"/>
      </font>
      <fill>
        <patternFill>
          <bgColor rgb="00E3F4EB"/>
        </patternFill>
      </fill>
    </dxf>
    <dxf>
      <numFmt numFmtId="456" formatCode="#,##0 &quot;FCFA&quot;"/>
    </dxf>
    <dxf>
      <numFmt numFmtId="457" formatCode="#,##0 &quot;FCFA&quot;"/>
    </dxf>
    <dxf>
      <numFmt numFmtId="458" formatCode="#,##0 &quot;€&quot;"/>
    </dxf>
    <dxf>
      <numFmt numFmtId="459" formatCode="&quot;$&quot; #,##0"/>
    </dxf>
    <dxf>
      <numFmt numFmtId="460" formatCode="&quot;£&quot; #,##0"/>
    </dxf>
    <dxf>
      <numFmt numFmtId="461" formatCode="&quot;C$&quot; #,##0"/>
    </dxf>
    <dxf>
      <numFmt numFmtId="462" formatCode="#,##0 &quot;CHF&quot;"/>
    </dxf>
    <dxf>
      <numFmt numFmtId="463" formatCode="#,##0 &quot;DH&quot;"/>
    </dxf>
    <dxf>
      <numFmt numFmtId="464" formatCode="&quot;₦&quot; #,##0"/>
    </dxf>
    <dxf>
      <numFmt numFmtId="465" formatCode="&quot;₵&quot; #,##0"/>
    </dxf>
    <dxf>
      <numFmt numFmtId="466" formatCode="#,##0 &quot;FC&quot;"/>
    </dxf>
    <dxf>
      <numFmt numFmtId="467" formatCode="&quot;R&quot; #,##0"/>
    </dxf>
    <dxf>
      <numFmt numFmtId="468" formatCode="#,##0 &quot;AED&quot;"/>
    </dxf>
    <dxf>
      <numFmt numFmtId="469" formatCode="#,##0 &quot;MRU&quot;"/>
    </dxf>
    <dxf>
      <numFmt numFmtId="470" formatCode="#,##0 &quot;GNF&quot;"/>
    </dxf>
    <dxf>
      <numFmt numFmtId="471" formatCode="#,##0 &quot;FCFA&quot;"/>
    </dxf>
    <dxf>
      <numFmt numFmtId="472" formatCode="#,##0 &quot;FCFA&quot;"/>
    </dxf>
    <dxf>
      <numFmt numFmtId="473" formatCode="#,##0 &quot;€&quot;"/>
    </dxf>
    <dxf>
      <numFmt numFmtId="474" formatCode="&quot;$&quot; #,##0"/>
    </dxf>
    <dxf>
      <numFmt numFmtId="475" formatCode="&quot;£&quot; #,##0"/>
    </dxf>
    <dxf>
      <numFmt numFmtId="476" formatCode="&quot;C$&quot; #,##0"/>
    </dxf>
    <dxf>
      <numFmt numFmtId="477" formatCode="#,##0 &quot;CHF&quot;"/>
    </dxf>
    <dxf>
      <numFmt numFmtId="478" formatCode="#,##0 &quot;DH&quot;"/>
    </dxf>
    <dxf>
      <numFmt numFmtId="479" formatCode="&quot;₦&quot; #,##0"/>
    </dxf>
    <dxf>
      <numFmt numFmtId="480" formatCode="&quot;₵&quot; #,##0"/>
    </dxf>
    <dxf>
      <numFmt numFmtId="481" formatCode="#,##0 &quot;FC&quot;"/>
    </dxf>
    <dxf>
      <numFmt numFmtId="482" formatCode="&quot;R&quot; #,##0"/>
    </dxf>
    <dxf>
      <numFmt numFmtId="483" formatCode="#,##0 &quot;AED&quot;"/>
    </dxf>
    <dxf>
      <numFmt numFmtId="484" formatCode="#,##0 &quot;MRU&quot;"/>
    </dxf>
    <dxf>
      <numFmt numFmtId="485" formatCode="#,##0 &quot;GNF&quo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a:pPr>
            <a:r>
              <a:t>Revenus, dépenses et épargne par mois</a:t>
            </a:r>
          </a:p>
        </rich>
      </tx>
    </title>
    <plotArea>
      <barChart>
        <barDir val="col"/>
        <grouping val="clustered"/>
        <ser>
          <idx val="0"/>
          <order val="0"/>
          <tx>
            <strRef>
              <f>'Calculs'!D5</f>
            </strRef>
          </tx>
          <spPr>
            <a:solidFill>
              <a:srgbClr val="1E6B3C"/>
            </a:solidFill>
            <a:ln>
              <a:solidFill>
                <a:srgbClr val="1E6B3C"/>
              </a:solidFill>
              <a:prstDash val="solid"/>
            </a:ln>
          </spPr>
          <cat>
            <numRef>
              <f>'Calculs'!$C$6:$C$17</f>
            </numRef>
          </cat>
          <val>
            <numRef>
              <f>'Calculs'!$D$6:$D$17</f>
            </numRef>
          </val>
        </ser>
        <ser>
          <idx val="1"/>
          <order val="1"/>
          <tx>
            <strRef>
              <f>'Calculs'!E5</f>
            </strRef>
          </tx>
          <spPr>
            <a:solidFill>
              <a:srgbClr val="8B1A1A"/>
            </a:solidFill>
            <a:ln>
              <a:solidFill>
                <a:srgbClr val="8B1A1A"/>
              </a:solidFill>
              <a:prstDash val="solid"/>
            </a:ln>
          </spPr>
          <cat>
            <numRef>
              <f>'Calculs'!$C$6:$C$17</f>
            </numRef>
          </cat>
          <val>
            <numRef>
              <f>'Calculs'!$E$6:$E$17</f>
            </numRef>
          </val>
        </ser>
        <ser>
          <idx val="2"/>
          <order val="2"/>
          <tx>
            <strRef>
              <f>'Calculs'!F5</f>
            </strRef>
          </tx>
          <spPr>
            <a:solidFill>
              <a:srgbClr val="10706B"/>
            </a:solidFill>
            <a:ln>
              <a:solidFill>
                <a:srgbClr val="10706B"/>
              </a:solidFill>
              <a:prstDash val="solid"/>
            </a:ln>
          </spPr>
          <cat>
            <numRef>
              <f>'Calculs'!$C$6:$C$17</f>
            </numRef>
          </cat>
          <val>
            <numRef>
              <f>'Calculs'!$F$6:$F$17</f>
            </numRef>
          </val>
        </ser>
        <gapWidth val="60"/>
        <axId val="10"/>
        <axId val="100"/>
      </bar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legend>
      <legendPos val="t"/>
      <overlay val="0"/>
      <txPr>
        <a:bodyPr/>
        <a:p>
          <a:pPr>
            <a:defRPr sz="750" b="0">
              <a:solidFill>
                <a:srgbClr val="404040"/>
              </a:solidFill>
              <a:latin typeface="Arial"/>
            </a:defRPr>
          </a:pPr>
          <a:r>
            <a:t/>
          </a:r>
          <a:endParaRPr sz="750" b="0">
            <a:solidFill>
              <a:srgbClr val="404040"/>
            </a:solidFill>
            <a:latin typeface="Arial"/>
          </a:endParaRPr>
        </a:p>
      </txP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Trésorerie cumulée</a:t>
            </a:r>
          </a:p>
        </rich>
      </tx>
    </title>
    <plotArea>
      <lineChart>
        <grouping val="standard"/>
        <ser>
          <idx val="0"/>
          <order val="0"/>
          <tx>
            <strRef>
              <f>'Calculs'!K5</f>
            </strRef>
          </tx>
          <spPr>
            <a:solidFill>
              <a:srgbClr val="2E5480"/>
            </a:solidFill>
            <a:ln>
              <a:solidFill>
                <a:srgbClr val="2E5480"/>
              </a:solidFill>
              <a:prstDash val="solid"/>
            </a:ln>
          </spPr>
          <marker>
            <symbol val="none"/>
            <spPr>
              <a:ln>
                <a:prstDash val="solid"/>
              </a:ln>
            </spPr>
          </marker>
          <cat>
            <numRef>
              <f>'Calculs'!$C$6:$C$17</f>
            </numRef>
          </cat>
          <val>
            <numRef>
              <f>'Calculs'!$K$6:$K$17</f>
            </numRef>
          </val>
          <smooth val="0"/>
        </ser>
        <axId val="10"/>
        <axId val="100"/>
      </line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Sorties par module</a:t>
            </a:r>
          </a:p>
        </rich>
      </tx>
    </title>
    <plotArea>
      <doughnutChart>
        <varyColors val="1"/>
        <ser>
          <idx val="0"/>
          <order val="0"/>
          <spPr>
            <a:ln>
              <a:prstDash val="solid"/>
            </a:ln>
          </spPr>
          <cat>
            <numRef>
              <f>'Calculs'!$B$289:$B$292</f>
            </numRef>
          </cat>
          <val>
            <numRef>
              <f>'Calculs'!$C$289:$C$292</f>
            </numRef>
          </val>
        </ser>
        <dLbls>
          <txPr>
            <a:bodyPr/>
            <a:p>
              <a:pPr>
                <a:defRPr sz="800" b="1">
                  <a:solidFill>
                    <a:srgbClr val="FFFFFF"/>
                  </a:solidFill>
                  <a:latin typeface="Arial"/>
                </a:defRPr>
              </a:pPr>
              <a:r>
                <a:t/>
              </a:r>
              <a:endParaRPr sz="800" b="1">
                <a:solidFill>
                  <a:srgbClr val="FFFFFF"/>
                </a:solidFill>
                <a:latin typeface="Arial"/>
              </a:endParaRPr>
            </a:p>
          </txPr>
          <showLegendKey val="0"/>
          <showVal val="0"/>
          <showCatName val="0"/>
          <showSerName val="0"/>
          <showPercent val="1"/>
          <showBubbleSize val="0"/>
        </dLbls>
        <firstSliceAng val="0"/>
        <holeSize val="55"/>
      </doughnutChart>
    </plotArea>
    <legend>
      <legendPos val="r"/>
      <overlay val="0"/>
      <txPr>
        <a:bodyPr/>
        <a:p>
          <a:pPr>
            <a:defRPr sz="800" b="0">
              <a:solidFill>
                <a:srgbClr val="404040"/>
              </a:solidFill>
              <a:latin typeface="Arial"/>
            </a:defRPr>
          </a:pPr>
          <a:r>
            <a:t/>
          </a:r>
          <a:endParaRPr sz="800" b="0">
            <a:solidFill>
              <a:srgbClr val="404040"/>
            </a:solidFill>
            <a:latin typeface="Arial"/>
          </a:endParaRPr>
        </a:p>
      </txP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Sorties par nature</a:t>
            </a:r>
          </a:p>
        </rich>
      </tx>
    </title>
    <plotArea>
      <pieChart>
        <varyColors val="1"/>
        <ser>
          <idx val="0"/>
          <order val="0"/>
          <spPr>
            <a:ln>
              <a:prstDash val="solid"/>
            </a:ln>
          </spPr>
          <cat>
            <numRef>
              <f>'Calculs'!$B$295:$B$297</f>
            </numRef>
          </cat>
          <val>
            <numRef>
              <f>'Calculs'!$C$295:$C$297</f>
            </numRef>
          </val>
        </ser>
        <dLbls>
          <txPr>
            <a:bodyPr/>
            <a:p>
              <a:pPr>
                <a:defRPr sz="800" b="1">
                  <a:solidFill>
                    <a:srgbClr val="FFFFFF"/>
                  </a:solidFill>
                  <a:latin typeface="Arial"/>
                </a:defRPr>
              </a:pPr>
              <a:r>
                <a:t/>
              </a:r>
              <a:endParaRPr sz="800" b="1">
                <a:solidFill>
                  <a:srgbClr val="FFFFFF"/>
                </a:solidFill>
                <a:latin typeface="Arial"/>
              </a:endParaRPr>
            </a:p>
          </txPr>
          <showLegendKey val="0"/>
          <showVal val="0"/>
          <showCatName val="0"/>
          <showSerName val="0"/>
          <showPercent val="1"/>
          <showBubbleSize val="0"/>
        </dLbls>
        <firstSliceAng val="0"/>
      </pieChart>
    </plotArea>
    <legend>
      <legendPos val="r"/>
      <overlay val="0"/>
      <txPr>
        <a:bodyPr/>
        <a:p>
          <a:pPr>
            <a:defRPr sz="800" b="0">
              <a:solidFill>
                <a:srgbClr val="404040"/>
              </a:solidFill>
              <a:latin typeface="Arial"/>
            </a:defRPr>
          </a:pPr>
          <a:r>
            <a:t/>
          </a:r>
          <a:endParaRPr sz="800" b="0">
            <a:solidFill>
              <a:srgbClr val="404040"/>
            </a:solidFill>
            <a:latin typeface="Arial"/>
          </a:endParaRPr>
        </a:p>
      </txP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Prévu vs réalisé par module</a:t>
            </a:r>
          </a:p>
        </rich>
      </tx>
    </title>
    <plotArea>
      <barChart>
        <barDir val="bar"/>
        <grouping val="clustered"/>
        <ser>
          <idx val="0"/>
          <order val="0"/>
          <tx>
            <strRef>
              <f>'Calculs'!C300</f>
            </strRef>
          </tx>
          <spPr>
            <a:solidFill>
              <a:srgbClr val="2E5480"/>
            </a:solidFill>
            <a:ln>
              <a:solidFill>
                <a:srgbClr val="2E5480"/>
              </a:solidFill>
              <a:prstDash val="solid"/>
            </a:ln>
          </spPr>
          <cat>
            <numRef>
              <f>'Calculs'!$B$301:$B$304</f>
            </numRef>
          </cat>
          <val>
            <numRef>
              <f>'Calculs'!$C$301:$C$304</f>
            </numRef>
          </val>
        </ser>
        <ser>
          <idx val="1"/>
          <order val="1"/>
          <tx>
            <strRef>
              <f>'Calculs'!D300</f>
            </strRef>
          </tx>
          <spPr>
            <a:solidFill>
              <a:srgbClr val="B8860B"/>
            </a:solidFill>
            <a:ln>
              <a:solidFill>
                <a:srgbClr val="B8860B"/>
              </a:solidFill>
              <a:prstDash val="solid"/>
            </a:ln>
          </spPr>
          <cat>
            <numRef>
              <f>'Calculs'!$B$301:$B$304</f>
            </numRef>
          </cat>
          <val>
            <numRef>
              <f>'Calculs'!$D$301:$D$304</f>
            </numRef>
          </val>
        </ser>
        <gapWidth val="70"/>
        <axId val="10"/>
        <axId val="100"/>
      </bar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legend>
      <legendPos val="t"/>
      <overlay val="0"/>
      <txPr>
        <a:bodyPr/>
        <a:p>
          <a:pPr>
            <a:defRPr sz="750" b="0">
              <a:solidFill>
                <a:srgbClr val="404040"/>
              </a:solidFill>
              <a:latin typeface="Arial"/>
            </a:defRPr>
          </a:pPr>
          <a:r>
            <a:t/>
          </a:r>
          <a:endParaRPr sz="750" b="0">
            <a:solidFill>
              <a:srgbClr val="404040"/>
            </a:solidFill>
            <a:latin typeface="Arial"/>
          </a:endParaRPr>
        </a:p>
      </txP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Entrées, sorties et balance — réalisé par mois</a:t>
            </a:r>
          </a:p>
        </rich>
      </tx>
    </title>
    <plotArea>
      <barChart>
        <barDir val="col"/>
        <grouping val="clustered"/>
        <ser>
          <idx val="0"/>
          <order val="0"/>
          <tx>
            <strRef>
              <f>'Calculs'!D5</f>
            </strRef>
          </tx>
          <spPr>
            <a:solidFill>
              <a:srgbClr val="1E6B3C"/>
            </a:solidFill>
            <a:ln>
              <a:solidFill>
                <a:srgbClr val="1E6B3C"/>
              </a:solidFill>
              <a:prstDash val="solid"/>
            </a:ln>
          </spPr>
          <cat>
            <numRef>
              <f>'Calculs'!$C$6:$C$17</f>
            </numRef>
          </cat>
          <val>
            <numRef>
              <f>'Calculs'!$D$6:$D$17</f>
            </numRef>
          </val>
        </ser>
        <ser>
          <idx val="1"/>
          <order val="1"/>
          <tx>
            <strRef>
              <f>'Calculs'!I5</f>
            </strRef>
          </tx>
          <spPr>
            <a:solidFill>
              <a:srgbClr val="8B1A1A"/>
            </a:solidFill>
            <a:ln>
              <a:solidFill>
                <a:srgbClr val="8B1A1A"/>
              </a:solidFill>
              <a:prstDash val="solid"/>
            </a:ln>
          </spPr>
          <cat>
            <numRef>
              <f>'Calculs'!$C$6:$C$17</f>
            </numRef>
          </cat>
          <val>
            <numRef>
              <f>'Calculs'!$I$6:$I$17</f>
            </numRef>
          </val>
        </ser>
        <ser>
          <idx val="2"/>
          <order val="2"/>
          <tx>
            <strRef>
              <f>'Calculs'!J5</f>
            </strRef>
          </tx>
          <spPr>
            <a:solidFill>
              <a:srgbClr val="1A3557"/>
            </a:solidFill>
            <a:ln>
              <a:solidFill>
                <a:srgbClr val="1A3557"/>
              </a:solidFill>
              <a:prstDash val="solid"/>
            </a:ln>
          </spPr>
          <cat>
            <numRef>
              <f>'Calculs'!$C$6:$C$17</f>
            </numRef>
          </cat>
          <val>
            <numRef>
              <f>'Calculs'!$J$6:$J$17</f>
            </numRef>
          </val>
        </ser>
        <gapWidth val="60"/>
        <axId val="10"/>
        <axId val="100"/>
      </bar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legend>
      <legendPos val="t"/>
      <overlay val="0"/>
      <txPr>
        <a:bodyPr/>
        <a:p>
          <a:pPr>
            <a:defRPr sz="750" b="0">
              <a:solidFill>
                <a:srgbClr val="404040"/>
              </a:solidFill>
              <a:latin typeface="Arial"/>
            </a:defRPr>
          </a:pPr>
          <a:r>
            <a:t/>
          </a:r>
          <a:endParaRPr sz="750" b="0">
            <a:solidFill>
              <a:srgbClr val="404040"/>
            </a:solidFill>
            <a:latin typeface="Arial"/>
          </a:endParaRPr>
        </a:p>
      </txP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Sorties par module</a:t>
            </a:r>
          </a:p>
        </rich>
      </tx>
    </title>
    <plotArea>
      <barChart>
        <barDir val="col"/>
        <grouping val="stacked"/>
        <ser>
          <idx val="0"/>
          <order val="0"/>
          <tx>
            <strRef>
              <f>'Calculs'!C21</f>
            </strRef>
          </tx>
          <spPr>
            <a:solidFill>
              <a:srgbClr val="2E5480"/>
            </a:solidFill>
            <a:ln>
              <a:solidFill>
                <a:srgbClr val="2E5480"/>
              </a:solidFill>
              <a:prstDash val="solid"/>
            </a:ln>
          </spPr>
          <cat>
            <numRef>
              <f>'Calculs'!$B$22:$B$33</f>
            </numRef>
          </cat>
          <val>
            <numRef>
              <f>'Calculs'!$C$22:$C$33</f>
            </numRef>
          </val>
        </ser>
        <ser>
          <idx val="1"/>
          <order val="1"/>
          <tx>
            <strRef>
              <f>'Calculs'!D21</f>
            </strRef>
          </tx>
          <spPr>
            <a:solidFill>
              <a:srgbClr val="B8860B"/>
            </a:solidFill>
            <a:ln>
              <a:solidFill>
                <a:srgbClr val="B8860B"/>
              </a:solidFill>
              <a:prstDash val="solid"/>
            </a:ln>
          </spPr>
          <cat>
            <numRef>
              <f>'Calculs'!$B$22:$B$33</f>
            </numRef>
          </cat>
          <val>
            <numRef>
              <f>'Calculs'!$D$22:$D$33</f>
            </numRef>
          </val>
        </ser>
        <ser>
          <idx val="2"/>
          <order val="2"/>
          <tx>
            <strRef>
              <f>'Calculs'!E21</f>
            </strRef>
          </tx>
          <spPr>
            <a:solidFill>
              <a:srgbClr val="1E6B3C"/>
            </a:solidFill>
            <a:ln>
              <a:solidFill>
                <a:srgbClr val="1E6B3C"/>
              </a:solidFill>
              <a:prstDash val="solid"/>
            </a:ln>
          </spPr>
          <cat>
            <numRef>
              <f>'Calculs'!$B$22:$B$33</f>
            </numRef>
          </cat>
          <val>
            <numRef>
              <f>'Calculs'!$E$22:$E$33</f>
            </numRef>
          </val>
        </ser>
        <ser>
          <idx val="3"/>
          <order val="3"/>
          <tx>
            <strRef>
              <f>'Calculs'!F21</f>
            </strRef>
          </tx>
          <spPr>
            <a:solidFill>
              <a:srgbClr val="E07B22"/>
            </a:solidFill>
            <a:ln>
              <a:solidFill>
                <a:srgbClr val="E07B22"/>
              </a:solidFill>
              <a:prstDash val="solid"/>
            </a:ln>
          </spPr>
          <cat>
            <numRef>
              <f>'Calculs'!$B$22:$B$33</f>
            </numRef>
          </cat>
          <val>
            <numRef>
              <f>'Calculs'!$F$22:$F$33</f>
            </numRef>
          </val>
        </ser>
        <gapWidth val="150"/>
        <overlap val="100"/>
        <axId val="10"/>
        <axId val="100"/>
      </bar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legend>
      <legendPos val="t"/>
      <overlay val="0"/>
      <txPr>
        <a:bodyPr/>
        <a:p>
          <a:pPr>
            <a:defRPr sz="750" b="0">
              <a:solidFill>
                <a:srgbClr val="404040"/>
              </a:solidFill>
              <a:latin typeface="Arial"/>
            </a:defRPr>
          </a:pPr>
          <a:r>
            <a:t/>
          </a:r>
          <a:endParaRPr sz="750" b="0">
            <a:solidFill>
              <a:srgbClr val="404040"/>
            </a:solidFill>
            <a:latin typeface="Arial"/>
          </a:endParaRPr>
        </a:p>
      </txP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Taux d'épargne mensuel</a:t>
            </a:r>
          </a:p>
        </rich>
      </tx>
    </title>
    <plotArea>
      <lineChart>
        <grouping val="standard"/>
        <ser>
          <idx val="0"/>
          <order val="0"/>
          <tx>
            <strRef>
              <f>'Calculs'!L5</f>
            </strRef>
          </tx>
          <spPr>
            <a:solidFill>
              <a:srgbClr val="4A5C8C"/>
            </a:solidFill>
            <a:ln>
              <a:solidFill>
                <a:srgbClr val="4A5C8C"/>
              </a:solidFill>
              <a:prstDash val="solid"/>
            </a:ln>
          </spPr>
          <marker>
            <symbol val="none"/>
            <spPr>
              <a:ln>
                <a:prstDash val="solid"/>
              </a:ln>
            </spPr>
          </marker>
          <cat>
            <numRef>
              <f>'Calculs'!$C$6:$C$17</f>
            </numRef>
          </cat>
          <val>
            <numRef>
              <f>'Calculs'!$L$6:$L$17</f>
            </numRef>
          </val>
        </ser>
        <axId val="10"/>
        <axId val="100"/>
      </line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numFmt formatCode="0%" sourceLinked="0"/>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Dépenses : année en cours vs précédente</a:t>
            </a:r>
          </a:p>
        </rich>
      </tx>
    </title>
    <plotArea>
      <barChart>
        <barDir val="col"/>
        <grouping val="clustered"/>
        <ser>
          <idx val="0"/>
          <order val="0"/>
          <tx>
            <strRef>
              <f>'Calculs'!C231</f>
            </strRef>
          </tx>
          <spPr>
            <a:solidFill>
              <a:srgbClr val="2E5480"/>
            </a:solidFill>
            <a:ln>
              <a:solidFill>
                <a:srgbClr val="2E5480"/>
              </a:solidFill>
              <a:prstDash val="solid"/>
            </a:ln>
          </spPr>
          <cat>
            <numRef>
              <f>'Calculs'!$B$232:$B$243</f>
            </numRef>
          </cat>
          <val>
            <numRef>
              <f>'Calculs'!$C$232:$C$243</f>
            </numRef>
          </val>
        </ser>
        <ser>
          <idx val="1"/>
          <order val="1"/>
          <tx>
            <strRef>
              <f>'Calculs'!D231</f>
            </strRef>
          </tx>
          <spPr>
            <a:solidFill>
              <a:srgbClr val="9AA9BD"/>
            </a:solidFill>
            <a:ln>
              <a:solidFill>
                <a:srgbClr val="9AA9BD"/>
              </a:solidFill>
              <a:prstDash val="solid"/>
            </a:ln>
          </spPr>
          <cat>
            <numRef>
              <f>'Calculs'!$B$232:$B$243</f>
            </numRef>
          </cat>
          <val>
            <numRef>
              <f>'Calculs'!$D$232:$D$243</f>
            </numRef>
          </val>
        </ser>
        <gapWidth val="60"/>
        <axId val="10"/>
        <axId val="100"/>
      </bar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legend>
      <legendPos val="t"/>
      <overlay val="0"/>
      <txPr>
        <a:bodyPr/>
        <a:p>
          <a:pPr>
            <a:defRPr sz="750" b="0">
              <a:solidFill>
                <a:srgbClr val="404040"/>
              </a:solidFill>
              <a:latin typeface="Arial"/>
            </a:defRPr>
          </a:pPr>
          <a:r>
            <a:t/>
          </a:r>
          <a:endParaRPr sz="750" b="0">
            <a:solidFill>
              <a:srgbClr val="404040"/>
            </a:solidFill>
            <a:latin typeface="Arial"/>
          </a:endParaRPr>
        </a:p>
      </txPr>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Répartition annuelle des dépenses (top 10)</a:t>
            </a:r>
          </a:p>
        </rich>
      </tx>
    </title>
    <plotArea>
      <doughnutChart>
        <varyColors val="1"/>
        <ser>
          <idx val="0"/>
          <order val="0"/>
          <spPr>
            <a:ln>
              <a:prstDash val="solid"/>
            </a:ln>
          </spPr>
          <cat>
            <numRef>
              <f>'Calculs'!$C$196:$C$205</f>
            </numRef>
          </cat>
          <val>
            <numRef>
              <f>'Calculs'!$D$196:$D$205</f>
            </numRef>
          </val>
        </ser>
        <firstSliceAng val="0"/>
        <holeSize val="55"/>
      </doughnutChart>
    </plotArea>
    <legend>
      <legendPos val="r"/>
      <overlay val="0"/>
      <txPr>
        <a:bodyPr/>
        <a:p>
          <a:pPr>
            <a:defRPr sz="750" b="0">
              <a:solidFill>
                <a:srgbClr val="404040"/>
              </a:solidFill>
              <a:latin typeface="Arial"/>
            </a:defRPr>
          </a:pPr>
          <a:r>
            <a:t/>
          </a:r>
          <a:endParaRPr sz="750" b="0">
            <a:solidFill>
              <a:srgbClr val="404040"/>
            </a:solidFill>
            <a:latin typeface="Arial"/>
          </a:endParaRPr>
        </a:p>
      </txPr>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Répartition du coût retenu par famille</a:t>
            </a:r>
          </a:p>
        </rich>
      </tx>
    </title>
    <plotArea>
      <doughnutChart>
        <varyColors val="1"/>
        <ser>
          <idx val="0"/>
          <order val="0"/>
          <spPr>
            <a:ln>
              <a:prstDash val="solid"/>
            </a:ln>
          </spPr>
          <cat>
            <numRef>
              <f>'Mariage'!$C$70:$C$75</f>
            </numRef>
          </cat>
          <val>
            <numRef>
              <f>'Mariage'!$D$70:$D$75</f>
            </numRef>
          </val>
        </ser>
        <dLbls>
          <txPr>
            <a:bodyPr/>
            <a:p>
              <a:pPr>
                <a:defRPr sz="800" b="1">
                  <a:solidFill>
                    <a:srgbClr val="FFFFFF"/>
                  </a:solidFill>
                  <a:latin typeface="Arial"/>
                </a:defRPr>
              </a:pPr>
              <a:r>
                <a:t/>
              </a:r>
              <a:endParaRPr sz="800" b="1">
                <a:solidFill>
                  <a:srgbClr val="FFFFFF"/>
                </a:solidFill>
                <a:latin typeface="Arial"/>
              </a:endParaRPr>
            </a:p>
          </txPr>
          <showLegendKey val="0"/>
          <showVal val="0"/>
          <showCatName val="0"/>
          <showSerName val="0"/>
          <showPercent val="1"/>
          <showBubbleSize val="0"/>
        </dLbls>
        <firstSliceAng val="0"/>
        <holeSize val="55"/>
      </doughnutChart>
    </plotArea>
    <legend>
      <legendPos val="r"/>
      <overlay val="0"/>
      <txPr>
        <a:bodyPr/>
        <a:p>
          <a:pPr>
            <a:defRPr sz="800" b="0">
              <a:solidFill>
                <a:srgbClr val="404040"/>
              </a:solidFill>
              <a:latin typeface="Arial"/>
            </a:defRPr>
          </a:pPr>
          <a:r>
            <a:t/>
          </a:r>
          <a:endParaRPr sz="800" b="0">
            <a:solidFill>
              <a:srgbClr val="404040"/>
            </a:solidFill>
            <a:latin typeface="Arial"/>
          </a:endParaRPr>
        </a:p>
      </txPr>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Coût retenu vs déjà payé (par poste)</a:t>
            </a:r>
          </a:p>
        </rich>
      </tx>
    </title>
    <plotArea>
      <barChart>
        <barDir val="bar"/>
        <grouping val="clustered"/>
        <ser>
          <idx val="0"/>
          <order val="0"/>
          <tx>
            <strRef>
              <f>'Mariage'!J19</f>
            </strRef>
          </tx>
          <spPr>
            <a:solidFill>
              <a:srgbClr val="2E5480"/>
            </a:solidFill>
            <a:ln>
              <a:solidFill>
                <a:srgbClr val="2E5480"/>
              </a:solidFill>
              <a:prstDash val="solid"/>
            </a:ln>
          </spPr>
          <cat>
            <numRef>
              <f>'Mariage'!$C$20:$C$49</f>
            </numRef>
          </cat>
          <val>
            <numRef>
              <f>'Mariage'!$J$20:$J$49</f>
            </numRef>
          </val>
        </ser>
        <ser>
          <idx val="1"/>
          <order val="1"/>
          <tx>
            <strRef>
              <f>'Mariage'!K19</f>
            </strRef>
          </tx>
          <spPr>
            <a:solidFill>
              <a:srgbClr val="9C3A5F"/>
            </a:solidFill>
            <a:ln>
              <a:solidFill>
                <a:srgbClr val="9C3A5F"/>
              </a:solidFill>
              <a:prstDash val="solid"/>
            </a:ln>
          </spPr>
          <cat>
            <numRef>
              <f>'Mariage'!$C$20:$C$49</f>
            </numRef>
          </cat>
          <val>
            <numRef>
              <f>'Mariage'!$K$20:$K$49</f>
            </numRef>
          </val>
        </ser>
        <gapWidth val="150"/>
        <axId val="10"/>
        <axId val="100"/>
      </barChart>
      <catAx>
        <axId val="10"/>
        <scaling>
          <orientation val="minMax"/>
        </scaling>
        <delete val="0"/>
        <axPos val="l"/>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
      </valAx>
    </plotArea>
    <legend>
      <legendPos val="t"/>
      <overlay val="0"/>
      <txPr>
        <a:bodyPr/>
        <a:p>
          <a:pPr>
            <a:defRPr sz="700" b="0">
              <a:solidFill>
                <a:srgbClr val="404040"/>
              </a:solidFill>
              <a:latin typeface="Arial"/>
            </a:defRPr>
          </a:pPr>
          <a:r>
            <a:t/>
          </a:r>
          <a:endParaRPr sz="700" b="0">
            <a:solidFill>
              <a:srgbClr val="404040"/>
            </a:solidFill>
            <a:latin typeface="Arial"/>
          </a:endParaRPr>
        </a:p>
      </txPr>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Sorties Mariage — mois par mois</a:t>
            </a:r>
          </a:p>
        </rich>
      </tx>
    </title>
    <plotArea>
      <barChart>
        <barDir val="col"/>
        <grouping val="clustered"/>
        <ser>
          <idx val="0"/>
          <order val="0"/>
          <tx>
            <strRef>
              <f>'Calculs'!D21</f>
            </strRef>
          </tx>
          <spPr>
            <a:solidFill>
              <a:srgbClr val="9C3A5F"/>
            </a:solidFill>
            <a:ln>
              <a:solidFill>
                <a:srgbClr val="9C3A5F"/>
              </a:solidFill>
              <a:prstDash val="solid"/>
            </a:ln>
          </spPr>
          <cat>
            <numRef>
              <f>'Calculs'!$B$22:$B$33</f>
            </numRef>
          </cat>
          <val>
            <numRef>
              <f>'Calculs'!$D$22:$D$33</f>
            </numRef>
          </val>
        </ser>
        <gapWidth val="60"/>
        <axId val="10"/>
        <axId val="100"/>
      </bar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Chiffre d'affaires et charges par mois</a:t>
            </a:r>
          </a:p>
        </rich>
      </tx>
    </title>
    <plotArea>
      <barChart>
        <barDir val="col"/>
        <grouping val="clustered"/>
        <ser>
          <idx val="0"/>
          <order val="0"/>
          <tx>
            <strRef>
              <f>'Business'!D26</f>
            </strRef>
          </tx>
          <spPr>
            <a:solidFill>
              <a:srgbClr val="1E6B3C"/>
            </a:solidFill>
            <a:ln>
              <a:solidFill>
                <a:srgbClr val="1E6B3C"/>
              </a:solidFill>
              <a:prstDash val="solid"/>
            </a:ln>
          </spPr>
          <cat>
            <numRef>
              <f>'Business'!$C$27:$C$38</f>
            </numRef>
          </cat>
          <val>
            <numRef>
              <f>'Business'!$D$27:$D$38</f>
            </numRef>
          </val>
        </ser>
        <ser>
          <idx val="1"/>
          <order val="1"/>
          <tx>
            <strRef>
              <f>'Business'!E26</f>
            </strRef>
          </tx>
          <spPr>
            <a:solidFill>
              <a:srgbClr val="8B1A1A"/>
            </a:solidFill>
            <a:ln>
              <a:solidFill>
                <a:srgbClr val="8B1A1A"/>
              </a:solidFill>
              <a:prstDash val="solid"/>
            </a:ln>
          </spPr>
          <cat>
            <numRef>
              <f>'Business'!$C$27:$C$38</f>
            </numRef>
          </cat>
          <val>
            <numRef>
              <f>'Business'!$E$27:$E$38</f>
            </numRef>
          </val>
        </ser>
        <gapWidth val="150"/>
        <axId val="10"/>
        <axId val="100"/>
      </bar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legend>
      <legendPos val="t"/>
      <overlay val="0"/>
      <txPr>
        <a:bodyPr/>
        <a:p>
          <a:pPr>
            <a:defRPr sz="750" b="0">
              <a:solidFill>
                <a:srgbClr val="404040"/>
              </a:solidFill>
              <a:latin typeface="Arial"/>
            </a:defRPr>
          </a:pPr>
          <a:r>
            <a:t/>
          </a:r>
          <a:endParaRPr sz="750" b="0">
            <a:solidFill>
              <a:srgbClr val="404040"/>
            </a:solidFill>
            <a:latin typeface="Arial"/>
          </a:endParaRPr>
        </a:p>
      </txPr>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Marge cumulée</a:t>
            </a:r>
          </a:p>
        </rich>
      </tx>
    </title>
    <plotArea>
      <lineChart>
        <grouping val="standard"/>
        <ser>
          <idx val="0"/>
          <order val="0"/>
          <tx>
            <strRef>
              <f>'Business'!H26</f>
            </strRef>
          </tx>
          <spPr>
            <a:solidFill>
              <a:srgbClr val="4A5C8C"/>
            </a:solidFill>
            <a:ln>
              <a:solidFill>
                <a:srgbClr val="4A5C8C"/>
              </a:solidFill>
              <a:prstDash val="solid"/>
            </a:ln>
          </spPr>
          <marker>
            <symbol val="none"/>
            <spPr>
              <a:ln>
                <a:prstDash val="solid"/>
              </a:ln>
            </spPr>
          </marker>
          <cat>
            <numRef>
              <f>'Business'!$C$27:$C$38</f>
            </numRef>
          </cat>
          <val>
            <numRef>
              <f>'Business'!$H$27:$H$38</f>
            </numRef>
          </val>
        </ser>
        <axId val="10"/>
        <axId val="100"/>
      </line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legend>
      <legendPos val="t"/>
      <overlay val="0"/>
      <txPr>
        <a:bodyPr/>
        <a:p>
          <a:pPr>
            <a:defRPr sz="750" b="0">
              <a:solidFill>
                <a:srgbClr val="404040"/>
              </a:solidFill>
              <a:latin typeface="Arial"/>
            </a:defRPr>
          </a:pPr>
          <a:r>
            <a:t/>
          </a:r>
          <a:endParaRPr sz="750" b="0">
            <a:solidFill>
              <a:srgbClr val="404040"/>
            </a:solidFill>
            <a:latin typeface="Arial"/>
          </a:endParaRPr>
        </a:p>
      </txPr>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CA réalisé vs charges par projet</a:t>
            </a:r>
          </a:p>
        </rich>
      </tx>
    </title>
    <plotArea>
      <barChart>
        <barDir val="bar"/>
        <grouping val="clustered"/>
        <ser>
          <idx val="0"/>
          <order val="0"/>
          <tx>
            <strRef>
              <f>'Business'!M9</f>
            </strRef>
          </tx>
          <spPr>
            <a:solidFill>
              <a:srgbClr val="1E6B3C"/>
            </a:solidFill>
            <a:ln>
              <a:solidFill>
                <a:srgbClr val="1E6B3C"/>
              </a:solidFill>
              <a:prstDash val="solid"/>
            </a:ln>
          </spPr>
          <cat>
            <numRef>
              <f>'Business'!$C$10:$C$21</f>
            </numRef>
          </cat>
          <val>
            <numRef>
              <f>'Business'!$M$10:$M$21</f>
            </numRef>
          </val>
        </ser>
        <ser>
          <idx val="1"/>
          <order val="1"/>
          <tx>
            <strRef>
              <f>'Business'!I9</f>
            </strRef>
          </tx>
          <spPr>
            <a:solidFill>
              <a:srgbClr val="8B1A1A"/>
            </a:solidFill>
            <a:ln>
              <a:solidFill>
                <a:srgbClr val="8B1A1A"/>
              </a:solidFill>
              <a:prstDash val="solid"/>
            </a:ln>
          </spPr>
          <cat>
            <numRef>
              <f>'Business'!$C$10:$C$21</f>
            </numRef>
          </cat>
          <val>
            <numRef>
              <f>'Business'!$I$10:$I$21</f>
            </numRef>
          </val>
        </ser>
        <gapWidth val="150"/>
        <axId val="10"/>
        <axId val="100"/>
      </barChart>
      <catAx>
        <axId val="10"/>
        <scaling>
          <orientation val="minMax"/>
        </scaling>
        <delete val="0"/>
        <axPos val="l"/>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
      </valAx>
    </plotArea>
    <legend>
      <legendPos val="t"/>
      <overlay val="0"/>
      <txPr>
        <a:bodyPr/>
        <a:p>
          <a:pPr>
            <a:defRPr sz="700" b="0">
              <a:solidFill>
                <a:srgbClr val="404040"/>
              </a:solidFill>
              <a:latin typeface="Arial"/>
            </a:defRPr>
          </a:pPr>
          <a:r>
            <a:t/>
          </a:r>
          <a:endParaRPr sz="700" b="0">
            <a:solidFill>
              <a:srgbClr val="404040"/>
            </a:solidFill>
            <a:latin typeface="Arial"/>
          </a:endParaRPr>
        </a:p>
      </txPr>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a:pPr>
            <a:r>
              <a:t>Sorties Business — mois par mois</a:t>
            </a:r>
          </a:p>
        </rich>
      </tx>
    </title>
    <plotArea>
      <barChart>
        <barDir val="col"/>
        <grouping val="clustered"/>
        <ser>
          <idx val="0"/>
          <order val="0"/>
          <tx>
            <strRef>
              <f>'Calculs'!F21</f>
            </strRef>
          </tx>
          <spPr>
            <a:solidFill>
              <a:srgbClr val="E07B22"/>
            </a:solidFill>
            <a:ln>
              <a:solidFill>
                <a:srgbClr val="E07B22"/>
              </a:solidFill>
              <a:prstDash val="solid"/>
            </a:ln>
          </spPr>
          <cat>
            <numRef>
              <f>'Calculs'!$B$22:$B$33</f>
            </numRef>
          </cat>
          <val>
            <numRef>
              <f>'Calculs'!$F$22:$F$33</f>
            </numRef>
          </val>
        </ser>
        <gapWidth val="60"/>
        <axId val="10"/>
        <axId val="100"/>
      </bar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plotVisOnly val="1"/>
    <dispBlanksAs val="gap"/>
  </chart>
</chartSpace>
</file>

<file path=xl/charts/chart18.xml><?xml version="1.0" encoding="utf-8"?>
<chartSpace xmlns:a="http://schemas.openxmlformats.org/drawingml/2006/main" xmlns="http://schemas.openxmlformats.org/drawingml/2006/chart">
  <chart>
    <title>
      <tx>
        <rich>
          <a:bodyPr/>
          <a:p>
            <a:pPr>
              <a:defRPr/>
            </a:pPr>
            <a:r>
              <a:t>Budget, investi et reste à financer par bien</a:t>
            </a:r>
          </a:p>
        </rich>
      </tx>
    </title>
    <plotArea>
      <barChart>
        <barDir val="col"/>
        <grouping val="clustered"/>
        <ser>
          <idx val="0"/>
          <order val="0"/>
          <tx>
            <strRef>
              <f>'Immobilier'!J9</f>
            </strRef>
          </tx>
          <spPr>
            <a:solidFill>
              <a:srgbClr val="2E5480"/>
            </a:solidFill>
            <a:ln>
              <a:solidFill>
                <a:srgbClr val="2E5480"/>
              </a:solidFill>
              <a:prstDash val="solid"/>
            </a:ln>
          </spPr>
          <cat>
            <numRef>
              <f>'Immobilier'!$C$10:$C$19</f>
            </numRef>
          </cat>
          <val>
            <numRef>
              <f>'Immobilier'!$J$10:$J$19</f>
            </numRef>
          </val>
        </ser>
        <ser>
          <idx val="1"/>
          <order val="1"/>
          <tx>
            <strRef>
              <f>'Immobilier'!K9</f>
            </strRef>
          </tx>
          <spPr>
            <a:solidFill>
              <a:srgbClr val="10706B"/>
            </a:solidFill>
            <a:ln>
              <a:solidFill>
                <a:srgbClr val="10706B"/>
              </a:solidFill>
              <a:prstDash val="solid"/>
            </a:ln>
          </spPr>
          <cat>
            <numRef>
              <f>'Immobilier'!$C$10:$C$19</f>
            </numRef>
          </cat>
          <val>
            <numRef>
              <f>'Immobilier'!$K$10:$K$19</f>
            </numRef>
          </val>
        </ser>
        <ser>
          <idx val="2"/>
          <order val="2"/>
          <tx>
            <strRef>
              <f>'Immobilier'!L9</f>
            </strRef>
          </tx>
          <spPr>
            <a:solidFill>
              <a:srgbClr val="E07B22"/>
            </a:solidFill>
            <a:ln>
              <a:solidFill>
                <a:srgbClr val="E07B22"/>
              </a:solidFill>
              <a:prstDash val="solid"/>
            </a:ln>
          </spPr>
          <cat>
            <numRef>
              <f>'Immobilier'!$C$10:$C$19</f>
            </numRef>
          </cat>
          <val>
            <numRef>
              <f>'Immobilier'!$L$10:$L$19</f>
            </numRef>
          </val>
        </ser>
        <gapWidth val="150"/>
        <axId val="10"/>
        <axId val="100"/>
      </barChart>
      <catAx>
        <axId val="10"/>
        <scaling>
          <orientation val="minMax"/>
        </scaling>
        <delete val="0"/>
        <axPos val="l"/>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
      </valAx>
    </plotArea>
    <legend>
      <legendPos val="t"/>
      <overlay val="0"/>
      <txPr>
        <a:bodyPr/>
        <a:p>
          <a:pPr>
            <a:defRPr sz="700" b="0">
              <a:solidFill>
                <a:srgbClr val="404040"/>
              </a:solidFill>
              <a:latin typeface="Arial"/>
            </a:defRPr>
          </a:pPr>
          <a:r>
            <a:t/>
          </a:r>
          <a:endParaRPr sz="700" b="0">
            <a:solidFill>
              <a:srgbClr val="404040"/>
            </a:solidFill>
            <a:latin typeface="Arial"/>
          </a:endParaRPr>
        </a:p>
      </txPr>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a:pPr>
            <a:r>
              <a:t>Consommation du budget travaux par lot</a:t>
            </a:r>
          </a:p>
        </rich>
      </tx>
    </title>
    <plotArea>
      <barChart>
        <barDir val="bar"/>
        <grouping val="clustered"/>
        <ser>
          <idx val="0"/>
          <order val="0"/>
          <tx>
            <strRef>
              <f>'Immobilier'!E24</f>
            </strRef>
          </tx>
          <spPr>
            <a:solidFill>
              <a:srgbClr val="2E5480"/>
            </a:solidFill>
            <a:ln>
              <a:solidFill>
                <a:srgbClr val="2E5480"/>
              </a:solidFill>
              <a:prstDash val="solid"/>
            </a:ln>
          </spPr>
          <cat>
            <numRef>
              <f>'Immobilier'!$C$25:$C$38</f>
            </numRef>
          </cat>
          <val>
            <numRef>
              <f>'Immobilier'!$E$25:$E$38</f>
            </numRef>
          </val>
        </ser>
        <ser>
          <idx val="1"/>
          <order val="1"/>
          <tx>
            <strRef>
              <f>'Immobilier'!F24</f>
            </strRef>
          </tx>
          <spPr>
            <a:solidFill>
              <a:srgbClr val="1E6B3C"/>
            </a:solidFill>
            <a:ln>
              <a:solidFill>
                <a:srgbClr val="1E6B3C"/>
              </a:solidFill>
              <a:prstDash val="solid"/>
            </a:ln>
          </spPr>
          <cat>
            <numRef>
              <f>'Immobilier'!$C$25:$C$38</f>
            </numRef>
          </cat>
          <val>
            <numRef>
              <f>'Immobilier'!$F$25:$F$38</f>
            </numRef>
          </val>
        </ser>
        <gapWidth val="150"/>
        <axId val="10"/>
        <axId val="100"/>
      </barChart>
      <catAx>
        <axId val="10"/>
        <scaling>
          <orientation val="minMax"/>
        </scaling>
        <delete val="0"/>
        <axPos val="l"/>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
      </valAx>
    </plotArea>
    <legend>
      <legendPos val="t"/>
      <overlay val="0"/>
      <txPr>
        <a:bodyPr/>
        <a:p>
          <a:pPr>
            <a:defRPr sz="700" b="0">
              <a:solidFill>
                <a:srgbClr val="404040"/>
              </a:solidFill>
              <a:latin typeface="Arial"/>
            </a:defRPr>
          </a:pPr>
          <a:r>
            <a:t/>
          </a:r>
          <a:endParaRPr sz="700" b="0">
            <a:solidFill>
              <a:srgbClr val="404040"/>
            </a:solidFill>
            <a:latin typeface="Arial"/>
          </a:endParaRPr>
        </a:p>
      </txPr>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a:pPr>
            <a:r>
              <a:t>Sorties Immobilier — mois par mois</a:t>
            </a:r>
          </a:p>
        </rich>
      </tx>
    </title>
    <plotArea>
      <barChart>
        <barDir val="col"/>
        <grouping val="clustered"/>
        <ser>
          <idx val="0"/>
          <order val="0"/>
          <tx>
            <strRef>
              <f>'Calculs'!E21</f>
            </strRef>
          </tx>
          <spPr>
            <a:solidFill>
              <a:srgbClr val="1E6B3C"/>
            </a:solidFill>
            <a:ln>
              <a:solidFill>
                <a:srgbClr val="1E6B3C"/>
              </a:solidFill>
              <a:prstDash val="solid"/>
            </a:ln>
          </spPr>
          <cat>
            <numRef>
              <f>'Calculs'!$B$22:$B$33</f>
            </numRef>
          </cat>
          <val>
            <numRef>
              <f>'Calculs'!$E$22:$E$33</f>
            </numRef>
          </val>
        </ser>
        <gapWidth val="60"/>
        <axId val="10"/>
        <axId val="100"/>
      </bar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plotVisOnly val="1"/>
    <dispBlanksAs val="gap"/>
  </chart>
</chartSpace>
</file>

<file path=xl/charts/chart21.xml><?xml version="1.0" encoding="utf-8"?>
<chartSpace xmlns:a="http://schemas.openxmlformats.org/drawingml/2006/main" xmlns="http://schemas.openxmlformats.org/drawingml/2006/chart">
  <chart>
    <title>
      <tx>
        <rich>
          <a:bodyPr/>
          <a:p>
            <a:pPr>
              <a:defRPr/>
            </a:pPr>
            <a:r>
              <a:t>Progression des objectifs</a:t>
            </a:r>
          </a:p>
        </rich>
      </tx>
    </title>
    <plotArea>
      <barChart>
        <barDir val="bar"/>
        <grouping val="stacked"/>
        <ser>
          <idx val="0"/>
          <order val="0"/>
          <tx>
            <strRef>
              <f>'Objectifs'!G9</f>
            </strRef>
          </tx>
          <spPr>
            <a:solidFill>
              <a:srgbClr val="10706B"/>
            </a:solidFill>
            <a:ln>
              <a:solidFill>
                <a:srgbClr val="10706B"/>
              </a:solidFill>
              <a:prstDash val="solid"/>
            </a:ln>
          </spPr>
          <cat>
            <numRef>
              <f>'Objectifs'!$C$10:$C$21</f>
            </numRef>
          </cat>
          <val>
            <numRef>
              <f>'Objectifs'!$G$10:$G$21</f>
            </numRef>
          </val>
        </ser>
        <ser>
          <idx val="1"/>
          <order val="1"/>
          <tx>
            <strRef>
              <f>'Objectifs'!H9</f>
            </strRef>
          </tx>
          <spPr>
            <a:solidFill>
              <a:srgbClr val="D7E0EC"/>
            </a:solidFill>
            <a:ln>
              <a:solidFill>
                <a:srgbClr val="D7E0EC"/>
              </a:solidFill>
              <a:prstDash val="solid"/>
            </a:ln>
          </spPr>
          <cat>
            <numRef>
              <f>'Objectifs'!$C$10:$C$21</f>
            </numRef>
          </cat>
          <val>
            <numRef>
              <f>'Objectifs'!$H$10:$H$21</f>
            </numRef>
          </val>
        </ser>
        <gapWidth val="150"/>
        <overlap val="100"/>
        <axId val="10"/>
        <axId val="100"/>
      </barChart>
      <catAx>
        <axId val="10"/>
        <scaling>
          <orientation val="minMax"/>
        </scaling>
        <delete val="0"/>
        <axPos val="l"/>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
      </valAx>
    </plotArea>
    <legend>
      <legendPos val="t"/>
      <overlay val="0"/>
      <txPr>
        <a:bodyPr/>
        <a:p>
          <a:pPr>
            <a:defRPr sz="700" b="0">
              <a:solidFill>
                <a:srgbClr val="404040"/>
              </a:solidFill>
              <a:latin typeface="Arial"/>
            </a:defRPr>
          </a:pPr>
          <a:r>
            <a:t/>
          </a:r>
          <a:endParaRPr sz="700" b="0">
            <a:solidFill>
              <a:srgbClr val="404040"/>
            </a:solidFill>
            <a:latin typeface="Arial"/>
          </a:endParaRPr>
        </a:p>
      </txPr>
    </legend>
    <plotVisOnly val="1"/>
    <dispBlanksAs val="gap"/>
  </chart>
</chartSpace>
</file>

<file path=xl/charts/chart22.xml><?xml version="1.0" encoding="utf-8"?>
<chartSpace xmlns:a="http://schemas.openxmlformats.org/drawingml/2006/main" xmlns="http://schemas.openxmlformats.org/drawingml/2006/chart">
  <chart>
    <title>
      <tx>
        <rich>
          <a:bodyPr/>
          <a:p>
            <a:pPr>
              <a:defRPr/>
            </a:pPr>
            <a:r>
              <a:t>Épargne : versements vs valeur acquise</a:t>
            </a:r>
          </a:p>
        </rich>
      </tx>
    </title>
    <plotArea>
      <lineChart>
        <grouping val="standard"/>
        <ser>
          <idx val="0"/>
          <order val="0"/>
          <tx>
            <strRef>
              <f>'Objectifs'!C32</f>
            </strRef>
          </tx>
          <spPr>
            <a:solidFill>
              <a:srgbClr val="7A8794"/>
            </a:solidFill>
            <a:ln>
              <a:solidFill>
                <a:srgbClr val="7A8794"/>
              </a:solidFill>
              <a:prstDash val="solid"/>
            </a:ln>
          </spPr>
          <marker>
            <symbol val="none"/>
            <spPr>
              <a:ln>
                <a:prstDash val="solid"/>
              </a:ln>
            </spPr>
          </marker>
          <cat>
            <numRef>
              <f>'Objectifs'!$B$33:$B$62</f>
            </numRef>
          </cat>
          <val>
            <numRef>
              <f>'Objectifs'!$C$33:$C$62</f>
            </numRef>
          </val>
        </ser>
        <ser>
          <idx val="1"/>
          <order val="1"/>
          <tx>
            <strRef>
              <f>'Objectifs'!D32</f>
            </strRef>
          </tx>
          <spPr>
            <a:solidFill>
              <a:srgbClr val="10706B"/>
            </a:solidFill>
            <a:ln>
              <a:solidFill>
                <a:srgbClr val="10706B"/>
              </a:solidFill>
              <a:prstDash val="solid"/>
            </a:ln>
          </spPr>
          <marker>
            <symbol val="none"/>
            <spPr>
              <a:ln>
                <a:prstDash val="solid"/>
              </a:ln>
            </spPr>
          </marker>
          <cat>
            <numRef>
              <f>'Objectifs'!$B$33:$B$62</f>
            </numRef>
          </cat>
          <val>
            <numRef>
              <f>'Objectifs'!$D$33:$D$62</f>
            </numRef>
          </val>
        </ser>
        <axId val="10"/>
        <axId val="100"/>
      </lineChart>
      <catAx>
        <axId val="10"/>
        <scaling>
          <orientation val="minMax"/>
        </scaling>
        <delete val="0"/>
        <axPos val="l"/>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0"/>
        <lblOffset val="100"/>
        <tickLblSkip val="3"/>
        <tickMarkSkip val="3"/>
      </catAx>
      <valAx>
        <axId val="100"/>
        <scaling>
          <orientation val="minMax"/>
        </scaling>
        <delete val="0"/>
        <axPos val="l"/>
        <majorGridlines/>
        <majorTickMark val="none"/>
        <minorTickMark val="none"/>
        <txPr>
          <a:bodyPr/>
          <a:p>
            <a:pPr>
              <a:defRPr sz="750" b="0">
                <a:solidFill>
                  <a:srgbClr val="404040"/>
                </a:solidFill>
                <a:latin typeface="Arial"/>
              </a:defRPr>
            </a:pPr>
            <a:r>
              <a:t/>
            </a:r>
            <a:endParaRPr sz="750" b="0">
              <a:solidFill>
                <a:srgbClr val="404040"/>
              </a:solidFill>
              <a:latin typeface="Arial"/>
            </a:endParaRPr>
          </a:p>
        </txPr>
        <crossAx val="10"/>
      </valAx>
    </plotArea>
    <legend>
      <legendPos val="t"/>
      <overlay val="0"/>
      <txPr>
        <a:bodyPr/>
        <a:p>
          <a:pPr>
            <a:defRPr sz="750" b="0">
              <a:solidFill>
                <a:srgbClr val="404040"/>
              </a:solidFill>
              <a:latin typeface="Arial"/>
            </a:defRPr>
          </a:pPr>
          <a:r>
            <a:t/>
          </a:r>
          <a:endParaRPr sz="750" b="0">
            <a:solidFill>
              <a:srgbClr val="404040"/>
            </a:solidFill>
            <a:latin typeface="Arial"/>
          </a:endParaRPr>
        </a:p>
      </txPr>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a:pPr>
            <a:r>
              <a:t>Capital restant dû dans le temps</a:t>
            </a:r>
          </a:p>
        </rich>
      </tx>
    </title>
    <plotArea>
      <lineChart>
        <grouping val="standard"/>
        <ser>
          <idx val="0"/>
          <order val="0"/>
          <tx>
            <strRef>
              <f>'Dettes'!G26</f>
            </strRef>
          </tx>
          <spPr>
            <a:solidFill>
              <a:srgbClr val="8B1A1A"/>
            </a:solidFill>
            <a:ln>
              <a:solidFill>
                <a:srgbClr val="8B1A1A"/>
              </a:solidFill>
              <a:prstDash val="solid"/>
            </a:ln>
          </spPr>
          <marker>
            <symbol val="none"/>
            <spPr>
              <a:ln>
                <a:prstDash val="solid"/>
              </a:ln>
            </spPr>
          </marker>
          <cat>
            <numRef>
              <f>'Dettes'!$B$27:$B$206</f>
            </numRef>
          </cat>
          <val>
            <numRef>
              <f>'Dettes'!$G$27:$G$206</f>
            </numRef>
          </val>
        </ser>
        <axId val="10"/>
        <axId val="100"/>
      </lineChart>
      <catAx>
        <axId val="10"/>
        <scaling>
          <orientation val="minMax"/>
        </scaling>
        <delete val="0"/>
        <axPos val="l"/>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0"/>
        <lblOffset val="100"/>
        <tickLblSkip val="12"/>
        <tickMarkSkip val="12"/>
      </catAx>
      <valAx>
        <axId val="100"/>
        <scaling>
          <orientation val="minMax"/>
        </scaling>
        <delete val="0"/>
        <axPos val="l"/>
        <majorGridlines/>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
      </valAx>
    </plotArea>
    <plotVisOnly val="1"/>
    <dispBlanksAs val="gap"/>
  </chart>
</chartSpace>
</file>

<file path=xl/charts/chart24.xml><?xml version="1.0" encoding="utf-8"?>
<chartSpace xmlns:a="http://schemas.openxmlformats.org/drawingml/2006/main" xmlns="http://schemas.openxmlformats.org/drawingml/2006/chart">
  <chart>
    <title>
      <tx>
        <rich>
          <a:bodyPr/>
          <a:p>
            <a:pPr>
              <a:defRPr/>
            </a:pPr>
            <a:r>
              <a:t>Capital emprunté vs restant dû</a:t>
            </a:r>
          </a:p>
        </rich>
      </tx>
    </title>
    <plotArea>
      <barChart>
        <barDir val="bar"/>
        <grouping val="clustered"/>
        <ser>
          <idx val="0"/>
          <order val="0"/>
          <tx>
            <strRef>
              <f>'Dettes'!E9</f>
            </strRef>
          </tx>
          <spPr>
            <a:solidFill>
              <a:srgbClr val="2E5480"/>
            </a:solidFill>
            <a:ln>
              <a:solidFill>
                <a:srgbClr val="2E5480"/>
              </a:solidFill>
              <a:prstDash val="solid"/>
            </a:ln>
          </spPr>
          <cat>
            <numRef>
              <f>'Dettes'!$C$10:$C$19</f>
            </numRef>
          </cat>
          <val>
            <numRef>
              <f>'Dettes'!$E$10:$E$19</f>
            </numRef>
          </val>
        </ser>
        <ser>
          <idx val="1"/>
          <order val="1"/>
          <tx>
            <strRef>
              <f>'Dettes'!K9</f>
            </strRef>
          </tx>
          <spPr>
            <a:solidFill>
              <a:srgbClr val="8B1A1A"/>
            </a:solidFill>
            <a:ln>
              <a:solidFill>
                <a:srgbClr val="8B1A1A"/>
              </a:solidFill>
              <a:prstDash val="solid"/>
            </a:ln>
          </spPr>
          <cat>
            <numRef>
              <f>'Dettes'!$C$10:$C$19</f>
            </numRef>
          </cat>
          <val>
            <numRef>
              <f>'Dettes'!$K$10:$K$19</f>
            </numRef>
          </val>
        </ser>
        <gapWidth val="150"/>
        <axId val="10"/>
        <axId val="100"/>
      </barChart>
      <catAx>
        <axId val="10"/>
        <scaling>
          <orientation val="minMax"/>
        </scaling>
        <delete val="0"/>
        <axPos val="l"/>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0"/>
        <lblOffset val="100"/>
      </catAx>
      <valAx>
        <axId val="100"/>
        <scaling>
          <orientation val="minMax"/>
        </scaling>
        <delete val="0"/>
        <axPos val="l"/>
        <majorGridlines/>
        <majorTickMark val="none"/>
        <minorTickMark val="none"/>
        <txPr>
          <a:bodyPr/>
          <a:p>
            <a:pPr>
              <a:defRPr sz="700" b="0">
                <a:solidFill>
                  <a:srgbClr val="404040"/>
                </a:solidFill>
                <a:latin typeface="Arial"/>
              </a:defRPr>
            </a:pPr>
            <a:r>
              <a:t/>
            </a:r>
            <a:endParaRPr sz="700" b="0">
              <a:solidFill>
                <a:srgbClr val="404040"/>
              </a:solidFill>
              <a:latin typeface="Arial"/>
            </a:endParaRPr>
          </a:p>
        </txPr>
        <crossAx val="10"/>
      </valAx>
    </plotArea>
    <legend>
      <legendPos val="t"/>
      <overlay val="0"/>
      <txPr>
        <a:bodyPr/>
        <a:p>
          <a:pPr>
            <a:defRPr sz="700" b="0">
              <a:solidFill>
                <a:srgbClr val="404040"/>
              </a:solidFill>
              <a:latin typeface="Arial"/>
            </a:defRPr>
          </a:pPr>
          <a:r>
            <a:t/>
          </a:r>
          <a:endParaRPr sz="700" b="0">
            <a:solidFill>
              <a:srgbClr val="404040"/>
            </a:solidFill>
            <a:latin typeface="Arial"/>
          </a:endParaRPr>
        </a:p>
      </txP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image" Target="/xl/media/image2.png" Id="rId6" /></Relationships>
</file>

<file path=xl/drawings/_rels/drawing3.xml.rels><Relationships xmlns="http://schemas.openxmlformats.org/package/2006/relationships"><Relationship Type="http://schemas.openxmlformats.org/officeDocument/2006/relationships/chart" Target="/xl/charts/chart6.xml" Id="rId1" /><Relationship Type="http://schemas.openxmlformats.org/officeDocument/2006/relationships/image" Target="/xl/media/image3.png" Id="rId2" /></Relationships>
</file>

<file path=xl/drawings/_rels/drawing4.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 Type="http://schemas.openxmlformats.org/officeDocument/2006/relationships/chart" Target="/xl/charts/chart9.xml" Id="rId3" /><Relationship Type="http://schemas.openxmlformats.org/officeDocument/2006/relationships/chart" Target="/xl/charts/chart10.xml" Id="rId4" /></Relationships>
</file>

<file path=xl/drawings/_rels/drawing5.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 Type="http://schemas.openxmlformats.org/officeDocument/2006/relationships/chart" Target="/xl/charts/chart13.xml" Id="rId3" /></Relationships>
</file>

<file path=xl/drawings/_rels/drawing6.xml.rels><Relationships xmlns="http://schemas.openxmlformats.org/package/2006/relationships"><Relationship Type="http://schemas.openxmlformats.org/officeDocument/2006/relationships/chart" Target="/xl/charts/chart14.xml" Id="rId1" /><Relationship Type="http://schemas.openxmlformats.org/officeDocument/2006/relationships/chart" Target="/xl/charts/chart15.xml" Id="rId2" /><Relationship Type="http://schemas.openxmlformats.org/officeDocument/2006/relationships/chart" Target="/xl/charts/chart16.xml" Id="rId3" /><Relationship Type="http://schemas.openxmlformats.org/officeDocument/2006/relationships/chart" Target="/xl/charts/chart17.xml" Id="rId4" /></Relationships>
</file>

<file path=xl/drawings/_rels/drawing7.xml.rels><Relationships xmlns="http://schemas.openxmlformats.org/package/2006/relationships"><Relationship Type="http://schemas.openxmlformats.org/officeDocument/2006/relationships/chart" Target="/xl/charts/chart18.xml" Id="rId1" /><Relationship Type="http://schemas.openxmlformats.org/officeDocument/2006/relationships/chart" Target="/xl/charts/chart19.xml" Id="rId2" /><Relationship Type="http://schemas.openxmlformats.org/officeDocument/2006/relationships/chart" Target="/xl/charts/chart20.xml" Id="rId3" /></Relationships>
</file>

<file path=xl/drawings/_rels/drawing8.xml.rels><Relationships xmlns="http://schemas.openxmlformats.org/package/2006/relationships"><Relationship Type="http://schemas.openxmlformats.org/officeDocument/2006/relationships/chart" Target="/xl/charts/chart21.xml" Id="rId1" /><Relationship Type="http://schemas.openxmlformats.org/officeDocument/2006/relationships/chart" Target="/xl/charts/chart22.xml" Id="rId2" /></Relationships>
</file>

<file path=xl/drawings/_rels/drawing9.xml.rels><Relationships xmlns="http://schemas.openxmlformats.org/package/2006/relationships"><Relationship Type="http://schemas.openxmlformats.org/officeDocument/2006/relationships/chart" Target="/xl/charts/chart23.xml" Id="rId1" /><Relationship Type="http://schemas.openxmlformats.org/officeDocument/2006/relationships/chart" Target="/xl/charts/chart24.xml" Id="rId2" /></Relationships>
</file>

<file path=xl/drawings/_rels/drawing10.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0</row>
      <rowOff>0</rowOff>
    </from>
    <ext cx="4533900" cy="130492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79</row>
      <rowOff>0</rowOff>
    </from>
    <ext cx="6120000" cy="32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79</row>
      <rowOff>0</rowOff>
    </from>
    <ext cx="5400000" cy="324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99</row>
      <rowOff>0</rowOff>
    </from>
    <ext cx="4680000" cy="3240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99</row>
      <rowOff>0</rowOff>
    </from>
    <ext cx="4320000" cy="324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119</row>
      <rowOff>0</rowOff>
    </from>
    <ext cx="5040000" cy="2880000"/>
    <graphicFrame>
      <nvGraphicFramePr>
        <cNvPr id="5" name="Chart 5"/>
        <cNvGraphicFramePr/>
      </nvGraphicFramePr>
      <xfrm/>
      <a:graphic>
        <a:graphicData uri="http://schemas.openxmlformats.org/drawingml/2006/chart">
          <c:chart r:id="rId5"/>
        </a:graphicData>
      </a:graphic>
    </graphicFrame>
    <clientData/>
  </oneCellAnchor>
  <oneCellAnchor>
    <from>
      <col>15</col>
      <colOff>0</colOff>
      <row>0</row>
      <rowOff>0</rowOff>
    </from>
    <ext cx="381000" cy="381000"/>
    <pic>
      <nvPicPr>
        <cNvPr id="6" name="Image 6" descr="Picture"/>
        <cNvPicPr/>
      </nvPicPr>
      <blipFill>
        <a:blip cstate="print" r:embed="rId6"/>
        <a:stretch>
          <a:fillRect/>
        </a:stretch>
      </blipFill>
      <spPr>
        <a:prstGeom prst="rect"/>
      </spPr>
    </pic>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113</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30</col>
      <colOff>0</colOff>
      <row>0</row>
      <rowOff>0</rowOff>
    </from>
    <ext cx="381000" cy="381000"/>
    <pic>
      <nvPicPr>
        <cNvPr id="2" name="Image 2" descr="Picture"/>
        <cNvPicPr/>
      </nvPicPr>
      <blipFill>
        <a:blip cstate="print" r:embed="rId2"/>
        <a:stretch>
          <a:fillRect/>
        </a:stretch>
      </blipFill>
      <spPr>
        <a:prstGeom prst="rect"/>
      </spPr>
    </pic>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99</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99</row>
      <rowOff>0</rowOff>
    </from>
    <ext cx="5400000" cy="324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120</row>
      <rowOff>0</rowOff>
    </from>
    <ext cx="5400000" cy="3240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119</row>
      <rowOff>0</rowOff>
    </from>
    <ext cx="5760000" cy="396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79</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79</row>
      <rowOff>0</rowOff>
    </from>
    <ext cx="5760000" cy="792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100</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55</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55</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75</row>
      <rowOff>0</rowOff>
    </from>
    <ext cx="5760000" cy="4320000"/>
    <graphicFrame>
      <nvGraphicFramePr>
        <cNvPr id="3" name="Chart 3"/>
        <cNvGraphicFramePr/>
      </nvGraphicFramePr>
      <xfrm/>
      <a:graphic>
        <a:graphicData uri="http://schemas.openxmlformats.org/drawingml/2006/chart">
          <c:chart r:id="rId3"/>
        </a:graphicData>
      </a:graphic>
    </graphicFrame>
    <clientData/>
  </oneCellAnchor>
  <oneCellAnchor>
    <from>
      <col>10</col>
      <colOff>0</colOff>
      <row>73</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81</row>
      <rowOff>0</rowOff>
    </from>
    <ext cx="6120000" cy="360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81</row>
      <rowOff>0</rowOff>
    </from>
    <ext cx="5760000" cy="432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102</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65</row>
      <rowOff>0</rowOff>
    </from>
    <ext cx="5760000" cy="432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65</row>
      <rowOff>0</rowOff>
    </from>
    <ext cx="576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15</col>
      <colOff>0</colOff>
      <row>7</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27</row>
      <rowOff>0</rowOff>
    </from>
    <ext cx="576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3</col>
      <colOff>0</colOff>
      <row>0</row>
      <rowOff>0</rowOff>
    </from>
    <ext cx="381000" cy="381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7.xml.rels><Relationships xmlns="http://schemas.openxmlformats.org/package/2006/relationships"><Relationship Type="http://schemas.openxmlformats.org/officeDocument/2006/relationships/drawing" Target="/xl/drawings/drawing4.xml" Id="rId1" /></Relationships>
</file>

<file path=xl/worksheets/_rels/sheet8.xml.rels><Relationships xmlns="http://schemas.openxmlformats.org/package/2006/relationships"><Relationship Type="http://schemas.openxmlformats.org/officeDocument/2006/relationships/drawing" Target="/xl/drawings/drawing5.xml" Id="rId1" /></Relationships>
</file>

<file path=xl/worksheets/_rels/sheet9.xml.rels><Relationships xmlns="http://schemas.openxmlformats.org/package/2006/relationships"><Relationship Type="http://schemas.openxmlformats.org/officeDocument/2006/relationships/drawing" Target="/xl/drawings/drawing6.xml" Id="rId1" /></Relationships>
</file>

<file path=xl/worksheets/_rels/sheet10.xml.rels><Relationships xmlns="http://schemas.openxmlformats.org/package/2006/relationships"><Relationship Type="http://schemas.openxmlformats.org/officeDocument/2006/relationships/drawing" Target="/xl/drawings/drawing7.xml" Id="rId1" /></Relationships>
</file>

<file path=xl/worksheets/_rels/sheet11.xml.rels><Relationships xmlns="http://schemas.openxmlformats.org/package/2006/relationships"><Relationship Type="http://schemas.openxmlformats.org/officeDocument/2006/relationships/drawing" Target="/xl/drawings/drawing8.xml" Id="rId1" /></Relationships>
</file>

<file path=xl/worksheets/_rels/sheet12.xml.rels><Relationships xmlns="http://schemas.openxmlformats.org/package/2006/relationships"><Relationship Type="http://schemas.openxmlformats.org/officeDocument/2006/relationships/drawing" Target="/xl/drawings/drawing9.xml" Id="rId1" /></Relationships>
</file>

<file path=xl/worksheets/_rels/sheet16.xml.rels><Relationships xmlns="http://schemas.openxmlformats.org/package/2006/relationships"><Relationship Type="http://schemas.openxmlformats.org/officeDocument/2006/relationships/drawing" Target="/xl/drawings/drawing10.xml" Id="rId1" /></Relationships>
</file>

<file path=xl/worksheets/sheet1.xml><?xml version="1.0" encoding="utf-8"?>
<worksheet xmlns="http://schemas.openxmlformats.org/spreadsheetml/2006/main">
  <sheetPr>
    <tabColor rgb="00B8860B"/>
    <outlinePr summaryBelow="1" summaryRight="1"/>
    <pageSetUpPr/>
  </sheetPr>
  <dimension ref="A1:G45"/>
  <sheetViews>
    <sheetView showGridLines="0" zoomScale="90" workbookViewId="0">
      <selection activeCell="A1" sqref="A1"/>
    </sheetView>
  </sheetViews>
  <sheetFormatPr baseColWidth="8" defaultRowHeight="15"/>
  <cols>
    <col width="3" customWidth="1" min="1" max="1"/>
    <col width="26" customWidth="1" min="2" max="2"/>
    <col width="26" customWidth="1" min="3" max="3"/>
    <col width="26" customWidth="1" min="4" max="4"/>
    <col width="26" customWidth="1" min="5" max="5"/>
    <col width="26" customWidth="1" min="6" max="6"/>
    <col width="26" customWidth="1" min="7" max="7"/>
    <col width="3" customWidth="1" min="8" max="8"/>
  </cols>
  <sheetData>
    <row r="1" ht="30" customHeight="1"/>
    <row r="2" ht="30" customHeight="1"/>
    <row r="3" ht="30" customHeight="1"/>
    <row r="4" ht="30" customHeight="1"/>
    <row r="5" ht="30" customHeight="1"/>
    <row r="6" ht="5" customHeight="1">
      <c r="B6" s="1" t="n"/>
      <c r="C6" s="1" t="n"/>
      <c r="D6" s="1" t="n"/>
      <c r="E6" s="1" t="n"/>
      <c r="F6" s="1" t="n"/>
      <c r="G6" s="1" t="n"/>
    </row>
    <row r="7" ht="26" customHeight="1">
      <c r="B7" s="2" t="inlineStr">
        <is>
          <t>Planification et suivi financier — général, mariage, immobilier &amp; terrain, business</t>
        </is>
      </c>
      <c r="C7" s="3" t="n"/>
      <c r="D7" s="3" t="n"/>
      <c r="E7" s="3" t="n"/>
      <c r="F7" s="3" t="n"/>
      <c r="G7" s="3" t="n"/>
    </row>
    <row r="8"/>
    <row r="9" ht="24" customHeight="1">
      <c r="B9" s="4">
        <f>"Bonjour "&amp;Nom_Foyer&amp;"   •   période suivie : "&amp;Mois_Suivi&amp;" "&amp;Annee_Travail&amp;"   •   devise : "&amp;Devise_Base&amp;" ("&amp;Symbole_Base&amp;")"</f>
        <v/>
      </c>
    </row>
    <row r="10" ht="18" customHeight="1">
      <c r="B10" s="5">
        <f>TRIM(Adresse_Entite&amp;IF(Adresse_Entite="","",", ")&amp;Ville_Entite&amp;IF(Pays_Entite="","",", "&amp;Pays_Entite)&amp;IF(Tel_Entite="",""," · "&amp;Tel_Entite)&amp;IF(Email_Entite="",""," · "&amp;Email_Entite)&amp;IF(Site_Entite="",""," · "&amp;Site_Entite))</f>
        <v/>
      </c>
    </row>
    <row r="11"/>
    <row r="12" ht="24" customHeight="1">
      <c r="B12" s="6" t="inlineStr">
        <is>
          <t>VOTRE PARCOURS — DANS CET ORDRE</t>
        </is>
      </c>
      <c r="C12" s="7" t="n"/>
      <c r="D12" s="7" t="n"/>
      <c r="E12" s="7" t="n"/>
      <c r="F12" s="7" t="n"/>
      <c r="G12" s="7" t="n"/>
    </row>
    <row r="13" ht="22" customHeight="1">
      <c r="B13" s="8" t="inlineStr">
        <is>
          <t>①   REMPLIR MES INFORMATIONS</t>
        </is>
      </c>
      <c r="C13" s="9" t="n"/>
      <c r="D13" s="10" t="inlineStr">
        <is>
          <t>②   ESTIMER MON ANNÉE</t>
        </is>
      </c>
      <c r="E13" s="11" t="n"/>
      <c r="F13" s="12" t="inlineStr">
        <is>
          <t>③   BUDGET SMART</t>
        </is>
      </c>
      <c r="G13" s="13" t="n"/>
    </row>
    <row r="14" ht="22" customHeight="1">
      <c r="B14" s="9" t="n"/>
      <c r="C14" s="9" t="n"/>
      <c r="D14" s="11" t="n"/>
      <c r="E14" s="11" t="n"/>
      <c r="F14" s="13" t="n"/>
      <c r="G14" s="13" t="n"/>
    </row>
    <row r="15" ht="22" customHeight="1">
      <c r="B15" s="9" t="n"/>
      <c r="C15" s="9" t="n"/>
      <c r="D15" s="11" t="n"/>
      <c r="E15" s="11" t="n"/>
      <c r="F15" s="13" t="n"/>
      <c r="G15" s="13" t="n"/>
    </row>
    <row r="16" ht="22" customHeight="1">
      <c r="B16" s="14" t="inlineStr">
        <is>
          <t>Nom, coordonnées, devise, comptes bancaires</t>
        </is>
      </c>
      <c r="C16" s="9" t="n"/>
      <c r="D16" s="15" t="inlineStr">
        <is>
          <t>Charges fixes, variables et imprévus, mois par mois</t>
        </is>
      </c>
      <c r="E16" s="11" t="n"/>
      <c r="F16" s="16" t="inlineStr">
        <is>
          <t>Mon journal de tous les jours — tout se synchronise</t>
        </is>
      </c>
      <c r="G16" s="13" t="n"/>
    </row>
    <row r="17"/>
    <row r="18" ht="22" customHeight="1">
      <c r="B18" s="17" t="inlineStr">
        <is>
          <t>Une fois vos informations et votre estimation posées, il ne reste plus qu'à tenir le journal : tableau de bord, budget 12 mois, synthèse et modules se remplissent tout seuls.</t>
        </is>
      </c>
    </row>
    <row r="19"/>
    <row r="20" ht="24" customHeight="1">
      <c r="B20" s="6" t="inlineStr">
        <is>
          <t>MES MODULES — chacun sa feuille, aucun mélange</t>
        </is>
      </c>
      <c r="C20" s="7" t="n"/>
      <c r="D20" s="7" t="n"/>
      <c r="E20" s="7" t="n"/>
      <c r="F20" s="7" t="n"/>
      <c r="G20" s="7" t="n"/>
    </row>
    <row r="21" ht="22" customHeight="1">
      <c r="B21" s="18" t="inlineStr">
        <is>
          <t>MARIAGE</t>
        </is>
      </c>
      <c r="C21" s="19" t="n"/>
      <c r="D21" s="20" t="inlineStr">
        <is>
          <t>PROJET</t>
        </is>
      </c>
      <c r="E21" s="21" t="n"/>
      <c r="F21" s="22" t="inlineStr">
        <is>
          <t>IMMO</t>
        </is>
      </c>
      <c r="G21" s="23" t="n"/>
    </row>
    <row r="22" ht="22" customHeight="1">
      <c r="B22" s="19" t="n"/>
      <c r="C22" s="19" t="n"/>
      <c r="D22" s="21" t="n"/>
      <c r="E22" s="21" t="n"/>
      <c r="F22" s="23" t="n"/>
      <c r="G22" s="23" t="n"/>
    </row>
    <row r="23" ht="22" customHeight="1">
      <c r="B23" s="24" t="inlineStr">
        <is>
          <t>Postes, devis, financement</t>
        </is>
      </c>
      <c r="C23" s="19" t="n"/>
      <c r="D23" s="25" t="inlineStr">
        <is>
          <t>Business, chiffre d'affaires, marge</t>
        </is>
      </c>
      <c r="E23" s="21" t="n"/>
      <c r="F23" s="26" t="inlineStr">
        <is>
          <t>Terrains, biens, travaux, loyers</t>
        </is>
      </c>
      <c r="G23" s="23" t="n"/>
    </row>
    <row r="24"/>
    <row r="25"/>
    <row r="26" ht="24" customHeight="1">
      <c r="B26" s="6" t="inlineStr">
        <is>
          <t>OÙ J'EN SUIS AUJOURD'HUI</t>
        </is>
      </c>
      <c r="C26" s="7" t="n"/>
      <c r="D26" s="7" t="n"/>
      <c r="E26" s="7" t="n"/>
      <c r="F26" s="7" t="n"/>
      <c r="G26" s="7" t="n"/>
    </row>
    <row r="27" ht="18" customHeight="1">
      <c r="B27" s="27" t="inlineStr">
        <is>
          <t>SOLDE DU MOIS</t>
        </is>
      </c>
      <c r="C27" s="28" t="n"/>
      <c r="D27" s="29" t="inlineStr">
        <is>
          <t>DÉPENSES DU MOIS</t>
        </is>
      </c>
      <c r="E27" s="30" t="n"/>
      <c r="F27" s="31" t="inlineStr">
        <is>
          <t>TRÉSORERIE DISPONIBLE</t>
        </is>
      </c>
      <c r="G27" s="32" t="n"/>
    </row>
    <row r="28" ht="30" customHeight="1">
      <c r="B28" s="33">
        <f>INDEX(Calculs!$J$6:$J$17,Mois_Num)</f>
        <v/>
      </c>
      <c r="C28" s="34" t="n"/>
      <c r="D28" s="35">
        <f>INDEX(Calculs!$E$6:$E$17,Mois_Num)</f>
        <v/>
      </c>
      <c r="E28" s="34" t="n"/>
      <c r="F28" s="36">
        <f>Paramètres!$H$61</f>
        <v/>
      </c>
      <c r="G28" s="34" t="n"/>
    </row>
    <row r="29" ht="16" customHeight="1">
      <c r="B29" s="37" t="inlineStr"/>
      <c r="C29" s="38" t="n"/>
      <c r="D29" s="37" t="inlineStr"/>
      <c r="E29" s="38" t="n"/>
      <c r="F29" s="37" t="inlineStr"/>
      <c r="G29" s="38" t="n"/>
    </row>
    <row r="30"/>
    <row r="31"/>
    <row r="32" ht="24" customHeight="1">
      <c r="B32" s="6" t="inlineStr">
        <is>
          <t>CONSULTER</t>
        </is>
      </c>
      <c r="C32" s="7" t="n"/>
      <c r="D32" s="7" t="n"/>
      <c r="E32" s="7" t="n"/>
      <c r="F32" s="7" t="n"/>
      <c r="G32" s="7" t="n"/>
    </row>
    <row r="33" ht="22" customHeight="1">
      <c r="B33" s="39" t="inlineStr">
        <is>
          <t>➜  Tableau de bord</t>
        </is>
      </c>
      <c r="C33" s="40" t="n"/>
      <c r="D33" s="39" t="inlineStr">
        <is>
          <t>➜  Budget 12 mois</t>
        </is>
      </c>
      <c r="E33" s="40" t="n"/>
      <c r="F33" s="39" t="inlineStr">
        <is>
          <t>➜  Synthèse annuelle</t>
        </is>
      </c>
      <c r="G33" s="40" t="n"/>
    </row>
    <row r="34"/>
    <row r="35" ht="22" customHeight="1">
      <c r="B35" s="39" t="inlineStr">
        <is>
          <t>➜  Objectifs &amp; épargne</t>
        </is>
      </c>
      <c r="C35" s="40" t="n"/>
      <c r="D35" s="39" t="inlineStr">
        <is>
          <t>➜  Dettes &amp; crédits</t>
        </is>
      </c>
      <c r="E35" s="40" t="n"/>
      <c r="F35" s="39" t="inlineStr">
        <is>
          <t>➜  Charges récurrentes</t>
        </is>
      </c>
      <c r="G35" s="40" t="n"/>
    </row>
    <row r="36"/>
    <row r="37" ht="22" customHeight="1">
      <c r="B37" s="39" t="inlineStr">
        <is>
          <t>➜  Guide d'utilisation</t>
        </is>
      </c>
      <c r="C37" s="40" t="n"/>
      <c r="D37" s="39" t="inlineStr">
        <is>
          <t>➜  Référentiels &amp; listes</t>
        </is>
      </c>
      <c r="E37" s="40" t="n"/>
    </row>
    <row r="38"/>
    <row r="39" ht="30" customHeight="1">
      <c r="B39" s="41" t="inlineStr">
        <is>
          <t>Les cases sur fond jaune pâle sont les seules à remplir. Tout le reste est calculé et verrouillé — mot de passe APEX-2026 si vous devez y toucher.</t>
        </is>
      </c>
      <c r="C39" s="42" t="n"/>
      <c r="D39" s="42" t="n"/>
      <c r="E39" s="42" t="n"/>
      <c r="F39" s="42" t="n"/>
      <c r="G39" s="42" t="n"/>
    </row>
    <row r="40"/>
    <row r="41" ht="4" customHeight="1">
      <c r="B41" s="1" t="n"/>
      <c r="C41" s="1" t="n"/>
      <c r="D41" s="1" t="n"/>
      <c r="E41" s="1" t="n"/>
      <c r="F41" s="1" t="n"/>
      <c r="G41" s="1" t="n"/>
    </row>
    <row r="42">
      <c r="B42" s="43" t="inlineStr">
        <is>
          <t>APEX AFRICA — African Premium Experience · Abidjan, Côte d'Ivoire</t>
        </is>
      </c>
    </row>
    <row r="43">
      <c r="B43" s="44" t="inlineStr">
        <is>
          <t>contact@apxafrica.com · www.apxafrica.com</t>
        </is>
      </c>
    </row>
    <row r="44">
      <c r="B44" s="45" t="inlineStr">
        <is>
          <t>© 2026 APEX AFRICA. « Budget Smart » et son logo sont la propriété d'APEX AFRICA. Tous droits réservés — reproduction, diffusion ou revente interdites sans autorisation écrite.</t>
        </is>
      </c>
    </row>
    <row r="45">
      <c r="B45" s="45" t="inlineStr">
        <is>
          <t>BUDGET SMART by APEX AFRICA v1.0 — feuilles protégées, aucune macro.</t>
        </is>
      </c>
    </row>
  </sheetData>
  <sheetProtection selectLockedCells="0" selectUnlockedCells="0" sheet="1" objects="1" insertRows="1" insertHyperlinks="1" autoFilter="0" scenarios="1" formatColumns="0" deleteColumns="1" insertColumns="1" pivotTables="1" deleteRows="1" formatCells="0" formatRows="0" sort="0" password="8708"/>
  <mergeCells count="44">
    <mergeCell ref="B16:C16"/>
    <mergeCell ref="B42:G42"/>
    <mergeCell ref="F29:G29"/>
    <mergeCell ref="F16:G16"/>
    <mergeCell ref="B27:C27"/>
    <mergeCell ref="B44:G44"/>
    <mergeCell ref="B10:G10"/>
    <mergeCell ref="D27:E27"/>
    <mergeCell ref="B9:G9"/>
    <mergeCell ref="B23:C23"/>
    <mergeCell ref="F33:G33"/>
    <mergeCell ref="F35:G35"/>
    <mergeCell ref="B13:C15"/>
    <mergeCell ref="B6:G6"/>
    <mergeCell ref="D13:E15"/>
    <mergeCell ref="D16:E16"/>
    <mergeCell ref="B20:G20"/>
    <mergeCell ref="B29:C29"/>
    <mergeCell ref="B37:C37"/>
    <mergeCell ref="B21:C22"/>
    <mergeCell ref="F23:G23"/>
    <mergeCell ref="B28:C28"/>
    <mergeCell ref="D37:E37"/>
    <mergeCell ref="B32:G32"/>
    <mergeCell ref="D28:E28"/>
    <mergeCell ref="B41:G41"/>
    <mergeCell ref="B26:G26"/>
    <mergeCell ref="F28:G28"/>
    <mergeCell ref="F27:G27"/>
    <mergeCell ref="F13:G15"/>
    <mergeCell ref="B7:G7"/>
    <mergeCell ref="D21:E22"/>
    <mergeCell ref="B33:C33"/>
    <mergeCell ref="D33:E33"/>
    <mergeCell ref="D29:E29"/>
    <mergeCell ref="D23:E23"/>
    <mergeCell ref="B45:G45"/>
    <mergeCell ref="B43:G43"/>
    <mergeCell ref="B12:G12"/>
    <mergeCell ref="B18:G18"/>
    <mergeCell ref="B35:C35"/>
    <mergeCell ref="F21:G22"/>
    <mergeCell ref="B39:G39"/>
    <mergeCell ref="D35:E35"/>
  </mergeCells>
  <conditionalFormatting sqref="B28:C28">
    <cfRule type="expression" priority="1" dxfId="0" stopIfTrue="1">
      <formula>Devise_Base="XOF"</formula>
    </cfRule>
    <cfRule type="expression" priority="2" dxfId="1" stopIfTrue="1">
      <formula>Devise_Base="XAF"</formula>
    </cfRule>
    <cfRule type="expression" priority="3" dxfId="2" stopIfTrue="1">
      <formula>Devise_Base="EUR"</formula>
    </cfRule>
    <cfRule type="expression" priority="4" dxfId="3" stopIfTrue="1">
      <formula>Devise_Base="USD"</formula>
    </cfRule>
    <cfRule type="expression" priority="5" dxfId="4" stopIfTrue="1">
      <formula>Devise_Base="GBP"</formula>
    </cfRule>
    <cfRule type="expression" priority="6" dxfId="5" stopIfTrue="1">
      <formula>Devise_Base="CAD"</formula>
    </cfRule>
    <cfRule type="expression" priority="7" dxfId="6" stopIfTrue="1">
      <formula>Devise_Base="CHF"</formula>
    </cfRule>
    <cfRule type="expression" priority="8" dxfId="7" stopIfTrue="1">
      <formula>Devise_Base="MAD"</formula>
    </cfRule>
    <cfRule type="expression" priority="9" dxfId="8" stopIfTrue="1">
      <formula>Devise_Base="NGN"</formula>
    </cfRule>
    <cfRule type="expression" priority="10" dxfId="9" stopIfTrue="1">
      <formula>Devise_Base="GHS"</formula>
    </cfRule>
    <cfRule type="expression" priority="11" dxfId="10" stopIfTrue="1">
      <formula>Devise_Base="CDF"</formula>
    </cfRule>
    <cfRule type="expression" priority="12" dxfId="11" stopIfTrue="1">
      <formula>Devise_Base="ZAR"</formula>
    </cfRule>
    <cfRule type="expression" priority="13" dxfId="12" stopIfTrue="1">
      <formula>Devise_Base="AED"</formula>
    </cfRule>
    <cfRule type="expression" priority="14" dxfId="13" stopIfTrue="1">
      <formula>Devise_Base="MRU"</formula>
    </cfRule>
    <cfRule type="expression" priority="15" dxfId="14" stopIfTrue="1">
      <formula>Devise_Base="GNF"</formula>
    </cfRule>
  </conditionalFormatting>
  <conditionalFormatting sqref="D28:E28">
    <cfRule type="expression" priority="16" dxfId="15" stopIfTrue="1">
      <formula>Devise_Base="XOF"</formula>
    </cfRule>
    <cfRule type="expression" priority="17" dxfId="16" stopIfTrue="1">
      <formula>Devise_Base="XAF"</formula>
    </cfRule>
    <cfRule type="expression" priority="18" dxfId="17" stopIfTrue="1">
      <formula>Devise_Base="EUR"</formula>
    </cfRule>
    <cfRule type="expression" priority="19" dxfId="18" stopIfTrue="1">
      <formula>Devise_Base="USD"</formula>
    </cfRule>
    <cfRule type="expression" priority="20" dxfId="19" stopIfTrue="1">
      <formula>Devise_Base="GBP"</formula>
    </cfRule>
    <cfRule type="expression" priority="21" dxfId="20" stopIfTrue="1">
      <formula>Devise_Base="CAD"</formula>
    </cfRule>
    <cfRule type="expression" priority="22" dxfId="21" stopIfTrue="1">
      <formula>Devise_Base="CHF"</formula>
    </cfRule>
    <cfRule type="expression" priority="23" dxfId="22" stopIfTrue="1">
      <formula>Devise_Base="MAD"</formula>
    </cfRule>
    <cfRule type="expression" priority="24" dxfId="23" stopIfTrue="1">
      <formula>Devise_Base="NGN"</formula>
    </cfRule>
    <cfRule type="expression" priority="25" dxfId="24" stopIfTrue="1">
      <formula>Devise_Base="GHS"</formula>
    </cfRule>
    <cfRule type="expression" priority="26" dxfId="25" stopIfTrue="1">
      <formula>Devise_Base="CDF"</formula>
    </cfRule>
    <cfRule type="expression" priority="27" dxfId="26" stopIfTrue="1">
      <formula>Devise_Base="ZAR"</formula>
    </cfRule>
    <cfRule type="expression" priority="28" dxfId="27" stopIfTrue="1">
      <formula>Devise_Base="AED"</formula>
    </cfRule>
    <cfRule type="expression" priority="29" dxfId="28" stopIfTrue="1">
      <formula>Devise_Base="MRU"</formula>
    </cfRule>
    <cfRule type="expression" priority="30" dxfId="29" stopIfTrue="1">
      <formula>Devise_Base="GNF"</formula>
    </cfRule>
  </conditionalFormatting>
  <conditionalFormatting sqref="F28:G28">
    <cfRule type="expression" priority="31" dxfId="30" stopIfTrue="1">
      <formula>Devise_Base="XOF"</formula>
    </cfRule>
    <cfRule type="expression" priority="32" dxfId="31" stopIfTrue="1">
      <formula>Devise_Base="XAF"</formula>
    </cfRule>
    <cfRule type="expression" priority="33" dxfId="32" stopIfTrue="1">
      <formula>Devise_Base="EUR"</formula>
    </cfRule>
    <cfRule type="expression" priority="34" dxfId="33" stopIfTrue="1">
      <formula>Devise_Base="USD"</formula>
    </cfRule>
    <cfRule type="expression" priority="35" dxfId="34" stopIfTrue="1">
      <formula>Devise_Base="GBP"</formula>
    </cfRule>
    <cfRule type="expression" priority="36" dxfId="35" stopIfTrue="1">
      <formula>Devise_Base="CAD"</formula>
    </cfRule>
    <cfRule type="expression" priority="37" dxfId="36" stopIfTrue="1">
      <formula>Devise_Base="CHF"</formula>
    </cfRule>
    <cfRule type="expression" priority="38" dxfId="37" stopIfTrue="1">
      <formula>Devise_Base="MAD"</formula>
    </cfRule>
    <cfRule type="expression" priority="39" dxfId="38" stopIfTrue="1">
      <formula>Devise_Base="NGN"</formula>
    </cfRule>
    <cfRule type="expression" priority="40" dxfId="39" stopIfTrue="1">
      <formula>Devise_Base="GHS"</formula>
    </cfRule>
    <cfRule type="expression" priority="41" dxfId="40" stopIfTrue="1">
      <formula>Devise_Base="CDF"</formula>
    </cfRule>
    <cfRule type="expression" priority="42" dxfId="41" stopIfTrue="1">
      <formula>Devise_Base="ZAR"</formula>
    </cfRule>
    <cfRule type="expression" priority="43" dxfId="42" stopIfTrue="1">
      <formula>Devise_Base="AED"</formula>
    </cfRule>
    <cfRule type="expression" priority="44" dxfId="43" stopIfTrue="1">
      <formula>Devise_Base="MRU"</formula>
    </cfRule>
    <cfRule type="expression" priority="45" dxfId="44" stopIfTrue="1">
      <formula>Devise_Base="GNF"</formula>
    </cfRule>
  </conditionalFormatting>
  <hyperlinks>
    <hyperlink ref="B13" location="'Paramètres'!A1"/>
    <hyperlink ref="D13" location="'Estimation Annuelle'!A1"/>
    <hyperlink ref="F13" location="'Journal'!A1"/>
    <hyperlink ref="B21" location="'Mariage'!A1"/>
    <hyperlink ref="D21" location="'Business'!A1"/>
    <hyperlink ref="F21" location="'Immobilier'!A1"/>
    <hyperlink ref="B33" location="'Tableau de Bord'!A1"/>
    <hyperlink ref="D33" location="'Budget 12 Mois'!A1"/>
    <hyperlink ref="F33" location="'Synthèse Annuelle'!A1"/>
    <hyperlink ref="B35" location="'Objectifs'!A1"/>
    <hyperlink ref="D35" location="'Dettes'!A1"/>
    <hyperlink ref="F35" location="'Récurrents'!A1"/>
    <hyperlink ref="B37" location="'Guide'!A1"/>
    <hyperlink ref="D37" location="'Listes'!A1"/>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B8860B"/>
    <outlinePr summaryBelow="1" summaryRight="1"/>
    <pageSetUpPr/>
  </sheetPr>
  <dimension ref="A1:K76"/>
  <sheetViews>
    <sheetView showGridLines="0" zoomScale="90" workbookViewId="0">
      <pane ySplit="4" topLeftCell="A5" activePane="bottomLeft" state="frozen"/>
      <selection pane="bottomLeft" activeCell="A1" sqref="A1"/>
    </sheetView>
  </sheetViews>
  <sheetFormatPr baseColWidth="8" defaultRowHeight="15"/>
  <cols>
    <col width="2" customWidth="1" min="1" max="1"/>
    <col width="3" customWidth="1" min="2" max="2"/>
    <col width="30" customWidth="1" min="3" max="3"/>
    <col width="12" customWidth="1" min="4" max="4"/>
    <col width="20" customWidth="1" min="5" max="5"/>
    <col width="14" customWidth="1" min="6" max="6"/>
    <col width="20" customWidth="1" min="7" max="7"/>
    <col width="26" customWidth="1" min="8" max="8"/>
    <col width="22" customWidth="1" min="9" max="9"/>
    <col width="26" customWidth="1" min="10" max="10"/>
  </cols>
  <sheetData>
    <row r="1" ht="52" customHeight="1">
      <c r="B1" s="46" t="inlineStr">
        <is>
          <t>MES INFORMATIONS</t>
        </is>
      </c>
      <c r="C1" s="47" t="n"/>
      <c r="D1" s="47" t="n"/>
      <c r="E1" s="47" t="n"/>
      <c r="F1" s="47" t="n"/>
      <c r="G1" s="47" t="n"/>
      <c r="H1" s="47" t="n"/>
      <c r="I1" s="47" t="n"/>
      <c r="J1" s="47" t="n"/>
    </row>
    <row r="2" ht="20" customHeight="1">
      <c r="B2" s="48" t="inlineStr">
        <is>
          <t>Étape ① — renseignez ceci une seule fois : tout le classeur s'y adapte</t>
        </is>
      </c>
      <c r="C2" s="7" t="n"/>
      <c r="D2" s="7" t="n"/>
      <c r="E2" s="7" t="n"/>
      <c r="F2" s="7" t="n"/>
      <c r="G2" s="7" t="n"/>
      <c r="H2" s="7" t="n"/>
      <c r="I2" s="7" t="n"/>
      <c r="J2" s="7" t="n"/>
    </row>
    <row r="3" ht="20" customHeight="1">
      <c r="B3" s="49" t="inlineStr">
        <is>
          <t>⌂  ACCUEIL</t>
        </is>
      </c>
      <c r="C3" s="42" t="n"/>
      <c r="D3" s="50" t="inlineStr">
        <is>
          <t>①  MES INFOS</t>
        </is>
      </c>
      <c r="E3" s="51" t="n"/>
      <c r="F3" s="49" t="inlineStr">
        <is>
          <t>②  ESTIMATION</t>
        </is>
      </c>
      <c r="G3" s="42" t="n"/>
      <c r="H3" s="49" t="inlineStr">
        <is>
          <t>③  BUDGET SMART</t>
        </is>
      </c>
      <c r="I3" s="42" t="n"/>
      <c r="J3" s="49" t="inlineStr">
        <is>
          <t>TABLEAU DE BORD</t>
        </is>
      </c>
    </row>
    <row r="4" ht="6" customHeight="1"/>
    <row r="5" ht="30" customHeight="1">
      <c r="C5" s="41" t="inlineStr">
        <is>
          <t>Seules les cases sur fond JAUNE PÂLE sont modifiables. Le reste de la feuille est verrouillé pour protéger les formules — mot de passe APEX-2026 (Révision ▸ Ôter la protection de la feuille).</t>
        </is>
      </c>
      <c r="D5" s="42" t="n"/>
      <c r="E5" s="42" t="n"/>
      <c r="F5" s="42" t="n"/>
      <c r="G5" s="42" t="n"/>
      <c r="H5" s="42" t="n"/>
      <c r="I5" s="42" t="n"/>
      <c r="J5" s="42" t="n"/>
    </row>
    <row r="6"/>
    <row r="7" ht="24" customHeight="1">
      <c r="C7" s="6" t="inlineStr">
        <is>
          <t>①  IDENTITÉ &amp; COORDONNÉES</t>
        </is>
      </c>
      <c r="D7" s="7" t="n"/>
      <c r="E7" s="7" t="n"/>
      <c r="F7" s="7" t="n"/>
      <c r="G7" s="7" t="n"/>
      <c r="H7" s="7" t="n"/>
      <c r="I7" s="7" t="n"/>
      <c r="J7" s="7" t="n"/>
    </row>
    <row r="8"/>
    <row r="9" ht="22" customHeight="1">
      <c r="C9" s="52" t="inlineStr">
        <is>
          <t>Raison sociale / Nom</t>
        </is>
      </c>
      <c r="E9" s="53" t="inlineStr">
        <is>
          <t>APEX AFRICA</t>
        </is>
      </c>
      <c r="F9" s="54" t="n"/>
      <c r="G9" s="55" t="inlineStr">
        <is>
          <t>Apparaît en tête du tableau de bord et des synthèses.</t>
        </is>
      </c>
    </row>
    <row r="10" ht="22" customHeight="1">
      <c r="C10" s="52" t="inlineStr">
        <is>
          <t>Responsable / Titulaire</t>
        </is>
      </c>
      <c r="E10" s="53" t="inlineStr"/>
      <c r="F10" s="54" t="n"/>
      <c r="G10" s="55" t="inlineStr">
        <is>
          <t>La personne qui tient le budget.</t>
        </is>
      </c>
    </row>
    <row r="11" ht="22" customHeight="1">
      <c r="C11" s="52" t="inlineStr">
        <is>
          <t>Activité / Fonction</t>
        </is>
      </c>
      <c r="E11" s="53" t="inlineStr"/>
      <c r="F11" s="54" t="n"/>
      <c r="G11" s="55" t="inlineStr"/>
    </row>
    <row r="12" ht="22" customHeight="1">
      <c r="C12" s="52" t="inlineStr">
        <is>
          <t>Adresse</t>
        </is>
      </c>
      <c r="E12" s="53" t="inlineStr"/>
      <c r="F12" s="54" t="n"/>
      <c r="G12" s="55" t="inlineStr"/>
    </row>
    <row r="13" ht="22" customHeight="1">
      <c r="C13" s="52" t="inlineStr">
        <is>
          <t>Ville</t>
        </is>
      </c>
      <c r="E13" s="53" t="inlineStr">
        <is>
          <t>Abidjan</t>
        </is>
      </c>
      <c r="F13" s="54" t="n"/>
      <c r="G13" s="55" t="inlineStr"/>
    </row>
    <row r="14" ht="22" customHeight="1">
      <c r="C14" s="52" t="inlineStr">
        <is>
          <t>Pays</t>
        </is>
      </c>
      <c r="E14" s="53" t="inlineStr">
        <is>
          <t>Côte d'Ivoire</t>
        </is>
      </c>
      <c r="F14" s="54" t="n"/>
      <c r="G14" s="55" t="inlineStr"/>
    </row>
    <row r="15" ht="22" customHeight="1">
      <c r="C15" s="52" t="inlineStr">
        <is>
          <t>Téléphone</t>
        </is>
      </c>
      <c r="E15" s="56" t="inlineStr"/>
      <c r="F15" s="54" t="n"/>
      <c r="G15" s="55" t="inlineStr">
        <is>
          <t>Saisissez-le tel quel, avec l'indicatif : +225 …</t>
        </is>
      </c>
    </row>
    <row r="16" ht="22" customHeight="1">
      <c r="C16" s="52" t="inlineStr">
        <is>
          <t>Email</t>
        </is>
      </c>
      <c r="E16" s="53" t="inlineStr">
        <is>
          <t>contact@apxafrica.com</t>
        </is>
      </c>
      <c r="F16" s="54" t="n"/>
      <c r="G16" s="55" t="inlineStr"/>
    </row>
    <row r="17" ht="22" customHeight="1">
      <c r="C17" s="52" t="inlineStr">
        <is>
          <t>Site web</t>
        </is>
      </c>
      <c r="E17" s="53" t="inlineStr">
        <is>
          <t>www.apxafrica.com</t>
        </is>
      </c>
      <c r="F17" s="54" t="n"/>
      <c r="G17" s="55" t="inlineStr"/>
    </row>
    <row r="18" ht="22" customHeight="1">
      <c r="C18" s="52" t="inlineStr">
        <is>
          <t>RCCM / IFU / N° d'identification</t>
        </is>
      </c>
      <c r="E18" s="53" t="inlineStr"/>
      <c r="F18" s="54" t="n"/>
      <c r="G18" s="55" t="inlineStr">
        <is>
          <t>Facultatif — utile si le classeur sert à une structure.</t>
        </is>
      </c>
    </row>
    <row r="19" ht="22" customHeight="1">
      <c r="C19" s="52" t="inlineStr">
        <is>
          <t>Situation familiale</t>
        </is>
      </c>
      <c r="E19" s="53" t="inlineStr"/>
      <c r="F19" s="54" t="n"/>
      <c r="G19" s="55" t="inlineStr">
        <is>
          <t>Pour un budget personnel. Laissez vide sinon.</t>
        </is>
      </c>
    </row>
    <row r="20" ht="22" customHeight="1">
      <c r="C20" s="52" t="inlineStr">
        <is>
          <t>Personnes à charge</t>
        </is>
      </c>
      <c r="E20" s="57" t="n">
        <v>0</v>
      </c>
      <c r="F20" s="54" t="n"/>
      <c r="G20" s="55" t="inlineStr">
        <is>
          <t>Sert au calcul de la dépense moyenne par personne.</t>
        </is>
      </c>
    </row>
    <row r="21"/>
    <row r="22" ht="24" customHeight="1">
      <c r="C22" s="6" t="inlineStr">
        <is>
          <t>②  DEVISE &amp; PÉRIODE</t>
        </is>
      </c>
      <c r="D22" s="7" t="n"/>
      <c r="E22" s="7" t="n"/>
      <c r="F22" s="7" t="n"/>
      <c r="G22" s="7" t="n"/>
      <c r="H22" s="7" t="n"/>
      <c r="I22" s="7" t="n"/>
      <c r="J22" s="7" t="n"/>
    </row>
    <row r="23"/>
    <row r="24" ht="22" customHeight="1">
      <c r="C24" s="52" t="inlineStr">
        <is>
          <t>Devise de base</t>
        </is>
      </c>
      <c r="E24" s="53" t="inlineStr">
        <is>
          <t>XOF</t>
        </is>
      </c>
      <c r="F24" s="54" t="n"/>
      <c r="G24" s="55" t="inlineStr">
        <is>
          <t>Toutes les synthèses sont exprimées dans cette devise. Changez-la : symboles, taux et totaux suivent. À fixer avant de commencer à saisir.</t>
        </is>
      </c>
    </row>
    <row r="25" ht="22" customHeight="1">
      <c r="C25" s="52" t="inlineStr">
        <is>
          <t>Nom de la devise</t>
        </is>
      </c>
      <c r="E25" s="58">
        <f>IFERROR(INDEX(Noms_Devises,MATCH(Devise_Base,Codes_Devises,0)),"")</f>
        <v/>
      </c>
      <c r="F25" s="59" t="n"/>
      <c r="G25" s="55" t="inlineStr"/>
    </row>
    <row r="26" ht="22" customHeight="1">
      <c r="C26" s="52" t="inlineStr">
        <is>
          <t>Symbole</t>
        </is>
      </c>
      <c r="E26" s="58">
        <f>IFERROR(INDEX(Symboles_Devises,MATCH(Devise_Base,Codes_Devises,0)),"")</f>
        <v/>
      </c>
      <c r="F26" s="59" t="n"/>
      <c r="G26" s="55" t="inlineStr"/>
    </row>
    <row r="27" ht="22" customHeight="1">
      <c r="C27" s="52" t="inlineStr">
        <is>
          <t>Année de travail</t>
        </is>
      </c>
      <c r="E27" s="60">
        <f>Annee_Travail</f>
        <v/>
      </c>
      <c r="F27" s="59" t="n"/>
      <c r="G27" s="55" t="inlineStr">
        <is>
          <t>Se règle en haut du Tableau de bord — toutes les feuilles suivent.</t>
        </is>
      </c>
    </row>
    <row r="28" ht="22" customHeight="1">
      <c r="C28" s="52" t="inlineStr">
        <is>
          <t>Mois de suivi</t>
        </is>
      </c>
      <c r="E28" s="58">
        <f>Mois_Suivi</f>
        <v/>
      </c>
      <c r="F28" s="59" t="n"/>
      <c r="G28" s="55" t="inlineStr">
        <is>
          <t>Se règle également en haut du Tableau de bord.</t>
        </is>
      </c>
    </row>
    <row r="29" ht="22" customHeight="1">
      <c r="C29" s="52" t="inlineStr">
        <is>
          <t>Mois de démarrage du budget</t>
        </is>
      </c>
      <c r="E29" s="53" t="inlineStr">
        <is>
          <t>Janvier</t>
        </is>
      </c>
      <c r="F29" s="54" t="n"/>
      <c r="G29" s="55" t="inlineStr">
        <is>
          <t>Utile si votre exercice ne démarre pas en janvier.</t>
        </is>
      </c>
    </row>
    <row r="30"/>
    <row r="31" ht="24" customHeight="1">
      <c r="C31" s="6" t="inlineStr">
        <is>
          <t>③  SOLDES &amp; OBJECTIFS</t>
        </is>
      </c>
      <c r="D31" s="7" t="n"/>
      <c r="E31" s="7" t="n"/>
      <c r="F31" s="7" t="n"/>
      <c r="G31" s="7" t="n"/>
      <c r="H31" s="7" t="n"/>
      <c r="I31" s="7" t="n"/>
      <c r="J31" s="7" t="n"/>
    </row>
    <row r="32"/>
    <row r="33" ht="22" customHeight="1">
      <c r="C33" s="52" t="inlineStr">
        <is>
          <t>Trésorerie initiale</t>
        </is>
      </c>
      <c r="E33" s="61" t="n">
        <v>0</v>
      </c>
      <c r="F33" s="54" t="n"/>
      <c r="G33" s="55" t="inlineStr">
        <is>
          <t>Total de vos disponibilités au 1er janvier de l'année de travail.</t>
        </is>
      </c>
    </row>
    <row r="34" ht="22" customHeight="1">
      <c r="C34" s="52" t="inlineStr">
        <is>
          <t>Taux d'épargne cible</t>
        </is>
      </c>
      <c r="E34" s="62" t="n">
        <v>0.2</v>
      </c>
      <c r="F34" s="54" t="n"/>
      <c r="G34" s="55" t="inlineStr">
        <is>
          <t>Part des revenus que vous visez à épargner chaque mois.</t>
        </is>
      </c>
    </row>
    <row r="35" ht="22" customHeight="1">
      <c r="C35" s="52" t="inlineStr">
        <is>
          <t>Seuil d'alerte budget</t>
        </is>
      </c>
      <c r="E35" s="62" t="n">
        <v>0.9</v>
      </c>
      <c r="F35" s="54" t="n"/>
      <c r="G35" s="55" t="inlineStr">
        <is>
          <t>Au-delà de ce pourcentage du budget consommé, l'alerte passe au rouge.</t>
        </is>
      </c>
    </row>
    <row r="36" ht="22" customHeight="1">
      <c r="C36" s="52" t="inlineStr">
        <is>
          <t>Plafond de dépenses mensuel</t>
        </is>
      </c>
      <c r="E36" s="61" t="n">
        <v>0</v>
      </c>
      <c r="F36" s="54" t="n"/>
      <c r="G36" s="55" t="inlineStr">
        <is>
          <t>Laissez 0 si vous n'en fixez pas.</t>
        </is>
      </c>
    </row>
    <row r="37"/>
    <row r="38" ht="24" customHeight="1">
      <c r="C38" s="6" t="inlineStr">
        <is>
          <t>④  COMPTES, CAISSES &amp; PORTEFEUILLES</t>
        </is>
      </c>
      <c r="D38" s="7" t="n"/>
      <c r="E38" s="7" t="n"/>
      <c r="F38" s="7" t="n"/>
      <c r="G38" s="7" t="n"/>
      <c r="H38" s="7" t="n"/>
      <c r="I38" s="7" t="n"/>
      <c r="J38" s="7" t="n"/>
    </row>
    <row r="39"/>
    <row r="40" ht="30" customHeight="1">
      <c r="C40" s="63" t="inlineStr">
        <is>
          <t>Compte / Portefeuille</t>
        </is>
      </c>
      <c r="D40" s="63" t="inlineStr">
        <is>
          <t>Nature</t>
        </is>
      </c>
      <c r="E40" s="63" t="inlineStr">
        <is>
          <t>Devise</t>
        </is>
      </c>
      <c r="F40" s="63" t="inlineStr">
        <is>
          <t>Solde d'ouverture</t>
        </is>
      </c>
      <c r="G40" s="63" t="inlineStr">
        <is>
          <t>Mouvements enregistrés</t>
        </is>
      </c>
      <c r="H40" s="63" t="inlineStr">
        <is>
          <t>Solde actuel calculé</t>
        </is>
      </c>
    </row>
    <row r="41">
      <c r="C41" s="54" t="inlineStr">
        <is>
          <t>Compte courant principal</t>
        </is>
      </c>
      <c r="D41" s="54" t="n"/>
      <c r="E41" s="64">
        <f>IF($C41="","",Devise_Base)</f>
        <v/>
      </c>
      <c r="F41" s="65" t="n">
        <v>0</v>
      </c>
      <c r="G41" s="66">
        <f>IF($C41="","",SUMIFS(J_Montant,J_Compte,$C41,J_Type,"Revenu",J_Statut,"&lt;&gt;Annulé",J_Statut,"&lt;&gt;Prévu")-SUMIFS(J_Montant,J_Compte,$C41,J_Type,"Dépense",J_Statut,"&lt;&gt;Annulé",J_Statut,"&lt;&gt;Prévu")-SUMIFS(J_Montant,J_Compte,$C41,J_Type,"Épargne",J_Statut,"&lt;&gt;Annulé",J_Statut,"&lt;&gt;Prévu")-SUMIFS(J_Montant,J_Compte,$C41,J_Type,"Investissement",J_Statut,"&lt;&gt;Annulé",J_Statut,"&lt;&gt;Prévu")-SUMIFS(J_Montant,J_Compte,$C41,J_Type,"Remboursement crédit",J_Statut,"&lt;&gt;Annulé",J_Statut,"&lt;&gt;Prévu"))</f>
        <v/>
      </c>
      <c r="H41" s="67">
        <f>IF($C41="","",N($F41)+N($G41))</f>
        <v/>
      </c>
    </row>
    <row r="42">
      <c r="C42" s="54" t="inlineStr">
        <is>
          <t>Compte courant secondaire</t>
        </is>
      </c>
      <c r="D42" s="54" t="n"/>
      <c r="E42" s="64">
        <f>IF($C42="","",Devise_Base)</f>
        <v/>
      </c>
      <c r="F42" s="65" t="n">
        <v>0</v>
      </c>
      <c r="G42" s="66">
        <f>IF($C42="","",SUMIFS(J_Montant,J_Compte,$C42,J_Type,"Revenu",J_Statut,"&lt;&gt;Annulé",J_Statut,"&lt;&gt;Prévu")-SUMIFS(J_Montant,J_Compte,$C42,J_Type,"Dépense",J_Statut,"&lt;&gt;Annulé",J_Statut,"&lt;&gt;Prévu")-SUMIFS(J_Montant,J_Compte,$C42,J_Type,"Épargne",J_Statut,"&lt;&gt;Annulé",J_Statut,"&lt;&gt;Prévu")-SUMIFS(J_Montant,J_Compte,$C42,J_Type,"Investissement",J_Statut,"&lt;&gt;Annulé",J_Statut,"&lt;&gt;Prévu")-SUMIFS(J_Montant,J_Compte,$C42,J_Type,"Remboursement crédit",J_Statut,"&lt;&gt;Annulé",J_Statut,"&lt;&gt;Prévu"))</f>
        <v/>
      </c>
      <c r="H42" s="67">
        <f>IF($C42="","",N($F42)+N($G42))</f>
        <v/>
      </c>
    </row>
    <row r="43">
      <c r="C43" s="54" t="inlineStr">
        <is>
          <t>Mobile Money 1</t>
        </is>
      </c>
      <c r="D43" s="54" t="n"/>
      <c r="E43" s="64">
        <f>IF($C43="","",Devise_Base)</f>
        <v/>
      </c>
      <c r="F43" s="65" t="n">
        <v>0</v>
      </c>
      <c r="G43" s="66">
        <f>IF($C43="","",SUMIFS(J_Montant,J_Compte,$C43,J_Type,"Revenu",J_Statut,"&lt;&gt;Annulé",J_Statut,"&lt;&gt;Prévu")-SUMIFS(J_Montant,J_Compte,$C43,J_Type,"Dépense",J_Statut,"&lt;&gt;Annulé",J_Statut,"&lt;&gt;Prévu")-SUMIFS(J_Montant,J_Compte,$C43,J_Type,"Épargne",J_Statut,"&lt;&gt;Annulé",J_Statut,"&lt;&gt;Prévu")-SUMIFS(J_Montant,J_Compte,$C43,J_Type,"Investissement",J_Statut,"&lt;&gt;Annulé",J_Statut,"&lt;&gt;Prévu")-SUMIFS(J_Montant,J_Compte,$C43,J_Type,"Remboursement crédit",J_Statut,"&lt;&gt;Annulé",J_Statut,"&lt;&gt;Prévu"))</f>
        <v/>
      </c>
      <c r="H43" s="67">
        <f>IF($C43="","",N($F43)+N($G43))</f>
        <v/>
      </c>
    </row>
    <row r="44">
      <c r="C44" s="54" t="inlineStr">
        <is>
          <t>Mobile Money 2</t>
        </is>
      </c>
      <c r="D44" s="54" t="n"/>
      <c r="E44" s="64">
        <f>IF($C44="","",Devise_Base)</f>
        <v/>
      </c>
      <c r="F44" s="65" t="n">
        <v>0</v>
      </c>
      <c r="G44" s="66">
        <f>IF($C44="","",SUMIFS(J_Montant,J_Compte,$C44,J_Type,"Revenu",J_Statut,"&lt;&gt;Annulé",J_Statut,"&lt;&gt;Prévu")-SUMIFS(J_Montant,J_Compte,$C44,J_Type,"Dépense",J_Statut,"&lt;&gt;Annulé",J_Statut,"&lt;&gt;Prévu")-SUMIFS(J_Montant,J_Compte,$C44,J_Type,"Épargne",J_Statut,"&lt;&gt;Annulé",J_Statut,"&lt;&gt;Prévu")-SUMIFS(J_Montant,J_Compte,$C44,J_Type,"Investissement",J_Statut,"&lt;&gt;Annulé",J_Statut,"&lt;&gt;Prévu")-SUMIFS(J_Montant,J_Compte,$C44,J_Type,"Remboursement crédit",J_Statut,"&lt;&gt;Annulé",J_Statut,"&lt;&gt;Prévu"))</f>
        <v/>
      </c>
      <c r="H44" s="67">
        <f>IF($C44="","",N($F44)+N($G44))</f>
        <v/>
      </c>
    </row>
    <row r="45">
      <c r="C45" s="54" t="inlineStr">
        <is>
          <t>Espèces / Caisse</t>
        </is>
      </c>
      <c r="D45" s="54" t="n"/>
      <c r="E45" s="64">
        <f>IF($C45="","",Devise_Base)</f>
        <v/>
      </c>
      <c r="F45" s="65" t="n">
        <v>0</v>
      </c>
      <c r="G45" s="66">
        <f>IF($C45="","",SUMIFS(J_Montant,J_Compte,$C45,J_Type,"Revenu",J_Statut,"&lt;&gt;Annulé",J_Statut,"&lt;&gt;Prévu")-SUMIFS(J_Montant,J_Compte,$C45,J_Type,"Dépense",J_Statut,"&lt;&gt;Annulé",J_Statut,"&lt;&gt;Prévu")-SUMIFS(J_Montant,J_Compte,$C45,J_Type,"Épargne",J_Statut,"&lt;&gt;Annulé",J_Statut,"&lt;&gt;Prévu")-SUMIFS(J_Montant,J_Compte,$C45,J_Type,"Investissement",J_Statut,"&lt;&gt;Annulé",J_Statut,"&lt;&gt;Prévu")-SUMIFS(J_Montant,J_Compte,$C45,J_Type,"Remboursement crédit",J_Statut,"&lt;&gt;Annulé",J_Statut,"&lt;&gt;Prévu"))</f>
        <v/>
      </c>
      <c r="H45" s="67">
        <f>IF($C45="","",N($F45)+N($G45))</f>
        <v/>
      </c>
    </row>
    <row r="46">
      <c r="C46" s="54" t="inlineStr">
        <is>
          <t>Compte épargne</t>
        </is>
      </c>
      <c r="D46" s="54" t="n"/>
      <c r="E46" s="64">
        <f>IF($C46="","",Devise_Base)</f>
        <v/>
      </c>
      <c r="F46" s="65" t="n">
        <v>0</v>
      </c>
      <c r="G46" s="66">
        <f>IF($C46="","",SUMIFS(J_Montant,J_Compte,$C46,J_Type,"Revenu",J_Statut,"&lt;&gt;Annulé",J_Statut,"&lt;&gt;Prévu")-SUMIFS(J_Montant,J_Compte,$C46,J_Type,"Dépense",J_Statut,"&lt;&gt;Annulé",J_Statut,"&lt;&gt;Prévu")-SUMIFS(J_Montant,J_Compte,$C46,J_Type,"Épargne",J_Statut,"&lt;&gt;Annulé",J_Statut,"&lt;&gt;Prévu")-SUMIFS(J_Montant,J_Compte,$C46,J_Type,"Investissement",J_Statut,"&lt;&gt;Annulé",J_Statut,"&lt;&gt;Prévu")-SUMIFS(J_Montant,J_Compte,$C46,J_Type,"Remboursement crédit",J_Statut,"&lt;&gt;Annulé",J_Statut,"&lt;&gt;Prévu"))</f>
        <v/>
      </c>
      <c r="H46" s="67">
        <f>IF($C46="","",N($F46)+N($G46))</f>
        <v/>
      </c>
    </row>
    <row r="47">
      <c r="C47" s="54" t="inlineStr">
        <is>
          <t>Compte projet</t>
        </is>
      </c>
      <c r="D47" s="54" t="n"/>
      <c r="E47" s="64">
        <f>IF($C47="","",Devise_Base)</f>
        <v/>
      </c>
      <c r="F47" s="65" t="n">
        <v>0</v>
      </c>
      <c r="G47" s="66">
        <f>IF($C47="","",SUMIFS(J_Montant,J_Compte,$C47,J_Type,"Revenu",J_Statut,"&lt;&gt;Annulé",J_Statut,"&lt;&gt;Prévu")-SUMIFS(J_Montant,J_Compte,$C47,J_Type,"Dépense",J_Statut,"&lt;&gt;Annulé",J_Statut,"&lt;&gt;Prévu")-SUMIFS(J_Montant,J_Compte,$C47,J_Type,"Épargne",J_Statut,"&lt;&gt;Annulé",J_Statut,"&lt;&gt;Prévu")-SUMIFS(J_Montant,J_Compte,$C47,J_Type,"Investissement",J_Statut,"&lt;&gt;Annulé",J_Statut,"&lt;&gt;Prévu")-SUMIFS(J_Montant,J_Compte,$C47,J_Type,"Remboursement crédit",J_Statut,"&lt;&gt;Annulé",J_Statut,"&lt;&gt;Prévu"))</f>
        <v/>
      </c>
      <c r="H47" s="67">
        <f>IF($C47="","",N($F47)+N($G47))</f>
        <v/>
      </c>
    </row>
    <row r="48">
      <c r="C48" s="54" t="inlineStr">
        <is>
          <t>Compte business</t>
        </is>
      </c>
      <c r="D48" s="54" t="n"/>
      <c r="E48" s="64">
        <f>IF($C48="","",Devise_Base)</f>
        <v/>
      </c>
      <c r="F48" s="65" t="n">
        <v>0</v>
      </c>
      <c r="G48" s="66">
        <f>IF($C48="","",SUMIFS(J_Montant,J_Compte,$C48,J_Type,"Revenu",J_Statut,"&lt;&gt;Annulé",J_Statut,"&lt;&gt;Prévu")-SUMIFS(J_Montant,J_Compte,$C48,J_Type,"Dépense",J_Statut,"&lt;&gt;Annulé",J_Statut,"&lt;&gt;Prévu")-SUMIFS(J_Montant,J_Compte,$C48,J_Type,"Épargne",J_Statut,"&lt;&gt;Annulé",J_Statut,"&lt;&gt;Prévu")-SUMIFS(J_Montant,J_Compte,$C48,J_Type,"Investissement",J_Statut,"&lt;&gt;Annulé",J_Statut,"&lt;&gt;Prévu")-SUMIFS(J_Montant,J_Compte,$C48,J_Type,"Remboursement crédit",J_Statut,"&lt;&gt;Annulé",J_Statut,"&lt;&gt;Prévu"))</f>
        <v/>
      </c>
      <c r="H48" s="67">
        <f>IF($C48="","",N($F48)+N($G48))</f>
        <v/>
      </c>
    </row>
    <row r="49">
      <c r="C49" s="54" t="n"/>
      <c r="D49" s="54" t="n"/>
      <c r="E49" s="64">
        <f>IF($C49="","",Devise_Base)</f>
        <v/>
      </c>
      <c r="F49" s="65" t="n"/>
      <c r="G49" s="66">
        <f>IF($C49="","",SUMIFS(J_Montant,J_Compte,$C49,J_Type,"Revenu",J_Statut,"&lt;&gt;Annulé",J_Statut,"&lt;&gt;Prévu")-SUMIFS(J_Montant,J_Compte,$C49,J_Type,"Dépense",J_Statut,"&lt;&gt;Annulé",J_Statut,"&lt;&gt;Prévu")-SUMIFS(J_Montant,J_Compte,$C49,J_Type,"Épargne",J_Statut,"&lt;&gt;Annulé",J_Statut,"&lt;&gt;Prévu")-SUMIFS(J_Montant,J_Compte,$C49,J_Type,"Investissement",J_Statut,"&lt;&gt;Annulé",J_Statut,"&lt;&gt;Prévu")-SUMIFS(J_Montant,J_Compte,$C49,J_Type,"Remboursement crédit",J_Statut,"&lt;&gt;Annulé",J_Statut,"&lt;&gt;Prévu"))</f>
        <v/>
      </c>
      <c r="H49" s="67">
        <f>IF($C49="","",N($F49)+N($G49))</f>
        <v/>
      </c>
    </row>
    <row r="50">
      <c r="C50" s="54" t="n"/>
      <c r="D50" s="54" t="n"/>
      <c r="E50" s="64">
        <f>IF($C50="","",Devise_Base)</f>
        <v/>
      </c>
      <c r="F50" s="65" t="n"/>
      <c r="G50" s="66">
        <f>IF($C50="","",SUMIFS(J_Montant,J_Compte,$C50,J_Type,"Revenu",J_Statut,"&lt;&gt;Annulé",J_Statut,"&lt;&gt;Prévu")-SUMIFS(J_Montant,J_Compte,$C50,J_Type,"Dépense",J_Statut,"&lt;&gt;Annulé",J_Statut,"&lt;&gt;Prévu")-SUMIFS(J_Montant,J_Compte,$C50,J_Type,"Épargne",J_Statut,"&lt;&gt;Annulé",J_Statut,"&lt;&gt;Prévu")-SUMIFS(J_Montant,J_Compte,$C50,J_Type,"Investissement",J_Statut,"&lt;&gt;Annulé",J_Statut,"&lt;&gt;Prévu")-SUMIFS(J_Montant,J_Compte,$C50,J_Type,"Remboursement crédit",J_Statut,"&lt;&gt;Annulé",J_Statut,"&lt;&gt;Prévu"))</f>
        <v/>
      </c>
      <c r="H50" s="67">
        <f>IF($C50="","",N($F50)+N($G50))</f>
        <v/>
      </c>
    </row>
    <row r="51">
      <c r="C51" s="54" t="n"/>
      <c r="D51" s="54" t="n"/>
      <c r="E51" s="64">
        <f>IF($C51="","",Devise_Base)</f>
        <v/>
      </c>
      <c r="F51" s="65" t="n"/>
      <c r="G51" s="66">
        <f>IF($C51="","",SUMIFS(J_Montant,J_Compte,$C51,J_Type,"Revenu",J_Statut,"&lt;&gt;Annulé",J_Statut,"&lt;&gt;Prévu")-SUMIFS(J_Montant,J_Compte,$C51,J_Type,"Dépense",J_Statut,"&lt;&gt;Annulé",J_Statut,"&lt;&gt;Prévu")-SUMIFS(J_Montant,J_Compte,$C51,J_Type,"Épargne",J_Statut,"&lt;&gt;Annulé",J_Statut,"&lt;&gt;Prévu")-SUMIFS(J_Montant,J_Compte,$C51,J_Type,"Investissement",J_Statut,"&lt;&gt;Annulé",J_Statut,"&lt;&gt;Prévu")-SUMIFS(J_Montant,J_Compte,$C51,J_Type,"Remboursement crédit",J_Statut,"&lt;&gt;Annulé",J_Statut,"&lt;&gt;Prévu"))</f>
        <v/>
      </c>
      <c r="H51" s="67">
        <f>IF($C51="","",N($F51)+N($G51))</f>
        <v/>
      </c>
    </row>
    <row r="52">
      <c r="C52" s="54" t="n"/>
      <c r="D52" s="54" t="n"/>
      <c r="E52" s="64">
        <f>IF($C52="","",Devise_Base)</f>
        <v/>
      </c>
      <c r="F52" s="65" t="n"/>
      <c r="G52" s="66">
        <f>IF($C52="","",SUMIFS(J_Montant,J_Compte,$C52,J_Type,"Revenu",J_Statut,"&lt;&gt;Annulé",J_Statut,"&lt;&gt;Prévu")-SUMIFS(J_Montant,J_Compte,$C52,J_Type,"Dépense",J_Statut,"&lt;&gt;Annulé",J_Statut,"&lt;&gt;Prévu")-SUMIFS(J_Montant,J_Compte,$C52,J_Type,"Épargne",J_Statut,"&lt;&gt;Annulé",J_Statut,"&lt;&gt;Prévu")-SUMIFS(J_Montant,J_Compte,$C52,J_Type,"Investissement",J_Statut,"&lt;&gt;Annulé",J_Statut,"&lt;&gt;Prévu")-SUMIFS(J_Montant,J_Compte,$C52,J_Type,"Remboursement crédit",J_Statut,"&lt;&gt;Annulé",J_Statut,"&lt;&gt;Prévu"))</f>
        <v/>
      </c>
      <c r="H52" s="67">
        <f>IF($C52="","",N($F52)+N($G52))</f>
        <v/>
      </c>
    </row>
    <row r="53">
      <c r="C53" s="54" t="n"/>
      <c r="D53" s="54" t="n"/>
      <c r="E53" s="64">
        <f>IF($C53="","",Devise_Base)</f>
        <v/>
      </c>
      <c r="F53" s="65" t="n"/>
      <c r="G53" s="66">
        <f>IF($C53="","",SUMIFS(J_Montant,J_Compte,$C53,J_Type,"Revenu",J_Statut,"&lt;&gt;Annulé",J_Statut,"&lt;&gt;Prévu")-SUMIFS(J_Montant,J_Compte,$C53,J_Type,"Dépense",J_Statut,"&lt;&gt;Annulé",J_Statut,"&lt;&gt;Prévu")-SUMIFS(J_Montant,J_Compte,$C53,J_Type,"Épargne",J_Statut,"&lt;&gt;Annulé",J_Statut,"&lt;&gt;Prévu")-SUMIFS(J_Montant,J_Compte,$C53,J_Type,"Investissement",J_Statut,"&lt;&gt;Annulé",J_Statut,"&lt;&gt;Prévu")-SUMIFS(J_Montant,J_Compte,$C53,J_Type,"Remboursement crédit",J_Statut,"&lt;&gt;Annulé",J_Statut,"&lt;&gt;Prévu"))</f>
        <v/>
      </c>
      <c r="H53" s="67">
        <f>IF($C53="","",N($F53)+N($G53))</f>
        <v/>
      </c>
    </row>
    <row r="54">
      <c r="C54" s="54" t="n"/>
      <c r="D54" s="54" t="n"/>
      <c r="E54" s="64">
        <f>IF($C54="","",Devise_Base)</f>
        <v/>
      </c>
      <c r="F54" s="65" t="n"/>
      <c r="G54" s="66">
        <f>IF($C54="","",SUMIFS(J_Montant,J_Compte,$C54,J_Type,"Revenu",J_Statut,"&lt;&gt;Annulé",J_Statut,"&lt;&gt;Prévu")-SUMIFS(J_Montant,J_Compte,$C54,J_Type,"Dépense",J_Statut,"&lt;&gt;Annulé",J_Statut,"&lt;&gt;Prévu")-SUMIFS(J_Montant,J_Compte,$C54,J_Type,"Épargne",J_Statut,"&lt;&gt;Annulé",J_Statut,"&lt;&gt;Prévu")-SUMIFS(J_Montant,J_Compte,$C54,J_Type,"Investissement",J_Statut,"&lt;&gt;Annulé",J_Statut,"&lt;&gt;Prévu")-SUMIFS(J_Montant,J_Compte,$C54,J_Type,"Remboursement crédit",J_Statut,"&lt;&gt;Annulé",J_Statut,"&lt;&gt;Prévu"))</f>
        <v/>
      </c>
      <c r="H54" s="67">
        <f>IF($C54="","",N($F54)+N($G54))</f>
        <v/>
      </c>
    </row>
    <row r="55">
      <c r="C55" s="54" t="n"/>
      <c r="D55" s="54" t="n"/>
      <c r="E55" s="64">
        <f>IF($C55="","",Devise_Base)</f>
        <v/>
      </c>
      <c r="F55" s="65" t="n"/>
      <c r="G55" s="66">
        <f>IF($C55="","",SUMIFS(J_Montant,J_Compte,$C55,J_Type,"Revenu",J_Statut,"&lt;&gt;Annulé",J_Statut,"&lt;&gt;Prévu")-SUMIFS(J_Montant,J_Compte,$C55,J_Type,"Dépense",J_Statut,"&lt;&gt;Annulé",J_Statut,"&lt;&gt;Prévu")-SUMIFS(J_Montant,J_Compte,$C55,J_Type,"Épargne",J_Statut,"&lt;&gt;Annulé",J_Statut,"&lt;&gt;Prévu")-SUMIFS(J_Montant,J_Compte,$C55,J_Type,"Investissement",J_Statut,"&lt;&gt;Annulé",J_Statut,"&lt;&gt;Prévu")-SUMIFS(J_Montant,J_Compte,$C55,J_Type,"Remboursement crédit",J_Statut,"&lt;&gt;Annulé",J_Statut,"&lt;&gt;Prévu"))</f>
        <v/>
      </c>
      <c r="H55" s="67">
        <f>IF($C55="","",N($F55)+N($G55))</f>
        <v/>
      </c>
    </row>
    <row r="56">
      <c r="C56" s="54" t="n"/>
      <c r="D56" s="54" t="n"/>
      <c r="E56" s="64">
        <f>IF($C56="","",Devise_Base)</f>
        <v/>
      </c>
      <c r="F56" s="65" t="n"/>
      <c r="G56" s="66">
        <f>IF($C56="","",SUMIFS(J_Montant,J_Compte,$C56,J_Type,"Revenu",J_Statut,"&lt;&gt;Annulé",J_Statut,"&lt;&gt;Prévu")-SUMIFS(J_Montant,J_Compte,$C56,J_Type,"Dépense",J_Statut,"&lt;&gt;Annulé",J_Statut,"&lt;&gt;Prévu")-SUMIFS(J_Montant,J_Compte,$C56,J_Type,"Épargne",J_Statut,"&lt;&gt;Annulé",J_Statut,"&lt;&gt;Prévu")-SUMIFS(J_Montant,J_Compte,$C56,J_Type,"Investissement",J_Statut,"&lt;&gt;Annulé",J_Statut,"&lt;&gt;Prévu")-SUMIFS(J_Montant,J_Compte,$C56,J_Type,"Remboursement crédit",J_Statut,"&lt;&gt;Annulé",J_Statut,"&lt;&gt;Prévu"))</f>
        <v/>
      </c>
      <c r="H56" s="67">
        <f>IF($C56="","",N($F56)+N($G56))</f>
        <v/>
      </c>
    </row>
    <row r="57">
      <c r="C57" s="54" t="n"/>
      <c r="D57" s="54" t="n"/>
      <c r="E57" s="64">
        <f>IF($C57="","",Devise_Base)</f>
        <v/>
      </c>
      <c r="F57" s="65" t="n"/>
      <c r="G57" s="66">
        <f>IF($C57="","",SUMIFS(J_Montant,J_Compte,$C57,J_Type,"Revenu",J_Statut,"&lt;&gt;Annulé",J_Statut,"&lt;&gt;Prévu")-SUMIFS(J_Montant,J_Compte,$C57,J_Type,"Dépense",J_Statut,"&lt;&gt;Annulé",J_Statut,"&lt;&gt;Prévu")-SUMIFS(J_Montant,J_Compte,$C57,J_Type,"Épargne",J_Statut,"&lt;&gt;Annulé",J_Statut,"&lt;&gt;Prévu")-SUMIFS(J_Montant,J_Compte,$C57,J_Type,"Investissement",J_Statut,"&lt;&gt;Annulé",J_Statut,"&lt;&gt;Prévu")-SUMIFS(J_Montant,J_Compte,$C57,J_Type,"Remboursement crédit",J_Statut,"&lt;&gt;Annulé",J_Statut,"&lt;&gt;Prévu"))</f>
        <v/>
      </c>
      <c r="H57" s="67">
        <f>IF($C57="","",N($F57)+N($G57))</f>
        <v/>
      </c>
    </row>
    <row r="58">
      <c r="C58" s="54" t="n"/>
      <c r="D58" s="54" t="n"/>
      <c r="E58" s="64">
        <f>IF($C58="","",Devise_Base)</f>
        <v/>
      </c>
      <c r="F58" s="65" t="n"/>
      <c r="G58" s="66">
        <f>IF($C58="","",SUMIFS(J_Montant,J_Compte,$C58,J_Type,"Revenu",J_Statut,"&lt;&gt;Annulé",J_Statut,"&lt;&gt;Prévu")-SUMIFS(J_Montant,J_Compte,$C58,J_Type,"Dépense",J_Statut,"&lt;&gt;Annulé",J_Statut,"&lt;&gt;Prévu")-SUMIFS(J_Montant,J_Compte,$C58,J_Type,"Épargne",J_Statut,"&lt;&gt;Annulé",J_Statut,"&lt;&gt;Prévu")-SUMIFS(J_Montant,J_Compte,$C58,J_Type,"Investissement",J_Statut,"&lt;&gt;Annulé",J_Statut,"&lt;&gt;Prévu")-SUMIFS(J_Montant,J_Compte,$C58,J_Type,"Remboursement crédit",J_Statut,"&lt;&gt;Annulé",J_Statut,"&lt;&gt;Prévu"))</f>
        <v/>
      </c>
      <c r="H58" s="67">
        <f>IF($C58="","",N($F58)+N($G58))</f>
        <v/>
      </c>
    </row>
    <row r="59">
      <c r="C59" s="54" t="n"/>
      <c r="D59" s="54" t="n"/>
      <c r="E59" s="64">
        <f>IF($C59="","",Devise_Base)</f>
        <v/>
      </c>
      <c r="F59" s="65" t="n"/>
      <c r="G59" s="66">
        <f>IF($C59="","",SUMIFS(J_Montant,J_Compte,$C59,J_Type,"Revenu",J_Statut,"&lt;&gt;Annulé",J_Statut,"&lt;&gt;Prévu")-SUMIFS(J_Montant,J_Compte,$C59,J_Type,"Dépense",J_Statut,"&lt;&gt;Annulé",J_Statut,"&lt;&gt;Prévu")-SUMIFS(J_Montant,J_Compte,$C59,J_Type,"Épargne",J_Statut,"&lt;&gt;Annulé",J_Statut,"&lt;&gt;Prévu")-SUMIFS(J_Montant,J_Compte,$C59,J_Type,"Investissement",J_Statut,"&lt;&gt;Annulé",J_Statut,"&lt;&gt;Prévu")-SUMIFS(J_Montant,J_Compte,$C59,J_Type,"Remboursement crédit",J_Statut,"&lt;&gt;Annulé",J_Statut,"&lt;&gt;Prévu"))</f>
        <v/>
      </c>
      <c r="H59" s="67">
        <f>IF($C59="","",N($F59)+N($G59))</f>
        <v/>
      </c>
    </row>
    <row r="60">
      <c r="C60" s="54" t="n"/>
      <c r="D60" s="54" t="n"/>
      <c r="E60" s="64">
        <f>IF($C60="","",Devise_Base)</f>
        <v/>
      </c>
      <c r="F60" s="65" t="n"/>
      <c r="G60" s="66">
        <f>IF($C60="","",SUMIFS(J_Montant,J_Compte,$C60,J_Type,"Revenu",J_Statut,"&lt;&gt;Annulé",J_Statut,"&lt;&gt;Prévu")-SUMIFS(J_Montant,J_Compte,$C60,J_Type,"Dépense",J_Statut,"&lt;&gt;Annulé",J_Statut,"&lt;&gt;Prévu")-SUMIFS(J_Montant,J_Compte,$C60,J_Type,"Épargne",J_Statut,"&lt;&gt;Annulé",J_Statut,"&lt;&gt;Prévu")-SUMIFS(J_Montant,J_Compte,$C60,J_Type,"Investissement",J_Statut,"&lt;&gt;Annulé",J_Statut,"&lt;&gt;Prévu")-SUMIFS(J_Montant,J_Compte,$C60,J_Type,"Remboursement crédit",J_Statut,"&lt;&gt;Annulé",J_Statut,"&lt;&gt;Prévu"))</f>
        <v/>
      </c>
      <c r="H60" s="67">
        <f>IF($C60="","",N($F60)+N($G60))</f>
        <v/>
      </c>
    </row>
    <row r="61">
      <c r="C61" s="68" t="inlineStr">
        <is>
          <t>TOTAL DISPONIBLE</t>
        </is>
      </c>
      <c r="D61" s="47" t="n"/>
      <c r="E61" s="47" t="n"/>
      <c r="F61" s="47" t="n"/>
      <c r="G61" s="47" t="n"/>
      <c r="H61" s="69">
        <f>SUM(H41:H60)</f>
        <v/>
      </c>
    </row>
    <row r="62"/>
    <row r="63" ht="30" customHeight="1">
      <c r="C63" s="41" t="inlineStr">
        <is>
          <t>Astuce : le solde de chaque compte se met à jour tout seul à partir du Journal. Les transferts entre vos propres comptes sont neutres et ne modifient pas le total.</t>
        </is>
      </c>
      <c r="D63" s="42" t="n"/>
      <c r="E63" s="42" t="n"/>
      <c r="F63" s="42" t="n"/>
      <c r="G63" s="42" t="n"/>
      <c r="H63" s="42" t="n"/>
      <c r="I63" s="42" t="n"/>
      <c r="J63" s="42" t="n"/>
    </row>
    <row r="64"/>
    <row r="65"/>
    <row r="66" ht="24" customHeight="1">
      <c r="C66" s="6" t="inlineStr">
        <is>
          <t>⑤  DÎME &amp; PÉRIMÈTRE D'ANALYSE</t>
        </is>
      </c>
      <c r="D66" s="7" t="n"/>
      <c r="E66" s="7" t="n"/>
      <c r="F66" s="7" t="n"/>
      <c r="G66" s="7" t="n"/>
      <c r="H66" s="7" t="n"/>
      <c r="I66" s="7" t="n"/>
      <c r="J66" s="7" t="n"/>
    </row>
    <row r="67"/>
    <row r="68" ht="22" customHeight="1">
      <c r="C68" s="52" t="inlineStr">
        <is>
          <t>Dîme activée</t>
        </is>
      </c>
      <c r="E68" s="53" t="inlineStr">
        <is>
          <t>Oui</t>
        </is>
      </c>
      <c r="F68" s="54" t="n"/>
      <c r="G68" s="55" t="inlineStr">
        <is>
          <t>Si Oui, le classeur calcule seul la dîme due chaque mois et suit ce qui a été versé.</t>
        </is>
      </c>
    </row>
    <row r="69" ht="22" customHeight="1">
      <c r="C69" s="52" t="inlineStr">
        <is>
          <t>Taux de la dîme</t>
        </is>
      </c>
      <c r="E69" s="62" t="n">
        <v>0.1</v>
      </c>
      <c r="F69" s="54" t="n"/>
      <c r="G69" s="55" t="inlineStr">
        <is>
          <t>10 % par défaut.</t>
        </is>
      </c>
    </row>
    <row r="70" ht="22" customHeight="1">
      <c r="C70" s="52" t="inlineStr">
        <is>
          <t>Assiette de calcul</t>
        </is>
      </c>
      <c r="E70" s="53" t="inlineStr">
        <is>
          <t>Tous les revenus</t>
        </is>
      </c>
      <c r="F70" s="54" t="n"/>
      <c r="G70" s="55" t="inlineStr">
        <is>
          <t>Sur quels revenus la dîme est calculée.</t>
        </is>
      </c>
    </row>
    <row r="71" ht="22" customHeight="1">
      <c r="C71" s="52" t="inlineStr">
        <is>
          <t>Périmètre d'analyse</t>
        </is>
      </c>
      <c r="E71" s="53" t="inlineStr">
        <is>
          <t>Général seul</t>
        </is>
      </c>
      <c r="F71" s="54" t="n"/>
      <c r="G71" s="55" t="inlineStr">
        <is>
          <t>Ce que comptent le tableau de bord et la synthèse annuelle. « Général seul » laisse le mariage, l'immobilier et le business à leurs propres feuilles.</t>
        </is>
      </c>
      <c r="K71" s="70">
        <f>IF($E$71="Tout confondu","*",IF($E$71="Général seul","Général",$E$71))</f>
        <v/>
      </c>
    </row>
    <row r="72"/>
    <row r="73" ht="32" customHeight="1">
      <c r="C73" s="71" t="inlineStr">
        <is>
          <t>➜  Journal des opérations</t>
        </is>
      </c>
      <c r="D73" s="72" t="n"/>
      <c r="E73" s="73" t="n"/>
      <c r="F73" s="42" t="n"/>
      <c r="G73" s="42" t="n"/>
      <c r="H73" s="42" t="n"/>
      <c r="I73" s="42" t="n"/>
      <c r="J73" s="42" t="n"/>
    </row>
    <row r="74">
      <c r="C74" s="71" t="inlineStr">
        <is>
          <t>➜  Plan annuel</t>
        </is>
      </c>
      <c r="D74" s="72" t="n"/>
      <c r="E74" s="73" t="n"/>
    </row>
    <row r="75">
      <c r="C75" s="71" t="inlineStr">
        <is>
          <t>➜  Tableau de bord</t>
        </is>
      </c>
      <c r="D75" s="72" t="n"/>
      <c r="E75" s="73" t="n"/>
    </row>
    <row r="76" ht="24" customHeight="1">
      <c r="C76" s="71" t="inlineStr">
        <is>
          <t>➜  Cours des devises</t>
        </is>
      </c>
      <c r="D76" s="72" t="n"/>
      <c r="E76" s="73" t="n"/>
      <c r="F76" s="7" t="n"/>
      <c r="G76" s="7" t="n"/>
      <c r="H76" s="7" t="n"/>
      <c r="I76" s="7" t="n"/>
      <c r="J76" s="7" t="n"/>
    </row>
  </sheetData>
  <sheetProtection selectLockedCells="0" selectUnlockedCells="0" sheet="1" objects="1" insertRows="1" insertHyperlinks="1" autoFilter="0" scenarios="1" formatColumns="0" deleteColumns="1" insertColumns="1" pivotTables="1" deleteRows="1" formatCells="0" formatRows="0" sort="0" password="8708"/>
  <mergeCells count="97">
    <mergeCell ref="C15:D15"/>
    <mergeCell ref="E71:F71"/>
    <mergeCell ref="J3"/>
    <mergeCell ref="B1:J1"/>
    <mergeCell ref="G71:J71"/>
    <mergeCell ref="E34:F34"/>
    <mergeCell ref="C27:D27"/>
    <mergeCell ref="E27:F27"/>
    <mergeCell ref="C36:D36"/>
    <mergeCell ref="E36:F36"/>
    <mergeCell ref="C17:D17"/>
    <mergeCell ref="G10:J10"/>
    <mergeCell ref="G18:J18"/>
    <mergeCell ref="C74:E74"/>
    <mergeCell ref="C19:D19"/>
    <mergeCell ref="G34:J34"/>
    <mergeCell ref="C38:J38"/>
    <mergeCell ref="C28:D28"/>
    <mergeCell ref="G68:J68"/>
    <mergeCell ref="C69:D69"/>
    <mergeCell ref="B2:J2"/>
    <mergeCell ref="E12:F12"/>
    <mergeCell ref="B3:C3"/>
    <mergeCell ref="C75:E75"/>
    <mergeCell ref="G20:J20"/>
    <mergeCell ref="C14:D14"/>
    <mergeCell ref="G29:J29"/>
    <mergeCell ref="E14:F14"/>
    <mergeCell ref="C73:J73"/>
    <mergeCell ref="C63:J63"/>
    <mergeCell ref="G12:J12"/>
    <mergeCell ref="G70:J70"/>
    <mergeCell ref="C71:D71"/>
    <mergeCell ref="C61:G61"/>
    <mergeCell ref="E26:F26"/>
    <mergeCell ref="H3:I3"/>
    <mergeCell ref="E16:F16"/>
    <mergeCell ref="E25:F25"/>
    <mergeCell ref="G24:J24"/>
    <mergeCell ref="G33:J33"/>
    <mergeCell ref="C18:D18"/>
    <mergeCell ref="E18:F18"/>
    <mergeCell ref="C34:D34"/>
    <mergeCell ref="C68:D68"/>
    <mergeCell ref="G26:J26"/>
    <mergeCell ref="E68:F68"/>
    <mergeCell ref="G35:J35"/>
    <mergeCell ref="G16:J16"/>
    <mergeCell ref="G25:J25"/>
    <mergeCell ref="C20:D20"/>
    <mergeCell ref="G9:J9"/>
    <mergeCell ref="E20:F20"/>
    <mergeCell ref="C29:D29"/>
    <mergeCell ref="E29:F29"/>
    <mergeCell ref="E13:F13"/>
    <mergeCell ref="E69:F69"/>
    <mergeCell ref="G11:J11"/>
    <mergeCell ref="C12:D12"/>
    <mergeCell ref="E15:F15"/>
    <mergeCell ref="C76:J76"/>
    <mergeCell ref="C70:D70"/>
    <mergeCell ref="D3:E3"/>
    <mergeCell ref="E70:F70"/>
    <mergeCell ref="G13:J13"/>
    <mergeCell ref="C66:J66"/>
    <mergeCell ref="G15:J15"/>
    <mergeCell ref="C24:D24"/>
    <mergeCell ref="E24:F24"/>
    <mergeCell ref="C33:D33"/>
    <mergeCell ref="E33:F33"/>
    <mergeCell ref="C5:J5"/>
    <mergeCell ref="E17:F17"/>
    <mergeCell ref="C26:D26"/>
    <mergeCell ref="C35:D35"/>
    <mergeCell ref="F3:G3"/>
    <mergeCell ref="E35:F35"/>
    <mergeCell ref="C10:D10"/>
    <mergeCell ref="C16:D16"/>
    <mergeCell ref="E10:F10"/>
    <mergeCell ref="C25:D25"/>
    <mergeCell ref="E19:F19"/>
    <mergeCell ref="E28:F28"/>
    <mergeCell ref="C22:J22"/>
    <mergeCell ref="C9:D9"/>
    <mergeCell ref="E9:F9"/>
    <mergeCell ref="G27:J27"/>
    <mergeCell ref="C31:J31"/>
    <mergeCell ref="G36:J36"/>
    <mergeCell ref="G17:J17"/>
    <mergeCell ref="C11:D11"/>
    <mergeCell ref="E11:F11"/>
    <mergeCell ref="G19:J19"/>
    <mergeCell ref="G28:J28"/>
    <mergeCell ref="C7:J7"/>
    <mergeCell ref="G69:J69"/>
    <mergeCell ref="C13:D13"/>
    <mergeCell ref="G14:J14"/>
  </mergeCells>
  <conditionalFormatting sqref="E33:F33">
    <cfRule type="expression" priority="1" dxfId="45" stopIfTrue="1">
      <formula>Devise_Base="XOF"</formula>
    </cfRule>
    <cfRule type="expression" priority="2" dxfId="46" stopIfTrue="1">
      <formula>Devise_Base="XAF"</formula>
    </cfRule>
    <cfRule type="expression" priority="3" dxfId="47" stopIfTrue="1">
      <formula>Devise_Base="EUR"</formula>
    </cfRule>
    <cfRule type="expression" priority="4" dxfId="48" stopIfTrue="1">
      <formula>Devise_Base="USD"</formula>
    </cfRule>
    <cfRule type="expression" priority="5" dxfId="49" stopIfTrue="1">
      <formula>Devise_Base="GBP"</formula>
    </cfRule>
    <cfRule type="expression" priority="6" dxfId="50" stopIfTrue="1">
      <formula>Devise_Base="CAD"</formula>
    </cfRule>
    <cfRule type="expression" priority="7" dxfId="51" stopIfTrue="1">
      <formula>Devise_Base="CHF"</formula>
    </cfRule>
    <cfRule type="expression" priority="8" dxfId="52" stopIfTrue="1">
      <formula>Devise_Base="MAD"</formula>
    </cfRule>
    <cfRule type="expression" priority="9" dxfId="53" stopIfTrue="1">
      <formula>Devise_Base="NGN"</formula>
    </cfRule>
    <cfRule type="expression" priority="10" dxfId="54" stopIfTrue="1">
      <formula>Devise_Base="GHS"</formula>
    </cfRule>
    <cfRule type="expression" priority="11" dxfId="55" stopIfTrue="1">
      <formula>Devise_Base="CDF"</formula>
    </cfRule>
    <cfRule type="expression" priority="12" dxfId="56" stopIfTrue="1">
      <formula>Devise_Base="ZAR"</formula>
    </cfRule>
    <cfRule type="expression" priority="13" dxfId="57" stopIfTrue="1">
      <formula>Devise_Base="AED"</formula>
    </cfRule>
    <cfRule type="expression" priority="14" dxfId="58" stopIfTrue="1">
      <formula>Devise_Base="MRU"</formula>
    </cfRule>
    <cfRule type="expression" priority="15" dxfId="59" stopIfTrue="1">
      <formula>Devise_Base="GNF"</formula>
    </cfRule>
  </conditionalFormatting>
  <conditionalFormatting sqref="E36:F36">
    <cfRule type="expression" priority="16" dxfId="60" stopIfTrue="1">
      <formula>Devise_Base="XOF"</formula>
    </cfRule>
    <cfRule type="expression" priority="17" dxfId="61" stopIfTrue="1">
      <formula>Devise_Base="XAF"</formula>
    </cfRule>
    <cfRule type="expression" priority="18" dxfId="62" stopIfTrue="1">
      <formula>Devise_Base="EUR"</formula>
    </cfRule>
    <cfRule type="expression" priority="19" dxfId="63" stopIfTrue="1">
      <formula>Devise_Base="USD"</formula>
    </cfRule>
    <cfRule type="expression" priority="20" dxfId="64" stopIfTrue="1">
      <formula>Devise_Base="GBP"</formula>
    </cfRule>
    <cfRule type="expression" priority="21" dxfId="65" stopIfTrue="1">
      <formula>Devise_Base="CAD"</formula>
    </cfRule>
    <cfRule type="expression" priority="22" dxfId="66" stopIfTrue="1">
      <formula>Devise_Base="CHF"</formula>
    </cfRule>
    <cfRule type="expression" priority="23" dxfId="67" stopIfTrue="1">
      <formula>Devise_Base="MAD"</formula>
    </cfRule>
    <cfRule type="expression" priority="24" dxfId="68" stopIfTrue="1">
      <formula>Devise_Base="NGN"</formula>
    </cfRule>
    <cfRule type="expression" priority="25" dxfId="69" stopIfTrue="1">
      <formula>Devise_Base="GHS"</formula>
    </cfRule>
    <cfRule type="expression" priority="26" dxfId="70" stopIfTrue="1">
      <formula>Devise_Base="CDF"</formula>
    </cfRule>
    <cfRule type="expression" priority="27" dxfId="71" stopIfTrue="1">
      <formula>Devise_Base="ZAR"</formula>
    </cfRule>
    <cfRule type="expression" priority="28" dxfId="72" stopIfTrue="1">
      <formula>Devise_Base="AED"</formula>
    </cfRule>
    <cfRule type="expression" priority="29" dxfId="73" stopIfTrue="1">
      <formula>Devise_Base="MRU"</formula>
    </cfRule>
    <cfRule type="expression" priority="30" dxfId="74" stopIfTrue="1">
      <formula>Devise_Base="GNF"</formula>
    </cfRule>
  </conditionalFormatting>
  <conditionalFormatting sqref="C41:H60">
    <cfRule type="expression" priority="31" dxfId="75" stopIfTrue="0">
      <formula>MOD(ROW()-41,2)=1</formula>
    </cfRule>
  </conditionalFormatting>
  <conditionalFormatting sqref="H41:H60">
    <cfRule type="cellIs" priority="32" operator="greaterThan" dxfId="76">
      <formula>0</formula>
    </cfRule>
    <cfRule type="cellIs" priority="33" operator="lessThan" dxfId="77">
      <formula>0</formula>
    </cfRule>
  </conditionalFormatting>
  <conditionalFormatting sqref="F41:H60">
    <cfRule type="expression" priority="34" dxfId="78" stopIfTrue="1">
      <formula>Devise_Base="XOF"</formula>
    </cfRule>
    <cfRule type="expression" priority="35" dxfId="79" stopIfTrue="1">
      <formula>Devise_Base="XAF"</formula>
    </cfRule>
    <cfRule type="expression" priority="36" dxfId="80" stopIfTrue="1">
      <formula>Devise_Base="EUR"</formula>
    </cfRule>
    <cfRule type="expression" priority="37" dxfId="81" stopIfTrue="1">
      <formula>Devise_Base="USD"</formula>
    </cfRule>
    <cfRule type="expression" priority="38" dxfId="82" stopIfTrue="1">
      <formula>Devise_Base="GBP"</formula>
    </cfRule>
    <cfRule type="expression" priority="39" dxfId="83" stopIfTrue="1">
      <formula>Devise_Base="CAD"</formula>
    </cfRule>
    <cfRule type="expression" priority="40" dxfId="84" stopIfTrue="1">
      <formula>Devise_Base="CHF"</formula>
    </cfRule>
    <cfRule type="expression" priority="41" dxfId="85" stopIfTrue="1">
      <formula>Devise_Base="MAD"</formula>
    </cfRule>
    <cfRule type="expression" priority="42" dxfId="86" stopIfTrue="1">
      <formula>Devise_Base="NGN"</formula>
    </cfRule>
    <cfRule type="expression" priority="43" dxfId="87" stopIfTrue="1">
      <formula>Devise_Base="GHS"</formula>
    </cfRule>
    <cfRule type="expression" priority="44" dxfId="88" stopIfTrue="1">
      <formula>Devise_Base="CDF"</formula>
    </cfRule>
    <cfRule type="expression" priority="45" dxfId="89" stopIfTrue="1">
      <formula>Devise_Base="ZAR"</formula>
    </cfRule>
    <cfRule type="expression" priority="46" dxfId="90" stopIfTrue="1">
      <formula>Devise_Base="AED"</formula>
    </cfRule>
    <cfRule type="expression" priority="47" dxfId="91" stopIfTrue="1">
      <formula>Devise_Base="MRU"</formula>
    </cfRule>
    <cfRule type="expression" priority="48" dxfId="92" stopIfTrue="1">
      <formula>Devise_Base="GNF"</formula>
    </cfRule>
  </conditionalFormatting>
  <dataValidations count="7">
    <dataValidation sqref="E19" showDropDown="0" showInputMessage="0" showErrorMessage="0" allowBlank="1" type="list">
      <formula1>Liste_Situations</formula1>
    </dataValidation>
    <dataValidation sqref="E24" showDropDown="0" showInputMessage="0" showErrorMessage="0" allowBlank="0" type="list">
      <formula1>Codes_Devises</formula1>
    </dataValidation>
    <dataValidation sqref="E29" showDropDown="0" showInputMessage="0" showErrorMessage="0" allowBlank="0" type="list">
      <formula1>Liste_Mois</formula1>
    </dataValidation>
    <dataValidation sqref="D41 D42 D43 D44 D45 D46 D47 D48 D49 D50 D51 D52 D53 D54 D55 D56 D57 D58 D59 D60" showDropDown="0" showInputMessage="0" showErrorMessage="0" allowBlank="1" type="list">
      <formula1>"Compte courant,Épargne,Épargne bloquée,Mobile Money,Espèces,Business,Investissement,Autre"</formula1>
    </dataValidation>
    <dataValidation sqref="E68" showDropDown="0" showInputMessage="0" showErrorMessage="0" allowBlank="0" type="list">
      <formula1>Liste_OuiNon</formula1>
    </dataValidation>
    <dataValidation sqref="E70" showDropDown="0" showInputMessage="0" showErrorMessage="0" allowBlank="1" type="list">
      <formula1>Liste_Bases_Dime</formula1>
    </dataValidation>
    <dataValidation sqref="E71" showDropDown="0" showInputMessage="0" showErrorMessage="0" allowBlank="0" type="list">
      <formula1>Liste_Perimetres</formula1>
    </dataValidation>
  </dataValidations>
  <hyperlinks>
    <hyperlink ref="B3" location="'Accueil'!A1"/>
    <hyperlink ref="F3" location="'Estimation Annuelle'!A1"/>
    <hyperlink ref="H3" location="'Journal'!A1"/>
    <hyperlink ref="J3" location="'Tableau de Bord'!A1"/>
    <hyperlink ref="C73" location="'Journal'!A1"/>
    <hyperlink ref="C74" location="'Plan Annuel'!A1"/>
    <hyperlink ref="C75" location="'Tableau de Bord'!A1"/>
    <hyperlink ref="C76" location="'Listes'!A1"/>
  </hyperlinks>
  <pageMargins left="0.75" right="0.75" top="1" bottom="1" header="0.5" footer="0.5"/>
</worksheet>
</file>

<file path=xl/worksheets/sheet3.xml><?xml version="1.0" encoding="utf-8"?>
<worksheet xmlns="http://schemas.openxmlformats.org/spreadsheetml/2006/main">
  <sheetPr>
    <tabColor rgb="004A5C8C"/>
    <outlinePr summaryBelow="1" summaryRight="1"/>
    <pageSetUpPr/>
  </sheetPr>
  <dimension ref="A1:V211"/>
  <sheetViews>
    <sheetView showGridLines="0" zoomScale="85" workbookViewId="0">
      <pane xSplit="5" ySplit="11" topLeftCell="F12" activePane="bottomRight" state="frozen"/>
      <selection pane="topRight"/>
      <selection pane="bottomLeft"/>
      <selection pane="bottomRight" activeCell="A1" sqref="A1"/>
    </sheetView>
  </sheetViews>
  <sheetFormatPr baseColWidth="8" defaultRowHeight="15"/>
  <cols>
    <col width="2" customWidth="1" min="1" max="1"/>
    <col width="8" customWidth="1" min="2" max="2"/>
    <col width="13" customWidth="1" min="3" max="3"/>
    <col width="13" customWidth="1" min="4" max="4"/>
    <col width="34"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5" customWidth="1" min="18" max="18"/>
    <col width="15" customWidth="1" min="19" max="19"/>
    <col width="14" customWidth="1" min="20" max="20"/>
    <col width="12" customWidth="1" min="21" max="21"/>
    <col width="26" customWidth="1" min="22" max="22"/>
  </cols>
  <sheetData>
    <row r="1" ht="52" customHeight="1">
      <c r="B1" s="46" t="inlineStr">
        <is>
          <t>ESTIMATION ANNUELLE</t>
        </is>
      </c>
      <c r="C1" s="47" t="n"/>
      <c r="D1" s="47" t="n"/>
      <c r="E1" s="47" t="n"/>
      <c r="F1" s="47" t="n"/>
      <c r="G1" s="47" t="n"/>
      <c r="H1" s="47" t="n"/>
      <c r="I1" s="47" t="n"/>
      <c r="J1" s="47" t="n"/>
      <c r="K1" s="47" t="n"/>
      <c r="L1" s="47" t="n"/>
      <c r="M1" s="47" t="n"/>
      <c r="N1" s="47" t="n"/>
      <c r="O1" s="47" t="n"/>
      <c r="P1" s="47" t="n"/>
      <c r="Q1" s="47" t="n"/>
      <c r="R1" s="47" t="n"/>
      <c r="S1" s="47" t="n"/>
      <c r="T1" s="47" t="n"/>
      <c r="U1" s="47" t="n"/>
      <c r="V1" s="47" t="n"/>
    </row>
    <row r="2" ht="20" customHeight="1">
      <c r="B2" s="48" t="inlineStr">
        <is>
          <t>Étape ② — ce que vous prévoyez pour l'année, mois par mois. Le réalisé remonte tout seul du Journal.</t>
        </is>
      </c>
      <c r="C2" s="7" t="n"/>
      <c r="D2" s="7" t="n"/>
      <c r="E2" s="7" t="n"/>
      <c r="F2" s="7" t="n"/>
      <c r="G2" s="7" t="n"/>
      <c r="H2" s="7" t="n"/>
      <c r="I2" s="7" t="n"/>
      <c r="J2" s="7" t="n"/>
      <c r="K2" s="7" t="n"/>
      <c r="L2" s="7" t="n"/>
      <c r="M2" s="7" t="n"/>
      <c r="N2" s="7" t="n"/>
      <c r="O2" s="7" t="n"/>
      <c r="P2" s="7" t="n"/>
      <c r="Q2" s="7" t="n"/>
      <c r="R2" s="7" t="n"/>
      <c r="S2" s="7" t="n"/>
      <c r="T2" s="7" t="n"/>
      <c r="U2" s="7" t="n"/>
      <c r="V2" s="7" t="n"/>
    </row>
    <row r="3" ht="20" customHeight="1">
      <c r="B3" s="49" t="inlineStr">
        <is>
          <t>⌂  ACCUEIL</t>
        </is>
      </c>
      <c r="C3" s="42" t="n"/>
      <c r="D3" s="42" t="n"/>
      <c r="E3" s="49" t="inlineStr">
        <is>
          <t>①  MES INFOS</t>
        </is>
      </c>
      <c r="F3" s="42" t="n"/>
      <c r="G3" s="42" t="n"/>
      <c r="H3" s="50" t="inlineStr">
        <is>
          <t>②  ESTIMATION</t>
        </is>
      </c>
      <c r="I3" s="51" t="n"/>
      <c r="J3" s="51" t="n"/>
      <c r="K3" s="49" t="inlineStr">
        <is>
          <t>③  BUDGET SMART</t>
        </is>
      </c>
      <c r="L3" s="42" t="n"/>
      <c r="M3" s="42" t="n"/>
      <c r="N3" s="49" t="inlineStr">
        <is>
          <t>TABLEAU DE BORD</t>
        </is>
      </c>
      <c r="O3" s="42" t="n"/>
      <c r="P3" s="42" t="n"/>
      <c r="Q3" s="49" t="inlineStr">
        <is>
          <t>BUDGET 12 MOIS</t>
        </is>
      </c>
      <c r="R3" s="42" t="n"/>
      <c r="S3" s="42" t="n"/>
    </row>
    <row r="4" ht="6" customHeight="1"/>
    <row r="5" ht="28" customHeight="1">
      <c r="B5" s="41" t="inlineStr">
        <is>
          <t>Une ligne = une catégorie budgétée pour une année. Dupliquez les lignes en changeant l'année pour préparer l'exercice suivant : l'historique reste intact. « Écart » est toujours favorable quand il est positif.</t>
        </is>
      </c>
      <c r="C5" s="42" t="n"/>
      <c r="D5" s="42" t="n"/>
      <c r="E5" s="42" t="n"/>
      <c r="F5" s="42" t="n"/>
      <c r="G5" s="42" t="n"/>
      <c r="H5" s="42" t="n"/>
      <c r="I5" s="42" t="n"/>
      <c r="J5" s="42" t="n"/>
      <c r="K5" s="42" t="n"/>
      <c r="L5" s="42" t="n"/>
      <c r="M5" s="42" t="n"/>
      <c r="N5" s="42" t="n"/>
      <c r="O5" s="42" t="n"/>
      <c r="P5" s="42" t="n"/>
      <c r="Q5" s="42" t="n"/>
      <c r="R5" s="42" t="n"/>
      <c r="S5" s="42" t="n"/>
      <c r="T5" s="42" t="n"/>
      <c r="U5" s="42" t="n"/>
      <c r="V5" s="42" t="n"/>
    </row>
    <row r="6"/>
    <row r="7" ht="18" customHeight="1">
      <c r="B7" s="31" t="inlineStr">
        <is>
          <t>REVENUS PRÉVUS</t>
        </is>
      </c>
      <c r="C7" s="74" t="n"/>
      <c r="D7" s="32" t="n"/>
      <c r="E7" s="29" t="inlineStr">
        <is>
          <t>DÉPENSES PRÉVUES</t>
        </is>
      </c>
      <c r="F7" s="75" t="n"/>
      <c r="G7" s="30" t="n"/>
      <c r="H7" s="76" t="inlineStr">
        <is>
          <t>ÉPARGNE PRÉVUE</t>
        </is>
      </c>
      <c r="I7" s="77" t="n"/>
      <c r="J7" s="78" t="n"/>
      <c r="K7" s="27" t="inlineStr">
        <is>
          <t>SOLDE PRÉVISIONNEL</t>
        </is>
      </c>
      <c r="L7" s="79" t="n"/>
      <c r="M7" s="28" t="n"/>
      <c r="N7" s="80" t="inlineStr">
        <is>
          <t>RÉALISÉ / PRÉVU (dépenses)</t>
        </is>
      </c>
      <c r="O7" s="81" t="n"/>
      <c r="P7" s="82" t="n"/>
    </row>
    <row r="8" ht="30" customHeight="1">
      <c r="B8" s="36">
        <f>SUMIFS($R$12:$R$211,$B$12:$B$211,Annee_Travail,$D$12:$D$211,"Revenu")</f>
        <v/>
      </c>
      <c r="C8" s="83" t="n"/>
      <c r="D8" s="34" t="n"/>
      <c r="E8" s="35">
        <f>SUMIFS($R$12:$R$211,$B$12:$B$211,Annee_Travail,$D$12:$D$211,"Dépense")</f>
        <v/>
      </c>
      <c r="F8" s="83" t="n"/>
      <c r="G8" s="34" t="n"/>
      <c r="H8" s="84">
        <f>SUMIFS($R$12:$R$211,$B$12:$B$211,Annee_Travail,$D$12:$D$211,"Épargne")+SUMIFS($R$12:$R$211,$B$12:$B$211,Annee_Travail,$D$12:$D$211,"Investissement")</f>
        <v/>
      </c>
      <c r="I8" s="83" t="n"/>
      <c r="J8" s="34" t="n"/>
      <c r="K8" s="33">
        <f>SUMIFS($R$12:$R$211,$B$12:$B$211,Annee_Travail,$D$12:$D$211,"Revenu")-SUMIFS($R$12:$R$211,$B$12:$B$211,Annee_Travail,$D$12:$D$211,"Dépense")-SUMIFS($R$12:$R$211,$B$12:$B$211,Annee_Travail,$D$12:$D$211,"Remboursement crédit")</f>
        <v/>
      </c>
      <c r="L8" s="83" t="n"/>
      <c r="M8" s="34" t="n"/>
      <c r="N8" s="85">
        <f>IFERROR(SUMIFS($S$12:$S$211,$B$12:$B$211,Annee_Travail,$D$12:$D$211,"Dépense")/SUMIFS($R$12:$R$211,$B$12:$B$211,Annee_Travail,$D$12:$D$211,"Dépense"),0)</f>
        <v/>
      </c>
      <c r="O8" s="83" t="n"/>
      <c r="P8" s="34" t="n"/>
    </row>
    <row r="9" ht="16" customHeight="1">
      <c r="B9" s="37" t="inlineStr"/>
      <c r="C9" s="86" t="n"/>
      <c r="D9" s="38" t="n"/>
      <c r="E9" s="37" t="inlineStr"/>
      <c r="F9" s="86" t="n"/>
      <c r="G9" s="38" t="n"/>
      <c r="H9" s="37" t="inlineStr"/>
      <c r="I9" s="86" t="n"/>
      <c r="J9" s="38" t="n"/>
      <c r="K9" s="37" t="inlineStr"/>
      <c r="L9" s="86" t="n"/>
      <c r="M9" s="38" t="n"/>
      <c r="N9" s="37" t="inlineStr"/>
      <c r="O9" s="86" t="n"/>
      <c r="P9" s="38" t="n"/>
    </row>
    <row r="10"/>
    <row r="11" ht="32" customHeight="1">
      <c r="B11" s="63" t="inlineStr">
        <is>
          <t>Année</t>
        </is>
      </c>
      <c r="C11" s="63" t="inlineStr">
        <is>
          <t>Module</t>
        </is>
      </c>
      <c r="D11" s="63" t="inlineStr">
        <is>
          <t>Type</t>
        </is>
      </c>
      <c r="E11" s="63" t="inlineStr">
        <is>
          <t>Catégorie</t>
        </is>
      </c>
      <c r="F11" s="63" t="inlineStr">
        <is>
          <t>Jan</t>
        </is>
      </c>
      <c r="G11" s="63" t="inlineStr">
        <is>
          <t>Fév</t>
        </is>
      </c>
      <c r="H11" s="63" t="inlineStr">
        <is>
          <t>Mar</t>
        </is>
      </c>
      <c r="I11" s="63" t="inlineStr">
        <is>
          <t>Avr</t>
        </is>
      </c>
      <c r="J11" s="63" t="inlineStr">
        <is>
          <t>Mai</t>
        </is>
      </c>
      <c r="K11" s="63" t="inlineStr">
        <is>
          <t>Juin</t>
        </is>
      </c>
      <c r="L11" s="63" t="inlineStr">
        <is>
          <t>Juil</t>
        </is>
      </c>
      <c r="M11" s="63" t="inlineStr">
        <is>
          <t>Août</t>
        </is>
      </c>
      <c r="N11" s="63" t="inlineStr">
        <is>
          <t>Sep</t>
        </is>
      </c>
      <c r="O11" s="63" t="inlineStr">
        <is>
          <t>Oct</t>
        </is>
      </c>
      <c r="P11" s="63" t="inlineStr">
        <is>
          <t>Nov</t>
        </is>
      </c>
      <c r="Q11" s="63" t="inlineStr">
        <is>
          <t>Déc</t>
        </is>
      </c>
      <c r="R11" s="63" t="inlineStr">
        <is>
          <t>Total prévu</t>
        </is>
      </c>
      <c r="S11" s="63" t="inlineStr">
        <is>
          <t>Réalisé</t>
        </is>
      </c>
      <c r="T11" s="63" t="inlineStr">
        <is>
          <t>Écart</t>
        </is>
      </c>
      <c r="U11" s="63" t="inlineStr">
        <is>
          <t>% consommé</t>
        </is>
      </c>
      <c r="V11" s="63" t="inlineStr">
        <is>
          <t>Commentaire</t>
        </is>
      </c>
    </row>
    <row r="12">
      <c r="B12" s="87">
        <f>Annee_Travail</f>
        <v/>
      </c>
      <c r="C12" s="54" t="inlineStr">
        <is>
          <t>Général</t>
        </is>
      </c>
      <c r="D12" s="54" t="inlineStr">
        <is>
          <t>Revenu</t>
        </is>
      </c>
      <c r="E12" s="54" t="inlineStr">
        <is>
          <t>Salaire</t>
        </is>
      </c>
      <c r="F12" s="88" t="n"/>
      <c r="G12" s="88" t="n"/>
      <c r="H12" s="88" t="n"/>
      <c r="I12" s="88" t="n"/>
      <c r="J12" s="88" t="n"/>
      <c r="K12" s="88" t="n"/>
      <c r="L12" s="88" t="n"/>
      <c r="M12" s="88" t="n"/>
      <c r="N12" s="88" t="n"/>
      <c r="O12" s="88" t="n"/>
      <c r="P12" s="88" t="n"/>
      <c r="Q12" s="88" t="n"/>
      <c r="R12" s="89">
        <f>IF($E12="","",SUM($F12:$Q12))</f>
        <v/>
      </c>
      <c r="S12" s="90">
        <f>IF($E12="","",SUMIFS(J_Montant,J_Annee,$B12,J_Module,$C12,J_Type,$D12,J_Cat,$E12,J_Statut,"&lt;&gt;Annulé",J_Statut,"&lt;&gt;Prévu"))</f>
        <v/>
      </c>
      <c r="T12" s="90">
        <f>IF($E12="","",IF($D12="Revenu",$S12-$R12,$R12-$S12))</f>
        <v/>
      </c>
      <c r="U12" s="91">
        <f>IF(OR($E12="",$R12=0),"",$S12/$R12)</f>
        <v/>
      </c>
      <c r="V12" s="92" t="n"/>
    </row>
    <row r="13">
      <c r="B13" s="87">
        <f>Annee_Travail</f>
        <v/>
      </c>
      <c r="C13" s="54" t="inlineStr">
        <is>
          <t>Général</t>
        </is>
      </c>
      <c r="D13" s="54" t="inlineStr">
        <is>
          <t>Revenu</t>
        </is>
      </c>
      <c r="E13" s="54" t="inlineStr">
        <is>
          <t>Prime / 13e mois</t>
        </is>
      </c>
      <c r="F13" s="88" t="n"/>
      <c r="G13" s="88" t="n"/>
      <c r="H13" s="88" t="n"/>
      <c r="I13" s="88" t="n"/>
      <c r="J13" s="88" t="n"/>
      <c r="K13" s="88" t="n"/>
      <c r="L13" s="88" t="n"/>
      <c r="M13" s="88" t="n"/>
      <c r="N13" s="88" t="n"/>
      <c r="O13" s="88" t="n"/>
      <c r="P13" s="88" t="n"/>
      <c r="Q13" s="88" t="n"/>
      <c r="R13" s="89">
        <f>IF($E13="","",SUM($F13:$Q13))</f>
        <v/>
      </c>
      <c r="S13" s="90">
        <f>IF($E13="","",SUMIFS(J_Montant,J_Annee,$B13,J_Module,$C13,J_Type,$D13,J_Cat,$E13,J_Statut,"&lt;&gt;Annulé",J_Statut,"&lt;&gt;Prévu"))</f>
        <v/>
      </c>
      <c r="T13" s="90">
        <f>IF($E13="","",IF($D13="Revenu",$S13-$R13,$R13-$S13))</f>
        <v/>
      </c>
      <c r="U13" s="91">
        <f>IF(OR($E13="",$R13=0),"",$S13/$R13)</f>
        <v/>
      </c>
      <c r="V13" s="92" t="n"/>
    </row>
    <row r="14">
      <c r="B14" s="87">
        <f>Annee_Travail</f>
        <v/>
      </c>
      <c r="C14" s="54" t="inlineStr">
        <is>
          <t>Général</t>
        </is>
      </c>
      <c r="D14" s="54" t="inlineStr">
        <is>
          <t>Revenu</t>
        </is>
      </c>
      <c r="E14" s="54" t="inlineStr">
        <is>
          <t>Freelance / Consulting</t>
        </is>
      </c>
      <c r="F14" s="88" t="n"/>
      <c r="G14" s="88" t="n"/>
      <c r="H14" s="88" t="n"/>
      <c r="I14" s="88" t="n"/>
      <c r="J14" s="88" t="n"/>
      <c r="K14" s="88" t="n"/>
      <c r="L14" s="88" t="n"/>
      <c r="M14" s="88" t="n"/>
      <c r="N14" s="88" t="n"/>
      <c r="O14" s="88" t="n"/>
      <c r="P14" s="88" t="n"/>
      <c r="Q14" s="88" t="n"/>
      <c r="R14" s="89">
        <f>IF($E14="","",SUM($F14:$Q14))</f>
        <v/>
      </c>
      <c r="S14" s="90">
        <f>IF($E14="","",SUMIFS(J_Montant,J_Annee,$B14,J_Module,$C14,J_Type,$D14,J_Cat,$E14,J_Statut,"&lt;&gt;Annulé",J_Statut,"&lt;&gt;Prévu"))</f>
        <v/>
      </c>
      <c r="T14" s="90">
        <f>IF($E14="","",IF($D14="Revenu",$S14-$R14,$R14-$S14))</f>
        <v/>
      </c>
      <c r="U14" s="91">
        <f>IF(OR($E14="",$R14=0),"",$S14/$R14)</f>
        <v/>
      </c>
      <c r="V14" s="92" t="n"/>
    </row>
    <row r="15">
      <c r="B15" s="87">
        <f>Annee_Travail</f>
        <v/>
      </c>
      <c r="C15" s="54" t="inlineStr">
        <is>
          <t>Général</t>
        </is>
      </c>
      <c r="D15" s="54" t="inlineStr">
        <is>
          <t>Revenu</t>
        </is>
      </c>
      <c r="E15" s="54" t="inlineStr">
        <is>
          <t>Commerce / Ventes</t>
        </is>
      </c>
      <c r="F15" s="88" t="n"/>
      <c r="G15" s="88" t="n"/>
      <c r="H15" s="88" t="n"/>
      <c r="I15" s="88" t="n"/>
      <c r="J15" s="88" t="n"/>
      <c r="K15" s="88" t="n"/>
      <c r="L15" s="88" t="n"/>
      <c r="M15" s="88" t="n"/>
      <c r="N15" s="88" t="n"/>
      <c r="O15" s="88" t="n"/>
      <c r="P15" s="88" t="n"/>
      <c r="Q15" s="88" t="n"/>
      <c r="R15" s="89">
        <f>IF($E15="","",SUM($F15:$Q15))</f>
        <v/>
      </c>
      <c r="S15" s="90">
        <f>IF($E15="","",SUMIFS(J_Montant,J_Annee,$B15,J_Module,$C15,J_Type,$D15,J_Cat,$E15,J_Statut,"&lt;&gt;Annulé",J_Statut,"&lt;&gt;Prévu"))</f>
        <v/>
      </c>
      <c r="T15" s="90">
        <f>IF($E15="","",IF($D15="Revenu",$S15-$R15,$R15-$S15))</f>
        <v/>
      </c>
      <c r="U15" s="91">
        <f>IF(OR($E15="",$R15=0),"",$S15/$R15)</f>
        <v/>
      </c>
      <c r="V15" s="92" t="n"/>
    </row>
    <row r="16">
      <c r="B16" s="87">
        <f>Annee_Travail</f>
        <v/>
      </c>
      <c r="C16" s="54" t="inlineStr">
        <is>
          <t>Général</t>
        </is>
      </c>
      <c r="D16" s="54" t="inlineStr">
        <is>
          <t>Revenu</t>
        </is>
      </c>
      <c r="E16" s="54" t="inlineStr">
        <is>
          <t>Loyers perçus</t>
        </is>
      </c>
      <c r="F16" s="88" t="n"/>
      <c r="G16" s="88" t="n"/>
      <c r="H16" s="88" t="n"/>
      <c r="I16" s="88" t="n"/>
      <c r="J16" s="88" t="n"/>
      <c r="K16" s="88" t="n"/>
      <c r="L16" s="88" t="n"/>
      <c r="M16" s="88" t="n"/>
      <c r="N16" s="88" t="n"/>
      <c r="O16" s="88" t="n"/>
      <c r="P16" s="88" t="n"/>
      <c r="Q16" s="88" t="n"/>
      <c r="R16" s="89">
        <f>IF($E16="","",SUM($F16:$Q16))</f>
        <v/>
      </c>
      <c r="S16" s="90">
        <f>IF($E16="","",SUMIFS(J_Montant,J_Annee,$B16,J_Module,$C16,J_Type,$D16,J_Cat,$E16,J_Statut,"&lt;&gt;Annulé",J_Statut,"&lt;&gt;Prévu"))</f>
        <v/>
      </c>
      <c r="T16" s="90">
        <f>IF($E16="","",IF($D16="Revenu",$S16-$R16,$R16-$S16))</f>
        <v/>
      </c>
      <c r="U16" s="91">
        <f>IF(OR($E16="",$R16=0),"",$S16/$R16)</f>
        <v/>
      </c>
      <c r="V16" s="92" t="n"/>
    </row>
    <row r="17">
      <c r="B17" s="87">
        <f>Annee_Travail</f>
        <v/>
      </c>
      <c r="C17" s="54" t="inlineStr">
        <is>
          <t>Général</t>
        </is>
      </c>
      <c r="D17" s="54" t="inlineStr">
        <is>
          <t>Revenu</t>
        </is>
      </c>
      <c r="E17" s="54" t="inlineStr">
        <is>
          <t>Autre revenu</t>
        </is>
      </c>
      <c r="F17" s="88" t="n"/>
      <c r="G17" s="88" t="n"/>
      <c r="H17" s="88" t="n"/>
      <c r="I17" s="88" t="n"/>
      <c r="J17" s="88" t="n"/>
      <c r="K17" s="88" t="n"/>
      <c r="L17" s="88" t="n"/>
      <c r="M17" s="88" t="n"/>
      <c r="N17" s="88" t="n"/>
      <c r="O17" s="88" t="n"/>
      <c r="P17" s="88" t="n"/>
      <c r="Q17" s="88" t="n"/>
      <c r="R17" s="89">
        <f>IF($E17="","",SUM($F17:$Q17))</f>
        <v/>
      </c>
      <c r="S17" s="90">
        <f>IF($E17="","",SUMIFS(J_Montant,J_Annee,$B17,J_Module,$C17,J_Type,$D17,J_Cat,$E17,J_Statut,"&lt;&gt;Annulé",J_Statut,"&lt;&gt;Prévu"))</f>
        <v/>
      </c>
      <c r="T17" s="90">
        <f>IF($E17="","",IF($D17="Revenu",$S17-$R17,$R17-$S17))</f>
        <v/>
      </c>
      <c r="U17" s="91">
        <f>IF(OR($E17="",$R17=0),"",$S17/$R17)</f>
        <v/>
      </c>
      <c r="V17" s="92" t="n"/>
    </row>
    <row r="18">
      <c r="B18" s="87">
        <f>Annee_Travail</f>
        <v/>
      </c>
      <c r="C18" s="54" t="inlineStr">
        <is>
          <t>Général</t>
        </is>
      </c>
      <c r="D18" s="54" t="inlineStr">
        <is>
          <t>Dépense</t>
        </is>
      </c>
      <c r="E18" s="54" t="inlineStr">
        <is>
          <t>Loyer</t>
        </is>
      </c>
      <c r="F18" s="88" t="n"/>
      <c r="G18" s="88" t="n"/>
      <c r="H18" s="88" t="n"/>
      <c r="I18" s="88" t="n"/>
      <c r="J18" s="88" t="n"/>
      <c r="K18" s="88" t="n"/>
      <c r="L18" s="88" t="n"/>
      <c r="M18" s="88" t="n"/>
      <c r="N18" s="88" t="n"/>
      <c r="O18" s="88" t="n"/>
      <c r="P18" s="88" t="n"/>
      <c r="Q18" s="88" t="n"/>
      <c r="R18" s="89">
        <f>IF($E18="","",SUM($F18:$Q18))</f>
        <v/>
      </c>
      <c r="S18" s="90">
        <f>IF($E18="","",SUMIFS(J_Montant,J_Annee,$B18,J_Module,$C18,J_Type,$D18,J_Cat,$E18,J_Statut,"&lt;&gt;Annulé",J_Statut,"&lt;&gt;Prévu"))</f>
        <v/>
      </c>
      <c r="T18" s="90">
        <f>IF($E18="","",IF($D18="Revenu",$S18-$R18,$R18-$S18))</f>
        <v/>
      </c>
      <c r="U18" s="91">
        <f>IF(OR($E18="",$R18=0),"",$S18/$R18)</f>
        <v/>
      </c>
      <c r="V18" s="92" t="n"/>
    </row>
    <row r="19">
      <c r="B19" s="87">
        <f>Annee_Travail</f>
        <v/>
      </c>
      <c r="C19" s="54" t="inlineStr">
        <is>
          <t>Général</t>
        </is>
      </c>
      <c r="D19" s="54" t="inlineStr">
        <is>
          <t>Dépense</t>
        </is>
      </c>
      <c r="E19" s="54" t="inlineStr">
        <is>
          <t>Électricité</t>
        </is>
      </c>
      <c r="F19" s="88" t="n"/>
      <c r="G19" s="88" t="n"/>
      <c r="H19" s="88" t="n"/>
      <c r="I19" s="88" t="n"/>
      <c r="J19" s="88" t="n"/>
      <c r="K19" s="88" t="n"/>
      <c r="L19" s="88" t="n"/>
      <c r="M19" s="88" t="n"/>
      <c r="N19" s="88" t="n"/>
      <c r="O19" s="88" t="n"/>
      <c r="P19" s="88" t="n"/>
      <c r="Q19" s="88" t="n"/>
      <c r="R19" s="89">
        <f>IF($E19="","",SUM($F19:$Q19))</f>
        <v/>
      </c>
      <c r="S19" s="90">
        <f>IF($E19="","",SUMIFS(J_Montant,J_Annee,$B19,J_Module,$C19,J_Type,$D19,J_Cat,$E19,J_Statut,"&lt;&gt;Annulé",J_Statut,"&lt;&gt;Prévu"))</f>
        <v/>
      </c>
      <c r="T19" s="90">
        <f>IF($E19="","",IF($D19="Revenu",$S19-$R19,$R19-$S19))</f>
        <v/>
      </c>
      <c r="U19" s="91">
        <f>IF(OR($E19="",$R19=0),"",$S19/$R19)</f>
        <v/>
      </c>
      <c r="V19" s="92" t="n"/>
    </row>
    <row r="20">
      <c r="B20" s="87">
        <f>Annee_Travail</f>
        <v/>
      </c>
      <c r="C20" s="54" t="inlineStr">
        <is>
          <t>Général</t>
        </is>
      </c>
      <c r="D20" s="54" t="inlineStr">
        <is>
          <t>Dépense</t>
        </is>
      </c>
      <c r="E20" s="54" t="inlineStr">
        <is>
          <t>Eau</t>
        </is>
      </c>
      <c r="F20" s="88" t="n"/>
      <c r="G20" s="88" t="n"/>
      <c r="H20" s="88" t="n"/>
      <c r="I20" s="88" t="n"/>
      <c r="J20" s="88" t="n"/>
      <c r="K20" s="88" t="n"/>
      <c r="L20" s="88" t="n"/>
      <c r="M20" s="88" t="n"/>
      <c r="N20" s="88" t="n"/>
      <c r="O20" s="88" t="n"/>
      <c r="P20" s="88" t="n"/>
      <c r="Q20" s="88" t="n"/>
      <c r="R20" s="89">
        <f>IF($E20="","",SUM($F20:$Q20))</f>
        <v/>
      </c>
      <c r="S20" s="90">
        <f>IF($E20="","",SUMIFS(J_Montant,J_Annee,$B20,J_Module,$C20,J_Type,$D20,J_Cat,$E20,J_Statut,"&lt;&gt;Annulé",J_Statut,"&lt;&gt;Prévu"))</f>
        <v/>
      </c>
      <c r="T20" s="90">
        <f>IF($E20="","",IF($D20="Revenu",$S20-$R20,$R20-$S20))</f>
        <v/>
      </c>
      <c r="U20" s="91">
        <f>IF(OR($E20="",$R20=0),"",$S20/$R20)</f>
        <v/>
      </c>
      <c r="V20" s="92" t="n"/>
    </row>
    <row r="21">
      <c r="B21" s="87">
        <f>Annee_Travail</f>
        <v/>
      </c>
      <c r="C21" s="54" t="inlineStr">
        <is>
          <t>Général</t>
        </is>
      </c>
      <c r="D21" s="54" t="inlineStr">
        <is>
          <t>Dépense</t>
        </is>
      </c>
      <c r="E21" s="54" t="inlineStr">
        <is>
          <t>Internet / Box</t>
        </is>
      </c>
      <c r="F21" s="88" t="n"/>
      <c r="G21" s="88" t="n"/>
      <c r="H21" s="88" t="n"/>
      <c r="I21" s="88" t="n"/>
      <c r="J21" s="88" t="n"/>
      <c r="K21" s="88" t="n"/>
      <c r="L21" s="88" t="n"/>
      <c r="M21" s="88" t="n"/>
      <c r="N21" s="88" t="n"/>
      <c r="O21" s="88" t="n"/>
      <c r="P21" s="88" t="n"/>
      <c r="Q21" s="88" t="n"/>
      <c r="R21" s="89">
        <f>IF($E21="","",SUM($F21:$Q21))</f>
        <v/>
      </c>
      <c r="S21" s="90">
        <f>IF($E21="","",SUMIFS(J_Montant,J_Annee,$B21,J_Module,$C21,J_Type,$D21,J_Cat,$E21,J_Statut,"&lt;&gt;Annulé",J_Statut,"&lt;&gt;Prévu"))</f>
        <v/>
      </c>
      <c r="T21" s="90">
        <f>IF($E21="","",IF($D21="Revenu",$S21-$R21,$R21-$S21))</f>
        <v/>
      </c>
      <c r="U21" s="91">
        <f>IF(OR($E21="",$R21=0),"",$S21/$R21)</f>
        <v/>
      </c>
      <c r="V21" s="92" t="n"/>
    </row>
    <row r="22">
      <c r="B22" s="87">
        <f>Annee_Travail</f>
        <v/>
      </c>
      <c r="C22" s="54" t="inlineStr">
        <is>
          <t>Général</t>
        </is>
      </c>
      <c r="D22" s="54" t="inlineStr">
        <is>
          <t>Dépense</t>
        </is>
      </c>
      <c r="E22" s="54" t="inlineStr">
        <is>
          <t>Téléphone</t>
        </is>
      </c>
      <c r="F22" s="88" t="n"/>
      <c r="G22" s="88" t="n"/>
      <c r="H22" s="88" t="n"/>
      <c r="I22" s="88" t="n"/>
      <c r="J22" s="88" t="n"/>
      <c r="K22" s="88" t="n"/>
      <c r="L22" s="88" t="n"/>
      <c r="M22" s="88" t="n"/>
      <c r="N22" s="88" t="n"/>
      <c r="O22" s="88" t="n"/>
      <c r="P22" s="88" t="n"/>
      <c r="Q22" s="88" t="n"/>
      <c r="R22" s="89">
        <f>IF($E22="","",SUM($F22:$Q22))</f>
        <v/>
      </c>
      <c r="S22" s="90">
        <f>IF($E22="","",SUMIFS(J_Montant,J_Annee,$B22,J_Module,$C22,J_Type,$D22,J_Cat,$E22,J_Statut,"&lt;&gt;Annulé",J_Statut,"&lt;&gt;Prévu"))</f>
        <v/>
      </c>
      <c r="T22" s="90">
        <f>IF($E22="","",IF($D22="Revenu",$S22-$R22,$R22-$S22))</f>
        <v/>
      </c>
      <c r="U22" s="91">
        <f>IF(OR($E22="",$R22=0),"",$S22/$R22)</f>
        <v/>
      </c>
      <c r="V22" s="92" t="n"/>
    </row>
    <row r="23">
      <c r="B23" s="87">
        <f>Annee_Travail</f>
        <v/>
      </c>
      <c r="C23" s="54" t="inlineStr">
        <is>
          <t>Général</t>
        </is>
      </c>
      <c r="D23" s="54" t="inlineStr">
        <is>
          <t>Dépense</t>
        </is>
      </c>
      <c r="E23" s="54" t="inlineStr">
        <is>
          <t>Alimentation / Courses</t>
        </is>
      </c>
      <c r="F23" s="88" t="n"/>
      <c r="G23" s="88" t="n"/>
      <c r="H23" s="88" t="n"/>
      <c r="I23" s="88" t="n"/>
      <c r="J23" s="88" t="n"/>
      <c r="K23" s="88" t="n"/>
      <c r="L23" s="88" t="n"/>
      <c r="M23" s="88" t="n"/>
      <c r="N23" s="88" t="n"/>
      <c r="O23" s="88" t="n"/>
      <c r="P23" s="88" t="n"/>
      <c r="Q23" s="88" t="n"/>
      <c r="R23" s="89">
        <f>IF($E23="","",SUM($F23:$Q23))</f>
        <v/>
      </c>
      <c r="S23" s="90">
        <f>IF($E23="","",SUMIFS(J_Montant,J_Annee,$B23,J_Module,$C23,J_Type,$D23,J_Cat,$E23,J_Statut,"&lt;&gt;Annulé",J_Statut,"&lt;&gt;Prévu"))</f>
        <v/>
      </c>
      <c r="T23" s="90">
        <f>IF($E23="","",IF($D23="Revenu",$S23-$R23,$R23-$S23))</f>
        <v/>
      </c>
      <c r="U23" s="91">
        <f>IF(OR($E23="",$R23=0),"",$S23/$R23)</f>
        <v/>
      </c>
      <c r="V23" s="92" t="n"/>
    </row>
    <row r="24">
      <c r="B24" s="87">
        <f>Annee_Travail</f>
        <v/>
      </c>
      <c r="C24" s="54" t="inlineStr">
        <is>
          <t>Général</t>
        </is>
      </c>
      <c r="D24" s="54" t="inlineStr">
        <is>
          <t>Dépense</t>
        </is>
      </c>
      <c r="E24" s="54" t="inlineStr">
        <is>
          <t>Restaurants / Déjeuners</t>
        </is>
      </c>
      <c r="F24" s="88" t="n"/>
      <c r="G24" s="88" t="n"/>
      <c r="H24" s="88" t="n"/>
      <c r="I24" s="88" t="n"/>
      <c r="J24" s="88" t="n"/>
      <c r="K24" s="88" t="n"/>
      <c r="L24" s="88" t="n"/>
      <c r="M24" s="88" t="n"/>
      <c r="N24" s="88" t="n"/>
      <c r="O24" s="88" t="n"/>
      <c r="P24" s="88" t="n"/>
      <c r="Q24" s="88" t="n"/>
      <c r="R24" s="89">
        <f>IF($E24="","",SUM($F24:$Q24))</f>
        <v/>
      </c>
      <c r="S24" s="90">
        <f>IF($E24="","",SUMIFS(J_Montant,J_Annee,$B24,J_Module,$C24,J_Type,$D24,J_Cat,$E24,J_Statut,"&lt;&gt;Annulé",J_Statut,"&lt;&gt;Prévu"))</f>
        <v/>
      </c>
      <c r="T24" s="90">
        <f>IF($E24="","",IF($D24="Revenu",$S24-$R24,$R24-$S24))</f>
        <v/>
      </c>
      <c r="U24" s="91">
        <f>IF(OR($E24="",$R24=0),"",$S24/$R24)</f>
        <v/>
      </c>
      <c r="V24" s="92" t="n"/>
    </row>
    <row r="25">
      <c r="B25" s="87">
        <f>Annee_Travail</f>
        <v/>
      </c>
      <c r="C25" s="54" t="inlineStr">
        <is>
          <t>Général</t>
        </is>
      </c>
      <c r="D25" s="54" t="inlineStr">
        <is>
          <t>Dépense</t>
        </is>
      </c>
      <c r="E25" s="54" t="inlineStr">
        <is>
          <t>Carburant</t>
        </is>
      </c>
      <c r="F25" s="88" t="n"/>
      <c r="G25" s="88" t="n"/>
      <c r="H25" s="88" t="n"/>
      <c r="I25" s="88" t="n"/>
      <c r="J25" s="88" t="n"/>
      <c r="K25" s="88" t="n"/>
      <c r="L25" s="88" t="n"/>
      <c r="M25" s="88" t="n"/>
      <c r="N25" s="88" t="n"/>
      <c r="O25" s="88" t="n"/>
      <c r="P25" s="88" t="n"/>
      <c r="Q25" s="88" t="n"/>
      <c r="R25" s="89">
        <f>IF($E25="","",SUM($F25:$Q25))</f>
        <v/>
      </c>
      <c r="S25" s="90">
        <f>IF($E25="","",SUMIFS(J_Montant,J_Annee,$B25,J_Module,$C25,J_Type,$D25,J_Cat,$E25,J_Statut,"&lt;&gt;Annulé",J_Statut,"&lt;&gt;Prévu"))</f>
        <v/>
      </c>
      <c r="T25" s="90">
        <f>IF($E25="","",IF($D25="Revenu",$S25-$R25,$R25-$S25))</f>
        <v/>
      </c>
      <c r="U25" s="91">
        <f>IF(OR($E25="",$R25=0),"",$S25/$R25)</f>
        <v/>
      </c>
      <c r="V25" s="92" t="n"/>
    </row>
    <row r="26">
      <c r="B26" s="87">
        <f>Annee_Travail</f>
        <v/>
      </c>
      <c r="C26" s="54" t="inlineStr">
        <is>
          <t>Général</t>
        </is>
      </c>
      <c r="D26" s="54" t="inlineStr">
        <is>
          <t>Dépense</t>
        </is>
      </c>
      <c r="E26" s="54" t="inlineStr">
        <is>
          <t>Transport en commun</t>
        </is>
      </c>
      <c r="F26" s="88" t="n"/>
      <c r="G26" s="88" t="n"/>
      <c r="H26" s="88" t="n"/>
      <c r="I26" s="88" t="n"/>
      <c r="J26" s="88" t="n"/>
      <c r="K26" s="88" t="n"/>
      <c r="L26" s="88" t="n"/>
      <c r="M26" s="88" t="n"/>
      <c r="N26" s="88" t="n"/>
      <c r="O26" s="88" t="n"/>
      <c r="P26" s="88" t="n"/>
      <c r="Q26" s="88" t="n"/>
      <c r="R26" s="89">
        <f>IF($E26="","",SUM($F26:$Q26))</f>
        <v/>
      </c>
      <c r="S26" s="90">
        <f>IF($E26="","",SUMIFS(J_Montant,J_Annee,$B26,J_Module,$C26,J_Type,$D26,J_Cat,$E26,J_Statut,"&lt;&gt;Annulé",J_Statut,"&lt;&gt;Prévu"))</f>
        <v/>
      </c>
      <c r="T26" s="90">
        <f>IF($E26="","",IF($D26="Revenu",$S26-$R26,$R26-$S26))</f>
        <v/>
      </c>
      <c r="U26" s="91">
        <f>IF(OR($E26="",$R26=0),"",$S26/$R26)</f>
        <v/>
      </c>
      <c r="V26" s="92" t="n"/>
    </row>
    <row r="27">
      <c r="B27" s="87">
        <f>Annee_Travail</f>
        <v/>
      </c>
      <c r="C27" s="54" t="inlineStr">
        <is>
          <t>Général</t>
        </is>
      </c>
      <c r="D27" s="54" t="inlineStr">
        <is>
          <t>Dépense</t>
        </is>
      </c>
      <c r="E27" s="54" t="inlineStr">
        <is>
          <t>Taxi / VTC</t>
        </is>
      </c>
      <c r="F27" s="88" t="n"/>
      <c r="G27" s="88" t="n"/>
      <c r="H27" s="88" t="n"/>
      <c r="I27" s="88" t="n"/>
      <c r="J27" s="88" t="n"/>
      <c r="K27" s="88" t="n"/>
      <c r="L27" s="88" t="n"/>
      <c r="M27" s="88" t="n"/>
      <c r="N27" s="88" t="n"/>
      <c r="O27" s="88" t="n"/>
      <c r="P27" s="88" t="n"/>
      <c r="Q27" s="88" t="n"/>
      <c r="R27" s="89">
        <f>IF($E27="","",SUM($F27:$Q27))</f>
        <v/>
      </c>
      <c r="S27" s="90">
        <f>IF($E27="","",SUMIFS(J_Montant,J_Annee,$B27,J_Module,$C27,J_Type,$D27,J_Cat,$E27,J_Statut,"&lt;&gt;Annulé",J_Statut,"&lt;&gt;Prévu"))</f>
        <v/>
      </c>
      <c r="T27" s="90">
        <f>IF($E27="","",IF($D27="Revenu",$S27-$R27,$R27-$S27))</f>
        <v/>
      </c>
      <c r="U27" s="91">
        <f>IF(OR($E27="",$R27=0),"",$S27/$R27)</f>
        <v/>
      </c>
      <c r="V27" s="92" t="n"/>
    </row>
    <row r="28">
      <c r="B28" s="87">
        <f>Annee_Travail</f>
        <v/>
      </c>
      <c r="C28" s="54" t="inlineStr">
        <is>
          <t>Général</t>
        </is>
      </c>
      <c r="D28" s="54" t="inlineStr">
        <is>
          <t>Dépense</t>
        </is>
      </c>
      <c r="E28" s="54" t="inlineStr">
        <is>
          <t>Entretien véhicule</t>
        </is>
      </c>
      <c r="F28" s="88" t="n"/>
      <c r="G28" s="88" t="n"/>
      <c r="H28" s="88" t="n"/>
      <c r="I28" s="88" t="n"/>
      <c r="J28" s="88" t="n"/>
      <c r="K28" s="88" t="n"/>
      <c r="L28" s="88" t="n"/>
      <c r="M28" s="88" t="n"/>
      <c r="N28" s="88" t="n"/>
      <c r="O28" s="88" t="n"/>
      <c r="P28" s="88" t="n"/>
      <c r="Q28" s="88" t="n"/>
      <c r="R28" s="89">
        <f>IF($E28="","",SUM($F28:$Q28))</f>
        <v/>
      </c>
      <c r="S28" s="90">
        <f>IF($E28="","",SUMIFS(J_Montant,J_Annee,$B28,J_Module,$C28,J_Type,$D28,J_Cat,$E28,J_Statut,"&lt;&gt;Annulé",J_Statut,"&lt;&gt;Prévu"))</f>
        <v/>
      </c>
      <c r="T28" s="90">
        <f>IF($E28="","",IF($D28="Revenu",$S28-$R28,$R28-$S28))</f>
        <v/>
      </c>
      <c r="U28" s="91">
        <f>IF(OR($E28="",$R28=0),"",$S28/$R28)</f>
        <v/>
      </c>
      <c r="V28" s="92" t="n"/>
    </row>
    <row r="29">
      <c r="B29" s="87">
        <f>Annee_Travail</f>
        <v/>
      </c>
      <c r="C29" s="54" t="inlineStr">
        <is>
          <t>Général</t>
        </is>
      </c>
      <c r="D29" s="54" t="inlineStr">
        <is>
          <t>Dépense</t>
        </is>
      </c>
      <c r="E29" s="54" t="inlineStr">
        <is>
          <t>Assurance véhicule</t>
        </is>
      </c>
      <c r="F29" s="88" t="n"/>
      <c r="G29" s="88" t="n"/>
      <c r="H29" s="88" t="n"/>
      <c r="I29" s="88" t="n"/>
      <c r="J29" s="88" t="n"/>
      <c r="K29" s="88" t="n"/>
      <c r="L29" s="88" t="n"/>
      <c r="M29" s="88" t="n"/>
      <c r="N29" s="88" t="n"/>
      <c r="O29" s="88" t="n"/>
      <c r="P29" s="88" t="n"/>
      <c r="Q29" s="88" t="n"/>
      <c r="R29" s="89">
        <f>IF($E29="","",SUM($F29:$Q29))</f>
        <v/>
      </c>
      <c r="S29" s="90">
        <f>IF($E29="","",SUMIFS(J_Montant,J_Annee,$B29,J_Module,$C29,J_Type,$D29,J_Cat,$E29,J_Statut,"&lt;&gt;Annulé",J_Statut,"&lt;&gt;Prévu"))</f>
        <v/>
      </c>
      <c r="T29" s="90">
        <f>IF($E29="","",IF($D29="Revenu",$S29-$R29,$R29-$S29))</f>
        <v/>
      </c>
      <c r="U29" s="91">
        <f>IF(OR($E29="",$R29=0),"",$S29/$R29)</f>
        <v/>
      </c>
      <c r="V29" s="92" t="n"/>
    </row>
    <row r="30">
      <c r="B30" s="87">
        <f>Annee_Travail</f>
        <v/>
      </c>
      <c r="C30" s="54" t="inlineStr">
        <is>
          <t>Général</t>
        </is>
      </c>
      <c r="D30" s="54" t="inlineStr">
        <is>
          <t>Dépense</t>
        </is>
      </c>
      <c r="E30" s="54" t="inlineStr">
        <is>
          <t>Santé / Pharmacie</t>
        </is>
      </c>
      <c r="F30" s="88" t="n"/>
      <c r="G30" s="88" t="n"/>
      <c r="H30" s="88" t="n"/>
      <c r="I30" s="88" t="n"/>
      <c r="J30" s="88" t="n"/>
      <c r="K30" s="88" t="n"/>
      <c r="L30" s="88" t="n"/>
      <c r="M30" s="88" t="n"/>
      <c r="N30" s="88" t="n"/>
      <c r="O30" s="88" t="n"/>
      <c r="P30" s="88" t="n"/>
      <c r="Q30" s="88" t="n"/>
      <c r="R30" s="89">
        <f>IF($E30="","",SUM($F30:$Q30))</f>
        <v/>
      </c>
      <c r="S30" s="90">
        <f>IF($E30="","",SUMIFS(J_Montant,J_Annee,$B30,J_Module,$C30,J_Type,$D30,J_Cat,$E30,J_Statut,"&lt;&gt;Annulé",J_Statut,"&lt;&gt;Prévu"))</f>
        <v/>
      </c>
      <c r="T30" s="90">
        <f>IF($E30="","",IF($D30="Revenu",$S30-$R30,$R30-$S30))</f>
        <v/>
      </c>
      <c r="U30" s="91">
        <f>IF(OR($E30="",$R30=0),"",$S30/$R30)</f>
        <v/>
      </c>
      <c r="V30" s="92" t="n"/>
    </row>
    <row r="31">
      <c r="B31" s="87">
        <f>Annee_Travail</f>
        <v/>
      </c>
      <c r="C31" s="54" t="inlineStr">
        <is>
          <t>Général</t>
        </is>
      </c>
      <c r="D31" s="54" t="inlineStr">
        <is>
          <t>Dépense</t>
        </is>
      </c>
      <c r="E31" s="54" t="inlineStr">
        <is>
          <t>Assurance santé / Mutuelle</t>
        </is>
      </c>
      <c r="F31" s="88" t="n"/>
      <c r="G31" s="88" t="n"/>
      <c r="H31" s="88" t="n"/>
      <c r="I31" s="88" t="n"/>
      <c r="J31" s="88" t="n"/>
      <c r="K31" s="88" t="n"/>
      <c r="L31" s="88" t="n"/>
      <c r="M31" s="88" t="n"/>
      <c r="N31" s="88" t="n"/>
      <c r="O31" s="88" t="n"/>
      <c r="P31" s="88" t="n"/>
      <c r="Q31" s="88" t="n"/>
      <c r="R31" s="89">
        <f>IF($E31="","",SUM($F31:$Q31))</f>
        <v/>
      </c>
      <c r="S31" s="90">
        <f>IF($E31="","",SUMIFS(J_Montant,J_Annee,$B31,J_Module,$C31,J_Type,$D31,J_Cat,$E31,J_Statut,"&lt;&gt;Annulé",J_Statut,"&lt;&gt;Prévu"))</f>
        <v/>
      </c>
      <c r="T31" s="90">
        <f>IF($E31="","",IF($D31="Revenu",$S31-$R31,$R31-$S31))</f>
        <v/>
      </c>
      <c r="U31" s="91">
        <f>IF(OR($E31="",$R31=0),"",$S31/$R31)</f>
        <v/>
      </c>
      <c r="V31" s="92" t="n"/>
    </row>
    <row r="32">
      <c r="B32" s="87">
        <f>Annee_Travail</f>
        <v/>
      </c>
      <c r="C32" s="54" t="inlineStr">
        <is>
          <t>Général</t>
        </is>
      </c>
      <c r="D32" s="54" t="inlineStr">
        <is>
          <t>Dépense</t>
        </is>
      </c>
      <c r="E32" s="54" t="inlineStr">
        <is>
          <t>Habillement</t>
        </is>
      </c>
      <c r="F32" s="88" t="n"/>
      <c r="G32" s="88" t="n"/>
      <c r="H32" s="88" t="n"/>
      <c r="I32" s="88" t="n"/>
      <c r="J32" s="88" t="n"/>
      <c r="K32" s="88" t="n"/>
      <c r="L32" s="88" t="n"/>
      <c r="M32" s="88" t="n"/>
      <c r="N32" s="88" t="n"/>
      <c r="O32" s="88" t="n"/>
      <c r="P32" s="88" t="n"/>
      <c r="Q32" s="88" t="n"/>
      <c r="R32" s="89">
        <f>IF($E32="","",SUM($F32:$Q32))</f>
        <v/>
      </c>
      <c r="S32" s="90">
        <f>IF($E32="","",SUMIFS(J_Montant,J_Annee,$B32,J_Module,$C32,J_Type,$D32,J_Cat,$E32,J_Statut,"&lt;&gt;Annulé",J_Statut,"&lt;&gt;Prévu"))</f>
        <v/>
      </c>
      <c r="T32" s="90">
        <f>IF($E32="","",IF($D32="Revenu",$S32-$R32,$R32-$S32))</f>
        <v/>
      </c>
      <c r="U32" s="91">
        <f>IF(OR($E32="",$R32=0),"",$S32/$R32)</f>
        <v/>
      </c>
      <c r="V32" s="92" t="n"/>
    </row>
    <row r="33">
      <c r="B33" s="87">
        <f>Annee_Travail</f>
        <v/>
      </c>
      <c r="C33" s="54" t="inlineStr">
        <is>
          <t>Général</t>
        </is>
      </c>
      <c r="D33" s="54" t="inlineStr">
        <is>
          <t>Dépense</t>
        </is>
      </c>
      <c r="E33" s="54" t="inlineStr">
        <is>
          <t>Coiffure &amp; soins</t>
        </is>
      </c>
      <c r="F33" s="88" t="n"/>
      <c r="G33" s="88" t="n"/>
      <c r="H33" s="88" t="n"/>
      <c r="I33" s="88" t="n"/>
      <c r="J33" s="88" t="n"/>
      <c r="K33" s="88" t="n"/>
      <c r="L33" s="88" t="n"/>
      <c r="M33" s="88" t="n"/>
      <c r="N33" s="88" t="n"/>
      <c r="O33" s="88" t="n"/>
      <c r="P33" s="88" t="n"/>
      <c r="Q33" s="88" t="n"/>
      <c r="R33" s="89">
        <f>IF($E33="","",SUM($F33:$Q33))</f>
        <v/>
      </c>
      <c r="S33" s="90">
        <f>IF($E33="","",SUMIFS(J_Montant,J_Annee,$B33,J_Module,$C33,J_Type,$D33,J_Cat,$E33,J_Statut,"&lt;&gt;Annulé",J_Statut,"&lt;&gt;Prévu"))</f>
        <v/>
      </c>
      <c r="T33" s="90">
        <f>IF($E33="","",IF($D33="Revenu",$S33-$R33,$R33-$S33))</f>
        <v/>
      </c>
      <c r="U33" s="91">
        <f>IF(OR($E33="",$R33=0),"",$S33/$R33)</f>
        <v/>
      </c>
      <c r="V33" s="92" t="n"/>
    </row>
    <row r="34">
      <c r="B34" s="87">
        <f>Annee_Travail</f>
        <v/>
      </c>
      <c r="C34" s="54" t="inlineStr">
        <is>
          <t>Général</t>
        </is>
      </c>
      <c r="D34" s="54" t="inlineStr">
        <is>
          <t>Dépense</t>
        </is>
      </c>
      <c r="E34" s="54" t="inlineStr">
        <is>
          <t>Scolarité / Éducation</t>
        </is>
      </c>
      <c r="F34" s="88" t="n"/>
      <c r="G34" s="88" t="n"/>
      <c r="H34" s="88" t="n"/>
      <c r="I34" s="88" t="n"/>
      <c r="J34" s="88" t="n"/>
      <c r="K34" s="88" t="n"/>
      <c r="L34" s="88" t="n"/>
      <c r="M34" s="88" t="n"/>
      <c r="N34" s="88" t="n"/>
      <c r="O34" s="88" t="n"/>
      <c r="P34" s="88" t="n"/>
      <c r="Q34" s="88" t="n"/>
      <c r="R34" s="89">
        <f>IF($E34="","",SUM($F34:$Q34))</f>
        <v/>
      </c>
      <c r="S34" s="90">
        <f>IF($E34="","",SUMIFS(J_Montant,J_Annee,$B34,J_Module,$C34,J_Type,$D34,J_Cat,$E34,J_Statut,"&lt;&gt;Annulé",J_Statut,"&lt;&gt;Prévu"))</f>
        <v/>
      </c>
      <c r="T34" s="90">
        <f>IF($E34="","",IF($D34="Revenu",$S34-$R34,$R34-$S34))</f>
        <v/>
      </c>
      <c r="U34" s="91">
        <f>IF(OR($E34="",$R34=0),"",$S34/$R34)</f>
        <v/>
      </c>
      <c r="V34" s="92" t="n"/>
    </row>
    <row r="35">
      <c r="B35" s="87">
        <f>Annee_Travail</f>
        <v/>
      </c>
      <c r="C35" s="54" t="inlineStr">
        <is>
          <t>Général</t>
        </is>
      </c>
      <c r="D35" s="54" t="inlineStr">
        <is>
          <t>Dépense</t>
        </is>
      </c>
      <c r="E35" s="54" t="inlineStr">
        <is>
          <t>Garde d'enfants</t>
        </is>
      </c>
      <c r="F35" s="88" t="n"/>
      <c r="G35" s="88" t="n"/>
      <c r="H35" s="88" t="n"/>
      <c r="I35" s="88" t="n"/>
      <c r="J35" s="88" t="n"/>
      <c r="K35" s="88" t="n"/>
      <c r="L35" s="88" t="n"/>
      <c r="M35" s="88" t="n"/>
      <c r="N35" s="88" t="n"/>
      <c r="O35" s="88" t="n"/>
      <c r="P35" s="88" t="n"/>
      <c r="Q35" s="88" t="n"/>
      <c r="R35" s="89">
        <f>IF($E35="","",SUM($F35:$Q35))</f>
        <v/>
      </c>
      <c r="S35" s="90">
        <f>IF($E35="","",SUMIFS(J_Montant,J_Annee,$B35,J_Module,$C35,J_Type,$D35,J_Cat,$E35,J_Statut,"&lt;&gt;Annulé",J_Statut,"&lt;&gt;Prévu"))</f>
        <v/>
      </c>
      <c r="T35" s="90">
        <f>IF($E35="","",IF($D35="Revenu",$S35-$R35,$R35-$S35))</f>
        <v/>
      </c>
      <c r="U35" s="91">
        <f>IF(OR($E35="",$R35=0),"",$S35/$R35)</f>
        <v/>
      </c>
      <c r="V35" s="92" t="n"/>
    </row>
    <row r="36">
      <c r="B36" s="87">
        <f>Annee_Travail</f>
        <v/>
      </c>
      <c r="C36" s="54" t="inlineStr">
        <is>
          <t>Général</t>
        </is>
      </c>
      <c r="D36" s="54" t="inlineStr">
        <is>
          <t>Dépense</t>
        </is>
      </c>
      <c r="E36" s="54" t="inlineStr">
        <is>
          <t>Sport / Fitness</t>
        </is>
      </c>
      <c r="F36" s="88" t="n"/>
      <c r="G36" s="88" t="n"/>
      <c r="H36" s="88" t="n"/>
      <c r="I36" s="88" t="n"/>
      <c r="J36" s="88" t="n"/>
      <c r="K36" s="88" t="n"/>
      <c r="L36" s="88" t="n"/>
      <c r="M36" s="88" t="n"/>
      <c r="N36" s="88" t="n"/>
      <c r="O36" s="88" t="n"/>
      <c r="P36" s="88" t="n"/>
      <c r="Q36" s="88" t="n"/>
      <c r="R36" s="89">
        <f>IF($E36="","",SUM($F36:$Q36))</f>
        <v/>
      </c>
      <c r="S36" s="90">
        <f>IF($E36="","",SUMIFS(J_Montant,J_Annee,$B36,J_Module,$C36,J_Type,$D36,J_Cat,$E36,J_Statut,"&lt;&gt;Annulé",J_Statut,"&lt;&gt;Prévu"))</f>
        <v/>
      </c>
      <c r="T36" s="90">
        <f>IF($E36="","",IF($D36="Revenu",$S36-$R36,$R36-$S36))</f>
        <v/>
      </c>
      <c r="U36" s="91">
        <f>IF(OR($E36="",$R36=0),"",$S36/$R36)</f>
        <v/>
      </c>
      <c r="V36" s="92" t="n"/>
    </row>
    <row r="37">
      <c r="B37" s="87">
        <f>Annee_Travail</f>
        <v/>
      </c>
      <c r="C37" s="54" t="inlineStr">
        <is>
          <t>Général</t>
        </is>
      </c>
      <c r="D37" s="54" t="inlineStr">
        <is>
          <t>Dépense</t>
        </is>
      </c>
      <c r="E37" s="54" t="inlineStr">
        <is>
          <t>Loisirs &amp; sorties</t>
        </is>
      </c>
      <c r="F37" s="88" t="n"/>
      <c r="G37" s="88" t="n"/>
      <c r="H37" s="88" t="n"/>
      <c r="I37" s="88" t="n"/>
      <c r="J37" s="88" t="n"/>
      <c r="K37" s="88" t="n"/>
      <c r="L37" s="88" t="n"/>
      <c r="M37" s="88" t="n"/>
      <c r="N37" s="88" t="n"/>
      <c r="O37" s="88" t="n"/>
      <c r="P37" s="88" t="n"/>
      <c r="Q37" s="88" t="n"/>
      <c r="R37" s="89">
        <f>IF($E37="","",SUM($F37:$Q37))</f>
        <v/>
      </c>
      <c r="S37" s="90">
        <f>IF($E37="","",SUMIFS(J_Montant,J_Annee,$B37,J_Module,$C37,J_Type,$D37,J_Cat,$E37,J_Statut,"&lt;&gt;Annulé",J_Statut,"&lt;&gt;Prévu"))</f>
        <v/>
      </c>
      <c r="T37" s="90">
        <f>IF($E37="","",IF($D37="Revenu",$S37-$R37,$R37-$S37))</f>
        <v/>
      </c>
      <c r="U37" s="91">
        <f>IF(OR($E37="",$R37=0),"",$S37/$R37)</f>
        <v/>
      </c>
      <c r="V37" s="92" t="n"/>
    </row>
    <row r="38">
      <c r="B38" s="87">
        <f>Annee_Travail</f>
        <v/>
      </c>
      <c r="C38" s="54" t="inlineStr">
        <is>
          <t>Général</t>
        </is>
      </c>
      <c r="D38" s="54" t="inlineStr">
        <is>
          <t>Dépense</t>
        </is>
      </c>
      <c r="E38" s="54" t="inlineStr">
        <is>
          <t>Abonnements (streaming, apps)</t>
        </is>
      </c>
      <c r="F38" s="88" t="n"/>
      <c r="G38" s="88" t="n"/>
      <c r="H38" s="88" t="n"/>
      <c r="I38" s="88" t="n"/>
      <c r="J38" s="88" t="n"/>
      <c r="K38" s="88" t="n"/>
      <c r="L38" s="88" t="n"/>
      <c r="M38" s="88" t="n"/>
      <c r="N38" s="88" t="n"/>
      <c r="O38" s="88" t="n"/>
      <c r="P38" s="88" t="n"/>
      <c r="Q38" s="88" t="n"/>
      <c r="R38" s="89">
        <f>IF($E38="","",SUM($F38:$Q38))</f>
        <v/>
      </c>
      <c r="S38" s="90">
        <f>IF($E38="","",SUMIFS(J_Montant,J_Annee,$B38,J_Module,$C38,J_Type,$D38,J_Cat,$E38,J_Statut,"&lt;&gt;Annulé",J_Statut,"&lt;&gt;Prévu"))</f>
        <v/>
      </c>
      <c r="T38" s="90">
        <f>IF($E38="","",IF($D38="Revenu",$S38-$R38,$R38-$S38))</f>
        <v/>
      </c>
      <c r="U38" s="91">
        <f>IF(OR($E38="",$R38=0),"",$S38/$R38)</f>
        <v/>
      </c>
      <c r="V38" s="92" t="n"/>
    </row>
    <row r="39">
      <c r="B39" s="87">
        <f>Annee_Travail</f>
        <v/>
      </c>
      <c r="C39" s="54" t="inlineStr">
        <is>
          <t>Général</t>
        </is>
      </c>
      <c r="D39" s="54" t="inlineStr">
        <is>
          <t>Dépense</t>
        </is>
      </c>
      <c r="E39" s="54" t="inlineStr">
        <is>
          <t>Dîme / Offrandes</t>
        </is>
      </c>
      <c r="F39" s="88" t="n"/>
      <c r="G39" s="88" t="n"/>
      <c r="H39" s="88" t="n"/>
      <c r="I39" s="88" t="n"/>
      <c r="J39" s="88" t="n"/>
      <c r="K39" s="88" t="n"/>
      <c r="L39" s="88" t="n"/>
      <c r="M39" s="88" t="n"/>
      <c r="N39" s="88" t="n"/>
      <c r="O39" s="88" t="n"/>
      <c r="P39" s="88" t="n"/>
      <c r="Q39" s="88" t="n"/>
      <c r="R39" s="89">
        <f>IF($E39="","",SUM($F39:$Q39))</f>
        <v/>
      </c>
      <c r="S39" s="90">
        <f>IF($E39="","",SUMIFS(J_Montant,J_Annee,$B39,J_Module,$C39,J_Type,$D39,J_Cat,$E39,J_Statut,"&lt;&gt;Annulé",J_Statut,"&lt;&gt;Prévu"))</f>
        <v/>
      </c>
      <c r="T39" s="90">
        <f>IF($E39="","",IF($D39="Revenu",$S39-$R39,$R39-$S39))</f>
        <v/>
      </c>
      <c r="U39" s="91">
        <f>IF(OR($E39="",$R39=0),"",$S39/$R39)</f>
        <v/>
      </c>
      <c r="V39" s="92" t="n"/>
    </row>
    <row r="40">
      <c r="B40" s="87">
        <f>Annee_Travail</f>
        <v/>
      </c>
      <c r="C40" s="54" t="inlineStr">
        <is>
          <t>Général</t>
        </is>
      </c>
      <c r="D40" s="54" t="inlineStr">
        <is>
          <t>Dépense</t>
        </is>
      </c>
      <c r="E40" s="54" t="inlineStr">
        <is>
          <t>Dons &amp; solidarité</t>
        </is>
      </c>
      <c r="F40" s="88" t="n"/>
      <c r="G40" s="88" t="n"/>
      <c r="H40" s="88" t="n"/>
      <c r="I40" s="88" t="n"/>
      <c r="J40" s="88" t="n"/>
      <c r="K40" s="88" t="n"/>
      <c r="L40" s="88" t="n"/>
      <c r="M40" s="88" t="n"/>
      <c r="N40" s="88" t="n"/>
      <c r="O40" s="88" t="n"/>
      <c r="P40" s="88" t="n"/>
      <c r="Q40" s="88" t="n"/>
      <c r="R40" s="89">
        <f>IF($E40="","",SUM($F40:$Q40))</f>
        <v/>
      </c>
      <c r="S40" s="90">
        <f>IF($E40="","",SUMIFS(J_Montant,J_Annee,$B40,J_Module,$C40,J_Type,$D40,J_Cat,$E40,J_Statut,"&lt;&gt;Annulé",J_Statut,"&lt;&gt;Prévu"))</f>
        <v/>
      </c>
      <c r="T40" s="90">
        <f>IF($E40="","",IF($D40="Revenu",$S40-$R40,$R40-$S40))</f>
        <v/>
      </c>
      <c r="U40" s="91">
        <f>IF(OR($E40="",$R40=0),"",$S40/$R40)</f>
        <v/>
      </c>
      <c r="V40" s="92" t="n"/>
    </row>
    <row r="41">
      <c r="B41" s="87">
        <f>Annee_Travail</f>
        <v/>
      </c>
      <c r="C41" s="54" t="inlineStr">
        <is>
          <t>Général</t>
        </is>
      </c>
      <c r="D41" s="54" t="inlineStr">
        <is>
          <t>Dépense</t>
        </is>
      </c>
      <c r="E41" s="54" t="inlineStr">
        <is>
          <t>Cadeaux</t>
        </is>
      </c>
      <c r="F41" s="88" t="n"/>
      <c r="G41" s="88" t="n"/>
      <c r="H41" s="88" t="n"/>
      <c r="I41" s="88" t="n"/>
      <c r="J41" s="88" t="n"/>
      <c r="K41" s="88" t="n"/>
      <c r="L41" s="88" t="n"/>
      <c r="M41" s="88" t="n"/>
      <c r="N41" s="88" t="n"/>
      <c r="O41" s="88" t="n"/>
      <c r="P41" s="88" t="n"/>
      <c r="Q41" s="88" t="n"/>
      <c r="R41" s="89">
        <f>IF($E41="","",SUM($F41:$Q41))</f>
        <v/>
      </c>
      <c r="S41" s="90">
        <f>IF($E41="","",SUMIFS(J_Montant,J_Annee,$B41,J_Module,$C41,J_Type,$D41,J_Cat,$E41,J_Statut,"&lt;&gt;Annulé",J_Statut,"&lt;&gt;Prévu"))</f>
        <v/>
      </c>
      <c r="T41" s="90">
        <f>IF($E41="","",IF($D41="Revenu",$S41-$R41,$R41-$S41))</f>
        <v/>
      </c>
      <c r="U41" s="91">
        <f>IF(OR($E41="",$R41=0),"",$S41/$R41)</f>
        <v/>
      </c>
      <c r="V41" s="92" t="n"/>
    </row>
    <row r="42">
      <c r="B42" s="87">
        <f>Annee_Travail</f>
        <v/>
      </c>
      <c r="C42" s="54" t="inlineStr">
        <is>
          <t>Général</t>
        </is>
      </c>
      <c r="D42" s="54" t="inlineStr">
        <is>
          <t>Dépense</t>
        </is>
      </c>
      <c r="E42" s="54" t="inlineStr">
        <is>
          <t>Voyages / Vacances</t>
        </is>
      </c>
      <c r="F42" s="88" t="n"/>
      <c r="G42" s="88" t="n"/>
      <c r="H42" s="88" t="n"/>
      <c r="I42" s="88" t="n"/>
      <c r="J42" s="88" t="n"/>
      <c r="K42" s="88" t="n"/>
      <c r="L42" s="88" t="n"/>
      <c r="M42" s="88" t="n"/>
      <c r="N42" s="88" t="n"/>
      <c r="O42" s="88" t="n"/>
      <c r="P42" s="88" t="n"/>
      <c r="Q42" s="88" t="n"/>
      <c r="R42" s="89">
        <f>IF($E42="","",SUM($F42:$Q42))</f>
        <v/>
      </c>
      <c r="S42" s="90">
        <f>IF($E42="","",SUMIFS(J_Montant,J_Annee,$B42,J_Module,$C42,J_Type,$D42,J_Cat,$E42,J_Statut,"&lt;&gt;Annulé",J_Statut,"&lt;&gt;Prévu"))</f>
        <v/>
      </c>
      <c r="T42" s="90">
        <f>IF($E42="","",IF($D42="Revenu",$S42-$R42,$R42-$S42))</f>
        <v/>
      </c>
      <c r="U42" s="91">
        <f>IF(OR($E42="",$R42=0),"",$S42/$R42)</f>
        <v/>
      </c>
      <c r="V42" s="92" t="n"/>
    </row>
    <row r="43">
      <c r="B43" s="87">
        <f>Annee_Travail</f>
        <v/>
      </c>
      <c r="C43" s="54" t="inlineStr">
        <is>
          <t>Général</t>
        </is>
      </c>
      <c r="D43" s="54" t="inlineStr">
        <is>
          <t>Dépense</t>
        </is>
      </c>
      <c r="E43" s="54" t="inlineStr">
        <is>
          <t>Impôts &amp; taxes</t>
        </is>
      </c>
      <c r="F43" s="88" t="n"/>
      <c r="G43" s="88" t="n"/>
      <c r="H43" s="88" t="n"/>
      <c r="I43" s="88" t="n"/>
      <c r="J43" s="88" t="n"/>
      <c r="K43" s="88" t="n"/>
      <c r="L43" s="88" t="n"/>
      <c r="M43" s="88" t="n"/>
      <c r="N43" s="88" t="n"/>
      <c r="O43" s="88" t="n"/>
      <c r="P43" s="88" t="n"/>
      <c r="Q43" s="88" t="n"/>
      <c r="R43" s="89">
        <f>IF($E43="","",SUM($F43:$Q43))</f>
        <v/>
      </c>
      <c r="S43" s="90">
        <f>IF($E43="","",SUMIFS(J_Montant,J_Annee,$B43,J_Module,$C43,J_Type,$D43,J_Cat,$E43,J_Statut,"&lt;&gt;Annulé",J_Statut,"&lt;&gt;Prévu"))</f>
        <v/>
      </c>
      <c r="T43" s="90">
        <f>IF($E43="","",IF($D43="Revenu",$S43-$R43,$R43-$S43))</f>
        <v/>
      </c>
      <c r="U43" s="91">
        <f>IF(OR($E43="",$R43=0),"",$S43/$R43)</f>
        <v/>
      </c>
      <c r="V43" s="92" t="n"/>
    </row>
    <row r="44">
      <c r="B44" s="87">
        <f>Annee_Travail</f>
        <v/>
      </c>
      <c r="C44" s="54" t="inlineStr">
        <is>
          <t>Général</t>
        </is>
      </c>
      <c r="D44" s="54" t="inlineStr">
        <is>
          <t>Dépense</t>
        </is>
      </c>
      <c r="E44" s="54" t="inlineStr">
        <is>
          <t>Frais bancaires</t>
        </is>
      </c>
      <c r="F44" s="88" t="n"/>
      <c r="G44" s="88" t="n"/>
      <c r="H44" s="88" t="n"/>
      <c r="I44" s="88" t="n"/>
      <c r="J44" s="88" t="n"/>
      <c r="K44" s="88" t="n"/>
      <c r="L44" s="88" t="n"/>
      <c r="M44" s="88" t="n"/>
      <c r="N44" s="88" t="n"/>
      <c r="O44" s="88" t="n"/>
      <c r="P44" s="88" t="n"/>
      <c r="Q44" s="88" t="n"/>
      <c r="R44" s="89">
        <f>IF($E44="","",SUM($F44:$Q44))</f>
        <v/>
      </c>
      <c r="S44" s="90">
        <f>IF($E44="","",SUMIFS(J_Montant,J_Annee,$B44,J_Module,$C44,J_Type,$D44,J_Cat,$E44,J_Statut,"&lt;&gt;Annulé",J_Statut,"&lt;&gt;Prévu"))</f>
        <v/>
      </c>
      <c r="T44" s="90">
        <f>IF($E44="","",IF($D44="Revenu",$S44-$R44,$R44-$S44))</f>
        <v/>
      </c>
      <c r="U44" s="91">
        <f>IF(OR($E44="",$R44=0),"",$S44/$R44)</f>
        <v/>
      </c>
      <c r="V44" s="92" t="n"/>
    </row>
    <row r="45">
      <c r="B45" s="87">
        <f>Annee_Travail</f>
        <v/>
      </c>
      <c r="C45" s="54" t="inlineStr">
        <is>
          <t>Général</t>
        </is>
      </c>
      <c r="D45" s="54" t="inlineStr">
        <is>
          <t>Dépense</t>
        </is>
      </c>
      <c r="E45" s="54" t="inlineStr">
        <is>
          <t>Aide à la famille élargie</t>
        </is>
      </c>
      <c r="F45" s="88" t="n"/>
      <c r="G45" s="88" t="n"/>
      <c r="H45" s="88" t="n"/>
      <c r="I45" s="88" t="n"/>
      <c r="J45" s="88" t="n"/>
      <c r="K45" s="88" t="n"/>
      <c r="L45" s="88" t="n"/>
      <c r="M45" s="88" t="n"/>
      <c r="N45" s="88" t="n"/>
      <c r="O45" s="88" t="n"/>
      <c r="P45" s="88" t="n"/>
      <c r="Q45" s="88" t="n"/>
      <c r="R45" s="89">
        <f>IF($E45="","",SUM($F45:$Q45))</f>
        <v/>
      </c>
      <c r="S45" s="90">
        <f>IF($E45="","",SUMIFS(J_Montant,J_Annee,$B45,J_Module,$C45,J_Type,$D45,J_Cat,$E45,J_Statut,"&lt;&gt;Annulé",J_Statut,"&lt;&gt;Prévu"))</f>
        <v/>
      </c>
      <c r="T45" s="90">
        <f>IF($E45="","",IF($D45="Revenu",$S45-$R45,$R45-$S45))</f>
        <v/>
      </c>
      <c r="U45" s="91">
        <f>IF(OR($E45="",$R45=0),"",$S45/$R45)</f>
        <v/>
      </c>
      <c r="V45" s="92" t="n"/>
    </row>
    <row r="46">
      <c r="B46" s="87">
        <f>Annee_Travail</f>
        <v/>
      </c>
      <c r="C46" s="54" t="inlineStr">
        <is>
          <t>Général</t>
        </is>
      </c>
      <c r="D46" s="54" t="inlineStr">
        <is>
          <t>Dépense</t>
        </is>
      </c>
      <c r="E46" s="54" t="inlineStr">
        <is>
          <t>Imprévus / Divers</t>
        </is>
      </c>
      <c r="F46" s="88" t="n"/>
      <c r="G46" s="88" t="n"/>
      <c r="H46" s="88" t="n"/>
      <c r="I46" s="88" t="n"/>
      <c r="J46" s="88" t="n"/>
      <c r="K46" s="88" t="n"/>
      <c r="L46" s="88" t="n"/>
      <c r="M46" s="88" t="n"/>
      <c r="N46" s="88" t="n"/>
      <c r="O46" s="88" t="n"/>
      <c r="P46" s="88" t="n"/>
      <c r="Q46" s="88" t="n"/>
      <c r="R46" s="89">
        <f>IF($E46="","",SUM($F46:$Q46))</f>
        <v/>
      </c>
      <c r="S46" s="90">
        <f>IF($E46="","",SUMIFS(J_Montant,J_Annee,$B46,J_Module,$C46,J_Type,$D46,J_Cat,$E46,J_Statut,"&lt;&gt;Annulé",J_Statut,"&lt;&gt;Prévu"))</f>
        <v/>
      </c>
      <c r="T46" s="90">
        <f>IF($E46="","",IF($D46="Revenu",$S46-$R46,$R46-$S46))</f>
        <v/>
      </c>
      <c r="U46" s="91">
        <f>IF(OR($E46="",$R46=0),"",$S46/$R46)</f>
        <v/>
      </c>
      <c r="V46" s="92" t="n"/>
    </row>
    <row r="47">
      <c r="B47" s="87">
        <f>Annee_Travail</f>
        <v/>
      </c>
      <c r="C47" s="54" t="inlineStr">
        <is>
          <t>Général</t>
        </is>
      </c>
      <c r="D47" s="54" t="inlineStr">
        <is>
          <t>Épargne</t>
        </is>
      </c>
      <c r="E47" s="54" t="inlineStr">
        <is>
          <t>Épargne (versement)</t>
        </is>
      </c>
      <c r="F47" s="88" t="n"/>
      <c r="G47" s="88" t="n"/>
      <c r="H47" s="88" t="n"/>
      <c r="I47" s="88" t="n"/>
      <c r="J47" s="88" t="n"/>
      <c r="K47" s="88" t="n"/>
      <c r="L47" s="88" t="n"/>
      <c r="M47" s="88" t="n"/>
      <c r="N47" s="88" t="n"/>
      <c r="O47" s="88" t="n"/>
      <c r="P47" s="88" t="n"/>
      <c r="Q47" s="88" t="n"/>
      <c r="R47" s="89">
        <f>IF($E47="","",SUM($F47:$Q47))</f>
        <v/>
      </c>
      <c r="S47" s="90">
        <f>IF($E47="","",SUMIFS(J_Montant,J_Annee,$B47,J_Module,$C47,J_Type,$D47,J_Cat,$E47,J_Statut,"&lt;&gt;Annulé",J_Statut,"&lt;&gt;Prévu"))</f>
        <v/>
      </c>
      <c r="T47" s="90">
        <f>IF($E47="","",IF($D47="Revenu",$S47-$R47,$R47-$S47))</f>
        <v/>
      </c>
      <c r="U47" s="91">
        <f>IF(OR($E47="",$R47=0),"",$S47/$R47)</f>
        <v/>
      </c>
      <c r="V47" s="92" t="n"/>
    </row>
    <row r="48">
      <c r="B48" s="87">
        <f>Annee_Travail</f>
        <v/>
      </c>
      <c r="C48" s="54" t="inlineStr">
        <is>
          <t>Général</t>
        </is>
      </c>
      <c r="D48" s="54" t="inlineStr">
        <is>
          <t>Investissement</t>
        </is>
      </c>
      <c r="E48" s="54" t="inlineStr">
        <is>
          <t>Investissement</t>
        </is>
      </c>
      <c r="F48" s="88" t="n"/>
      <c r="G48" s="88" t="n"/>
      <c r="H48" s="88" t="n"/>
      <c r="I48" s="88" t="n"/>
      <c r="J48" s="88" t="n"/>
      <c r="K48" s="88" t="n"/>
      <c r="L48" s="88" t="n"/>
      <c r="M48" s="88" t="n"/>
      <c r="N48" s="88" t="n"/>
      <c r="O48" s="88" t="n"/>
      <c r="P48" s="88" t="n"/>
      <c r="Q48" s="88" t="n"/>
      <c r="R48" s="89">
        <f>IF($E48="","",SUM($F48:$Q48))</f>
        <v/>
      </c>
      <c r="S48" s="90">
        <f>IF($E48="","",SUMIFS(J_Montant,J_Annee,$B48,J_Module,$C48,J_Type,$D48,J_Cat,$E48,J_Statut,"&lt;&gt;Annulé",J_Statut,"&lt;&gt;Prévu"))</f>
        <v/>
      </c>
      <c r="T48" s="90">
        <f>IF($E48="","",IF($D48="Revenu",$S48-$R48,$R48-$S48))</f>
        <v/>
      </c>
      <c r="U48" s="91">
        <f>IF(OR($E48="",$R48=0),"",$S48/$R48)</f>
        <v/>
      </c>
      <c r="V48" s="92" t="n"/>
    </row>
    <row r="49">
      <c r="B49" s="87">
        <f>Annee_Travail</f>
        <v/>
      </c>
      <c r="C49" s="54" t="inlineStr">
        <is>
          <t>Général</t>
        </is>
      </c>
      <c r="D49" s="54" t="inlineStr">
        <is>
          <t>Remboursement crédit</t>
        </is>
      </c>
      <c r="E49" s="54" t="inlineStr">
        <is>
          <t>Remboursement de crédit</t>
        </is>
      </c>
      <c r="F49" s="88" t="n"/>
      <c r="G49" s="88" t="n"/>
      <c r="H49" s="88" t="n"/>
      <c r="I49" s="88" t="n"/>
      <c r="J49" s="88" t="n"/>
      <c r="K49" s="88" t="n"/>
      <c r="L49" s="88" t="n"/>
      <c r="M49" s="88" t="n"/>
      <c r="N49" s="88" t="n"/>
      <c r="O49" s="88" t="n"/>
      <c r="P49" s="88" t="n"/>
      <c r="Q49" s="88" t="n"/>
      <c r="R49" s="89">
        <f>IF($E49="","",SUM($F49:$Q49))</f>
        <v/>
      </c>
      <c r="S49" s="90">
        <f>IF($E49="","",SUMIFS(J_Montant,J_Annee,$B49,J_Module,$C49,J_Type,$D49,J_Cat,$E49,J_Statut,"&lt;&gt;Annulé",J_Statut,"&lt;&gt;Prévu"))</f>
        <v/>
      </c>
      <c r="T49" s="90">
        <f>IF($E49="","",IF($D49="Revenu",$S49-$R49,$R49-$S49))</f>
        <v/>
      </c>
      <c r="U49" s="91">
        <f>IF(OR($E49="",$R49=0),"",$S49/$R49)</f>
        <v/>
      </c>
      <c r="V49" s="92" t="n"/>
    </row>
    <row r="50">
      <c r="B50" s="87">
        <f>Annee_Travail</f>
        <v/>
      </c>
      <c r="C50" s="54" t="inlineStr">
        <is>
          <t>Mariage</t>
        </is>
      </c>
      <c r="D50" s="54" t="inlineStr">
        <is>
          <t>Dépense</t>
        </is>
      </c>
      <c r="E50" s="54" t="inlineStr">
        <is>
          <t>Dot &amp; coutume</t>
        </is>
      </c>
      <c r="F50" s="88" t="n"/>
      <c r="G50" s="88" t="n"/>
      <c r="H50" s="88" t="n"/>
      <c r="I50" s="88" t="n"/>
      <c r="J50" s="88" t="n"/>
      <c r="K50" s="88" t="n"/>
      <c r="L50" s="88" t="n"/>
      <c r="M50" s="88" t="n"/>
      <c r="N50" s="88" t="n"/>
      <c r="O50" s="88" t="n"/>
      <c r="P50" s="88" t="n"/>
      <c r="Q50" s="88" t="n"/>
      <c r="R50" s="89">
        <f>IF($E50="","",SUM($F50:$Q50))</f>
        <v/>
      </c>
      <c r="S50" s="90">
        <f>IF($E50="","",SUMIFS(J_Montant,J_Annee,$B50,J_Module,$C50,J_Type,$D50,J_Cat,$E50,J_Statut,"&lt;&gt;Annulé",J_Statut,"&lt;&gt;Prévu"))</f>
        <v/>
      </c>
      <c r="T50" s="90">
        <f>IF($E50="","",IF($D50="Revenu",$S50-$R50,$R50-$S50))</f>
        <v/>
      </c>
      <c r="U50" s="91">
        <f>IF(OR($E50="",$R50=0),"",$S50/$R50)</f>
        <v/>
      </c>
      <c r="V50" s="92" t="n"/>
    </row>
    <row r="51">
      <c r="B51" s="87">
        <f>Annee_Travail</f>
        <v/>
      </c>
      <c r="C51" s="54" t="inlineStr">
        <is>
          <t>Mariage</t>
        </is>
      </c>
      <c r="D51" s="54" t="inlineStr">
        <is>
          <t>Dépense</t>
        </is>
      </c>
      <c r="E51" s="54" t="inlineStr">
        <is>
          <t>Salle &amp; mobilier</t>
        </is>
      </c>
      <c r="F51" s="88" t="n"/>
      <c r="G51" s="88" t="n"/>
      <c r="H51" s="88" t="n"/>
      <c r="I51" s="88" t="n"/>
      <c r="J51" s="88" t="n"/>
      <c r="K51" s="88" t="n"/>
      <c r="L51" s="88" t="n"/>
      <c r="M51" s="88" t="n"/>
      <c r="N51" s="88" t="n"/>
      <c r="O51" s="88" t="n"/>
      <c r="P51" s="88" t="n"/>
      <c r="Q51" s="88" t="n"/>
      <c r="R51" s="89">
        <f>IF($E51="","",SUM($F51:$Q51))</f>
        <v/>
      </c>
      <c r="S51" s="90">
        <f>IF($E51="","",SUMIFS(J_Montant,J_Annee,$B51,J_Module,$C51,J_Type,$D51,J_Cat,$E51,J_Statut,"&lt;&gt;Annulé",J_Statut,"&lt;&gt;Prévu"))</f>
        <v/>
      </c>
      <c r="T51" s="90">
        <f>IF($E51="","",IF($D51="Revenu",$S51-$R51,$R51-$S51))</f>
        <v/>
      </c>
      <c r="U51" s="91">
        <f>IF(OR($E51="",$R51=0),"",$S51/$R51)</f>
        <v/>
      </c>
      <c r="V51" s="92" t="n"/>
    </row>
    <row r="52">
      <c r="B52" s="87">
        <f>Annee_Travail</f>
        <v/>
      </c>
      <c r="C52" s="54" t="inlineStr">
        <is>
          <t>Mariage</t>
        </is>
      </c>
      <c r="D52" s="54" t="inlineStr">
        <is>
          <t>Dépense</t>
        </is>
      </c>
      <c r="E52" s="54" t="inlineStr">
        <is>
          <t>Traiteur &amp; repas</t>
        </is>
      </c>
      <c r="F52" s="88" t="n"/>
      <c r="G52" s="88" t="n"/>
      <c r="H52" s="88" t="n"/>
      <c r="I52" s="88" t="n"/>
      <c r="J52" s="88" t="n"/>
      <c r="K52" s="88" t="n"/>
      <c r="L52" s="88" t="n"/>
      <c r="M52" s="88" t="n"/>
      <c r="N52" s="88" t="n"/>
      <c r="O52" s="88" t="n"/>
      <c r="P52" s="88" t="n"/>
      <c r="Q52" s="88" t="n"/>
      <c r="R52" s="89">
        <f>IF($E52="","",SUM($F52:$Q52))</f>
        <v/>
      </c>
      <c r="S52" s="90">
        <f>IF($E52="","",SUMIFS(J_Montant,J_Annee,$B52,J_Module,$C52,J_Type,$D52,J_Cat,$E52,J_Statut,"&lt;&gt;Annulé",J_Statut,"&lt;&gt;Prévu"))</f>
        <v/>
      </c>
      <c r="T52" s="90">
        <f>IF($E52="","",IF($D52="Revenu",$S52-$R52,$R52-$S52))</f>
        <v/>
      </c>
      <c r="U52" s="91">
        <f>IF(OR($E52="",$R52=0),"",$S52/$R52)</f>
        <v/>
      </c>
      <c r="V52" s="92" t="n"/>
    </row>
    <row r="53">
      <c r="B53" s="87">
        <f>Annee_Travail</f>
        <v/>
      </c>
      <c r="C53" s="54" t="inlineStr">
        <is>
          <t>Mariage</t>
        </is>
      </c>
      <c r="D53" s="54" t="inlineStr">
        <is>
          <t>Dépense</t>
        </is>
      </c>
      <c r="E53" s="54" t="inlineStr">
        <is>
          <t>Décoration</t>
        </is>
      </c>
      <c r="F53" s="88" t="n"/>
      <c r="G53" s="88" t="n"/>
      <c r="H53" s="88" t="n"/>
      <c r="I53" s="88" t="n"/>
      <c r="J53" s="88" t="n"/>
      <c r="K53" s="88" t="n"/>
      <c r="L53" s="88" t="n"/>
      <c r="M53" s="88" t="n"/>
      <c r="N53" s="88" t="n"/>
      <c r="O53" s="88" t="n"/>
      <c r="P53" s="88" t="n"/>
      <c r="Q53" s="88" t="n"/>
      <c r="R53" s="89">
        <f>IF($E53="","",SUM($F53:$Q53))</f>
        <v/>
      </c>
      <c r="S53" s="90">
        <f>IF($E53="","",SUMIFS(J_Montant,J_Annee,$B53,J_Module,$C53,J_Type,$D53,J_Cat,$E53,J_Statut,"&lt;&gt;Annulé",J_Statut,"&lt;&gt;Prévu"))</f>
        <v/>
      </c>
      <c r="T53" s="90">
        <f>IF($E53="","",IF($D53="Revenu",$S53-$R53,$R53-$S53))</f>
        <v/>
      </c>
      <c r="U53" s="91">
        <f>IF(OR($E53="",$R53=0),"",$S53/$R53)</f>
        <v/>
      </c>
      <c r="V53" s="92" t="n"/>
    </row>
    <row r="54">
      <c r="B54" s="87">
        <f>Annee_Travail</f>
        <v/>
      </c>
      <c r="C54" s="54" t="inlineStr">
        <is>
          <t>Mariage</t>
        </is>
      </c>
      <c r="D54" s="54" t="inlineStr">
        <is>
          <t>Dépense</t>
        </is>
      </c>
      <c r="E54" s="54" t="inlineStr">
        <is>
          <t>Tenue de la mariée</t>
        </is>
      </c>
      <c r="F54" s="88" t="n"/>
      <c r="G54" s="88" t="n"/>
      <c r="H54" s="88" t="n"/>
      <c r="I54" s="88" t="n"/>
      <c r="J54" s="88" t="n"/>
      <c r="K54" s="88" t="n"/>
      <c r="L54" s="88" t="n"/>
      <c r="M54" s="88" t="n"/>
      <c r="N54" s="88" t="n"/>
      <c r="O54" s="88" t="n"/>
      <c r="P54" s="88" t="n"/>
      <c r="Q54" s="88" t="n"/>
      <c r="R54" s="89">
        <f>IF($E54="","",SUM($F54:$Q54))</f>
        <v/>
      </c>
      <c r="S54" s="90">
        <f>IF($E54="","",SUMIFS(J_Montant,J_Annee,$B54,J_Module,$C54,J_Type,$D54,J_Cat,$E54,J_Statut,"&lt;&gt;Annulé",J_Statut,"&lt;&gt;Prévu"))</f>
        <v/>
      </c>
      <c r="T54" s="90">
        <f>IF($E54="","",IF($D54="Revenu",$S54-$R54,$R54-$S54))</f>
        <v/>
      </c>
      <c r="U54" s="91">
        <f>IF(OR($E54="",$R54=0),"",$S54/$R54)</f>
        <v/>
      </c>
      <c r="V54" s="92" t="n"/>
    </row>
    <row r="55">
      <c r="B55" s="87">
        <f>Annee_Travail</f>
        <v/>
      </c>
      <c r="C55" s="54" t="inlineStr">
        <is>
          <t>Mariage</t>
        </is>
      </c>
      <c r="D55" s="54" t="inlineStr">
        <is>
          <t>Dépense</t>
        </is>
      </c>
      <c r="E55" s="54" t="inlineStr">
        <is>
          <t>Tenue du marié</t>
        </is>
      </c>
      <c r="F55" s="88" t="n"/>
      <c r="G55" s="88" t="n"/>
      <c r="H55" s="88" t="n"/>
      <c r="I55" s="88" t="n"/>
      <c r="J55" s="88" t="n"/>
      <c r="K55" s="88" t="n"/>
      <c r="L55" s="88" t="n"/>
      <c r="M55" s="88" t="n"/>
      <c r="N55" s="88" t="n"/>
      <c r="O55" s="88" t="n"/>
      <c r="P55" s="88" t="n"/>
      <c r="Q55" s="88" t="n"/>
      <c r="R55" s="89">
        <f>IF($E55="","",SUM($F55:$Q55))</f>
        <v/>
      </c>
      <c r="S55" s="90">
        <f>IF($E55="","",SUMIFS(J_Montant,J_Annee,$B55,J_Module,$C55,J_Type,$D55,J_Cat,$E55,J_Statut,"&lt;&gt;Annulé",J_Statut,"&lt;&gt;Prévu"))</f>
        <v/>
      </c>
      <c r="T55" s="90">
        <f>IF($E55="","",IF($D55="Revenu",$S55-$R55,$R55-$S55))</f>
        <v/>
      </c>
      <c r="U55" s="91">
        <f>IF(OR($E55="",$R55=0),"",$S55/$R55)</f>
        <v/>
      </c>
      <c r="V55" s="92" t="n"/>
    </row>
    <row r="56">
      <c r="B56" s="87">
        <f>Annee_Travail</f>
        <v/>
      </c>
      <c r="C56" s="54" t="inlineStr">
        <is>
          <t>Mariage</t>
        </is>
      </c>
      <c r="D56" s="54" t="inlineStr">
        <is>
          <t>Dépense</t>
        </is>
      </c>
      <c r="E56" s="54" t="inlineStr">
        <is>
          <t>Photographe</t>
        </is>
      </c>
      <c r="F56" s="88" t="n"/>
      <c r="G56" s="88" t="n"/>
      <c r="H56" s="88" t="n"/>
      <c r="I56" s="88" t="n"/>
      <c r="J56" s="88" t="n"/>
      <c r="K56" s="88" t="n"/>
      <c r="L56" s="88" t="n"/>
      <c r="M56" s="88" t="n"/>
      <c r="N56" s="88" t="n"/>
      <c r="O56" s="88" t="n"/>
      <c r="P56" s="88" t="n"/>
      <c r="Q56" s="88" t="n"/>
      <c r="R56" s="89">
        <f>IF($E56="","",SUM($F56:$Q56))</f>
        <v/>
      </c>
      <c r="S56" s="90">
        <f>IF($E56="","",SUMIFS(J_Montant,J_Annee,$B56,J_Module,$C56,J_Type,$D56,J_Cat,$E56,J_Statut,"&lt;&gt;Annulé",J_Statut,"&lt;&gt;Prévu"))</f>
        <v/>
      </c>
      <c r="T56" s="90">
        <f>IF($E56="","",IF($D56="Revenu",$S56-$R56,$R56-$S56))</f>
        <v/>
      </c>
      <c r="U56" s="91">
        <f>IF(OR($E56="",$R56=0),"",$S56/$R56)</f>
        <v/>
      </c>
      <c r="V56" s="92" t="n"/>
    </row>
    <row r="57">
      <c r="B57" s="87">
        <f>Annee_Travail</f>
        <v/>
      </c>
      <c r="C57" s="54" t="inlineStr">
        <is>
          <t>Mariage</t>
        </is>
      </c>
      <c r="D57" s="54" t="inlineStr">
        <is>
          <t>Dépense</t>
        </is>
      </c>
      <c r="E57" s="54" t="inlineStr">
        <is>
          <t>DJ &amp; animation</t>
        </is>
      </c>
      <c r="F57" s="88" t="n"/>
      <c r="G57" s="88" t="n"/>
      <c r="H57" s="88" t="n"/>
      <c r="I57" s="88" t="n"/>
      <c r="J57" s="88" t="n"/>
      <c r="K57" s="88" t="n"/>
      <c r="L57" s="88" t="n"/>
      <c r="M57" s="88" t="n"/>
      <c r="N57" s="88" t="n"/>
      <c r="O57" s="88" t="n"/>
      <c r="P57" s="88" t="n"/>
      <c r="Q57" s="88" t="n"/>
      <c r="R57" s="89">
        <f>IF($E57="","",SUM($F57:$Q57))</f>
        <v/>
      </c>
      <c r="S57" s="90">
        <f>IF($E57="","",SUMIFS(J_Montant,J_Annee,$B57,J_Module,$C57,J_Type,$D57,J_Cat,$E57,J_Statut,"&lt;&gt;Annulé",J_Statut,"&lt;&gt;Prévu"))</f>
        <v/>
      </c>
      <c r="T57" s="90">
        <f>IF($E57="","",IF($D57="Revenu",$S57-$R57,$R57-$S57))</f>
        <v/>
      </c>
      <c r="U57" s="91">
        <f>IF(OR($E57="",$R57=0),"",$S57/$R57)</f>
        <v/>
      </c>
      <c r="V57" s="92" t="n"/>
    </row>
    <row r="58">
      <c r="B58" s="87">
        <f>Annee_Travail</f>
        <v/>
      </c>
      <c r="C58" s="54" t="inlineStr">
        <is>
          <t>Mariage</t>
        </is>
      </c>
      <c r="D58" s="54" t="inlineStr">
        <is>
          <t>Dépense</t>
        </is>
      </c>
      <c r="E58" s="54" t="inlineStr">
        <is>
          <t>Lune de miel</t>
        </is>
      </c>
      <c r="F58" s="88" t="n"/>
      <c r="G58" s="88" t="n"/>
      <c r="H58" s="88" t="n"/>
      <c r="I58" s="88" t="n"/>
      <c r="J58" s="88" t="n"/>
      <c r="K58" s="88" t="n"/>
      <c r="L58" s="88" t="n"/>
      <c r="M58" s="88" t="n"/>
      <c r="N58" s="88" t="n"/>
      <c r="O58" s="88" t="n"/>
      <c r="P58" s="88" t="n"/>
      <c r="Q58" s="88" t="n"/>
      <c r="R58" s="89">
        <f>IF($E58="","",SUM($F58:$Q58))</f>
        <v/>
      </c>
      <c r="S58" s="90">
        <f>IF($E58="","",SUMIFS(J_Montant,J_Annee,$B58,J_Module,$C58,J_Type,$D58,J_Cat,$E58,J_Statut,"&lt;&gt;Annulé",J_Statut,"&lt;&gt;Prévu"))</f>
        <v/>
      </c>
      <c r="T58" s="90">
        <f>IF($E58="","",IF($D58="Revenu",$S58-$R58,$R58-$S58))</f>
        <v/>
      </c>
      <c r="U58" s="91">
        <f>IF(OR($E58="",$R58=0),"",$S58/$R58)</f>
        <v/>
      </c>
      <c r="V58" s="92" t="n"/>
    </row>
    <row r="59">
      <c r="B59" s="87">
        <f>Annee_Travail</f>
        <v/>
      </c>
      <c r="C59" s="54" t="inlineStr">
        <is>
          <t>Mariage</t>
        </is>
      </c>
      <c r="D59" s="54" t="inlineStr">
        <is>
          <t>Dépense</t>
        </is>
      </c>
      <c r="E59" s="54" t="inlineStr">
        <is>
          <t>Imprévus mariage</t>
        </is>
      </c>
      <c r="F59" s="88" t="n"/>
      <c r="G59" s="88" t="n"/>
      <c r="H59" s="88" t="n"/>
      <c r="I59" s="88" t="n"/>
      <c r="J59" s="88" t="n"/>
      <c r="K59" s="88" t="n"/>
      <c r="L59" s="88" t="n"/>
      <c r="M59" s="88" t="n"/>
      <c r="N59" s="88" t="n"/>
      <c r="O59" s="88" t="n"/>
      <c r="P59" s="88" t="n"/>
      <c r="Q59" s="88" t="n"/>
      <c r="R59" s="89">
        <f>IF($E59="","",SUM($F59:$Q59))</f>
        <v/>
      </c>
      <c r="S59" s="90">
        <f>IF($E59="","",SUMIFS(J_Montant,J_Annee,$B59,J_Module,$C59,J_Type,$D59,J_Cat,$E59,J_Statut,"&lt;&gt;Annulé",J_Statut,"&lt;&gt;Prévu"))</f>
        <v/>
      </c>
      <c r="T59" s="90">
        <f>IF($E59="","",IF($D59="Revenu",$S59-$R59,$R59-$S59))</f>
        <v/>
      </c>
      <c r="U59" s="91">
        <f>IF(OR($E59="",$R59=0),"",$S59/$R59)</f>
        <v/>
      </c>
      <c r="V59" s="92" t="n"/>
    </row>
    <row r="60">
      <c r="B60" s="87">
        <f>Annee_Travail</f>
        <v/>
      </c>
      <c r="C60" s="54" t="inlineStr">
        <is>
          <t>Immobilier</t>
        </is>
      </c>
      <c r="D60" s="54" t="inlineStr">
        <is>
          <t>Dépense</t>
        </is>
      </c>
      <c r="E60" s="54" t="inlineStr">
        <is>
          <t>Prix d'achat terrain</t>
        </is>
      </c>
      <c r="F60" s="88" t="n"/>
      <c r="G60" s="88" t="n"/>
      <c r="H60" s="88" t="n"/>
      <c r="I60" s="88" t="n"/>
      <c r="J60" s="88" t="n"/>
      <c r="K60" s="88" t="n"/>
      <c r="L60" s="88" t="n"/>
      <c r="M60" s="88" t="n"/>
      <c r="N60" s="88" t="n"/>
      <c r="O60" s="88" t="n"/>
      <c r="P60" s="88" t="n"/>
      <c r="Q60" s="88" t="n"/>
      <c r="R60" s="89">
        <f>IF($E60="","",SUM($F60:$Q60))</f>
        <v/>
      </c>
      <c r="S60" s="90">
        <f>IF($E60="","",SUMIFS(J_Montant,J_Annee,$B60,J_Module,$C60,J_Type,$D60,J_Cat,$E60,J_Statut,"&lt;&gt;Annulé",J_Statut,"&lt;&gt;Prévu"))</f>
        <v/>
      </c>
      <c r="T60" s="90">
        <f>IF($E60="","",IF($D60="Revenu",$S60-$R60,$R60-$S60))</f>
        <v/>
      </c>
      <c r="U60" s="91">
        <f>IF(OR($E60="",$R60=0),"",$S60/$R60)</f>
        <v/>
      </c>
      <c r="V60" s="92" t="n"/>
    </row>
    <row r="61">
      <c r="B61" s="87">
        <f>Annee_Travail</f>
        <v/>
      </c>
      <c r="C61" s="54" t="inlineStr">
        <is>
          <t>Immobilier</t>
        </is>
      </c>
      <c r="D61" s="54" t="inlineStr">
        <is>
          <t>Dépense</t>
        </is>
      </c>
      <c r="E61" s="54" t="inlineStr">
        <is>
          <t>Frais de notaire</t>
        </is>
      </c>
      <c r="F61" s="88" t="n"/>
      <c r="G61" s="88" t="n"/>
      <c r="H61" s="88" t="n"/>
      <c r="I61" s="88" t="n"/>
      <c r="J61" s="88" t="n"/>
      <c r="K61" s="88" t="n"/>
      <c r="L61" s="88" t="n"/>
      <c r="M61" s="88" t="n"/>
      <c r="N61" s="88" t="n"/>
      <c r="O61" s="88" t="n"/>
      <c r="P61" s="88" t="n"/>
      <c r="Q61" s="88" t="n"/>
      <c r="R61" s="89">
        <f>IF($E61="","",SUM($F61:$Q61))</f>
        <v/>
      </c>
      <c r="S61" s="90">
        <f>IF($E61="","",SUMIFS(J_Montant,J_Annee,$B61,J_Module,$C61,J_Type,$D61,J_Cat,$E61,J_Statut,"&lt;&gt;Annulé",J_Statut,"&lt;&gt;Prévu"))</f>
        <v/>
      </c>
      <c r="T61" s="90">
        <f>IF($E61="","",IF($D61="Revenu",$S61-$R61,$R61-$S61))</f>
        <v/>
      </c>
      <c r="U61" s="91">
        <f>IF(OR($E61="",$R61=0),"",$S61/$R61)</f>
        <v/>
      </c>
      <c r="V61" s="92" t="n"/>
    </row>
    <row r="62">
      <c r="B62" s="87">
        <f>Annee_Travail</f>
        <v/>
      </c>
      <c r="C62" s="54" t="inlineStr">
        <is>
          <t>Immobilier</t>
        </is>
      </c>
      <c r="D62" s="54" t="inlineStr">
        <is>
          <t>Dépense</t>
        </is>
      </c>
      <c r="E62" s="54" t="inlineStr">
        <is>
          <t>Matériaux de construction</t>
        </is>
      </c>
      <c r="F62" s="88" t="n"/>
      <c r="G62" s="88" t="n"/>
      <c r="H62" s="88" t="n"/>
      <c r="I62" s="88" t="n"/>
      <c r="J62" s="88" t="n"/>
      <c r="K62" s="88" t="n"/>
      <c r="L62" s="88" t="n"/>
      <c r="M62" s="88" t="n"/>
      <c r="N62" s="88" t="n"/>
      <c r="O62" s="88" t="n"/>
      <c r="P62" s="88" t="n"/>
      <c r="Q62" s="88" t="n"/>
      <c r="R62" s="89">
        <f>IF($E62="","",SUM($F62:$Q62))</f>
        <v/>
      </c>
      <c r="S62" s="90">
        <f>IF($E62="","",SUMIFS(J_Montant,J_Annee,$B62,J_Module,$C62,J_Type,$D62,J_Cat,$E62,J_Statut,"&lt;&gt;Annulé",J_Statut,"&lt;&gt;Prévu"))</f>
        <v/>
      </c>
      <c r="T62" s="90">
        <f>IF($E62="","",IF($D62="Revenu",$S62-$R62,$R62-$S62))</f>
        <v/>
      </c>
      <c r="U62" s="91">
        <f>IF(OR($E62="",$R62=0),"",$S62/$R62)</f>
        <v/>
      </c>
      <c r="V62" s="92" t="n"/>
    </row>
    <row r="63">
      <c r="B63" s="87">
        <f>Annee_Travail</f>
        <v/>
      </c>
      <c r="C63" s="54" t="inlineStr">
        <is>
          <t>Immobilier</t>
        </is>
      </c>
      <c r="D63" s="54" t="inlineStr">
        <is>
          <t>Dépense</t>
        </is>
      </c>
      <c r="E63" s="54" t="inlineStr">
        <is>
          <t>Main d'œuvre</t>
        </is>
      </c>
      <c r="F63" s="88" t="n"/>
      <c r="G63" s="88" t="n"/>
      <c r="H63" s="88" t="n"/>
      <c r="I63" s="88" t="n"/>
      <c r="J63" s="88" t="n"/>
      <c r="K63" s="88" t="n"/>
      <c r="L63" s="88" t="n"/>
      <c r="M63" s="88" t="n"/>
      <c r="N63" s="88" t="n"/>
      <c r="O63" s="88" t="n"/>
      <c r="P63" s="88" t="n"/>
      <c r="Q63" s="88" t="n"/>
      <c r="R63" s="89">
        <f>IF($E63="","",SUM($F63:$Q63))</f>
        <v/>
      </c>
      <c r="S63" s="90">
        <f>IF($E63="","",SUMIFS(J_Montant,J_Annee,$B63,J_Module,$C63,J_Type,$D63,J_Cat,$E63,J_Statut,"&lt;&gt;Annulé",J_Statut,"&lt;&gt;Prévu"))</f>
        <v/>
      </c>
      <c r="T63" s="90">
        <f>IF($E63="","",IF($D63="Revenu",$S63-$R63,$R63-$S63))</f>
        <v/>
      </c>
      <c r="U63" s="91">
        <f>IF(OR($E63="",$R63=0),"",$S63/$R63)</f>
        <v/>
      </c>
      <c r="V63" s="92" t="n"/>
    </row>
    <row r="64">
      <c r="B64" s="87">
        <f>Annee_Travail</f>
        <v/>
      </c>
      <c r="C64" s="54" t="inlineStr">
        <is>
          <t>Immobilier</t>
        </is>
      </c>
      <c r="D64" s="54" t="inlineStr">
        <is>
          <t>Dépense</t>
        </is>
      </c>
      <c r="E64" s="54" t="inlineStr">
        <is>
          <t>Mensualité crédit immobilier</t>
        </is>
      </c>
      <c r="F64" s="88" t="n"/>
      <c r="G64" s="88" t="n"/>
      <c r="H64" s="88" t="n"/>
      <c r="I64" s="88" t="n"/>
      <c r="J64" s="88" t="n"/>
      <c r="K64" s="88" t="n"/>
      <c r="L64" s="88" t="n"/>
      <c r="M64" s="88" t="n"/>
      <c r="N64" s="88" t="n"/>
      <c r="O64" s="88" t="n"/>
      <c r="P64" s="88" t="n"/>
      <c r="Q64" s="88" t="n"/>
      <c r="R64" s="89">
        <f>IF($E64="","",SUM($F64:$Q64))</f>
        <v/>
      </c>
      <c r="S64" s="90">
        <f>IF($E64="","",SUMIFS(J_Montant,J_Annee,$B64,J_Module,$C64,J_Type,$D64,J_Cat,$E64,J_Statut,"&lt;&gt;Annulé",J_Statut,"&lt;&gt;Prévu"))</f>
        <v/>
      </c>
      <c r="T64" s="90">
        <f>IF($E64="","",IF($D64="Revenu",$S64-$R64,$R64-$S64))</f>
        <v/>
      </c>
      <c r="U64" s="91">
        <f>IF(OR($E64="",$R64=0),"",$S64/$R64)</f>
        <v/>
      </c>
      <c r="V64" s="92" t="n"/>
    </row>
    <row r="65">
      <c r="B65" s="87">
        <f>Annee_Travail</f>
        <v/>
      </c>
      <c r="C65" s="54" t="inlineStr">
        <is>
          <t>Immobilier</t>
        </is>
      </c>
      <c r="D65" s="54" t="inlineStr">
        <is>
          <t>Dépense</t>
        </is>
      </c>
      <c r="E65" s="54" t="inlineStr">
        <is>
          <t>Taxe foncière</t>
        </is>
      </c>
      <c r="F65" s="88" t="n"/>
      <c r="G65" s="88" t="n"/>
      <c r="H65" s="88" t="n"/>
      <c r="I65" s="88" t="n"/>
      <c r="J65" s="88" t="n"/>
      <c r="K65" s="88" t="n"/>
      <c r="L65" s="88" t="n"/>
      <c r="M65" s="88" t="n"/>
      <c r="N65" s="88" t="n"/>
      <c r="O65" s="88" t="n"/>
      <c r="P65" s="88" t="n"/>
      <c r="Q65" s="88" t="n"/>
      <c r="R65" s="89">
        <f>IF($E65="","",SUM($F65:$Q65))</f>
        <v/>
      </c>
      <c r="S65" s="90">
        <f>IF($E65="","",SUMIFS(J_Montant,J_Annee,$B65,J_Module,$C65,J_Type,$D65,J_Cat,$E65,J_Statut,"&lt;&gt;Annulé",J_Statut,"&lt;&gt;Prévu"))</f>
        <v/>
      </c>
      <c r="T65" s="90">
        <f>IF($E65="","",IF($D65="Revenu",$S65-$R65,$R65-$S65))</f>
        <v/>
      </c>
      <c r="U65" s="91">
        <f>IF(OR($E65="",$R65=0),"",$S65/$R65)</f>
        <v/>
      </c>
      <c r="V65" s="92" t="n"/>
    </row>
    <row r="66">
      <c r="B66" s="87">
        <f>Annee_Travail</f>
        <v/>
      </c>
      <c r="C66" s="54" t="inlineStr">
        <is>
          <t>Immobilier</t>
        </is>
      </c>
      <c r="D66" s="54" t="inlineStr">
        <is>
          <t>Dépense</t>
        </is>
      </c>
      <c r="E66" s="54" t="inlineStr">
        <is>
          <t>Entretien &amp; réparations</t>
        </is>
      </c>
      <c r="F66" s="88" t="n"/>
      <c r="G66" s="88" t="n"/>
      <c r="H66" s="88" t="n"/>
      <c r="I66" s="88" t="n"/>
      <c r="J66" s="88" t="n"/>
      <c r="K66" s="88" t="n"/>
      <c r="L66" s="88" t="n"/>
      <c r="M66" s="88" t="n"/>
      <c r="N66" s="88" t="n"/>
      <c r="O66" s="88" t="n"/>
      <c r="P66" s="88" t="n"/>
      <c r="Q66" s="88" t="n"/>
      <c r="R66" s="89">
        <f>IF($E66="","",SUM($F66:$Q66))</f>
        <v/>
      </c>
      <c r="S66" s="90">
        <f>IF($E66="","",SUMIFS(J_Montant,J_Annee,$B66,J_Module,$C66,J_Type,$D66,J_Cat,$E66,J_Statut,"&lt;&gt;Annulé",J_Statut,"&lt;&gt;Prévu"))</f>
        <v/>
      </c>
      <c r="T66" s="90">
        <f>IF($E66="","",IF($D66="Revenu",$S66-$R66,$R66-$S66))</f>
        <v/>
      </c>
      <c r="U66" s="91">
        <f>IF(OR($E66="",$R66=0),"",$S66/$R66)</f>
        <v/>
      </c>
      <c r="V66" s="92" t="n"/>
    </row>
    <row r="67">
      <c r="B67" s="87">
        <f>Annee_Travail</f>
        <v/>
      </c>
      <c r="C67" s="54" t="inlineStr">
        <is>
          <t>Immobilier</t>
        </is>
      </c>
      <c r="D67" s="54" t="inlineStr">
        <is>
          <t>Revenu</t>
        </is>
      </c>
      <c r="E67" s="54" t="inlineStr">
        <is>
          <t>Loyers perçus</t>
        </is>
      </c>
      <c r="F67" s="88" t="n"/>
      <c r="G67" s="88" t="n"/>
      <c r="H67" s="88" t="n"/>
      <c r="I67" s="88" t="n"/>
      <c r="J67" s="88" t="n"/>
      <c r="K67" s="88" t="n"/>
      <c r="L67" s="88" t="n"/>
      <c r="M67" s="88" t="n"/>
      <c r="N67" s="88" t="n"/>
      <c r="O67" s="88" t="n"/>
      <c r="P67" s="88" t="n"/>
      <c r="Q67" s="88" t="n"/>
      <c r="R67" s="89">
        <f>IF($E67="","",SUM($F67:$Q67))</f>
        <v/>
      </c>
      <c r="S67" s="90">
        <f>IF($E67="","",SUMIFS(J_Montant,J_Annee,$B67,J_Module,$C67,J_Type,$D67,J_Cat,$E67,J_Statut,"&lt;&gt;Annulé",J_Statut,"&lt;&gt;Prévu"))</f>
        <v/>
      </c>
      <c r="T67" s="90">
        <f>IF($E67="","",IF($D67="Revenu",$S67-$R67,$R67-$S67))</f>
        <v/>
      </c>
      <c r="U67" s="91">
        <f>IF(OR($E67="",$R67=0),"",$S67/$R67)</f>
        <v/>
      </c>
      <c r="V67" s="92" t="n"/>
    </row>
    <row r="68">
      <c r="B68" s="87">
        <f>Annee_Travail</f>
        <v/>
      </c>
      <c r="C68" s="54" t="inlineStr">
        <is>
          <t>Business</t>
        </is>
      </c>
      <c r="D68" s="54" t="inlineStr">
        <is>
          <t>Revenu</t>
        </is>
      </c>
      <c r="E68" s="54" t="inlineStr">
        <is>
          <t>Chiffre d'affaires</t>
        </is>
      </c>
      <c r="F68" s="88" t="n"/>
      <c r="G68" s="88" t="n"/>
      <c r="H68" s="88" t="n"/>
      <c r="I68" s="88" t="n"/>
      <c r="J68" s="88" t="n"/>
      <c r="K68" s="88" t="n"/>
      <c r="L68" s="88" t="n"/>
      <c r="M68" s="88" t="n"/>
      <c r="N68" s="88" t="n"/>
      <c r="O68" s="88" t="n"/>
      <c r="P68" s="88" t="n"/>
      <c r="Q68" s="88" t="n"/>
      <c r="R68" s="89">
        <f>IF($E68="","",SUM($F68:$Q68))</f>
        <v/>
      </c>
      <c r="S68" s="90">
        <f>IF($E68="","",SUMIFS(J_Montant,J_Annee,$B68,J_Module,$C68,J_Type,$D68,J_Cat,$E68,J_Statut,"&lt;&gt;Annulé",J_Statut,"&lt;&gt;Prévu"))</f>
        <v/>
      </c>
      <c r="T68" s="90">
        <f>IF($E68="","",IF($D68="Revenu",$S68-$R68,$R68-$S68))</f>
        <v/>
      </c>
      <c r="U68" s="91">
        <f>IF(OR($E68="",$R68=0),"",$S68/$R68)</f>
        <v/>
      </c>
      <c r="V68" s="92" t="n"/>
    </row>
    <row r="69">
      <c r="B69" s="87">
        <f>Annee_Travail</f>
        <v/>
      </c>
      <c r="C69" s="54" t="inlineStr">
        <is>
          <t>Business</t>
        </is>
      </c>
      <c r="D69" s="54" t="inlineStr">
        <is>
          <t>Revenu</t>
        </is>
      </c>
      <c r="E69" s="54" t="inlineStr">
        <is>
          <t>Prestation de service</t>
        </is>
      </c>
      <c r="F69" s="88" t="n"/>
      <c r="G69" s="88" t="n"/>
      <c r="H69" s="88" t="n"/>
      <c r="I69" s="88" t="n"/>
      <c r="J69" s="88" t="n"/>
      <c r="K69" s="88" t="n"/>
      <c r="L69" s="88" t="n"/>
      <c r="M69" s="88" t="n"/>
      <c r="N69" s="88" t="n"/>
      <c r="O69" s="88" t="n"/>
      <c r="P69" s="88" t="n"/>
      <c r="Q69" s="88" t="n"/>
      <c r="R69" s="89">
        <f>IF($E69="","",SUM($F69:$Q69))</f>
        <v/>
      </c>
      <c r="S69" s="90">
        <f>IF($E69="","",SUMIFS(J_Montant,J_Annee,$B69,J_Module,$C69,J_Type,$D69,J_Cat,$E69,J_Statut,"&lt;&gt;Annulé",J_Statut,"&lt;&gt;Prévu"))</f>
        <v/>
      </c>
      <c r="T69" s="90">
        <f>IF($E69="","",IF($D69="Revenu",$S69-$R69,$R69-$S69))</f>
        <v/>
      </c>
      <c r="U69" s="91">
        <f>IF(OR($E69="",$R69=0),"",$S69/$R69)</f>
        <v/>
      </c>
      <c r="V69" s="92" t="n"/>
    </row>
    <row r="70">
      <c r="B70" s="87">
        <f>Annee_Travail</f>
        <v/>
      </c>
      <c r="C70" s="54" t="inlineStr">
        <is>
          <t>Business</t>
        </is>
      </c>
      <c r="D70" s="54" t="inlineStr">
        <is>
          <t>Revenu</t>
        </is>
      </c>
      <c r="E70" s="54" t="inlineStr">
        <is>
          <t>Vente de produits</t>
        </is>
      </c>
      <c r="F70" s="88" t="n"/>
      <c r="G70" s="88" t="n"/>
      <c r="H70" s="88" t="n"/>
      <c r="I70" s="88" t="n"/>
      <c r="J70" s="88" t="n"/>
      <c r="K70" s="88" t="n"/>
      <c r="L70" s="88" t="n"/>
      <c r="M70" s="88" t="n"/>
      <c r="N70" s="88" t="n"/>
      <c r="O70" s="88" t="n"/>
      <c r="P70" s="88" t="n"/>
      <c r="Q70" s="88" t="n"/>
      <c r="R70" s="89">
        <f>IF($E70="","",SUM($F70:$Q70))</f>
        <v/>
      </c>
      <c r="S70" s="90">
        <f>IF($E70="","",SUMIFS(J_Montant,J_Annee,$B70,J_Module,$C70,J_Type,$D70,J_Cat,$E70,J_Statut,"&lt;&gt;Annulé",J_Statut,"&lt;&gt;Prévu"))</f>
        <v/>
      </c>
      <c r="T70" s="90">
        <f>IF($E70="","",IF($D70="Revenu",$S70-$R70,$R70-$S70))</f>
        <v/>
      </c>
      <c r="U70" s="91">
        <f>IF(OR($E70="",$R70=0),"",$S70/$R70)</f>
        <v/>
      </c>
      <c r="V70" s="92" t="n"/>
    </row>
    <row r="71">
      <c r="B71" s="87">
        <f>Annee_Travail</f>
        <v/>
      </c>
      <c r="C71" s="54" t="inlineStr">
        <is>
          <t>Business</t>
        </is>
      </c>
      <c r="D71" s="54" t="inlineStr">
        <is>
          <t>Dépense</t>
        </is>
      </c>
      <c r="E71" s="54" t="inlineStr">
        <is>
          <t>Achats de marchandises</t>
        </is>
      </c>
      <c r="F71" s="88" t="n"/>
      <c r="G71" s="88" t="n"/>
      <c r="H71" s="88" t="n"/>
      <c r="I71" s="88" t="n"/>
      <c r="J71" s="88" t="n"/>
      <c r="K71" s="88" t="n"/>
      <c r="L71" s="88" t="n"/>
      <c r="M71" s="88" t="n"/>
      <c r="N71" s="88" t="n"/>
      <c r="O71" s="88" t="n"/>
      <c r="P71" s="88" t="n"/>
      <c r="Q71" s="88" t="n"/>
      <c r="R71" s="89">
        <f>IF($E71="","",SUM($F71:$Q71))</f>
        <v/>
      </c>
      <c r="S71" s="90">
        <f>IF($E71="","",SUMIFS(J_Montant,J_Annee,$B71,J_Module,$C71,J_Type,$D71,J_Cat,$E71,J_Statut,"&lt;&gt;Annulé",J_Statut,"&lt;&gt;Prévu"))</f>
        <v/>
      </c>
      <c r="T71" s="90">
        <f>IF($E71="","",IF($D71="Revenu",$S71-$R71,$R71-$S71))</f>
        <v/>
      </c>
      <c r="U71" s="91">
        <f>IF(OR($E71="",$R71=0),"",$S71/$R71)</f>
        <v/>
      </c>
      <c r="V71" s="92" t="n"/>
    </row>
    <row r="72">
      <c r="B72" s="87">
        <f>Annee_Travail</f>
        <v/>
      </c>
      <c r="C72" s="54" t="inlineStr">
        <is>
          <t>Business</t>
        </is>
      </c>
      <c r="D72" s="54" t="inlineStr">
        <is>
          <t>Dépense</t>
        </is>
      </c>
      <c r="E72" s="54" t="inlineStr">
        <is>
          <t>Salaires &amp; charges</t>
        </is>
      </c>
      <c r="F72" s="88" t="n"/>
      <c r="G72" s="88" t="n"/>
      <c r="H72" s="88" t="n"/>
      <c r="I72" s="88" t="n"/>
      <c r="J72" s="88" t="n"/>
      <c r="K72" s="88" t="n"/>
      <c r="L72" s="88" t="n"/>
      <c r="M72" s="88" t="n"/>
      <c r="N72" s="88" t="n"/>
      <c r="O72" s="88" t="n"/>
      <c r="P72" s="88" t="n"/>
      <c r="Q72" s="88" t="n"/>
      <c r="R72" s="89">
        <f>IF($E72="","",SUM($F72:$Q72))</f>
        <v/>
      </c>
      <c r="S72" s="90">
        <f>IF($E72="","",SUMIFS(J_Montant,J_Annee,$B72,J_Module,$C72,J_Type,$D72,J_Cat,$E72,J_Statut,"&lt;&gt;Annulé",J_Statut,"&lt;&gt;Prévu"))</f>
        <v/>
      </c>
      <c r="T72" s="90">
        <f>IF($E72="","",IF($D72="Revenu",$S72-$R72,$R72-$S72))</f>
        <v/>
      </c>
      <c r="U72" s="91">
        <f>IF(OR($E72="",$R72=0),"",$S72/$R72)</f>
        <v/>
      </c>
      <c r="V72" s="92" t="n"/>
    </row>
    <row r="73">
      <c r="B73" s="87">
        <f>Annee_Travail</f>
        <v/>
      </c>
      <c r="C73" s="54" t="inlineStr">
        <is>
          <t>Business</t>
        </is>
      </c>
      <c r="D73" s="54" t="inlineStr">
        <is>
          <t>Dépense</t>
        </is>
      </c>
      <c r="E73" s="54" t="inlineStr">
        <is>
          <t>Loyer professionnel</t>
        </is>
      </c>
      <c r="F73" s="88" t="n"/>
      <c r="G73" s="88" t="n"/>
      <c r="H73" s="88" t="n"/>
      <c r="I73" s="88" t="n"/>
      <c r="J73" s="88" t="n"/>
      <c r="K73" s="88" t="n"/>
      <c r="L73" s="88" t="n"/>
      <c r="M73" s="88" t="n"/>
      <c r="N73" s="88" t="n"/>
      <c r="O73" s="88" t="n"/>
      <c r="P73" s="88" t="n"/>
      <c r="Q73" s="88" t="n"/>
      <c r="R73" s="89">
        <f>IF($E73="","",SUM($F73:$Q73))</f>
        <v/>
      </c>
      <c r="S73" s="90">
        <f>IF($E73="","",SUMIFS(J_Montant,J_Annee,$B73,J_Module,$C73,J_Type,$D73,J_Cat,$E73,J_Statut,"&lt;&gt;Annulé",J_Statut,"&lt;&gt;Prévu"))</f>
        <v/>
      </c>
      <c r="T73" s="90">
        <f>IF($E73="","",IF($D73="Revenu",$S73-$R73,$R73-$S73))</f>
        <v/>
      </c>
      <c r="U73" s="91">
        <f>IF(OR($E73="",$R73=0),"",$S73/$R73)</f>
        <v/>
      </c>
      <c r="V73" s="92" t="n"/>
    </row>
    <row r="74">
      <c r="B74" s="87">
        <f>Annee_Travail</f>
        <v/>
      </c>
      <c r="C74" s="54" t="inlineStr">
        <is>
          <t>Business</t>
        </is>
      </c>
      <c r="D74" s="54" t="inlineStr">
        <is>
          <t>Dépense</t>
        </is>
      </c>
      <c r="E74" s="54" t="inlineStr">
        <is>
          <t>Marketing &amp; publicité</t>
        </is>
      </c>
      <c r="F74" s="88" t="n"/>
      <c r="G74" s="88" t="n"/>
      <c r="H74" s="88" t="n"/>
      <c r="I74" s="88" t="n"/>
      <c r="J74" s="88" t="n"/>
      <c r="K74" s="88" t="n"/>
      <c r="L74" s="88" t="n"/>
      <c r="M74" s="88" t="n"/>
      <c r="N74" s="88" t="n"/>
      <c r="O74" s="88" t="n"/>
      <c r="P74" s="88" t="n"/>
      <c r="Q74" s="88" t="n"/>
      <c r="R74" s="89">
        <f>IF($E74="","",SUM($F74:$Q74))</f>
        <v/>
      </c>
      <c r="S74" s="90">
        <f>IF($E74="","",SUMIFS(J_Montant,J_Annee,$B74,J_Module,$C74,J_Type,$D74,J_Cat,$E74,J_Statut,"&lt;&gt;Annulé",J_Statut,"&lt;&gt;Prévu"))</f>
        <v/>
      </c>
      <c r="T74" s="90">
        <f>IF($E74="","",IF($D74="Revenu",$S74-$R74,$R74-$S74))</f>
        <v/>
      </c>
      <c r="U74" s="91">
        <f>IF(OR($E74="",$R74=0),"",$S74/$R74)</f>
        <v/>
      </c>
      <c r="V74" s="92" t="n"/>
    </row>
    <row r="75">
      <c r="B75" s="87">
        <f>Annee_Travail</f>
        <v/>
      </c>
      <c r="C75" s="54" t="inlineStr">
        <is>
          <t>Business</t>
        </is>
      </c>
      <c r="D75" s="54" t="inlineStr">
        <is>
          <t>Dépense</t>
        </is>
      </c>
      <c r="E75" s="54" t="inlineStr">
        <is>
          <t>Logiciels &amp; abonnements</t>
        </is>
      </c>
      <c r="F75" s="88" t="n"/>
      <c r="G75" s="88" t="n"/>
      <c r="H75" s="88" t="n"/>
      <c r="I75" s="88" t="n"/>
      <c r="J75" s="88" t="n"/>
      <c r="K75" s="88" t="n"/>
      <c r="L75" s="88" t="n"/>
      <c r="M75" s="88" t="n"/>
      <c r="N75" s="88" t="n"/>
      <c r="O75" s="88" t="n"/>
      <c r="P75" s="88" t="n"/>
      <c r="Q75" s="88" t="n"/>
      <c r="R75" s="89">
        <f>IF($E75="","",SUM($F75:$Q75))</f>
        <v/>
      </c>
      <c r="S75" s="90">
        <f>IF($E75="","",SUMIFS(J_Montant,J_Annee,$B75,J_Module,$C75,J_Type,$D75,J_Cat,$E75,J_Statut,"&lt;&gt;Annulé",J_Statut,"&lt;&gt;Prévu"))</f>
        <v/>
      </c>
      <c r="T75" s="90">
        <f>IF($E75="","",IF($D75="Revenu",$S75-$R75,$R75-$S75))</f>
        <v/>
      </c>
      <c r="U75" s="91">
        <f>IF(OR($E75="",$R75=0),"",$S75/$R75)</f>
        <v/>
      </c>
      <c r="V75" s="92" t="n"/>
    </row>
    <row r="76">
      <c r="B76" s="87">
        <f>Annee_Travail</f>
        <v/>
      </c>
      <c r="C76" s="54" t="inlineStr">
        <is>
          <t>Business</t>
        </is>
      </c>
      <c r="D76" s="54" t="inlineStr">
        <is>
          <t>Dépense</t>
        </is>
      </c>
      <c r="E76" s="54" t="inlineStr">
        <is>
          <t>Transport &amp; logistique</t>
        </is>
      </c>
      <c r="F76" s="88" t="n"/>
      <c r="G76" s="88" t="n"/>
      <c r="H76" s="88" t="n"/>
      <c r="I76" s="88" t="n"/>
      <c r="J76" s="88" t="n"/>
      <c r="K76" s="88" t="n"/>
      <c r="L76" s="88" t="n"/>
      <c r="M76" s="88" t="n"/>
      <c r="N76" s="88" t="n"/>
      <c r="O76" s="88" t="n"/>
      <c r="P76" s="88" t="n"/>
      <c r="Q76" s="88" t="n"/>
      <c r="R76" s="89">
        <f>IF($E76="","",SUM($F76:$Q76))</f>
        <v/>
      </c>
      <c r="S76" s="90">
        <f>IF($E76="","",SUMIFS(J_Montant,J_Annee,$B76,J_Module,$C76,J_Type,$D76,J_Cat,$E76,J_Statut,"&lt;&gt;Annulé",J_Statut,"&lt;&gt;Prévu"))</f>
        <v/>
      </c>
      <c r="T76" s="90">
        <f>IF($E76="","",IF($D76="Revenu",$S76-$R76,$R76-$S76))</f>
        <v/>
      </c>
      <c r="U76" s="91">
        <f>IF(OR($E76="",$R76=0),"",$S76/$R76)</f>
        <v/>
      </c>
      <c r="V76" s="92" t="n"/>
    </row>
    <row r="77">
      <c r="B77" s="87">
        <f>Annee_Travail</f>
        <v/>
      </c>
      <c r="C77" s="54" t="inlineStr">
        <is>
          <t>Business</t>
        </is>
      </c>
      <c r="D77" s="54" t="inlineStr">
        <is>
          <t>Dépense</t>
        </is>
      </c>
      <c r="E77" s="54" t="inlineStr">
        <is>
          <t>Impôts &amp; taxes pro</t>
        </is>
      </c>
      <c r="F77" s="88" t="n"/>
      <c r="G77" s="88" t="n"/>
      <c r="H77" s="88" t="n"/>
      <c r="I77" s="88" t="n"/>
      <c r="J77" s="88" t="n"/>
      <c r="K77" s="88" t="n"/>
      <c r="L77" s="88" t="n"/>
      <c r="M77" s="88" t="n"/>
      <c r="N77" s="88" t="n"/>
      <c r="O77" s="88" t="n"/>
      <c r="P77" s="88" t="n"/>
      <c r="Q77" s="88" t="n"/>
      <c r="R77" s="89">
        <f>IF($E77="","",SUM($F77:$Q77))</f>
        <v/>
      </c>
      <c r="S77" s="90">
        <f>IF($E77="","",SUMIFS(J_Montant,J_Annee,$B77,J_Module,$C77,J_Type,$D77,J_Cat,$E77,J_Statut,"&lt;&gt;Annulé",J_Statut,"&lt;&gt;Prévu"))</f>
        <v/>
      </c>
      <c r="T77" s="90">
        <f>IF($E77="","",IF($D77="Revenu",$S77-$R77,$R77-$S77))</f>
        <v/>
      </c>
      <c r="U77" s="91">
        <f>IF(OR($E77="",$R77=0),"",$S77/$R77)</f>
        <v/>
      </c>
      <c r="V77" s="92" t="n"/>
    </row>
    <row r="78">
      <c r="B78" s="87">
        <f>Annee_Travail</f>
        <v/>
      </c>
      <c r="C78" s="54" t="inlineStr">
        <is>
          <t>Business</t>
        </is>
      </c>
      <c r="D78" s="54" t="inlineStr">
        <is>
          <t>Dépense</t>
        </is>
      </c>
      <c r="E78" s="54" t="inlineStr">
        <is>
          <t>Divers business</t>
        </is>
      </c>
      <c r="F78" s="88" t="n"/>
      <c r="G78" s="88" t="n"/>
      <c r="H78" s="88" t="n"/>
      <c r="I78" s="88" t="n"/>
      <c r="J78" s="88" t="n"/>
      <c r="K78" s="88" t="n"/>
      <c r="L78" s="88" t="n"/>
      <c r="M78" s="88" t="n"/>
      <c r="N78" s="88" t="n"/>
      <c r="O78" s="88" t="n"/>
      <c r="P78" s="88" t="n"/>
      <c r="Q78" s="88" t="n"/>
      <c r="R78" s="89">
        <f>IF($E78="","",SUM($F78:$Q78))</f>
        <v/>
      </c>
      <c r="S78" s="90">
        <f>IF($E78="","",SUMIFS(J_Montant,J_Annee,$B78,J_Module,$C78,J_Type,$D78,J_Cat,$E78,J_Statut,"&lt;&gt;Annulé",J_Statut,"&lt;&gt;Prévu"))</f>
        <v/>
      </c>
      <c r="T78" s="90">
        <f>IF($E78="","",IF($D78="Revenu",$S78-$R78,$R78-$S78))</f>
        <v/>
      </c>
      <c r="U78" s="91">
        <f>IF(OR($E78="",$R78=0),"",$S78/$R78)</f>
        <v/>
      </c>
      <c r="V78" s="92" t="n"/>
    </row>
    <row r="79">
      <c r="B79" s="87">
        <f>Annee_Travail</f>
        <v/>
      </c>
      <c r="C79" s="54" t="n"/>
      <c r="D79" s="54" t="n"/>
      <c r="E79" s="54" t="n"/>
      <c r="F79" s="88" t="n"/>
      <c r="G79" s="88" t="n"/>
      <c r="H79" s="88" t="n"/>
      <c r="I79" s="88" t="n"/>
      <c r="J79" s="88" t="n"/>
      <c r="K79" s="88" t="n"/>
      <c r="L79" s="88" t="n"/>
      <c r="M79" s="88" t="n"/>
      <c r="N79" s="88" t="n"/>
      <c r="O79" s="88" t="n"/>
      <c r="P79" s="88" t="n"/>
      <c r="Q79" s="88" t="n"/>
      <c r="R79" s="89">
        <f>IF($E79="","",SUM($F79:$Q79))</f>
        <v/>
      </c>
      <c r="S79" s="90">
        <f>IF($E79="","",SUMIFS(J_Montant,J_Annee,$B79,J_Module,$C79,J_Type,$D79,J_Cat,$E79,J_Statut,"&lt;&gt;Annulé",J_Statut,"&lt;&gt;Prévu"))</f>
        <v/>
      </c>
      <c r="T79" s="90">
        <f>IF($E79="","",IF($D79="Revenu",$S79-$R79,$R79-$S79))</f>
        <v/>
      </c>
      <c r="U79" s="91">
        <f>IF(OR($E79="",$R79=0),"",$S79/$R79)</f>
        <v/>
      </c>
      <c r="V79" s="92" t="n"/>
    </row>
    <row r="80">
      <c r="B80" s="87">
        <f>Annee_Travail</f>
        <v/>
      </c>
      <c r="C80" s="54" t="n"/>
      <c r="D80" s="54" t="n"/>
      <c r="E80" s="54" t="n"/>
      <c r="F80" s="88" t="n"/>
      <c r="G80" s="88" t="n"/>
      <c r="H80" s="88" t="n"/>
      <c r="I80" s="88" t="n"/>
      <c r="J80" s="88" t="n"/>
      <c r="K80" s="88" t="n"/>
      <c r="L80" s="88" t="n"/>
      <c r="M80" s="88" t="n"/>
      <c r="N80" s="88" t="n"/>
      <c r="O80" s="88" t="n"/>
      <c r="P80" s="88" t="n"/>
      <c r="Q80" s="88" t="n"/>
      <c r="R80" s="89">
        <f>IF($E80="","",SUM($F80:$Q80))</f>
        <v/>
      </c>
      <c r="S80" s="90">
        <f>IF($E80="","",SUMIFS(J_Montant,J_Annee,$B80,J_Module,$C80,J_Type,$D80,J_Cat,$E80,J_Statut,"&lt;&gt;Annulé",J_Statut,"&lt;&gt;Prévu"))</f>
        <v/>
      </c>
      <c r="T80" s="90">
        <f>IF($E80="","",IF($D80="Revenu",$S80-$R80,$R80-$S80))</f>
        <v/>
      </c>
      <c r="U80" s="91">
        <f>IF(OR($E80="",$R80=0),"",$S80/$R80)</f>
        <v/>
      </c>
      <c r="V80" s="92" t="n"/>
    </row>
    <row r="81">
      <c r="B81" s="87">
        <f>Annee_Travail</f>
        <v/>
      </c>
      <c r="C81" s="54" t="n"/>
      <c r="D81" s="54" t="n"/>
      <c r="E81" s="54" t="n"/>
      <c r="F81" s="88" t="n"/>
      <c r="G81" s="88" t="n"/>
      <c r="H81" s="88" t="n"/>
      <c r="I81" s="88" t="n"/>
      <c r="J81" s="88" t="n"/>
      <c r="K81" s="88" t="n"/>
      <c r="L81" s="88" t="n"/>
      <c r="M81" s="88" t="n"/>
      <c r="N81" s="88" t="n"/>
      <c r="O81" s="88" t="n"/>
      <c r="P81" s="88" t="n"/>
      <c r="Q81" s="88" t="n"/>
      <c r="R81" s="89">
        <f>IF($E81="","",SUM($F81:$Q81))</f>
        <v/>
      </c>
      <c r="S81" s="90">
        <f>IF($E81="","",SUMIFS(J_Montant,J_Annee,$B81,J_Module,$C81,J_Type,$D81,J_Cat,$E81,J_Statut,"&lt;&gt;Annulé",J_Statut,"&lt;&gt;Prévu"))</f>
        <v/>
      </c>
      <c r="T81" s="90">
        <f>IF($E81="","",IF($D81="Revenu",$S81-$R81,$R81-$S81))</f>
        <v/>
      </c>
      <c r="U81" s="91">
        <f>IF(OR($E81="",$R81=0),"",$S81/$R81)</f>
        <v/>
      </c>
      <c r="V81" s="92" t="n"/>
    </row>
    <row r="82">
      <c r="B82" s="87">
        <f>Annee_Travail</f>
        <v/>
      </c>
      <c r="C82" s="54" t="n"/>
      <c r="D82" s="54" t="n"/>
      <c r="E82" s="54" t="n"/>
      <c r="F82" s="88" t="n"/>
      <c r="G82" s="88" t="n"/>
      <c r="H82" s="88" t="n"/>
      <c r="I82" s="88" t="n"/>
      <c r="J82" s="88" t="n"/>
      <c r="K82" s="88" t="n"/>
      <c r="L82" s="88" t="n"/>
      <c r="M82" s="88" t="n"/>
      <c r="N82" s="88" t="n"/>
      <c r="O82" s="88" t="n"/>
      <c r="P82" s="88" t="n"/>
      <c r="Q82" s="88" t="n"/>
      <c r="R82" s="89">
        <f>IF($E82="","",SUM($F82:$Q82))</f>
        <v/>
      </c>
      <c r="S82" s="90">
        <f>IF($E82="","",SUMIFS(J_Montant,J_Annee,$B82,J_Module,$C82,J_Type,$D82,J_Cat,$E82,J_Statut,"&lt;&gt;Annulé",J_Statut,"&lt;&gt;Prévu"))</f>
        <v/>
      </c>
      <c r="T82" s="90">
        <f>IF($E82="","",IF($D82="Revenu",$S82-$R82,$R82-$S82))</f>
        <v/>
      </c>
      <c r="U82" s="91">
        <f>IF(OR($E82="",$R82=0),"",$S82/$R82)</f>
        <v/>
      </c>
      <c r="V82" s="92" t="n"/>
    </row>
    <row r="83">
      <c r="B83" s="87">
        <f>Annee_Travail</f>
        <v/>
      </c>
      <c r="C83" s="54" t="n"/>
      <c r="D83" s="54" t="n"/>
      <c r="E83" s="54" t="n"/>
      <c r="F83" s="88" t="n"/>
      <c r="G83" s="88" t="n"/>
      <c r="H83" s="88" t="n"/>
      <c r="I83" s="88" t="n"/>
      <c r="J83" s="88" t="n"/>
      <c r="K83" s="88" t="n"/>
      <c r="L83" s="88" t="n"/>
      <c r="M83" s="88" t="n"/>
      <c r="N83" s="88" t="n"/>
      <c r="O83" s="88" t="n"/>
      <c r="P83" s="88" t="n"/>
      <c r="Q83" s="88" t="n"/>
      <c r="R83" s="89">
        <f>IF($E83="","",SUM($F83:$Q83))</f>
        <v/>
      </c>
      <c r="S83" s="90">
        <f>IF($E83="","",SUMIFS(J_Montant,J_Annee,$B83,J_Module,$C83,J_Type,$D83,J_Cat,$E83,J_Statut,"&lt;&gt;Annulé",J_Statut,"&lt;&gt;Prévu"))</f>
        <v/>
      </c>
      <c r="T83" s="90">
        <f>IF($E83="","",IF($D83="Revenu",$S83-$R83,$R83-$S83))</f>
        <v/>
      </c>
      <c r="U83" s="91">
        <f>IF(OR($E83="",$R83=0),"",$S83/$R83)</f>
        <v/>
      </c>
      <c r="V83" s="92" t="n"/>
    </row>
    <row r="84">
      <c r="B84" s="87">
        <f>Annee_Travail</f>
        <v/>
      </c>
      <c r="C84" s="54" t="n"/>
      <c r="D84" s="54" t="n"/>
      <c r="E84" s="54" t="n"/>
      <c r="F84" s="88" t="n"/>
      <c r="G84" s="88" t="n"/>
      <c r="H84" s="88" t="n"/>
      <c r="I84" s="88" t="n"/>
      <c r="J84" s="88" t="n"/>
      <c r="K84" s="88" t="n"/>
      <c r="L84" s="88" t="n"/>
      <c r="M84" s="88" t="n"/>
      <c r="N84" s="88" t="n"/>
      <c r="O84" s="88" t="n"/>
      <c r="P84" s="88" t="n"/>
      <c r="Q84" s="88" t="n"/>
      <c r="R84" s="89">
        <f>IF($E84="","",SUM($F84:$Q84))</f>
        <v/>
      </c>
      <c r="S84" s="90">
        <f>IF($E84="","",SUMIFS(J_Montant,J_Annee,$B84,J_Module,$C84,J_Type,$D84,J_Cat,$E84,J_Statut,"&lt;&gt;Annulé",J_Statut,"&lt;&gt;Prévu"))</f>
        <v/>
      </c>
      <c r="T84" s="90">
        <f>IF($E84="","",IF($D84="Revenu",$S84-$R84,$R84-$S84))</f>
        <v/>
      </c>
      <c r="U84" s="91">
        <f>IF(OR($E84="",$R84=0),"",$S84/$R84)</f>
        <v/>
      </c>
      <c r="V84" s="92" t="n"/>
    </row>
    <row r="85">
      <c r="B85" s="87">
        <f>Annee_Travail</f>
        <v/>
      </c>
      <c r="C85" s="54" t="n"/>
      <c r="D85" s="54" t="n"/>
      <c r="E85" s="54" t="n"/>
      <c r="F85" s="88" t="n"/>
      <c r="G85" s="88" t="n"/>
      <c r="H85" s="88" t="n"/>
      <c r="I85" s="88" t="n"/>
      <c r="J85" s="88" t="n"/>
      <c r="K85" s="88" t="n"/>
      <c r="L85" s="88" t="n"/>
      <c r="M85" s="88" t="n"/>
      <c r="N85" s="88" t="n"/>
      <c r="O85" s="88" t="n"/>
      <c r="P85" s="88" t="n"/>
      <c r="Q85" s="88" t="n"/>
      <c r="R85" s="89">
        <f>IF($E85="","",SUM($F85:$Q85))</f>
        <v/>
      </c>
      <c r="S85" s="90">
        <f>IF($E85="","",SUMIFS(J_Montant,J_Annee,$B85,J_Module,$C85,J_Type,$D85,J_Cat,$E85,J_Statut,"&lt;&gt;Annulé",J_Statut,"&lt;&gt;Prévu"))</f>
        <v/>
      </c>
      <c r="T85" s="90">
        <f>IF($E85="","",IF($D85="Revenu",$S85-$R85,$R85-$S85))</f>
        <v/>
      </c>
      <c r="U85" s="91">
        <f>IF(OR($E85="",$R85=0),"",$S85/$R85)</f>
        <v/>
      </c>
      <c r="V85" s="92" t="n"/>
    </row>
    <row r="86">
      <c r="B86" s="87">
        <f>Annee_Travail</f>
        <v/>
      </c>
      <c r="C86" s="54" t="n"/>
      <c r="D86" s="54" t="n"/>
      <c r="E86" s="54" t="n"/>
      <c r="F86" s="88" t="n"/>
      <c r="G86" s="88" t="n"/>
      <c r="H86" s="88" t="n"/>
      <c r="I86" s="88" t="n"/>
      <c r="J86" s="88" t="n"/>
      <c r="K86" s="88" t="n"/>
      <c r="L86" s="88" t="n"/>
      <c r="M86" s="88" t="n"/>
      <c r="N86" s="88" t="n"/>
      <c r="O86" s="88" t="n"/>
      <c r="P86" s="88" t="n"/>
      <c r="Q86" s="88" t="n"/>
      <c r="R86" s="89">
        <f>IF($E86="","",SUM($F86:$Q86))</f>
        <v/>
      </c>
      <c r="S86" s="90">
        <f>IF($E86="","",SUMIFS(J_Montant,J_Annee,$B86,J_Module,$C86,J_Type,$D86,J_Cat,$E86,J_Statut,"&lt;&gt;Annulé",J_Statut,"&lt;&gt;Prévu"))</f>
        <v/>
      </c>
      <c r="T86" s="90">
        <f>IF($E86="","",IF($D86="Revenu",$S86-$R86,$R86-$S86))</f>
        <v/>
      </c>
      <c r="U86" s="91">
        <f>IF(OR($E86="",$R86=0),"",$S86/$R86)</f>
        <v/>
      </c>
      <c r="V86" s="92" t="n"/>
    </row>
    <row r="87">
      <c r="B87" s="87">
        <f>Annee_Travail</f>
        <v/>
      </c>
      <c r="C87" s="54" t="n"/>
      <c r="D87" s="54" t="n"/>
      <c r="E87" s="54" t="n"/>
      <c r="F87" s="88" t="n"/>
      <c r="G87" s="88" t="n"/>
      <c r="H87" s="88" t="n"/>
      <c r="I87" s="88" t="n"/>
      <c r="J87" s="88" t="n"/>
      <c r="K87" s="88" t="n"/>
      <c r="L87" s="88" t="n"/>
      <c r="M87" s="88" t="n"/>
      <c r="N87" s="88" t="n"/>
      <c r="O87" s="88" t="n"/>
      <c r="P87" s="88" t="n"/>
      <c r="Q87" s="88" t="n"/>
      <c r="R87" s="89">
        <f>IF($E87="","",SUM($F87:$Q87))</f>
        <v/>
      </c>
      <c r="S87" s="90">
        <f>IF($E87="","",SUMIFS(J_Montant,J_Annee,$B87,J_Module,$C87,J_Type,$D87,J_Cat,$E87,J_Statut,"&lt;&gt;Annulé",J_Statut,"&lt;&gt;Prévu"))</f>
        <v/>
      </c>
      <c r="T87" s="90">
        <f>IF($E87="","",IF($D87="Revenu",$S87-$R87,$R87-$S87))</f>
        <v/>
      </c>
      <c r="U87" s="91">
        <f>IF(OR($E87="",$R87=0),"",$S87/$R87)</f>
        <v/>
      </c>
      <c r="V87" s="92" t="n"/>
    </row>
    <row r="88">
      <c r="B88" s="87">
        <f>Annee_Travail</f>
        <v/>
      </c>
      <c r="C88" s="54" t="n"/>
      <c r="D88" s="54" t="n"/>
      <c r="E88" s="54" t="n"/>
      <c r="F88" s="88" t="n"/>
      <c r="G88" s="88" t="n"/>
      <c r="H88" s="88" t="n"/>
      <c r="I88" s="88" t="n"/>
      <c r="J88" s="88" t="n"/>
      <c r="K88" s="88" t="n"/>
      <c r="L88" s="88" t="n"/>
      <c r="M88" s="88" t="n"/>
      <c r="N88" s="88" t="n"/>
      <c r="O88" s="88" t="n"/>
      <c r="P88" s="88" t="n"/>
      <c r="Q88" s="88" t="n"/>
      <c r="R88" s="89">
        <f>IF($E88="","",SUM($F88:$Q88))</f>
        <v/>
      </c>
      <c r="S88" s="90">
        <f>IF($E88="","",SUMIFS(J_Montant,J_Annee,$B88,J_Module,$C88,J_Type,$D88,J_Cat,$E88,J_Statut,"&lt;&gt;Annulé",J_Statut,"&lt;&gt;Prévu"))</f>
        <v/>
      </c>
      <c r="T88" s="90">
        <f>IF($E88="","",IF($D88="Revenu",$S88-$R88,$R88-$S88))</f>
        <v/>
      </c>
      <c r="U88" s="91">
        <f>IF(OR($E88="",$R88=0),"",$S88/$R88)</f>
        <v/>
      </c>
      <c r="V88" s="92" t="n"/>
    </row>
    <row r="89">
      <c r="B89" s="87">
        <f>Annee_Travail</f>
        <v/>
      </c>
      <c r="C89" s="54" t="n"/>
      <c r="D89" s="54" t="n"/>
      <c r="E89" s="54" t="n"/>
      <c r="F89" s="88" t="n"/>
      <c r="G89" s="88" t="n"/>
      <c r="H89" s="88" t="n"/>
      <c r="I89" s="88" t="n"/>
      <c r="J89" s="88" t="n"/>
      <c r="K89" s="88" t="n"/>
      <c r="L89" s="88" t="n"/>
      <c r="M89" s="88" t="n"/>
      <c r="N89" s="88" t="n"/>
      <c r="O89" s="88" t="n"/>
      <c r="P89" s="88" t="n"/>
      <c r="Q89" s="88" t="n"/>
      <c r="R89" s="89">
        <f>IF($E89="","",SUM($F89:$Q89))</f>
        <v/>
      </c>
      <c r="S89" s="90">
        <f>IF($E89="","",SUMIFS(J_Montant,J_Annee,$B89,J_Module,$C89,J_Type,$D89,J_Cat,$E89,J_Statut,"&lt;&gt;Annulé",J_Statut,"&lt;&gt;Prévu"))</f>
        <v/>
      </c>
      <c r="T89" s="90">
        <f>IF($E89="","",IF($D89="Revenu",$S89-$R89,$R89-$S89))</f>
        <v/>
      </c>
      <c r="U89" s="91">
        <f>IF(OR($E89="",$R89=0),"",$S89/$R89)</f>
        <v/>
      </c>
      <c r="V89" s="92" t="n"/>
    </row>
    <row r="90">
      <c r="B90" s="87">
        <f>Annee_Travail</f>
        <v/>
      </c>
      <c r="C90" s="54" t="n"/>
      <c r="D90" s="54" t="n"/>
      <c r="E90" s="54" t="n"/>
      <c r="F90" s="88" t="n"/>
      <c r="G90" s="88" t="n"/>
      <c r="H90" s="88" t="n"/>
      <c r="I90" s="88" t="n"/>
      <c r="J90" s="88" t="n"/>
      <c r="K90" s="88" t="n"/>
      <c r="L90" s="88" t="n"/>
      <c r="M90" s="88" t="n"/>
      <c r="N90" s="88" t="n"/>
      <c r="O90" s="88" t="n"/>
      <c r="P90" s="88" t="n"/>
      <c r="Q90" s="88" t="n"/>
      <c r="R90" s="89">
        <f>IF($E90="","",SUM($F90:$Q90))</f>
        <v/>
      </c>
      <c r="S90" s="90">
        <f>IF($E90="","",SUMIFS(J_Montant,J_Annee,$B90,J_Module,$C90,J_Type,$D90,J_Cat,$E90,J_Statut,"&lt;&gt;Annulé",J_Statut,"&lt;&gt;Prévu"))</f>
        <v/>
      </c>
      <c r="T90" s="90">
        <f>IF($E90="","",IF($D90="Revenu",$S90-$R90,$R90-$S90))</f>
        <v/>
      </c>
      <c r="U90" s="91">
        <f>IF(OR($E90="",$R90=0),"",$S90/$R90)</f>
        <v/>
      </c>
      <c r="V90" s="92" t="n"/>
    </row>
    <row r="91">
      <c r="B91" s="87">
        <f>Annee_Travail</f>
        <v/>
      </c>
      <c r="C91" s="54" t="n"/>
      <c r="D91" s="54" t="n"/>
      <c r="E91" s="54" t="n"/>
      <c r="F91" s="88" t="n"/>
      <c r="G91" s="88" t="n"/>
      <c r="H91" s="88" t="n"/>
      <c r="I91" s="88" t="n"/>
      <c r="J91" s="88" t="n"/>
      <c r="K91" s="88" t="n"/>
      <c r="L91" s="88" t="n"/>
      <c r="M91" s="88" t="n"/>
      <c r="N91" s="88" t="n"/>
      <c r="O91" s="88" t="n"/>
      <c r="P91" s="88" t="n"/>
      <c r="Q91" s="88" t="n"/>
      <c r="R91" s="89">
        <f>IF($E91="","",SUM($F91:$Q91))</f>
        <v/>
      </c>
      <c r="S91" s="90">
        <f>IF($E91="","",SUMIFS(J_Montant,J_Annee,$B91,J_Module,$C91,J_Type,$D91,J_Cat,$E91,J_Statut,"&lt;&gt;Annulé",J_Statut,"&lt;&gt;Prévu"))</f>
        <v/>
      </c>
      <c r="T91" s="90">
        <f>IF($E91="","",IF($D91="Revenu",$S91-$R91,$R91-$S91))</f>
        <v/>
      </c>
      <c r="U91" s="91">
        <f>IF(OR($E91="",$R91=0),"",$S91/$R91)</f>
        <v/>
      </c>
      <c r="V91" s="92" t="n"/>
    </row>
    <row r="92">
      <c r="B92" s="87">
        <f>Annee_Travail</f>
        <v/>
      </c>
      <c r="C92" s="54" t="n"/>
      <c r="D92" s="54" t="n"/>
      <c r="E92" s="54" t="n"/>
      <c r="F92" s="88" t="n"/>
      <c r="G92" s="88" t="n"/>
      <c r="H92" s="88" t="n"/>
      <c r="I92" s="88" t="n"/>
      <c r="J92" s="88" t="n"/>
      <c r="K92" s="88" t="n"/>
      <c r="L92" s="88" t="n"/>
      <c r="M92" s="88" t="n"/>
      <c r="N92" s="88" t="n"/>
      <c r="O92" s="88" t="n"/>
      <c r="P92" s="88" t="n"/>
      <c r="Q92" s="88" t="n"/>
      <c r="R92" s="89">
        <f>IF($E92="","",SUM($F92:$Q92))</f>
        <v/>
      </c>
      <c r="S92" s="90">
        <f>IF($E92="","",SUMIFS(J_Montant,J_Annee,$B92,J_Module,$C92,J_Type,$D92,J_Cat,$E92,J_Statut,"&lt;&gt;Annulé",J_Statut,"&lt;&gt;Prévu"))</f>
        <v/>
      </c>
      <c r="T92" s="90">
        <f>IF($E92="","",IF($D92="Revenu",$S92-$R92,$R92-$S92))</f>
        <v/>
      </c>
      <c r="U92" s="91">
        <f>IF(OR($E92="",$R92=0),"",$S92/$R92)</f>
        <v/>
      </c>
      <c r="V92" s="92" t="n"/>
    </row>
    <row r="93">
      <c r="B93" s="87">
        <f>Annee_Travail</f>
        <v/>
      </c>
      <c r="C93" s="54" t="n"/>
      <c r="D93" s="54" t="n"/>
      <c r="E93" s="54" t="n"/>
      <c r="F93" s="88" t="n"/>
      <c r="G93" s="88" t="n"/>
      <c r="H93" s="88" t="n"/>
      <c r="I93" s="88" t="n"/>
      <c r="J93" s="88" t="n"/>
      <c r="K93" s="88" t="n"/>
      <c r="L93" s="88" t="n"/>
      <c r="M93" s="88" t="n"/>
      <c r="N93" s="88" t="n"/>
      <c r="O93" s="88" t="n"/>
      <c r="P93" s="88" t="n"/>
      <c r="Q93" s="88" t="n"/>
      <c r="R93" s="89">
        <f>IF($E93="","",SUM($F93:$Q93))</f>
        <v/>
      </c>
      <c r="S93" s="90">
        <f>IF($E93="","",SUMIFS(J_Montant,J_Annee,$B93,J_Module,$C93,J_Type,$D93,J_Cat,$E93,J_Statut,"&lt;&gt;Annulé",J_Statut,"&lt;&gt;Prévu"))</f>
        <v/>
      </c>
      <c r="T93" s="90">
        <f>IF($E93="","",IF($D93="Revenu",$S93-$R93,$R93-$S93))</f>
        <v/>
      </c>
      <c r="U93" s="91">
        <f>IF(OR($E93="",$R93=0),"",$S93/$R93)</f>
        <v/>
      </c>
      <c r="V93" s="92" t="n"/>
    </row>
    <row r="94">
      <c r="B94" s="87">
        <f>Annee_Travail</f>
        <v/>
      </c>
      <c r="C94" s="54" t="n"/>
      <c r="D94" s="54" t="n"/>
      <c r="E94" s="54" t="n"/>
      <c r="F94" s="88" t="n"/>
      <c r="G94" s="88" t="n"/>
      <c r="H94" s="88" t="n"/>
      <c r="I94" s="88" t="n"/>
      <c r="J94" s="88" t="n"/>
      <c r="K94" s="88" t="n"/>
      <c r="L94" s="88" t="n"/>
      <c r="M94" s="88" t="n"/>
      <c r="N94" s="88" t="n"/>
      <c r="O94" s="88" t="n"/>
      <c r="P94" s="88" t="n"/>
      <c r="Q94" s="88" t="n"/>
      <c r="R94" s="89">
        <f>IF($E94="","",SUM($F94:$Q94))</f>
        <v/>
      </c>
      <c r="S94" s="90">
        <f>IF($E94="","",SUMIFS(J_Montant,J_Annee,$B94,J_Module,$C94,J_Type,$D94,J_Cat,$E94,J_Statut,"&lt;&gt;Annulé",J_Statut,"&lt;&gt;Prévu"))</f>
        <v/>
      </c>
      <c r="T94" s="90">
        <f>IF($E94="","",IF($D94="Revenu",$S94-$R94,$R94-$S94))</f>
        <v/>
      </c>
      <c r="U94" s="91">
        <f>IF(OR($E94="",$R94=0),"",$S94/$R94)</f>
        <v/>
      </c>
      <c r="V94" s="92" t="n"/>
    </row>
    <row r="95">
      <c r="B95" s="87">
        <f>Annee_Travail</f>
        <v/>
      </c>
      <c r="C95" s="54" t="n"/>
      <c r="D95" s="54" t="n"/>
      <c r="E95" s="54" t="n"/>
      <c r="F95" s="88" t="n"/>
      <c r="G95" s="88" t="n"/>
      <c r="H95" s="88" t="n"/>
      <c r="I95" s="88" t="n"/>
      <c r="J95" s="88" t="n"/>
      <c r="K95" s="88" t="n"/>
      <c r="L95" s="88" t="n"/>
      <c r="M95" s="88" t="n"/>
      <c r="N95" s="88" t="n"/>
      <c r="O95" s="88" t="n"/>
      <c r="P95" s="88" t="n"/>
      <c r="Q95" s="88" t="n"/>
      <c r="R95" s="89">
        <f>IF($E95="","",SUM($F95:$Q95))</f>
        <v/>
      </c>
      <c r="S95" s="90">
        <f>IF($E95="","",SUMIFS(J_Montant,J_Annee,$B95,J_Module,$C95,J_Type,$D95,J_Cat,$E95,J_Statut,"&lt;&gt;Annulé",J_Statut,"&lt;&gt;Prévu"))</f>
        <v/>
      </c>
      <c r="T95" s="90">
        <f>IF($E95="","",IF($D95="Revenu",$S95-$R95,$R95-$S95))</f>
        <v/>
      </c>
      <c r="U95" s="91">
        <f>IF(OR($E95="",$R95=0),"",$S95/$R95)</f>
        <v/>
      </c>
      <c r="V95" s="92" t="n"/>
    </row>
    <row r="96">
      <c r="B96" s="87">
        <f>Annee_Travail</f>
        <v/>
      </c>
      <c r="C96" s="54" t="n"/>
      <c r="D96" s="54" t="n"/>
      <c r="E96" s="54" t="n"/>
      <c r="F96" s="88" t="n"/>
      <c r="G96" s="88" t="n"/>
      <c r="H96" s="88" t="n"/>
      <c r="I96" s="88" t="n"/>
      <c r="J96" s="88" t="n"/>
      <c r="K96" s="88" t="n"/>
      <c r="L96" s="88" t="n"/>
      <c r="M96" s="88" t="n"/>
      <c r="N96" s="88" t="n"/>
      <c r="O96" s="88" t="n"/>
      <c r="P96" s="88" t="n"/>
      <c r="Q96" s="88" t="n"/>
      <c r="R96" s="89">
        <f>IF($E96="","",SUM($F96:$Q96))</f>
        <v/>
      </c>
      <c r="S96" s="90">
        <f>IF($E96="","",SUMIFS(J_Montant,J_Annee,$B96,J_Module,$C96,J_Type,$D96,J_Cat,$E96,J_Statut,"&lt;&gt;Annulé",J_Statut,"&lt;&gt;Prévu"))</f>
        <v/>
      </c>
      <c r="T96" s="90">
        <f>IF($E96="","",IF($D96="Revenu",$S96-$R96,$R96-$S96))</f>
        <v/>
      </c>
      <c r="U96" s="91">
        <f>IF(OR($E96="",$R96=0),"",$S96/$R96)</f>
        <v/>
      </c>
      <c r="V96" s="92" t="n"/>
    </row>
    <row r="97">
      <c r="B97" s="87">
        <f>Annee_Travail</f>
        <v/>
      </c>
      <c r="C97" s="54" t="n"/>
      <c r="D97" s="54" t="n"/>
      <c r="E97" s="54" t="n"/>
      <c r="F97" s="88" t="n"/>
      <c r="G97" s="88" t="n"/>
      <c r="H97" s="88" t="n"/>
      <c r="I97" s="88" t="n"/>
      <c r="J97" s="88" t="n"/>
      <c r="K97" s="88" t="n"/>
      <c r="L97" s="88" t="n"/>
      <c r="M97" s="88" t="n"/>
      <c r="N97" s="88" t="n"/>
      <c r="O97" s="88" t="n"/>
      <c r="P97" s="88" t="n"/>
      <c r="Q97" s="88" t="n"/>
      <c r="R97" s="89">
        <f>IF($E97="","",SUM($F97:$Q97))</f>
        <v/>
      </c>
      <c r="S97" s="90">
        <f>IF($E97="","",SUMIFS(J_Montant,J_Annee,$B97,J_Module,$C97,J_Type,$D97,J_Cat,$E97,J_Statut,"&lt;&gt;Annulé",J_Statut,"&lt;&gt;Prévu"))</f>
        <v/>
      </c>
      <c r="T97" s="90">
        <f>IF($E97="","",IF($D97="Revenu",$S97-$R97,$R97-$S97))</f>
        <v/>
      </c>
      <c r="U97" s="91">
        <f>IF(OR($E97="",$R97=0),"",$S97/$R97)</f>
        <v/>
      </c>
      <c r="V97" s="92" t="n"/>
    </row>
    <row r="98">
      <c r="B98" s="87">
        <f>Annee_Travail</f>
        <v/>
      </c>
      <c r="C98" s="54" t="n"/>
      <c r="D98" s="54" t="n"/>
      <c r="E98" s="54" t="n"/>
      <c r="F98" s="88" t="n"/>
      <c r="G98" s="88" t="n"/>
      <c r="H98" s="88" t="n"/>
      <c r="I98" s="88" t="n"/>
      <c r="J98" s="88" t="n"/>
      <c r="K98" s="88" t="n"/>
      <c r="L98" s="88" t="n"/>
      <c r="M98" s="88" t="n"/>
      <c r="N98" s="88" t="n"/>
      <c r="O98" s="88" t="n"/>
      <c r="P98" s="88" t="n"/>
      <c r="Q98" s="88" t="n"/>
      <c r="R98" s="89">
        <f>IF($E98="","",SUM($F98:$Q98))</f>
        <v/>
      </c>
      <c r="S98" s="90">
        <f>IF($E98="","",SUMIFS(J_Montant,J_Annee,$B98,J_Module,$C98,J_Type,$D98,J_Cat,$E98,J_Statut,"&lt;&gt;Annulé",J_Statut,"&lt;&gt;Prévu"))</f>
        <v/>
      </c>
      <c r="T98" s="90">
        <f>IF($E98="","",IF($D98="Revenu",$S98-$R98,$R98-$S98))</f>
        <v/>
      </c>
      <c r="U98" s="91">
        <f>IF(OR($E98="",$R98=0),"",$S98/$R98)</f>
        <v/>
      </c>
      <c r="V98" s="92" t="n"/>
    </row>
    <row r="99">
      <c r="B99" s="87">
        <f>Annee_Travail</f>
        <v/>
      </c>
      <c r="C99" s="54" t="n"/>
      <c r="D99" s="54" t="n"/>
      <c r="E99" s="54" t="n"/>
      <c r="F99" s="88" t="n"/>
      <c r="G99" s="88" t="n"/>
      <c r="H99" s="88" t="n"/>
      <c r="I99" s="88" t="n"/>
      <c r="J99" s="88" t="n"/>
      <c r="K99" s="88" t="n"/>
      <c r="L99" s="88" t="n"/>
      <c r="M99" s="88" t="n"/>
      <c r="N99" s="88" t="n"/>
      <c r="O99" s="88" t="n"/>
      <c r="P99" s="88" t="n"/>
      <c r="Q99" s="88" t="n"/>
      <c r="R99" s="89">
        <f>IF($E99="","",SUM($F99:$Q99))</f>
        <v/>
      </c>
      <c r="S99" s="90">
        <f>IF($E99="","",SUMIFS(J_Montant,J_Annee,$B99,J_Module,$C99,J_Type,$D99,J_Cat,$E99,J_Statut,"&lt;&gt;Annulé",J_Statut,"&lt;&gt;Prévu"))</f>
        <v/>
      </c>
      <c r="T99" s="90">
        <f>IF($E99="","",IF($D99="Revenu",$S99-$R99,$R99-$S99))</f>
        <v/>
      </c>
      <c r="U99" s="91">
        <f>IF(OR($E99="",$R99=0),"",$S99/$R99)</f>
        <v/>
      </c>
      <c r="V99" s="92" t="n"/>
    </row>
    <row r="100">
      <c r="B100" s="87">
        <f>Annee_Travail</f>
        <v/>
      </c>
      <c r="C100" s="54" t="n"/>
      <c r="D100" s="54" t="n"/>
      <c r="E100" s="54" t="n"/>
      <c r="F100" s="88" t="n"/>
      <c r="G100" s="88" t="n"/>
      <c r="H100" s="88" t="n"/>
      <c r="I100" s="88" t="n"/>
      <c r="J100" s="88" t="n"/>
      <c r="K100" s="88" t="n"/>
      <c r="L100" s="88" t="n"/>
      <c r="M100" s="88" t="n"/>
      <c r="N100" s="88" t="n"/>
      <c r="O100" s="88" t="n"/>
      <c r="P100" s="88" t="n"/>
      <c r="Q100" s="88" t="n"/>
      <c r="R100" s="89">
        <f>IF($E100="","",SUM($F100:$Q100))</f>
        <v/>
      </c>
      <c r="S100" s="90">
        <f>IF($E100="","",SUMIFS(J_Montant,J_Annee,$B100,J_Module,$C100,J_Type,$D100,J_Cat,$E100,J_Statut,"&lt;&gt;Annulé",J_Statut,"&lt;&gt;Prévu"))</f>
        <v/>
      </c>
      <c r="T100" s="90">
        <f>IF($E100="","",IF($D100="Revenu",$S100-$R100,$R100-$S100))</f>
        <v/>
      </c>
      <c r="U100" s="91">
        <f>IF(OR($E100="",$R100=0),"",$S100/$R100)</f>
        <v/>
      </c>
      <c r="V100" s="92" t="n"/>
    </row>
    <row r="101">
      <c r="B101" s="87">
        <f>Annee_Travail</f>
        <v/>
      </c>
      <c r="C101" s="54" t="n"/>
      <c r="D101" s="54" t="n"/>
      <c r="E101" s="54" t="n"/>
      <c r="F101" s="88" t="n"/>
      <c r="G101" s="88" t="n"/>
      <c r="H101" s="88" t="n"/>
      <c r="I101" s="88" t="n"/>
      <c r="J101" s="88" t="n"/>
      <c r="K101" s="88" t="n"/>
      <c r="L101" s="88" t="n"/>
      <c r="M101" s="88" t="n"/>
      <c r="N101" s="88" t="n"/>
      <c r="O101" s="88" t="n"/>
      <c r="P101" s="88" t="n"/>
      <c r="Q101" s="88" t="n"/>
      <c r="R101" s="89">
        <f>IF($E101="","",SUM($F101:$Q101))</f>
        <v/>
      </c>
      <c r="S101" s="90">
        <f>IF($E101="","",SUMIFS(J_Montant,J_Annee,$B101,J_Module,$C101,J_Type,$D101,J_Cat,$E101,J_Statut,"&lt;&gt;Annulé",J_Statut,"&lt;&gt;Prévu"))</f>
        <v/>
      </c>
      <c r="T101" s="90">
        <f>IF($E101="","",IF($D101="Revenu",$S101-$R101,$R101-$S101))</f>
        <v/>
      </c>
      <c r="U101" s="91">
        <f>IF(OR($E101="",$R101=0),"",$S101/$R101)</f>
        <v/>
      </c>
      <c r="V101" s="92" t="n"/>
    </row>
    <row r="102">
      <c r="B102" s="87">
        <f>Annee_Travail</f>
        <v/>
      </c>
      <c r="C102" s="54" t="n"/>
      <c r="D102" s="54" t="n"/>
      <c r="E102" s="54" t="n"/>
      <c r="F102" s="88" t="n"/>
      <c r="G102" s="88" t="n"/>
      <c r="H102" s="88" t="n"/>
      <c r="I102" s="88" t="n"/>
      <c r="J102" s="88" t="n"/>
      <c r="K102" s="88" t="n"/>
      <c r="L102" s="88" t="n"/>
      <c r="M102" s="88" t="n"/>
      <c r="N102" s="88" t="n"/>
      <c r="O102" s="88" t="n"/>
      <c r="P102" s="88" t="n"/>
      <c r="Q102" s="88" t="n"/>
      <c r="R102" s="89">
        <f>IF($E102="","",SUM($F102:$Q102))</f>
        <v/>
      </c>
      <c r="S102" s="90">
        <f>IF($E102="","",SUMIFS(J_Montant,J_Annee,$B102,J_Module,$C102,J_Type,$D102,J_Cat,$E102,J_Statut,"&lt;&gt;Annulé",J_Statut,"&lt;&gt;Prévu"))</f>
        <v/>
      </c>
      <c r="T102" s="90">
        <f>IF($E102="","",IF($D102="Revenu",$S102-$R102,$R102-$S102))</f>
        <v/>
      </c>
      <c r="U102" s="91">
        <f>IF(OR($E102="",$R102=0),"",$S102/$R102)</f>
        <v/>
      </c>
      <c r="V102" s="92" t="n"/>
    </row>
    <row r="103">
      <c r="B103" s="87">
        <f>Annee_Travail</f>
        <v/>
      </c>
      <c r="C103" s="54" t="n"/>
      <c r="D103" s="54" t="n"/>
      <c r="E103" s="54" t="n"/>
      <c r="F103" s="88" t="n"/>
      <c r="G103" s="88" t="n"/>
      <c r="H103" s="88" t="n"/>
      <c r="I103" s="88" t="n"/>
      <c r="J103" s="88" t="n"/>
      <c r="K103" s="88" t="n"/>
      <c r="L103" s="88" t="n"/>
      <c r="M103" s="88" t="n"/>
      <c r="N103" s="88" t="n"/>
      <c r="O103" s="88" t="n"/>
      <c r="P103" s="88" t="n"/>
      <c r="Q103" s="88" t="n"/>
      <c r="R103" s="89">
        <f>IF($E103="","",SUM($F103:$Q103))</f>
        <v/>
      </c>
      <c r="S103" s="90">
        <f>IF($E103="","",SUMIFS(J_Montant,J_Annee,$B103,J_Module,$C103,J_Type,$D103,J_Cat,$E103,J_Statut,"&lt;&gt;Annulé",J_Statut,"&lt;&gt;Prévu"))</f>
        <v/>
      </c>
      <c r="T103" s="90">
        <f>IF($E103="","",IF($D103="Revenu",$S103-$R103,$R103-$S103))</f>
        <v/>
      </c>
      <c r="U103" s="91">
        <f>IF(OR($E103="",$R103=0),"",$S103/$R103)</f>
        <v/>
      </c>
      <c r="V103" s="92" t="n"/>
    </row>
    <row r="104">
      <c r="B104" s="87">
        <f>Annee_Travail</f>
        <v/>
      </c>
      <c r="C104" s="54" t="n"/>
      <c r="D104" s="54" t="n"/>
      <c r="E104" s="54" t="n"/>
      <c r="F104" s="88" t="n"/>
      <c r="G104" s="88" t="n"/>
      <c r="H104" s="88" t="n"/>
      <c r="I104" s="88" t="n"/>
      <c r="J104" s="88" t="n"/>
      <c r="K104" s="88" t="n"/>
      <c r="L104" s="88" t="n"/>
      <c r="M104" s="88" t="n"/>
      <c r="N104" s="88" t="n"/>
      <c r="O104" s="88" t="n"/>
      <c r="P104" s="88" t="n"/>
      <c r="Q104" s="88" t="n"/>
      <c r="R104" s="89">
        <f>IF($E104="","",SUM($F104:$Q104))</f>
        <v/>
      </c>
      <c r="S104" s="90">
        <f>IF($E104="","",SUMIFS(J_Montant,J_Annee,$B104,J_Module,$C104,J_Type,$D104,J_Cat,$E104,J_Statut,"&lt;&gt;Annulé",J_Statut,"&lt;&gt;Prévu"))</f>
        <v/>
      </c>
      <c r="T104" s="90">
        <f>IF($E104="","",IF($D104="Revenu",$S104-$R104,$R104-$S104))</f>
        <v/>
      </c>
      <c r="U104" s="91">
        <f>IF(OR($E104="",$R104=0),"",$S104/$R104)</f>
        <v/>
      </c>
      <c r="V104" s="92" t="n"/>
    </row>
    <row r="105">
      <c r="B105" s="87">
        <f>Annee_Travail</f>
        <v/>
      </c>
      <c r="C105" s="54" t="n"/>
      <c r="D105" s="54" t="n"/>
      <c r="E105" s="54" t="n"/>
      <c r="F105" s="88" t="n"/>
      <c r="G105" s="88" t="n"/>
      <c r="H105" s="88" t="n"/>
      <c r="I105" s="88" t="n"/>
      <c r="J105" s="88" t="n"/>
      <c r="K105" s="88" t="n"/>
      <c r="L105" s="88" t="n"/>
      <c r="M105" s="88" t="n"/>
      <c r="N105" s="88" t="n"/>
      <c r="O105" s="88" t="n"/>
      <c r="P105" s="88" t="n"/>
      <c r="Q105" s="88" t="n"/>
      <c r="R105" s="89">
        <f>IF($E105="","",SUM($F105:$Q105))</f>
        <v/>
      </c>
      <c r="S105" s="90">
        <f>IF($E105="","",SUMIFS(J_Montant,J_Annee,$B105,J_Module,$C105,J_Type,$D105,J_Cat,$E105,J_Statut,"&lt;&gt;Annulé",J_Statut,"&lt;&gt;Prévu"))</f>
        <v/>
      </c>
      <c r="T105" s="90">
        <f>IF($E105="","",IF($D105="Revenu",$S105-$R105,$R105-$S105))</f>
        <v/>
      </c>
      <c r="U105" s="91">
        <f>IF(OR($E105="",$R105=0),"",$S105/$R105)</f>
        <v/>
      </c>
      <c r="V105" s="92" t="n"/>
    </row>
    <row r="106">
      <c r="B106" s="87">
        <f>Annee_Travail</f>
        <v/>
      </c>
      <c r="C106" s="54" t="n"/>
      <c r="D106" s="54" t="n"/>
      <c r="E106" s="54" t="n"/>
      <c r="F106" s="88" t="n"/>
      <c r="G106" s="88" t="n"/>
      <c r="H106" s="88" t="n"/>
      <c r="I106" s="88" t="n"/>
      <c r="J106" s="88" t="n"/>
      <c r="K106" s="88" t="n"/>
      <c r="L106" s="88" t="n"/>
      <c r="M106" s="88" t="n"/>
      <c r="N106" s="88" t="n"/>
      <c r="O106" s="88" t="n"/>
      <c r="P106" s="88" t="n"/>
      <c r="Q106" s="88" t="n"/>
      <c r="R106" s="89">
        <f>IF($E106="","",SUM($F106:$Q106))</f>
        <v/>
      </c>
      <c r="S106" s="90">
        <f>IF($E106="","",SUMIFS(J_Montant,J_Annee,$B106,J_Module,$C106,J_Type,$D106,J_Cat,$E106,J_Statut,"&lt;&gt;Annulé",J_Statut,"&lt;&gt;Prévu"))</f>
        <v/>
      </c>
      <c r="T106" s="90">
        <f>IF($E106="","",IF($D106="Revenu",$S106-$R106,$R106-$S106))</f>
        <v/>
      </c>
      <c r="U106" s="91">
        <f>IF(OR($E106="",$R106=0),"",$S106/$R106)</f>
        <v/>
      </c>
      <c r="V106" s="92" t="n"/>
    </row>
    <row r="107">
      <c r="B107" s="87">
        <f>Annee_Travail</f>
        <v/>
      </c>
      <c r="C107" s="54" t="n"/>
      <c r="D107" s="54" t="n"/>
      <c r="E107" s="54" t="n"/>
      <c r="F107" s="88" t="n"/>
      <c r="G107" s="88" t="n"/>
      <c r="H107" s="88" t="n"/>
      <c r="I107" s="88" t="n"/>
      <c r="J107" s="88" t="n"/>
      <c r="K107" s="88" t="n"/>
      <c r="L107" s="88" t="n"/>
      <c r="M107" s="88" t="n"/>
      <c r="N107" s="88" t="n"/>
      <c r="O107" s="88" t="n"/>
      <c r="P107" s="88" t="n"/>
      <c r="Q107" s="88" t="n"/>
      <c r="R107" s="89">
        <f>IF($E107="","",SUM($F107:$Q107))</f>
        <v/>
      </c>
      <c r="S107" s="90">
        <f>IF($E107="","",SUMIFS(J_Montant,J_Annee,$B107,J_Module,$C107,J_Type,$D107,J_Cat,$E107,J_Statut,"&lt;&gt;Annulé",J_Statut,"&lt;&gt;Prévu"))</f>
        <v/>
      </c>
      <c r="T107" s="90">
        <f>IF($E107="","",IF($D107="Revenu",$S107-$R107,$R107-$S107))</f>
        <v/>
      </c>
      <c r="U107" s="91">
        <f>IF(OR($E107="",$R107=0),"",$S107/$R107)</f>
        <v/>
      </c>
      <c r="V107" s="92" t="n"/>
    </row>
    <row r="108">
      <c r="B108" s="87">
        <f>Annee_Travail</f>
        <v/>
      </c>
      <c r="C108" s="54" t="n"/>
      <c r="D108" s="54" t="n"/>
      <c r="E108" s="54" t="n"/>
      <c r="F108" s="88" t="n"/>
      <c r="G108" s="88" t="n"/>
      <c r="H108" s="88" t="n"/>
      <c r="I108" s="88" t="n"/>
      <c r="J108" s="88" t="n"/>
      <c r="K108" s="88" t="n"/>
      <c r="L108" s="88" t="n"/>
      <c r="M108" s="88" t="n"/>
      <c r="N108" s="88" t="n"/>
      <c r="O108" s="88" t="n"/>
      <c r="P108" s="88" t="n"/>
      <c r="Q108" s="88" t="n"/>
      <c r="R108" s="89">
        <f>IF($E108="","",SUM($F108:$Q108))</f>
        <v/>
      </c>
      <c r="S108" s="90">
        <f>IF($E108="","",SUMIFS(J_Montant,J_Annee,$B108,J_Module,$C108,J_Type,$D108,J_Cat,$E108,J_Statut,"&lt;&gt;Annulé",J_Statut,"&lt;&gt;Prévu"))</f>
        <v/>
      </c>
      <c r="T108" s="90">
        <f>IF($E108="","",IF($D108="Revenu",$S108-$R108,$R108-$S108))</f>
        <v/>
      </c>
      <c r="U108" s="91">
        <f>IF(OR($E108="",$R108=0),"",$S108/$R108)</f>
        <v/>
      </c>
      <c r="V108" s="92" t="n"/>
    </row>
    <row r="109">
      <c r="B109" s="87">
        <f>Annee_Travail</f>
        <v/>
      </c>
      <c r="C109" s="54" t="n"/>
      <c r="D109" s="54" t="n"/>
      <c r="E109" s="54" t="n"/>
      <c r="F109" s="88" t="n"/>
      <c r="G109" s="88" t="n"/>
      <c r="H109" s="88" t="n"/>
      <c r="I109" s="88" t="n"/>
      <c r="J109" s="88" t="n"/>
      <c r="K109" s="88" t="n"/>
      <c r="L109" s="88" t="n"/>
      <c r="M109" s="88" t="n"/>
      <c r="N109" s="88" t="n"/>
      <c r="O109" s="88" t="n"/>
      <c r="P109" s="88" t="n"/>
      <c r="Q109" s="88" t="n"/>
      <c r="R109" s="89">
        <f>IF($E109="","",SUM($F109:$Q109))</f>
        <v/>
      </c>
      <c r="S109" s="90">
        <f>IF($E109="","",SUMIFS(J_Montant,J_Annee,$B109,J_Module,$C109,J_Type,$D109,J_Cat,$E109,J_Statut,"&lt;&gt;Annulé",J_Statut,"&lt;&gt;Prévu"))</f>
        <v/>
      </c>
      <c r="T109" s="90">
        <f>IF($E109="","",IF($D109="Revenu",$S109-$R109,$R109-$S109))</f>
        <v/>
      </c>
      <c r="U109" s="91">
        <f>IF(OR($E109="",$R109=0),"",$S109/$R109)</f>
        <v/>
      </c>
      <c r="V109" s="92" t="n"/>
    </row>
    <row r="110">
      <c r="B110" s="87">
        <f>Annee_Travail</f>
        <v/>
      </c>
      <c r="C110" s="54" t="n"/>
      <c r="D110" s="54" t="n"/>
      <c r="E110" s="54" t="n"/>
      <c r="F110" s="88" t="n"/>
      <c r="G110" s="88" t="n"/>
      <c r="H110" s="88" t="n"/>
      <c r="I110" s="88" t="n"/>
      <c r="J110" s="88" t="n"/>
      <c r="K110" s="88" t="n"/>
      <c r="L110" s="88" t="n"/>
      <c r="M110" s="88" t="n"/>
      <c r="N110" s="88" t="n"/>
      <c r="O110" s="88" t="n"/>
      <c r="P110" s="88" t="n"/>
      <c r="Q110" s="88" t="n"/>
      <c r="R110" s="89">
        <f>IF($E110="","",SUM($F110:$Q110))</f>
        <v/>
      </c>
      <c r="S110" s="90">
        <f>IF($E110="","",SUMIFS(J_Montant,J_Annee,$B110,J_Module,$C110,J_Type,$D110,J_Cat,$E110,J_Statut,"&lt;&gt;Annulé",J_Statut,"&lt;&gt;Prévu"))</f>
        <v/>
      </c>
      <c r="T110" s="90">
        <f>IF($E110="","",IF($D110="Revenu",$S110-$R110,$R110-$S110))</f>
        <v/>
      </c>
      <c r="U110" s="91">
        <f>IF(OR($E110="",$R110=0),"",$S110/$R110)</f>
        <v/>
      </c>
      <c r="V110" s="92" t="n"/>
    </row>
    <row r="111">
      <c r="B111" s="87">
        <f>Annee_Travail</f>
        <v/>
      </c>
      <c r="C111" s="54" t="n"/>
      <c r="D111" s="54" t="n"/>
      <c r="E111" s="54" t="n"/>
      <c r="F111" s="88" t="n"/>
      <c r="G111" s="88" t="n"/>
      <c r="H111" s="88" t="n"/>
      <c r="I111" s="88" t="n"/>
      <c r="J111" s="88" t="n"/>
      <c r="K111" s="88" t="n"/>
      <c r="L111" s="88" t="n"/>
      <c r="M111" s="88" t="n"/>
      <c r="N111" s="88" t="n"/>
      <c r="O111" s="88" t="n"/>
      <c r="P111" s="88" t="n"/>
      <c r="Q111" s="88" t="n"/>
      <c r="R111" s="89">
        <f>IF($E111="","",SUM($F111:$Q111))</f>
        <v/>
      </c>
      <c r="S111" s="90">
        <f>IF($E111="","",SUMIFS(J_Montant,J_Annee,$B111,J_Module,$C111,J_Type,$D111,J_Cat,$E111,J_Statut,"&lt;&gt;Annulé",J_Statut,"&lt;&gt;Prévu"))</f>
        <v/>
      </c>
      <c r="T111" s="90">
        <f>IF($E111="","",IF($D111="Revenu",$S111-$R111,$R111-$S111))</f>
        <v/>
      </c>
      <c r="U111" s="91">
        <f>IF(OR($E111="",$R111=0),"",$S111/$R111)</f>
        <v/>
      </c>
      <c r="V111" s="92" t="n"/>
    </row>
    <row r="112">
      <c r="B112" s="87">
        <f>Annee_Travail</f>
        <v/>
      </c>
      <c r="C112" s="54" t="n"/>
      <c r="D112" s="54" t="n"/>
      <c r="E112" s="54" t="n"/>
      <c r="F112" s="88" t="n"/>
      <c r="G112" s="88" t="n"/>
      <c r="H112" s="88" t="n"/>
      <c r="I112" s="88" t="n"/>
      <c r="J112" s="88" t="n"/>
      <c r="K112" s="88" t="n"/>
      <c r="L112" s="88" t="n"/>
      <c r="M112" s="88" t="n"/>
      <c r="N112" s="88" t="n"/>
      <c r="O112" s="88" t="n"/>
      <c r="P112" s="88" t="n"/>
      <c r="Q112" s="88" t="n"/>
      <c r="R112" s="89">
        <f>IF($E112="","",SUM($F112:$Q112))</f>
        <v/>
      </c>
      <c r="S112" s="90">
        <f>IF($E112="","",SUMIFS(J_Montant,J_Annee,$B112,J_Module,$C112,J_Type,$D112,J_Cat,$E112,J_Statut,"&lt;&gt;Annulé",J_Statut,"&lt;&gt;Prévu"))</f>
        <v/>
      </c>
      <c r="T112" s="90">
        <f>IF($E112="","",IF($D112="Revenu",$S112-$R112,$R112-$S112))</f>
        <v/>
      </c>
      <c r="U112" s="91">
        <f>IF(OR($E112="",$R112=0),"",$S112/$R112)</f>
        <v/>
      </c>
      <c r="V112" s="92" t="n"/>
    </row>
    <row r="113">
      <c r="B113" s="87">
        <f>Annee_Travail</f>
        <v/>
      </c>
      <c r="C113" s="54" t="n"/>
      <c r="D113" s="54" t="n"/>
      <c r="E113" s="54" t="n"/>
      <c r="F113" s="88" t="n"/>
      <c r="G113" s="88" t="n"/>
      <c r="H113" s="88" t="n"/>
      <c r="I113" s="88" t="n"/>
      <c r="J113" s="88" t="n"/>
      <c r="K113" s="88" t="n"/>
      <c r="L113" s="88" t="n"/>
      <c r="M113" s="88" t="n"/>
      <c r="N113" s="88" t="n"/>
      <c r="O113" s="88" t="n"/>
      <c r="P113" s="88" t="n"/>
      <c r="Q113" s="88" t="n"/>
      <c r="R113" s="89">
        <f>IF($E113="","",SUM($F113:$Q113))</f>
        <v/>
      </c>
      <c r="S113" s="90">
        <f>IF($E113="","",SUMIFS(J_Montant,J_Annee,$B113,J_Module,$C113,J_Type,$D113,J_Cat,$E113,J_Statut,"&lt;&gt;Annulé",J_Statut,"&lt;&gt;Prévu"))</f>
        <v/>
      </c>
      <c r="T113" s="90">
        <f>IF($E113="","",IF($D113="Revenu",$S113-$R113,$R113-$S113))</f>
        <v/>
      </c>
      <c r="U113" s="91">
        <f>IF(OR($E113="",$R113=0),"",$S113/$R113)</f>
        <v/>
      </c>
      <c r="V113" s="92" t="n"/>
    </row>
    <row r="114">
      <c r="B114" s="87">
        <f>Annee_Travail</f>
        <v/>
      </c>
      <c r="C114" s="54" t="n"/>
      <c r="D114" s="54" t="n"/>
      <c r="E114" s="54" t="n"/>
      <c r="F114" s="88" t="n"/>
      <c r="G114" s="88" t="n"/>
      <c r="H114" s="88" t="n"/>
      <c r="I114" s="88" t="n"/>
      <c r="J114" s="88" t="n"/>
      <c r="K114" s="88" t="n"/>
      <c r="L114" s="88" t="n"/>
      <c r="M114" s="88" t="n"/>
      <c r="N114" s="88" t="n"/>
      <c r="O114" s="88" t="n"/>
      <c r="P114" s="88" t="n"/>
      <c r="Q114" s="88" t="n"/>
      <c r="R114" s="89">
        <f>IF($E114="","",SUM($F114:$Q114))</f>
        <v/>
      </c>
      <c r="S114" s="90">
        <f>IF($E114="","",SUMIFS(J_Montant,J_Annee,$B114,J_Module,$C114,J_Type,$D114,J_Cat,$E114,J_Statut,"&lt;&gt;Annulé",J_Statut,"&lt;&gt;Prévu"))</f>
        <v/>
      </c>
      <c r="T114" s="90">
        <f>IF($E114="","",IF($D114="Revenu",$S114-$R114,$R114-$S114))</f>
        <v/>
      </c>
      <c r="U114" s="91">
        <f>IF(OR($E114="",$R114=0),"",$S114/$R114)</f>
        <v/>
      </c>
      <c r="V114" s="92" t="n"/>
    </row>
    <row r="115">
      <c r="B115" s="87">
        <f>Annee_Travail</f>
        <v/>
      </c>
      <c r="C115" s="54" t="n"/>
      <c r="D115" s="54" t="n"/>
      <c r="E115" s="54" t="n"/>
      <c r="F115" s="88" t="n"/>
      <c r="G115" s="88" t="n"/>
      <c r="H115" s="88" t="n"/>
      <c r="I115" s="88" t="n"/>
      <c r="J115" s="88" t="n"/>
      <c r="K115" s="88" t="n"/>
      <c r="L115" s="88" t="n"/>
      <c r="M115" s="88" t="n"/>
      <c r="N115" s="88" t="n"/>
      <c r="O115" s="88" t="n"/>
      <c r="P115" s="88" t="n"/>
      <c r="Q115" s="88" t="n"/>
      <c r="R115" s="89">
        <f>IF($E115="","",SUM($F115:$Q115))</f>
        <v/>
      </c>
      <c r="S115" s="90">
        <f>IF($E115="","",SUMIFS(J_Montant,J_Annee,$B115,J_Module,$C115,J_Type,$D115,J_Cat,$E115,J_Statut,"&lt;&gt;Annulé",J_Statut,"&lt;&gt;Prévu"))</f>
        <v/>
      </c>
      <c r="T115" s="90">
        <f>IF($E115="","",IF($D115="Revenu",$S115-$R115,$R115-$S115))</f>
        <v/>
      </c>
      <c r="U115" s="91">
        <f>IF(OR($E115="",$R115=0),"",$S115/$R115)</f>
        <v/>
      </c>
      <c r="V115" s="92" t="n"/>
    </row>
    <row r="116">
      <c r="B116" s="87">
        <f>Annee_Travail</f>
        <v/>
      </c>
      <c r="C116" s="54" t="n"/>
      <c r="D116" s="54" t="n"/>
      <c r="E116" s="54" t="n"/>
      <c r="F116" s="88" t="n"/>
      <c r="G116" s="88" t="n"/>
      <c r="H116" s="88" t="n"/>
      <c r="I116" s="88" t="n"/>
      <c r="J116" s="88" t="n"/>
      <c r="K116" s="88" t="n"/>
      <c r="L116" s="88" t="n"/>
      <c r="M116" s="88" t="n"/>
      <c r="N116" s="88" t="n"/>
      <c r="O116" s="88" t="n"/>
      <c r="P116" s="88" t="n"/>
      <c r="Q116" s="88" t="n"/>
      <c r="R116" s="89">
        <f>IF($E116="","",SUM($F116:$Q116))</f>
        <v/>
      </c>
      <c r="S116" s="90">
        <f>IF($E116="","",SUMIFS(J_Montant,J_Annee,$B116,J_Module,$C116,J_Type,$D116,J_Cat,$E116,J_Statut,"&lt;&gt;Annulé",J_Statut,"&lt;&gt;Prévu"))</f>
        <v/>
      </c>
      <c r="T116" s="90">
        <f>IF($E116="","",IF($D116="Revenu",$S116-$R116,$R116-$S116))</f>
        <v/>
      </c>
      <c r="U116" s="91">
        <f>IF(OR($E116="",$R116=0),"",$S116/$R116)</f>
        <v/>
      </c>
      <c r="V116" s="92" t="n"/>
    </row>
    <row r="117">
      <c r="B117" s="87">
        <f>Annee_Travail</f>
        <v/>
      </c>
      <c r="C117" s="54" t="n"/>
      <c r="D117" s="54" t="n"/>
      <c r="E117" s="54" t="n"/>
      <c r="F117" s="88" t="n"/>
      <c r="G117" s="88" t="n"/>
      <c r="H117" s="88" t="n"/>
      <c r="I117" s="88" t="n"/>
      <c r="J117" s="88" t="n"/>
      <c r="K117" s="88" t="n"/>
      <c r="L117" s="88" t="n"/>
      <c r="M117" s="88" t="n"/>
      <c r="N117" s="88" t="n"/>
      <c r="O117" s="88" t="n"/>
      <c r="P117" s="88" t="n"/>
      <c r="Q117" s="88" t="n"/>
      <c r="R117" s="89">
        <f>IF($E117="","",SUM($F117:$Q117))</f>
        <v/>
      </c>
      <c r="S117" s="90">
        <f>IF($E117="","",SUMIFS(J_Montant,J_Annee,$B117,J_Module,$C117,J_Type,$D117,J_Cat,$E117,J_Statut,"&lt;&gt;Annulé",J_Statut,"&lt;&gt;Prévu"))</f>
        <v/>
      </c>
      <c r="T117" s="90">
        <f>IF($E117="","",IF($D117="Revenu",$S117-$R117,$R117-$S117))</f>
        <v/>
      </c>
      <c r="U117" s="91">
        <f>IF(OR($E117="",$R117=0),"",$S117/$R117)</f>
        <v/>
      </c>
      <c r="V117" s="92" t="n"/>
    </row>
    <row r="118">
      <c r="B118" s="87">
        <f>Annee_Travail</f>
        <v/>
      </c>
      <c r="C118" s="54" t="n"/>
      <c r="D118" s="54" t="n"/>
      <c r="E118" s="54" t="n"/>
      <c r="F118" s="88" t="n"/>
      <c r="G118" s="88" t="n"/>
      <c r="H118" s="88" t="n"/>
      <c r="I118" s="88" t="n"/>
      <c r="J118" s="88" t="n"/>
      <c r="K118" s="88" t="n"/>
      <c r="L118" s="88" t="n"/>
      <c r="M118" s="88" t="n"/>
      <c r="N118" s="88" t="n"/>
      <c r="O118" s="88" t="n"/>
      <c r="P118" s="88" t="n"/>
      <c r="Q118" s="88" t="n"/>
      <c r="R118" s="89">
        <f>IF($E118="","",SUM($F118:$Q118))</f>
        <v/>
      </c>
      <c r="S118" s="90">
        <f>IF($E118="","",SUMIFS(J_Montant,J_Annee,$B118,J_Module,$C118,J_Type,$D118,J_Cat,$E118,J_Statut,"&lt;&gt;Annulé",J_Statut,"&lt;&gt;Prévu"))</f>
        <v/>
      </c>
      <c r="T118" s="90">
        <f>IF($E118="","",IF($D118="Revenu",$S118-$R118,$R118-$S118))</f>
        <v/>
      </c>
      <c r="U118" s="91">
        <f>IF(OR($E118="",$R118=0),"",$S118/$R118)</f>
        <v/>
      </c>
      <c r="V118" s="92" t="n"/>
    </row>
    <row r="119">
      <c r="B119" s="87">
        <f>Annee_Travail</f>
        <v/>
      </c>
      <c r="C119" s="54" t="n"/>
      <c r="D119" s="54" t="n"/>
      <c r="E119" s="54" t="n"/>
      <c r="F119" s="88" t="n"/>
      <c r="G119" s="88" t="n"/>
      <c r="H119" s="88" t="n"/>
      <c r="I119" s="88" t="n"/>
      <c r="J119" s="88" t="n"/>
      <c r="K119" s="88" t="n"/>
      <c r="L119" s="88" t="n"/>
      <c r="M119" s="88" t="n"/>
      <c r="N119" s="88" t="n"/>
      <c r="O119" s="88" t="n"/>
      <c r="P119" s="88" t="n"/>
      <c r="Q119" s="88" t="n"/>
      <c r="R119" s="89">
        <f>IF($E119="","",SUM($F119:$Q119))</f>
        <v/>
      </c>
      <c r="S119" s="90">
        <f>IF($E119="","",SUMIFS(J_Montant,J_Annee,$B119,J_Module,$C119,J_Type,$D119,J_Cat,$E119,J_Statut,"&lt;&gt;Annulé",J_Statut,"&lt;&gt;Prévu"))</f>
        <v/>
      </c>
      <c r="T119" s="90">
        <f>IF($E119="","",IF($D119="Revenu",$S119-$R119,$R119-$S119))</f>
        <v/>
      </c>
      <c r="U119" s="91">
        <f>IF(OR($E119="",$R119=0),"",$S119/$R119)</f>
        <v/>
      </c>
      <c r="V119" s="92" t="n"/>
    </row>
    <row r="120">
      <c r="B120" s="87">
        <f>Annee_Travail</f>
        <v/>
      </c>
      <c r="C120" s="54" t="n"/>
      <c r="D120" s="54" t="n"/>
      <c r="E120" s="54" t="n"/>
      <c r="F120" s="88" t="n"/>
      <c r="G120" s="88" t="n"/>
      <c r="H120" s="88" t="n"/>
      <c r="I120" s="88" t="n"/>
      <c r="J120" s="88" t="n"/>
      <c r="K120" s="88" t="n"/>
      <c r="L120" s="88" t="n"/>
      <c r="M120" s="88" t="n"/>
      <c r="N120" s="88" t="n"/>
      <c r="O120" s="88" t="n"/>
      <c r="P120" s="88" t="n"/>
      <c r="Q120" s="88" t="n"/>
      <c r="R120" s="89">
        <f>IF($E120="","",SUM($F120:$Q120))</f>
        <v/>
      </c>
      <c r="S120" s="90">
        <f>IF($E120="","",SUMIFS(J_Montant,J_Annee,$B120,J_Module,$C120,J_Type,$D120,J_Cat,$E120,J_Statut,"&lt;&gt;Annulé",J_Statut,"&lt;&gt;Prévu"))</f>
        <v/>
      </c>
      <c r="T120" s="90">
        <f>IF($E120="","",IF($D120="Revenu",$S120-$R120,$R120-$S120))</f>
        <v/>
      </c>
      <c r="U120" s="91">
        <f>IF(OR($E120="",$R120=0),"",$S120/$R120)</f>
        <v/>
      </c>
      <c r="V120" s="92" t="n"/>
    </row>
    <row r="121">
      <c r="B121" s="87">
        <f>Annee_Travail</f>
        <v/>
      </c>
      <c r="C121" s="54" t="n"/>
      <c r="D121" s="54" t="n"/>
      <c r="E121" s="54" t="n"/>
      <c r="F121" s="88" t="n"/>
      <c r="G121" s="88" t="n"/>
      <c r="H121" s="88" t="n"/>
      <c r="I121" s="88" t="n"/>
      <c r="J121" s="88" t="n"/>
      <c r="K121" s="88" t="n"/>
      <c r="L121" s="88" t="n"/>
      <c r="M121" s="88" t="n"/>
      <c r="N121" s="88" t="n"/>
      <c r="O121" s="88" t="n"/>
      <c r="P121" s="88" t="n"/>
      <c r="Q121" s="88" t="n"/>
      <c r="R121" s="89">
        <f>IF($E121="","",SUM($F121:$Q121))</f>
        <v/>
      </c>
      <c r="S121" s="90">
        <f>IF($E121="","",SUMIFS(J_Montant,J_Annee,$B121,J_Module,$C121,J_Type,$D121,J_Cat,$E121,J_Statut,"&lt;&gt;Annulé",J_Statut,"&lt;&gt;Prévu"))</f>
        <v/>
      </c>
      <c r="T121" s="90">
        <f>IF($E121="","",IF($D121="Revenu",$S121-$R121,$R121-$S121))</f>
        <v/>
      </c>
      <c r="U121" s="91">
        <f>IF(OR($E121="",$R121=0),"",$S121/$R121)</f>
        <v/>
      </c>
      <c r="V121" s="92" t="n"/>
    </row>
    <row r="122">
      <c r="B122" s="87">
        <f>Annee_Travail</f>
        <v/>
      </c>
      <c r="C122" s="54" t="n"/>
      <c r="D122" s="54" t="n"/>
      <c r="E122" s="54" t="n"/>
      <c r="F122" s="88" t="n"/>
      <c r="G122" s="88" t="n"/>
      <c r="H122" s="88" t="n"/>
      <c r="I122" s="88" t="n"/>
      <c r="J122" s="88" t="n"/>
      <c r="K122" s="88" t="n"/>
      <c r="L122" s="88" t="n"/>
      <c r="M122" s="88" t="n"/>
      <c r="N122" s="88" t="n"/>
      <c r="O122" s="88" t="n"/>
      <c r="P122" s="88" t="n"/>
      <c r="Q122" s="88" t="n"/>
      <c r="R122" s="89">
        <f>IF($E122="","",SUM($F122:$Q122))</f>
        <v/>
      </c>
      <c r="S122" s="90">
        <f>IF($E122="","",SUMIFS(J_Montant,J_Annee,$B122,J_Module,$C122,J_Type,$D122,J_Cat,$E122,J_Statut,"&lt;&gt;Annulé",J_Statut,"&lt;&gt;Prévu"))</f>
        <v/>
      </c>
      <c r="T122" s="90">
        <f>IF($E122="","",IF($D122="Revenu",$S122-$R122,$R122-$S122))</f>
        <v/>
      </c>
      <c r="U122" s="91">
        <f>IF(OR($E122="",$R122=0),"",$S122/$R122)</f>
        <v/>
      </c>
      <c r="V122" s="92" t="n"/>
    </row>
    <row r="123">
      <c r="B123" s="87">
        <f>Annee_Travail</f>
        <v/>
      </c>
      <c r="C123" s="54" t="n"/>
      <c r="D123" s="54" t="n"/>
      <c r="E123" s="54" t="n"/>
      <c r="F123" s="88" t="n"/>
      <c r="G123" s="88" t="n"/>
      <c r="H123" s="88" t="n"/>
      <c r="I123" s="88" t="n"/>
      <c r="J123" s="88" t="n"/>
      <c r="K123" s="88" t="n"/>
      <c r="L123" s="88" t="n"/>
      <c r="M123" s="88" t="n"/>
      <c r="N123" s="88" t="n"/>
      <c r="O123" s="88" t="n"/>
      <c r="P123" s="88" t="n"/>
      <c r="Q123" s="88" t="n"/>
      <c r="R123" s="89">
        <f>IF($E123="","",SUM($F123:$Q123))</f>
        <v/>
      </c>
      <c r="S123" s="90">
        <f>IF($E123="","",SUMIFS(J_Montant,J_Annee,$B123,J_Module,$C123,J_Type,$D123,J_Cat,$E123,J_Statut,"&lt;&gt;Annulé",J_Statut,"&lt;&gt;Prévu"))</f>
        <v/>
      </c>
      <c r="T123" s="90">
        <f>IF($E123="","",IF($D123="Revenu",$S123-$R123,$R123-$S123))</f>
        <v/>
      </c>
      <c r="U123" s="91">
        <f>IF(OR($E123="",$R123=0),"",$S123/$R123)</f>
        <v/>
      </c>
      <c r="V123" s="92" t="n"/>
    </row>
    <row r="124">
      <c r="B124" s="87">
        <f>Annee_Travail</f>
        <v/>
      </c>
      <c r="C124" s="54" t="n"/>
      <c r="D124" s="54" t="n"/>
      <c r="E124" s="54" t="n"/>
      <c r="F124" s="88" t="n"/>
      <c r="G124" s="88" t="n"/>
      <c r="H124" s="88" t="n"/>
      <c r="I124" s="88" t="n"/>
      <c r="J124" s="88" t="n"/>
      <c r="K124" s="88" t="n"/>
      <c r="L124" s="88" t="n"/>
      <c r="M124" s="88" t="n"/>
      <c r="N124" s="88" t="n"/>
      <c r="O124" s="88" t="n"/>
      <c r="P124" s="88" t="n"/>
      <c r="Q124" s="88" t="n"/>
      <c r="R124" s="89">
        <f>IF($E124="","",SUM($F124:$Q124))</f>
        <v/>
      </c>
      <c r="S124" s="90">
        <f>IF($E124="","",SUMIFS(J_Montant,J_Annee,$B124,J_Module,$C124,J_Type,$D124,J_Cat,$E124,J_Statut,"&lt;&gt;Annulé",J_Statut,"&lt;&gt;Prévu"))</f>
        <v/>
      </c>
      <c r="T124" s="90">
        <f>IF($E124="","",IF($D124="Revenu",$S124-$R124,$R124-$S124))</f>
        <v/>
      </c>
      <c r="U124" s="91">
        <f>IF(OR($E124="",$R124=0),"",$S124/$R124)</f>
        <v/>
      </c>
      <c r="V124" s="92" t="n"/>
    </row>
    <row r="125">
      <c r="B125" s="87">
        <f>Annee_Travail</f>
        <v/>
      </c>
      <c r="C125" s="54" t="n"/>
      <c r="D125" s="54" t="n"/>
      <c r="E125" s="54" t="n"/>
      <c r="F125" s="88" t="n"/>
      <c r="G125" s="88" t="n"/>
      <c r="H125" s="88" t="n"/>
      <c r="I125" s="88" t="n"/>
      <c r="J125" s="88" t="n"/>
      <c r="K125" s="88" t="n"/>
      <c r="L125" s="88" t="n"/>
      <c r="M125" s="88" t="n"/>
      <c r="N125" s="88" t="n"/>
      <c r="O125" s="88" t="n"/>
      <c r="P125" s="88" t="n"/>
      <c r="Q125" s="88" t="n"/>
      <c r="R125" s="89">
        <f>IF($E125="","",SUM($F125:$Q125))</f>
        <v/>
      </c>
      <c r="S125" s="90">
        <f>IF($E125="","",SUMIFS(J_Montant,J_Annee,$B125,J_Module,$C125,J_Type,$D125,J_Cat,$E125,J_Statut,"&lt;&gt;Annulé",J_Statut,"&lt;&gt;Prévu"))</f>
        <v/>
      </c>
      <c r="T125" s="90">
        <f>IF($E125="","",IF($D125="Revenu",$S125-$R125,$R125-$S125))</f>
        <v/>
      </c>
      <c r="U125" s="91">
        <f>IF(OR($E125="",$R125=0),"",$S125/$R125)</f>
        <v/>
      </c>
      <c r="V125" s="92" t="n"/>
    </row>
    <row r="126">
      <c r="B126" s="87">
        <f>Annee_Travail</f>
        <v/>
      </c>
      <c r="C126" s="54" t="n"/>
      <c r="D126" s="54" t="n"/>
      <c r="E126" s="54" t="n"/>
      <c r="F126" s="88" t="n"/>
      <c r="G126" s="88" t="n"/>
      <c r="H126" s="88" t="n"/>
      <c r="I126" s="88" t="n"/>
      <c r="J126" s="88" t="n"/>
      <c r="K126" s="88" t="n"/>
      <c r="L126" s="88" t="n"/>
      <c r="M126" s="88" t="n"/>
      <c r="N126" s="88" t="n"/>
      <c r="O126" s="88" t="n"/>
      <c r="P126" s="88" t="n"/>
      <c r="Q126" s="88" t="n"/>
      <c r="R126" s="89">
        <f>IF($E126="","",SUM($F126:$Q126))</f>
        <v/>
      </c>
      <c r="S126" s="90">
        <f>IF($E126="","",SUMIFS(J_Montant,J_Annee,$B126,J_Module,$C126,J_Type,$D126,J_Cat,$E126,J_Statut,"&lt;&gt;Annulé",J_Statut,"&lt;&gt;Prévu"))</f>
        <v/>
      </c>
      <c r="T126" s="90">
        <f>IF($E126="","",IF($D126="Revenu",$S126-$R126,$R126-$S126))</f>
        <v/>
      </c>
      <c r="U126" s="91">
        <f>IF(OR($E126="",$R126=0),"",$S126/$R126)</f>
        <v/>
      </c>
      <c r="V126" s="92" t="n"/>
    </row>
    <row r="127">
      <c r="B127" s="87">
        <f>Annee_Travail</f>
        <v/>
      </c>
      <c r="C127" s="54" t="n"/>
      <c r="D127" s="54" t="n"/>
      <c r="E127" s="54" t="n"/>
      <c r="F127" s="88" t="n"/>
      <c r="G127" s="88" t="n"/>
      <c r="H127" s="88" t="n"/>
      <c r="I127" s="88" t="n"/>
      <c r="J127" s="88" t="n"/>
      <c r="K127" s="88" t="n"/>
      <c r="L127" s="88" t="n"/>
      <c r="M127" s="88" t="n"/>
      <c r="N127" s="88" t="n"/>
      <c r="O127" s="88" t="n"/>
      <c r="P127" s="88" t="n"/>
      <c r="Q127" s="88" t="n"/>
      <c r="R127" s="89">
        <f>IF($E127="","",SUM($F127:$Q127))</f>
        <v/>
      </c>
      <c r="S127" s="90">
        <f>IF($E127="","",SUMIFS(J_Montant,J_Annee,$B127,J_Module,$C127,J_Type,$D127,J_Cat,$E127,J_Statut,"&lt;&gt;Annulé",J_Statut,"&lt;&gt;Prévu"))</f>
        <v/>
      </c>
      <c r="T127" s="90">
        <f>IF($E127="","",IF($D127="Revenu",$S127-$R127,$R127-$S127))</f>
        <v/>
      </c>
      <c r="U127" s="91">
        <f>IF(OR($E127="",$R127=0),"",$S127/$R127)</f>
        <v/>
      </c>
      <c r="V127" s="92" t="n"/>
    </row>
    <row r="128">
      <c r="B128" s="87">
        <f>Annee_Travail</f>
        <v/>
      </c>
      <c r="C128" s="54" t="n"/>
      <c r="D128" s="54" t="n"/>
      <c r="E128" s="54" t="n"/>
      <c r="F128" s="88" t="n"/>
      <c r="G128" s="88" t="n"/>
      <c r="H128" s="88" t="n"/>
      <c r="I128" s="88" t="n"/>
      <c r="J128" s="88" t="n"/>
      <c r="K128" s="88" t="n"/>
      <c r="L128" s="88" t="n"/>
      <c r="M128" s="88" t="n"/>
      <c r="N128" s="88" t="n"/>
      <c r="O128" s="88" t="n"/>
      <c r="P128" s="88" t="n"/>
      <c r="Q128" s="88" t="n"/>
      <c r="R128" s="89">
        <f>IF($E128="","",SUM($F128:$Q128))</f>
        <v/>
      </c>
      <c r="S128" s="90">
        <f>IF($E128="","",SUMIFS(J_Montant,J_Annee,$B128,J_Module,$C128,J_Type,$D128,J_Cat,$E128,J_Statut,"&lt;&gt;Annulé",J_Statut,"&lt;&gt;Prévu"))</f>
        <v/>
      </c>
      <c r="T128" s="90">
        <f>IF($E128="","",IF($D128="Revenu",$S128-$R128,$R128-$S128))</f>
        <v/>
      </c>
      <c r="U128" s="91">
        <f>IF(OR($E128="",$R128=0),"",$S128/$R128)</f>
        <v/>
      </c>
      <c r="V128" s="92" t="n"/>
    </row>
    <row r="129">
      <c r="B129" s="87">
        <f>Annee_Travail</f>
        <v/>
      </c>
      <c r="C129" s="54" t="n"/>
      <c r="D129" s="54" t="n"/>
      <c r="E129" s="54" t="n"/>
      <c r="F129" s="88" t="n"/>
      <c r="G129" s="88" t="n"/>
      <c r="H129" s="88" t="n"/>
      <c r="I129" s="88" t="n"/>
      <c r="J129" s="88" t="n"/>
      <c r="K129" s="88" t="n"/>
      <c r="L129" s="88" t="n"/>
      <c r="M129" s="88" t="n"/>
      <c r="N129" s="88" t="n"/>
      <c r="O129" s="88" t="n"/>
      <c r="P129" s="88" t="n"/>
      <c r="Q129" s="88" t="n"/>
      <c r="R129" s="89">
        <f>IF($E129="","",SUM($F129:$Q129))</f>
        <v/>
      </c>
      <c r="S129" s="90">
        <f>IF($E129="","",SUMIFS(J_Montant,J_Annee,$B129,J_Module,$C129,J_Type,$D129,J_Cat,$E129,J_Statut,"&lt;&gt;Annulé",J_Statut,"&lt;&gt;Prévu"))</f>
        <v/>
      </c>
      <c r="T129" s="90">
        <f>IF($E129="","",IF($D129="Revenu",$S129-$R129,$R129-$S129))</f>
        <v/>
      </c>
      <c r="U129" s="91">
        <f>IF(OR($E129="",$R129=0),"",$S129/$R129)</f>
        <v/>
      </c>
      <c r="V129" s="92" t="n"/>
    </row>
    <row r="130">
      <c r="B130" s="87">
        <f>Annee_Travail</f>
        <v/>
      </c>
      <c r="C130" s="54" t="n"/>
      <c r="D130" s="54" t="n"/>
      <c r="E130" s="54" t="n"/>
      <c r="F130" s="88" t="n"/>
      <c r="G130" s="88" t="n"/>
      <c r="H130" s="88" t="n"/>
      <c r="I130" s="88" t="n"/>
      <c r="J130" s="88" t="n"/>
      <c r="K130" s="88" t="n"/>
      <c r="L130" s="88" t="n"/>
      <c r="M130" s="88" t="n"/>
      <c r="N130" s="88" t="n"/>
      <c r="O130" s="88" t="n"/>
      <c r="P130" s="88" t="n"/>
      <c r="Q130" s="88" t="n"/>
      <c r="R130" s="89">
        <f>IF($E130="","",SUM($F130:$Q130))</f>
        <v/>
      </c>
      <c r="S130" s="90">
        <f>IF($E130="","",SUMIFS(J_Montant,J_Annee,$B130,J_Module,$C130,J_Type,$D130,J_Cat,$E130,J_Statut,"&lt;&gt;Annulé",J_Statut,"&lt;&gt;Prévu"))</f>
        <v/>
      </c>
      <c r="T130" s="90">
        <f>IF($E130="","",IF($D130="Revenu",$S130-$R130,$R130-$S130))</f>
        <v/>
      </c>
      <c r="U130" s="91">
        <f>IF(OR($E130="",$R130=0),"",$S130/$R130)</f>
        <v/>
      </c>
      <c r="V130" s="92" t="n"/>
    </row>
    <row r="131">
      <c r="B131" s="87">
        <f>Annee_Travail</f>
        <v/>
      </c>
      <c r="C131" s="54" t="n"/>
      <c r="D131" s="54" t="n"/>
      <c r="E131" s="54" t="n"/>
      <c r="F131" s="88" t="n"/>
      <c r="G131" s="88" t="n"/>
      <c r="H131" s="88" t="n"/>
      <c r="I131" s="88" t="n"/>
      <c r="J131" s="88" t="n"/>
      <c r="K131" s="88" t="n"/>
      <c r="L131" s="88" t="n"/>
      <c r="M131" s="88" t="n"/>
      <c r="N131" s="88" t="n"/>
      <c r="O131" s="88" t="n"/>
      <c r="P131" s="88" t="n"/>
      <c r="Q131" s="88" t="n"/>
      <c r="R131" s="89">
        <f>IF($E131="","",SUM($F131:$Q131))</f>
        <v/>
      </c>
      <c r="S131" s="90">
        <f>IF($E131="","",SUMIFS(J_Montant,J_Annee,$B131,J_Module,$C131,J_Type,$D131,J_Cat,$E131,J_Statut,"&lt;&gt;Annulé",J_Statut,"&lt;&gt;Prévu"))</f>
        <v/>
      </c>
      <c r="T131" s="90">
        <f>IF($E131="","",IF($D131="Revenu",$S131-$R131,$R131-$S131))</f>
        <v/>
      </c>
      <c r="U131" s="91">
        <f>IF(OR($E131="",$R131=0),"",$S131/$R131)</f>
        <v/>
      </c>
      <c r="V131" s="92" t="n"/>
    </row>
    <row r="132">
      <c r="B132" s="87">
        <f>Annee_Travail</f>
        <v/>
      </c>
      <c r="C132" s="54" t="n"/>
      <c r="D132" s="54" t="n"/>
      <c r="E132" s="54" t="n"/>
      <c r="F132" s="88" t="n"/>
      <c r="G132" s="88" t="n"/>
      <c r="H132" s="88" t="n"/>
      <c r="I132" s="88" t="n"/>
      <c r="J132" s="88" t="n"/>
      <c r="K132" s="88" t="n"/>
      <c r="L132" s="88" t="n"/>
      <c r="M132" s="88" t="n"/>
      <c r="N132" s="88" t="n"/>
      <c r="O132" s="88" t="n"/>
      <c r="P132" s="88" t="n"/>
      <c r="Q132" s="88" t="n"/>
      <c r="R132" s="89">
        <f>IF($E132="","",SUM($F132:$Q132))</f>
        <v/>
      </c>
      <c r="S132" s="90">
        <f>IF($E132="","",SUMIFS(J_Montant,J_Annee,$B132,J_Module,$C132,J_Type,$D132,J_Cat,$E132,J_Statut,"&lt;&gt;Annulé",J_Statut,"&lt;&gt;Prévu"))</f>
        <v/>
      </c>
      <c r="T132" s="90">
        <f>IF($E132="","",IF($D132="Revenu",$S132-$R132,$R132-$S132))</f>
        <v/>
      </c>
      <c r="U132" s="91">
        <f>IF(OR($E132="",$R132=0),"",$S132/$R132)</f>
        <v/>
      </c>
      <c r="V132" s="92" t="n"/>
    </row>
    <row r="133">
      <c r="B133" s="87">
        <f>Annee_Travail</f>
        <v/>
      </c>
      <c r="C133" s="54" t="n"/>
      <c r="D133" s="54" t="n"/>
      <c r="E133" s="54" t="n"/>
      <c r="F133" s="88" t="n"/>
      <c r="G133" s="88" t="n"/>
      <c r="H133" s="88" t="n"/>
      <c r="I133" s="88" t="n"/>
      <c r="J133" s="88" t="n"/>
      <c r="K133" s="88" t="n"/>
      <c r="L133" s="88" t="n"/>
      <c r="M133" s="88" t="n"/>
      <c r="N133" s="88" t="n"/>
      <c r="O133" s="88" t="n"/>
      <c r="P133" s="88" t="n"/>
      <c r="Q133" s="88" t="n"/>
      <c r="R133" s="89">
        <f>IF($E133="","",SUM($F133:$Q133))</f>
        <v/>
      </c>
      <c r="S133" s="90">
        <f>IF($E133="","",SUMIFS(J_Montant,J_Annee,$B133,J_Module,$C133,J_Type,$D133,J_Cat,$E133,J_Statut,"&lt;&gt;Annulé",J_Statut,"&lt;&gt;Prévu"))</f>
        <v/>
      </c>
      <c r="T133" s="90">
        <f>IF($E133="","",IF($D133="Revenu",$S133-$R133,$R133-$S133))</f>
        <v/>
      </c>
      <c r="U133" s="91">
        <f>IF(OR($E133="",$R133=0),"",$S133/$R133)</f>
        <v/>
      </c>
      <c r="V133" s="92" t="n"/>
    </row>
    <row r="134">
      <c r="B134" s="87">
        <f>Annee_Travail</f>
        <v/>
      </c>
      <c r="C134" s="54" t="n"/>
      <c r="D134" s="54" t="n"/>
      <c r="E134" s="54" t="n"/>
      <c r="F134" s="88" t="n"/>
      <c r="G134" s="88" t="n"/>
      <c r="H134" s="88" t="n"/>
      <c r="I134" s="88" t="n"/>
      <c r="J134" s="88" t="n"/>
      <c r="K134" s="88" t="n"/>
      <c r="L134" s="88" t="n"/>
      <c r="M134" s="88" t="n"/>
      <c r="N134" s="88" t="n"/>
      <c r="O134" s="88" t="n"/>
      <c r="P134" s="88" t="n"/>
      <c r="Q134" s="88" t="n"/>
      <c r="R134" s="89">
        <f>IF($E134="","",SUM($F134:$Q134))</f>
        <v/>
      </c>
      <c r="S134" s="90">
        <f>IF($E134="","",SUMIFS(J_Montant,J_Annee,$B134,J_Module,$C134,J_Type,$D134,J_Cat,$E134,J_Statut,"&lt;&gt;Annulé",J_Statut,"&lt;&gt;Prévu"))</f>
        <v/>
      </c>
      <c r="T134" s="90">
        <f>IF($E134="","",IF($D134="Revenu",$S134-$R134,$R134-$S134))</f>
        <v/>
      </c>
      <c r="U134" s="91">
        <f>IF(OR($E134="",$R134=0),"",$S134/$R134)</f>
        <v/>
      </c>
      <c r="V134" s="92" t="n"/>
    </row>
    <row r="135">
      <c r="B135" s="87">
        <f>Annee_Travail</f>
        <v/>
      </c>
      <c r="C135" s="54" t="n"/>
      <c r="D135" s="54" t="n"/>
      <c r="E135" s="54" t="n"/>
      <c r="F135" s="88" t="n"/>
      <c r="G135" s="88" t="n"/>
      <c r="H135" s="88" t="n"/>
      <c r="I135" s="88" t="n"/>
      <c r="J135" s="88" t="n"/>
      <c r="K135" s="88" t="n"/>
      <c r="L135" s="88" t="n"/>
      <c r="M135" s="88" t="n"/>
      <c r="N135" s="88" t="n"/>
      <c r="O135" s="88" t="n"/>
      <c r="P135" s="88" t="n"/>
      <c r="Q135" s="88" t="n"/>
      <c r="R135" s="89">
        <f>IF($E135="","",SUM($F135:$Q135))</f>
        <v/>
      </c>
      <c r="S135" s="90">
        <f>IF($E135="","",SUMIFS(J_Montant,J_Annee,$B135,J_Module,$C135,J_Type,$D135,J_Cat,$E135,J_Statut,"&lt;&gt;Annulé",J_Statut,"&lt;&gt;Prévu"))</f>
        <v/>
      </c>
      <c r="T135" s="90">
        <f>IF($E135="","",IF($D135="Revenu",$S135-$R135,$R135-$S135))</f>
        <v/>
      </c>
      <c r="U135" s="91">
        <f>IF(OR($E135="",$R135=0),"",$S135/$R135)</f>
        <v/>
      </c>
      <c r="V135" s="92" t="n"/>
    </row>
    <row r="136">
      <c r="B136" s="87">
        <f>Annee_Travail</f>
        <v/>
      </c>
      <c r="C136" s="54" t="n"/>
      <c r="D136" s="54" t="n"/>
      <c r="E136" s="54" t="n"/>
      <c r="F136" s="88" t="n"/>
      <c r="G136" s="88" t="n"/>
      <c r="H136" s="88" t="n"/>
      <c r="I136" s="88" t="n"/>
      <c r="J136" s="88" t="n"/>
      <c r="K136" s="88" t="n"/>
      <c r="L136" s="88" t="n"/>
      <c r="M136" s="88" t="n"/>
      <c r="N136" s="88" t="n"/>
      <c r="O136" s="88" t="n"/>
      <c r="P136" s="88" t="n"/>
      <c r="Q136" s="88" t="n"/>
      <c r="R136" s="89">
        <f>IF($E136="","",SUM($F136:$Q136))</f>
        <v/>
      </c>
      <c r="S136" s="90">
        <f>IF($E136="","",SUMIFS(J_Montant,J_Annee,$B136,J_Module,$C136,J_Type,$D136,J_Cat,$E136,J_Statut,"&lt;&gt;Annulé",J_Statut,"&lt;&gt;Prévu"))</f>
        <v/>
      </c>
      <c r="T136" s="90">
        <f>IF($E136="","",IF($D136="Revenu",$S136-$R136,$R136-$S136))</f>
        <v/>
      </c>
      <c r="U136" s="91">
        <f>IF(OR($E136="",$R136=0),"",$S136/$R136)</f>
        <v/>
      </c>
      <c r="V136" s="92" t="n"/>
    </row>
    <row r="137">
      <c r="B137" s="87">
        <f>Annee_Travail</f>
        <v/>
      </c>
      <c r="C137" s="54" t="n"/>
      <c r="D137" s="54" t="n"/>
      <c r="E137" s="54" t="n"/>
      <c r="F137" s="88" t="n"/>
      <c r="G137" s="88" t="n"/>
      <c r="H137" s="88" t="n"/>
      <c r="I137" s="88" t="n"/>
      <c r="J137" s="88" t="n"/>
      <c r="K137" s="88" t="n"/>
      <c r="L137" s="88" t="n"/>
      <c r="M137" s="88" t="n"/>
      <c r="N137" s="88" t="n"/>
      <c r="O137" s="88" t="n"/>
      <c r="P137" s="88" t="n"/>
      <c r="Q137" s="88" t="n"/>
      <c r="R137" s="89">
        <f>IF($E137="","",SUM($F137:$Q137))</f>
        <v/>
      </c>
      <c r="S137" s="90">
        <f>IF($E137="","",SUMIFS(J_Montant,J_Annee,$B137,J_Module,$C137,J_Type,$D137,J_Cat,$E137,J_Statut,"&lt;&gt;Annulé",J_Statut,"&lt;&gt;Prévu"))</f>
        <v/>
      </c>
      <c r="T137" s="90">
        <f>IF($E137="","",IF($D137="Revenu",$S137-$R137,$R137-$S137))</f>
        <v/>
      </c>
      <c r="U137" s="91">
        <f>IF(OR($E137="",$R137=0),"",$S137/$R137)</f>
        <v/>
      </c>
      <c r="V137" s="92" t="n"/>
    </row>
    <row r="138">
      <c r="B138" s="87">
        <f>Annee_Travail</f>
        <v/>
      </c>
      <c r="C138" s="54" t="n"/>
      <c r="D138" s="54" t="n"/>
      <c r="E138" s="54" t="n"/>
      <c r="F138" s="88" t="n"/>
      <c r="G138" s="88" t="n"/>
      <c r="H138" s="88" t="n"/>
      <c r="I138" s="88" t="n"/>
      <c r="J138" s="88" t="n"/>
      <c r="K138" s="88" t="n"/>
      <c r="L138" s="88" t="n"/>
      <c r="M138" s="88" t="n"/>
      <c r="N138" s="88" t="n"/>
      <c r="O138" s="88" t="n"/>
      <c r="P138" s="88" t="n"/>
      <c r="Q138" s="88" t="n"/>
      <c r="R138" s="89">
        <f>IF($E138="","",SUM($F138:$Q138))</f>
        <v/>
      </c>
      <c r="S138" s="90">
        <f>IF($E138="","",SUMIFS(J_Montant,J_Annee,$B138,J_Module,$C138,J_Type,$D138,J_Cat,$E138,J_Statut,"&lt;&gt;Annulé",J_Statut,"&lt;&gt;Prévu"))</f>
        <v/>
      </c>
      <c r="T138" s="90">
        <f>IF($E138="","",IF($D138="Revenu",$S138-$R138,$R138-$S138))</f>
        <v/>
      </c>
      <c r="U138" s="91">
        <f>IF(OR($E138="",$R138=0),"",$S138/$R138)</f>
        <v/>
      </c>
      <c r="V138" s="92" t="n"/>
    </row>
    <row r="139">
      <c r="B139" s="87">
        <f>Annee_Travail</f>
        <v/>
      </c>
      <c r="C139" s="54" t="n"/>
      <c r="D139" s="54" t="n"/>
      <c r="E139" s="54" t="n"/>
      <c r="F139" s="88" t="n"/>
      <c r="G139" s="88" t="n"/>
      <c r="H139" s="88" t="n"/>
      <c r="I139" s="88" t="n"/>
      <c r="J139" s="88" t="n"/>
      <c r="K139" s="88" t="n"/>
      <c r="L139" s="88" t="n"/>
      <c r="M139" s="88" t="n"/>
      <c r="N139" s="88" t="n"/>
      <c r="O139" s="88" t="n"/>
      <c r="P139" s="88" t="n"/>
      <c r="Q139" s="88" t="n"/>
      <c r="R139" s="89">
        <f>IF($E139="","",SUM($F139:$Q139))</f>
        <v/>
      </c>
      <c r="S139" s="90">
        <f>IF($E139="","",SUMIFS(J_Montant,J_Annee,$B139,J_Module,$C139,J_Type,$D139,J_Cat,$E139,J_Statut,"&lt;&gt;Annulé",J_Statut,"&lt;&gt;Prévu"))</f>
        <v/>
      </c>
      <c r="T139" s="90">
        <f>IF($E139="","",IF($D139="Revenu",$S139-$R139,$R139-$S139))</f>
        <v/>
      </c>
      <c r="U139" s="91">
        <f>IF(OR($E139="",$R139=0),"",$S139/$R139)</f>
        <v/>
      </c>
      <c r="V139" s="92" t="n"/>
    </row>
    <row r="140">
      <c r="B140" s="87">
        <f>Annee_Travail</f>
        <v/>
      </c>
      <c r="C140" s="54" t="n"/>
      <c r="D140" s="54" t="n"/>
      <c r="E140" s="54" t="n"/>
      <c r="F140" s="88" t="n"/>
      <c r="G140" s="88" t="n"/>
      <c r="H140" s="88" t="n"/>
      <c r="I140" s="88" t="n"/>
      <c r="J140" s="88" t="n"/>
      <c r="K140" s="88" t="n"/>
      <c r="L140" s="88" t="n"/>
      <c r="M140" s="88" t="n"/>
      <c r="N140" s="88" t="n"/>
      <c r="O140" s="88" t="n"/>
      <c r="P140" s="88" t="n"/>
      <c r="Q140" s="88" t="n"/>
      <c r="R140" s="89">
        <f>IF($E140="","",SUM($F140:$Q140))</f>
        <v/>
      </c>
      <c r="S140" s="90">
        <f>IF($E140="","",SUMIFS(J_Montant,J_Annee,$B140,J_Module,$C140,J_Type,$D140,J_Cat,$E140,J_Statut,"&lt;&gt;Annulé",J_Statut,"&lt;&gt;Prévu"))</f>
        <v/>
      </c>
      <c r="T140" s="90">
        <f>IF($E140="","",IF($D140="Revenu",$S140-$R140,$R140-$S140))</f>
        <v/>
      </c>
      <c r="U140" s="91">
        <f>IF(OR($E140="",$R140=0),"",$S140/$R140)</f>
        <v/>
      </c>
      <c r="V140" s="92" t="n"/>
    </row>
    <row r="141">
      <c r="B141" s="87">
        <f>Annee_Travail</f>
        <v/>
      </c>
      <c r="C141" s="54" t="n"/>
      <c r="D141" s="54" t="n"/>
      <c r="E141" s="54" t="n"/>
      <c r="F141" s="88" t="n"/>
      <c r="G141" s="88" t="n"/>
      <c r="H141" s="88" t="n"/>
      <c r="I141" s="88" t="n"/>
      <c r="J141" s="88" t="n"/>
      <c r="K141" s="88" t="n"/>
      <c r="L141" s="88" t="n"/>
      <c r="M141" s="88" t="n"/>
      <c r="N141" s="88" t="n"/>
      <c r="O141" s="88" t="n"/>
      <c r="P141" s="88" t="n"/>
      <c r="Q141" s="88" t="n"/>
      <c r="R141" s="89">
        <f>IF($E141="","",SUM($F141:$Q141))</f>
        <v/>
      </c>
      <c r="S141" s="90">
        <f>IF($E141="","",SUMIFS(J_Montant,J_Annee,$B141,J_Module,$C141,J_Type,$D141,J_Cat,$E141,J_Statut,"&lt;&gt;Annulé",J_Statut,"&lt;&gt;Prévu"))</f>
        <v/>
      </c>
      <c r="T141" s="90">
        <f>IF($E141="","",IF($D141="Revenu",$S141-$R141,$R141-$S141))</f>
        <v/>
      </c>
      <c r="U141" s="91">
        <f>IF(OR($E141="",$R141=0),"",$S141/$R141)</f>
        <v/>
      </c>
      <c r="V141" s="92" t="n"/>
    </row>
    <row r="142">
      <c r="B142" s="87">
        <f>Annee_Travail</f>
        <v/>
      </c>
      <c r="C142" s="54" t="n"/>
      <c r="D142" s="54" t="n"/>
      <c r="E142" s="54" t="n"/>
      <c r="F142" s="88" t="n"/>
      <c r="G142" s="88" t="n"/>
      <c r="H142" s="88" t="n"/>
      <c r="I142" s="88" t="n"/>
      <c r="J142" s="88" t="n"/>
      <c r="K142" s="88" t="n"/>
      <c r="L142" s="88" t="n"/>
      <c r="M142" s="88" t="n"/>
      <c r="N142" s="88" t="n"/>
      <c r="O142" s="88" t="n"/>
      <c r="P142" s="88" t="n"/>
      <c r="Q142" s="88" t="n"/>
      <c r="R142" s="89">
        <f>IF($E142="","",SUM($F142:$Q142))</f>
        <v/>
      </c>
      <c r="S142" s="90">
        <f>IF($E142="","",SUMIFS(J_Montant,J_Annee,$B142,J_Module,$C142,J_Type,$D142,J_Cat,$E142,J_Statut,"&lt;&gt;Annulé",J_Statut,"&lt;&gt;Prévu"))</f>
        <v/>
      </c>
      <c r="T142" s="90">
        <f>IF($E142="","",IF($D142="Revenu",$S142-$R142,$R142-$S142))</f>
        <v/>
      </c>
      <c r="U142" s="91">
        <f>IF(OR($E142="",$R142=0),"",$S142/$R142)</f>
        <v/>
      </c>
      <c r="V142" s="92" t="n"/>
    </row>
    <row r="143">
      <c r="B143" s="87">
        <f>Annee_Travail</f>
        <v/>
      </c>
      <c r="C143" s="54" t="n"/>
      <c r="D143" s="54" t="n"/>
      <c r="E143" s="54" t="n"/>
      <c r="F143" s="88" t="n"/>
      <c r="G143" s="88" t="n"/>
      <c r="H143" s="88" t="n"/>
      <c r="I143" s="88" t="n"/>
      <c r="J143" s="88" t="n"/>
      <c r="K143" s="88" t="n"/>
      <c r="L143" s="88" t="n"/>
      <c r="M143" s="88" t="n"/>
      <c r="N143" s="88" t="n"/>
      <c r="O143" s="88" t="n"/>
      <c r="P143" s="88" t="n"/>
      <c r="Q143" s="88" t="n"/>
      <c r="R143" s="89">
        <f>IF($E143="","",SUM($F143:$Q143))</f>
        <v/>
      </c>
      <c r="S143" s="90">
        <f>IF($E143="","",SUMIFS(J_Montant,J_Annee,$B143,J_Module,$C143,J_Type,$D143,J_Cat,$E143,J_Statut,"&lt;&gt;Annulé",J_Statut,"&lt;&gt;Prévu"))</f>
        <v/>
      </c>
      <c r="T143" s="90">
        <f>IF($E143="","",IF($D143="Revenu",$S143-$R143,$R143-$S143))</f>
        <v/>
      </c>
      <c r="U143" s="91">
        <f>IF(OR($E143="",$R143=0),"",$S143/$R143)</f>
        <v/>
      </c>
      <c r="V143" s="92" t="n"/>
    </row>
    <row r="144">
      <c r="B144" s="87">
        <f>Annee_Travail</f>
        <v/>
      </c>
      <c r="C144" s="54" t="n"/>
      <c r="D144" s="54" t="n"/>
      <c r="E144" s="54" t="n"/>
      <c r="F144" s="88" t="n"/>
      <c r="G144" s="88" t="n"/>
      <c r="H144" s="88" t="n"/>
      <c r="I144" s="88" t="n"/>
      <c r="J144" s="88" t="n"/>
      <c r="K144" s="88" t="n"/>
      <c r="L144" s="88" t="n"/>
      <c r="M144" s="88" t="n"/>
      <c r="N144" s="88" t="n"/>
      <c r="O144" s="88" t="n"/>
      <c r="P144" s="88" t="n"/>
      <c r="Q144" s="88" t="n"/>
      <c r="R144" s="89">
        <f>IF($E144="","",SUM($F144:$Q144))</f>
        <v/>
      </c>
      <c r="S144" s="90">
        <f>IF($E144="","",SUMIFS(J_Montant,J_Annee,$B144,J_Module,$C144,J_Type,$D144,J_Cat,$E144,J_Statut,"&lt;&gt;Annulé",J_Statut,"&lt;&gt;Prévu"))</f>
        <v/>
      </c>
      <c r="T144" s="90">
        <f>IF($E144="","",IF($D144="Revenu",$S144-$R144,$R144-$S144))</f>
        <v/>
      </c>
      <c r="U144" s="91">
        <f>IF(OR($E144="",$R144=0),"",$S144/$R144)</f>
        <v/>
      </c>
      <c r="V144" s="92" t="n"/>
    </row>
    <row r="145">
      <c r="B145" s="87">
        <f>Annee_Travail</f>
        <v/>
      </c>
      <c r="C145" s="54" t="n"/>
      <c r="D145" s="54" t="n"/>
      <c r="E145" s="54" t="n"/>
      <c r="F145" s="88" t="n"/>
      <c r="G145" s="88" t="n"/>
      <c r="H145" s="88" t="n"/>
      <c r="I145" s="88" t="n"/>
      <c r="J145" s="88" t="n"/>
      <c r="K145" s="88" t="n"/>
      <c r="L145" s="88" t="n"/>
      <c r="M145" s="88" t="n"/>
      <c r="N145" s="88" t="n"/>
      <c r="O145" s="88" t="n"/>
      <c r="P145" s="88" t="n"/>
      <c r="Q145" s="88" t="n"/>
      <c r="R145" s="89">
        <f>IF($E145="","",SUM($F145:$Q145))</f>
        <v/>
      </c>
      <c r="S145" s="90">
        <f>IF($E145="","",SUMIFS(J_Montant,J_Annee,$B145,J_Module,$C145,J_Type,$D145,J_Cat,$E145,J_Statut,"&lt;&gt;Annulé",J_Statut,"&lt;&gt;Prévu"))</f>
        <v/>
      </c>
      <c r="T145" s="90">
        <f>IF($E145="","",IF($D145="Revenu",$S145-$R145,$R145-$S145))</f>
        <v/>
      </c>
      <c r="U145" s="91">
        <f>IF(OR($E145="",$R145=0),"",$S145/$R145)</f>
        <v/>
      </c>
      <c r="V145" s="92" t="n"/>
    </row>
    <row r="146">
      <c r="B146" s="87">
        <f>Annee_Travail</f>
        <v/>
      </c>
      <c r="C146" s="54" t="n"/>
      <c r="D146" s="54" t="n"/>
      <c r="E146" s="54" t="n"/>
      <c r="F146" s="88" t="n"/>
      <c r="G146" s="88" t="n"/>
      <c r="H146" s="88" t="n"/>
      <c r="I146" s="88" t="n"/>
      <c r="J146" s="88" t="n"/>
      <c r="K146" s="88" t="n"/>
      <c r="L146" s="88" t="n"/>
      <c r="M146" s="88" t="n"/>
      <c r="N146" s="88" t="n"/>
      <c r="O146" s="88" t="n"/>
      <c r="P146" s="88" t="n"/>
      <c r="Q146" s="88" t="n"/>
      <c r="R146" s="89">
        <f>IF($E146="","",SUM($F146:$Q146))</f>
        <v/>
      </c>
      <c r="S146" s="90">
        <f>IF($E146="","",SUMIFS(J_Montant,J_Annee,$B146,J_Module,$C146,J_Type,$D146,J_Cat,$E146,J_Statut,"&lt;&gt;Annulé",J_Statut,"&lt;&gt;Prévu"))</f>
        <v/>
      </c>
      <c r="T146" s="90">
        <f>IF($E146="","",IF($D146="Revenu",$S146-$R146,$R146-$S146))</f>
        <v/>
      </c>
      <c r="U146" s="91">
        <f>IF(OR($E146="",$R146=0),"",$S146/$R146)</f>
        <v/>
      </c>
      <c r="V146" s="92" t="n"/>
    </row>
    <row r="147">
      <c r="B147" s="87">
        <f>Annee_Travail</f>
        <v/>
      </c>
      <c r="C147" s="54" t="n"/>
      <c r="D147" s="54" t="n"/>
      <c r="E147" s="54" t="n"/>
      <c r="F147" s="88" t="n"/>
      <c r="G147" s="88" t="n"/>
      <c r="H147" s="88" t="n"/>
      <c r="I147" s="88" t="n"/>
      <c r="J147" s="88" t="n"/>
      <c r="K147" s="88" t="n"/>
      <c r="L147" s="88" t="n"/>
      <c r="M147" s="88" t="n"/>
      <c r="N147" s="88" t="n"/>
      <c r="O147" s="88" t="n"/>
      <c r="P147" s="88" t="n"/>
      <c r="Q147" s="88" t="n"/>
      <c r="R147" s="89">
        <f>IF($E147="","",SUM($F147:$Q147))</f>
        <v/>
      </c>
      <c r="S147" s="90">
        <f>IF($E147="","",SUMIFS(J_Montant,J_Annee,$B147,J_Module,$C147,J_Type,$D147,J_Cat,$E147,J_Statut,"&lt;&gt;Annulé",J_Statut,"&lt;&gt;Prévu"))</f>
        <v/>
      </c>
      <c r="T147" s="90">
        <f>IF($E147="","",IF($D147="Revenu",$S147-$R147,$R147-$S147))</f>
        <v/>
      </c>
      <c r="U147" s="91">
        <f>IF(OR($E147="",$R147=0),"",$S147/$R147)</f>
        <v/>
      </c>
      <c r="V147" s="92" t="n"/>
    </row>
    <row r="148">
      <c r="B148" s="87">
        <f>Annee_Travail</f>
        <v/>
      </c>
      <c r="C148" s="54" t="n"/>
      <c r="D148" s="54" t="n"/>
      <c r="E148" s="54" t="n"/>
      <c r="F148" s="88" t="n"/>
      <c r="G148" s="88" t="n"/>
      <c r="H148" s="88" t="n"/>
      <c r="I148" s="88" t="n"/>
      <c r="J148" s="88" t="n"/>
      <c r="K148" s="88" t="n"/>
      <c r="L148" s="88" t="n"/>
      <c r="M148" s="88" t="n"/>
      <c r="N148" s="88" t="n"/>
      <c r="O148" s="88" t="n"/>
      <c r="P148" s="88" t="n"/>
      <c r="Q148" s="88" t="n"/>
      <c r="R148" s="89">
        <f>IF($E148="","",SUM($F148:$Q148))</f>
        <v/>
      </c>
      <c r="S148" s="90">
        <f>IF($E148="","",SUMIFS(J_Montant,J_Annee,$B148,J_Module,$C148,J_Type,$D148,J_Cat,$E148,J_Statut,"&lt;&gt;Annulé",J_Statut,"&lt;&gt;Prévu"))</f>
        <v/>
      </c>
      <c r="T148" s="90">
        <f>IF($E148="","",IF($D148="Revenu",$S148-$R148,$R148-$S148))</f>
        <v/>
      </c>
      <c r="U148" s="91">
        <f>IF(OR($E148="",$R148=0),"",$S148/$R148)</f>
        <v/>
      </c>
      <c r="V148" s="92" t="n"/>
    </row>
    <row r="149">
      <c r="B149" s="87">
        <f>Annee_Travail</f>
        <v/>
      </c>
      <c r="C149" s="54" t="n"/>
      <c r="D149" s="54" t="n"/>
      <c r="E149" s="54" t="n"/>
      <c r="F149" s="88" t="n"/>
      <c r="G149" s="88" t="n"/>
      <c r="H149" s="88" t="n"/>
      <c r="I149" s="88" t="n"/>
      <c r="J149" s="88" t="n"/>
      <c r="K149" s="88" t="n"/>
      <c r="L149" s="88" t="n"/>
      <c r="M149" s="88" t="n"/>
      <c r="N149" s="88" t="n"/>
      <c r="O149" s="88" t="n"/>
      <c r="P149" s="88" t="n"/>
      <c r="Q149" s="88" t="n"/>
      <c r="R149" s="89">
        <f>IF($E149="","",SUM($F149:$Q149))</f>
        <v/>
      </c>
      <c r="S149" s="90">
        <f>IF($E149="","",SUMIFS(J_Montant,J_Annee,$B149,J_Module,$C149,J_Type,$D149,J_Cat,$E149,J_Statut,"&lt;&gt;Annulé",J_Statut,"&lt;&gt;Prévu"))</f>
        <v/>
      </c>
      <c r="T149" s="90">
        <f>IF($E149="","",IF($D149="Revenu",$S149-$R149,$R149-$S149))</f>
        <v/>
      </c>
      <c r="U149" s="91">
        <f>IF(OR($E149="",$R149=0),"",$S149/$R149)</f>
        <v/>
      </c>
      <c r="V149" s="92" t="n"/>
    </row>
    <row r="150">
      <c r="B150" s="87">
        <f>Annee_Travail</f>
        <v/>
      </c>
      <c r="C150" s="54" t="n"/>
      <c r="D150" s="54" t="n"/>
      <c r="E150" s="54" t="n"/>
      <c r="F150" s="88" t="n"/>
      <c r="G150" s="88" t="n"/>
      <c r="H150" s="88" t="n"/>
      <c r="I150" s="88" t="n"/>
      <c r="J150" s="88" t="n"/>
      <c r="K150" s="88" t="n"/>
      <c r="L150" s="88" t="n"/>
      <c r="M150" s="88" t="n"/>
      <c r="N150" s="88" t="n"/>
      <c r="O150" s="88" t="n"/>
      <c r="P150" s="88" t="n"/>
      <c r="Q150" s="88" t="n"/>
      <c r="R150" s="89">
        <f>IF($E150="","",SUM($F150:$Q150))</f>
        <v/>
      </c>
      <c r="S150" s="90">
        <f>IF($E150="","",SUMIFS(J_Montant,J_Annee,$B150,J_Module,$C150,J_Type,$D150,J_Cat,$E150,J_Statut,"&lt;&gt;Annulé",J_Statut,"&lt;&gt;Prévu"))</f>
        <v/>
      </c>
      <c r="T150" s="90">
        <f>IF($E150="","",IF($D150="Revenu",$S150-$R150,$R150-$S150))</f>
        <v/>
      </c>
      <c r="U150" s="91">
        <f>IF(OR($E150="",$R150=0),"",$S150/$R150)</f>
        <v/>
      </c>
      <c r="V150" s="92" t="n"/>
    </row>
    <row r="151">
      <c r="B151" s="87">
        <f>Annee_Travail</f>
        <v/>
      </c>
      <c r="C151" s="54" t="n"/>
      <c r="D151" s="54" t="n"/>
      <c r="E151" s="54" t="n"/>
      <c r="F151" s="88" t="n"/>
      <c r="G151" s="88" t="n"/>
      <c r="H151" s="88" t="n"/>
      <c r="I151" s="88" t="n"/>
      <c r="J151" s="88" t="n"/>
      <c r="K151" s="88" t="n"/>
      <c r="L151" s="88" t="n"/>
      <c r="M151" s="88" t="n"/>
      <c r="N151" s="88" t="n"/>
      <c r="O151" s="88" t="n"/>
      <c r="P151" s="88" t="n"/>
      <c r="Q151" s="88" t="n"/>
      <c r="R151" s="89">
        <f>IF($E151="","",SUM($F151:$Q151))</f>
        <v/>
      </c>
      <c r="S151" s="90">
        <f>IF($E151="","",SUMIFS(J_Montant,J_Annee,$B151,J_Module,$C151,J_Type,$D151,J_Cat,$E151,J_Statut,"&lt;&gt;Annulé",J_Statut,"&lt;&gt;Prévu"))</f>
        <v/>
      </c>
      <c r="T151" s="90">
        <f>IF($E151="","",IF($D151="Revenu",$S151-$R151,$R151-$S151))</f>
        <v/>
      </c>
      <c r="U151" s="91">
        <f>IF(OR($E151="",$R151=0),"",$S151/$R151)</f>
        <v/>
      </c>
      <c r="V151" s="92" t="n"/>
    </row>
    <row r="152">
      <c r="B152" s="87">
        <f>Annee_Travail</f>
        <v/>
      </c>
      <c r="C152" s="54" t="n"/>
      <c r="D152" s="54" t="n"/>
      <c r="E152" s="54" t="n"/>
      <c r="F152" s="88" t="n"/>
      <c r="G152" s="88" t="n"/>
      <c r="H152" s="88" t="n"/>
      <c r="I152" s="88" t="n"/>
      <c r="J152" s="88" t="n"/>
      <c r="K152" s="88" t="n"/>
      <c r="L152" s="88" t="n"/>
      <c r="M152" s="88" t="n"/>
      <c r="N152" s="88" t="n"/>
      <c r="O152" s="88" t="n"/>
      <c r="P152" s="88" t="n"/>
      <c r="Q152" s="88" t="n"/>
      <c r="R152" s="89">
        <f>IF($E152="","",SUM($F152:$Q152))</f>
        <v/>
      </c>
      <c r="S152" s="90">
        <f>IF($E152="","",SUMIFS(J_Montant,J_Annee,$B152,J_Module,$C152,J_Type,$D152,J_Cat,$E152,J_Statut,"&lt;&gt;Annulé",J_Statut,"&lt;&gt;Prévu"))</f>
        <v/>
      </c>
      <c r="T152" s="90">
        <f>IF($E152="","",IF($D152="Revenu",$S152-$R152,$R152-$S152))</f>
        <v/>
      </c>
      <c r="U152" s="91">
        <f>IF(OR($E152="",$R152=0),"",$S152/$R152)</f>
        <v/>
      </c>
      <c r="V152" s="92" t="n"/>
    </row>
    <row r="153">
      <c r="B153" s="87">
        <f>Annee_Travail</f>
        <v/>
      </c>
      <c r="C153" s="54" t="n"/>
      <c r="D153" s="54" t="n"/>
      <c r="E153" s="54" t="n"/>
      <c r="F153" s="88" t="n"/>
      <c r="G153" s="88" t="n"/>
      <c r="H153" s="88" t="n"/>
      <c r="I153" s="88" t="n"/>
      <c r="J153" s="88" t="n"/>
      <c r="K153" s="88" t="n"/>
      <c r="L153" s="88" t="n"/>
      <c r="M153" s="88" t="n"/>
      <c r="N153" s="88" t="n"/>
      <c r="O153" s="88" t="n"/>
      <c r="P153" s="88" t="n"/>
      <c r="Q153" s="88" t="n"/>
      <c r="R153" s="89">
        <f>IF($E153="","",SUM($F153:$Q153))</f>
        <v/>
      </c>
      <c r="S153" s="90">
        <f>IF($E153="","",SUMIFS(J_Montant,J_Annee,$B153,J_Module,$C153,J_Type,$D153,J_Cat,$E153,J_Statut,"&lt;&gt;Annulé",J_Statut,"&lt;&gt;Prévu"))</f>
        <v/>
      </c>
      <c r="T153" s="90">
        <f>IF($E153="","",IF($D153="Revenu",$S153-$R153,$R153-$S153))</f>
        <v/>
      </c>
      <c r="U153" s="91">
        <f>IF(OR($E153="",$R153=0),"",$S153/$R153)</f>
        <v/>
      </c>
      <c r="V153" s="92" t="n"/>
    </row>
    <row r="154">
      <c r="B154" s="87">
        <f>Annee_Travail</f>
        <v/>
      </c>
      <c r="C154" s="54" t="n"/>
      <c r="D154" s="54" t="n"/>
      <c r="E154" s="54" t="n"/>
      <c r="F154" s="88" t="n"/>
      <c r="G154" s="88" t="n"/>
      <c r="H154" s="88" t="n"/>
      <c r="I154" s="88" t="n"/>
      <c r="J154" s="88" t="n"/>
      <c r="K154" s="88" t="n"/>
      <c r="L154" s="88" t="n"/>
      <c r="M154" s="88" t="n"/>
      <c r="N154" s="88" t="n"/>
      <c r="O154" s="88" t="n"/>
      <c r="P154" s="88" t="n"/>
      <c r="Q154" s="88" t="n"/>
      <c r="R154" s="89">
        <f>IF($E154="","",SUM($F154:$Q154))</f>
        <v/>
      </c>
      <c r="S154" s="90">
        <f>IF($E154="","",SUMIFS(J_Montant,J_Annee,$B154,J_Module,$C154,J_Type,$D154,J_Cat,$E154,J_Statut,"&lt;&gt;Annulé",J_Statut,"&lt;&gt;Prévu"))</f>
        <v/>
      </c>
      <c r="T154" s="90">
        <f>IF($E154="","",IF($D154="Revenu",$S154-$R154,$R154-$S154))</f>
        <v/>
      </c>
      <c r="U154" s="91">
        <f>IF(OR($E154="",$R154=0),"",$S154/$R154)</f>
        <v/>
      </c>
      <c r="V154" s="92" t="n"/>
    </row>
    <row r="155">
      <c r="B155" s="87">
        <f>Annee_Travail</f>
        <v/>
      </c>
      <c r="C155" s="54" t="n"/>
      <c r="D155" s="54" t="n"/>
      <c r="E155" s="54" t="n"/>
      <c r="F155" s="88" t="n"/>
      <c r="G155" s="88" t="n"/>
      <c r="H155" s="88" t="n"/>
      <c r="I155" s="88" t="n"/>
      <c r="J155" s="88" t="n"/>
      <c r="K155" s="88" t="n"/>
      <c r="L155" s="88" t="n"/>
      <c r="M155" s="88" t="n"/>
      <c r="N155" s="88" t="n"/>
      <c r="O155" s="88" t="n"/>
      <c r="P155" s="88" t="n"/>
      <c r="Q155" s="88" t="n"/>
      <c r="R155" s="89">
        <f>IF($E155="","",SUM($F155:$Q155))</f>
        <v/>
      </c>
      <c r="S155" s="90">
        <f>IF($E155="","",SUMIFS(J_Montant,J_Annee,$B155,J_Module,$C155,J_Type,$D155,J_Cat,$E155,J_Statut,"&lt;&gt;Annulé",J_Statut,"&lt;&gt;Prévu"))</f>
        <v/>
      </c>
      <c r="T155" s="90">
        <f>IF($E155="","",IF($D155="Revenu",$S155-$R155,$R155-$S155))</f>
        <v/>
      </c>
      <c r="U155" s="91">
        <f>IF(OR($E155="",$R155=0),"",$S155/$R155)</f>
        <v/>
      </c>
      <c r="V155" s="92" t="n"/>
    </row>
    <row r="156">
      <c r="B156" s="87">
        <f>Annee_Travail</f>
        <v/>
      </c>
      <c r="C156" s="54" t="n"/>
      <c r="D156" s="54" t="n"/>
      <c r="E156" s="54" t="n"/>
      <c r="F156" s="88" t="n"/>
      <c r="G156" s="88" t="n"/>
      <c r="H156" s="88" t="n"/>
      <c r="I156" s="88" t="n"/>
      <c r="J156" s="88" t="n"/>
      <c r="K156" s="88" t="n"/>
      <c r="L156" s="88" t="n"/>
      <c r="M156" s="88" t="n"/>
      <c r="N156" s="88" t="n"/>
      <c r="O156" s="88" t="n"/>
      <c r="P156" s="88" t="n"/>
      <c r="Q156" s="88" t="n"/>
      <c r="R156" s="89">
        <f>IF($E156="","",SUM($F156:$Q156))</f>
        <v/>
      </c>
      <c r="S156" s="90">
        <f>IF($E156="","",SUMIFS(J_Montant,J_Annee,$B156,J_Module,$C156,J_Type,$D156,J_Cat,$E156,J_Statut,"&lt;&gt;Annulé",J_Statut,"&lt;&gt;Prévu"))</f>
        <v/>
      </c>
      <c r="T156" s="90">
        <f>IF($E156="","",IF($D156="Revenu",$S156-$R156,$R156-$S156))</f>
        <v/>
      </c>
      <c r="U156" s="91">
        <f>IF(OR($E156="",$R156=0),"",$S156/$R156)</f>
        <v/>
      </c>
      <c r="V156" s="92" t="n"/>
    </row>
    <row r="157">
      <c r="B157" s="87">
        <f>Annee_Travail</f>
        <v/>
      </c>
      <c r="C157" s="54" t="n"/>
      <c r="D157" s="54" t="n"/>
      <c r="E157" s="54" t="n"/>
      <c r="F157" s="88" t="n"/>
      <c r="G157" s="88" t="n"/>
      <c r="H157" s="88" t="n"/>
      <c r="I157" s="88" t="n"/>
      <c r="J157" s="88" t="n"/>
      <c r="K157" s="88" t="n"/>
      <c r="L157" s="88" t="n"/>
      <c r="M157" s="88" t="n"/>
      <c r="N157" s="88" t="n"/>
      <c r="O157" s="88" t="n"/>
      <c r="P157" s="88" t="n"/>
      <c r="Q157" s="88" t="n"/>
      <c r="R157" s="89">
        <f>IF($E157="","",SUM($F157:$Q157))</f>
        <v/>
      </c>
      <c r="S157" s="90">
        <f>IF($E157="","",SUMIFS(J_Montant,J_Annee,$B157,J_Module,$C157,J_Type,$D157,J_Cat,$E157,J_Statut,"&lt;&gt;Annulé",J_Statut,"&lt;&gt;Prévu"))</f>
        <v/>
      </c>
      <c r="T157" s="90">
        <f>IF($E157="","",IF($D157="Revenu",$S157-$R157,$R157-$S157))</f>
        <v/>
      </c>
      <c r="U157" s="91">
        <f>IF(OR($E157="",$R157=0),"",$S157/$R157)</f>
        <v/>
      </c>
      <c r="V157" s="92" t="n"/>
    </row>
    <row r="158">
      <c r="B158" s="87">
        <f>Annee_Travail</f>
        <v/>
      </c>
      <c r="C158" s="54" t="n"/>
      <c r="D158" s="54" t="n"/>
      <c r="E158" s="54" t="n"/>
      <c r="F158" s="88" t="n"/>
      <c r="G158" s="88" t="n"/>
      <c r="H158" s="88" t="n"/>
      <c r="I158" s="88" t="n"/>
      <c r="J158" s="88" t="n"/>
      <c r="K158" s="88" t="n"/>
      <c r="L158" s="88" t="n"/>
      <c r="M158" s="88" t="n"/>
      <c r="N158" s="88" t="n"/>
      <c r="O158" s="88" t="n"/>
      <c r="P158" s="88" t="n"/>
      <c r="Q158" s="88" t="n"/>
      <c r="R158" s="89">
        <f>IF($E158="","",SUM($F158:$Q158))</f>
        <v/>
      </c>
      <c r="S158" s="90">
        <f>IF($E158="","",SUMIFS(J_Montant,J_Annee,$B158,J_Module,$C158,J_Type,$D158,J_Cat,$E158,J_Statut,"&lt;&gt;Annulé",J_Statut,"&lt;&gt;Prévu"))</f>
        <v/>
      </c>
      <c r="T158" s="90">
        <f>IF($E158="","",IF($D158="Revenu",$S158-$R158,$R158-$S158))</f>
        <v/>
      </c>
      <c r="U158" s="91">
        <f>IF(OR($E158="",$R158=0),"",$S158/$R158)</f>
        <v/>
      </c>
      <c r="V158" s="92" t="n"/>
    </row>
    <row r="159">
      <c r="B159" s="87">
        <f>Annee_Travail</f>
        <v/>
      </c>
      <c r="C159" s="54" t="n"/>
      <c r="D159" s="54" t="n"/>
      <c r="E159" s="54" t="n"/>
      <c r="F159" s="88" t="n"/>
      <c r="G159" s="88" t="n"/>
      <c r="H159" s="88" t="n"/>
      <c r="I159" s="88" t="n"/>
      <c r="J159" s="88" t="n"/>
      <c r="K159" s="88" t="n"/>
      <c r="L159" s="88" t="n"/>
      <c r="M159" s="88" t="n"/>
      <c r="N159" s="88" t="n"/>
      <c r="O159" s="88" t="n"/>
      <c r="P159" s="88" t="n"/>
      <c r="Q159" s="88" t="n"/>
      <c r="R159" s="89">
        <f>IF($E159="","",SUM($F159:$Q159))</f>
        <v/>
      </c>
      <c r="S159" s="90">
        <f>IF($E159="","",SUMIFS(J_Montant,J_Annee,$B159,J_Module,$C159,J_Type,$D159,J_Cat,$E159,J_Statut,"&lt;&gt;Annulé",J_Statut,"&lt;&gt;Prévu"))</f>
        <v/>
      </c>
      <c r="T159" s="90">
        <f>IF($E159="","",IF($D159="Revenu",$S159-$R159,$R159-$S159))</f>
        <v/>
      </c>
      <c r="U159" s="91">
        <f>IF(OR($E159="",$R159=0),"",$S159/$R159)</f>
        <v/>
      </c>
      <c r="V159" s="92" t="n"/>
    </row>
    <row r="160">
      <c r="B160" s="87">
        <f>Annee_Travail</f>
        <v/>
      </c>
      <c r="C160" s="54" t="n"/>
      <c r="D160" s="54" t="n"/>
      <c r="E160" s="54" t="n"/>
      <c r="F160" s="88" t="n"/>
      <c r="G160" s="88" t="n"/>
      <c r="H160" s="88" t="n"/>
      <c r="I160" s="88" t="n"/>
      <c r="J160" s="88" t="n"/>
      <c r="K160" s="88" t="n"/>
      <c r="L160" s="88" t="n"/>
      <c r="M160" s="88" t="n"/>
      <c r="N160" s="88" t="n"/>
      <c r="O160" s="88" t="n"/>
      <c r="P160" s="88" t="n"/>
      <c r="Q160" s="88" t="n"/>
      <c r="R160" s="89">
        <f>IF($E160="","",SUM($F160:$Q160))</f>
        <v/>
      </c>
      <c r="S160" s="90">
        <f>IF($E160="","",SUMIFS(J_Montant,J_Annee,$B160,J_Module,$C160,J_Type,$D160,J_Cat,$E160,J_Statut,"&lt;&gt;Annulé",J_Statut,"&lt;&gt;Prévu"))</f>
        <v/>
      </c>
      <c r="T160" s="90">
        <f>IF($E160="","",IF($D160="Revenu",$S160-$R160,$R160-$S160))</f>
        <v/>
      </c>
      <c r="U160" s="91">
        <f>IF(OR($E160="",$R160=0),"",$S160/$R160)</f>
        <v/>
      </c>
      <c r="V160" s="92" t="n"/>
    </row>
    <row r="161">
      <c r="B161" s="87">
        <f>Annee_Travail</f>
        <v/>
      </c>
      <c r="C161" s="54" t="n"/>
      <c r="D161" s="54" t="n"/>
      <c r="E161" s="54" t="n"/>
      <c r="F161" s="88" t="n"/>
      <c r="G161" s="88" t="n"/>
      <c r="H161" s="88" t="n"/>
      <c r="I161" s="88" t="n"/>
      <c r="J161" s="88" t="n"/>
      <c r="K161" s="88" t="n"/>
      <c r="L161" s="88" t="n"/>
      <c r="M161" s="88" t="n"/>
      <c r="N161" s="88" t="n"/>
      <c r="O161" s="88" t="n"/>
      <c r="P161" s="88" t="n"/>
      <c r="Q161" s="88" t="n"/>
      <c r="R161" s="89">
        <f>IF($E161="","",SUM($F161:$Q161))</f>
        <v/>
      </c>
      <c r="S161" s="90">
        <f>IF($E161="","",SUMIFS(J_Montant,J_Annee,$B161,J_Module,$C161,J_Type,$D161,J_Cat,$E161,J_Statut,"&lt;&gt;Annulé",J_Statut,"&lt;&gt;Prévu"))</f>
        <v/>
      </c>
      <c r="T161" s="90">
        <f>IF($E161="","",IF($D161="Revenu",$S161-$R161,$R161-$S161))</f>
        <v/>
      </c>
      <c r="U161" s="91">
        <f>IF(OR($E161="",$R161=0),"",$S161/$R161)</f>
        <v/>
      </c>
      <c r="V161" s="92" t="n"/>
    </row>
    <row r="162">
      <c r="B162" s="87">
        <f>Annee_Travail</f>
        <v/>
      </c>
      <c r="C162" s="54" t="n"/>
      <c r="D162" s="54" t="n"/>
      <c r="E162" s="54" t="n"/>
      <c r="F162" s="88" t="n"/>
      <c r="G162" s="88" t="n"/>
      <c r="H162" s="88" t="n"/>
      <c r="I162" s="88" t="n"/>
      <c r="J162" s="88" t="n"/>
      <c r="K162" s="88" t="n"/>
      <c r="L162" s="88" t="n"/>
      <c r="M162" s="88" t="n"/>
      <c r="N162" s="88" t="n"/>
      <c r="O162" s="88" t="n"/>
      <c r="P162" s="88" t="n"/>
      <c r="Q162" s="88" t="n"/>
      <c r="R162" s="89">
        <f>IF($E162="","",SUM($F162:$Q162))</f>
        <v/>
      </c>
      <c r="S162" s="90">
        <f>IF($E162="","",SUMIFS(J_Montant,J_Annee,$B162,J_Module,$C162,J_Type,$D162,J_Cat,$E162,J_Statut,"&lt;&gt;Annulé",J_Statut,"&lt;&gt;Prévu"))</f>
        <v/>
      </c>
      <c r="T162" s="90">
        <f>IF($E162="","",IF($D162="Revenu",$S162-$R162,$R162-$S162))</f>
        <v/>
      </c>
      <c r="U162" s="91">
        <f>IF(OR($E162="",$R162=0),"",$S162/$R162)</f>
        <v/>
      </c>
      <c r="V162" s="92" t="n"/>
    </row>
    <row r="163">
      <c r="B163" s="87">
        <f>Annee_Travail</f>
        <v/>
      </c>
      <c r="C163" s="54" t="n"/>
      <c r="D163" s="54" t="n"/>
      <c r="E163" s="54" t="n"/>
      <c r="F163" s="88" t="n"/>
      <c r="G163" s="88" t="n"/>
      <c r="H163" s="88" t="n"/>
      <c r="I163" s="88" t="n"/>
      <c r="J163" s="88" t="n"/>
      <c r="K163" s="88" t="n"/>
      <c r="L163" s="88" t="n"/>
      <c r="M163" s="88" t="n"/>
      <c r="N163" s="88" t="n"/>
      <c r="O163" s="88" t="n"/>
      <c r="P163" s="88" t="n"/>
      <c r="Q163" s="88" t="n"/>
      <c r="R163" s="89">
        <f>IF($E163="","",SUM($F163:$Q163))</f>
        <v/>
      </c>
      <c r="S163" s="90">
        <f>IF($E163="","",SUMIFS(J_Montant,J_Annee,$B163,J_Module,$C163,J_Type,$D163,J_Cat,$E163,J_Statut,"&lt;&gt;Annulé",J_Statut,"&lt;&gt;Prévu"))</f>
        <v/>
      </c>
      <c r="T163" s="90">
        <f>IF($E163="","",IF($D163="Revenu",$S163-$R163,$R163-$S163))</f>
        <v/>
      </c>
      <c r="U163" s="91">
        <f>IF(OR($E163="",$R163=0),"",$S163/$R163)</f>
        <v/>
      </c>
      <c r="V163" s="92" t="n"/>
    </row>
    <row r="164">
      <c r="B164" s="87">
        <f>Annee_Travail</f>
        <v/>
      </c>
      <c r="C164" s="54" t="n"/>
      <c r="D164" s="54" t="n"/>
      <c r="E164" s="54" t="n"/>
      <c r="F164" s="88" t="n"/>
      <c r="G164" s="88" t="n"/>
      <c r="H164" s="88" t="n"/>
      <c r="I164" s="88" t="n"/>
      <c r="J164" s="88" t="n"/>
      <c r="K164" s="88" t="n"/>
      <c r="L164" s="88" t="n"/>
      <c r="M164" s="88" t="n"/>
      <c r="N164" s="88" t="n"/>
      <c r="O164" s="88" t="n"/>
      <c r="P164" s="88" t="n"/>
      <c r="Q164" s="88" t="n"/>
      <c r="R164" s="89">
        <f>IF($E164="","",SUM($F164:$Q164))</f>
        <v/>
      </c>
      <c r="S164" s="90">
        <f>IF($E164="","",SUMIFS(J_Montant,J_Annee,$B164,J_Module,$C164,J_Type,$D164,J_Cat,$E164,J_Statut,"&lt;&gt;Annulé",J_Statut,"&lt;&gt;Prévu"))</f>
        <v/>
      </c>
      <c r="T164" s="90">
        <f>IF($E164="","",IF($D164="Revenu",$S164-$R164,$R164-$S164))</f>
        <v/>
      </c>
      <c r="U164" s="91">
        <f>IF(OR($E164="",$R164=0),"",$S164/$R164)</f>
        <v/>
      </c>
      <c r="V164" s="92" t="n"/>
    </row>
    <row r="165">
      <c r="B165" s="87">
        <f>Annee_Travail</f>
        <v/>
      </c>
      <c r="C165" s="54" t="n"/>
      <c r="D165" s="54" t="n"/>
      <c r="E165" s="54" t="n"/>
      <c r="F165" s="88" t="n"/>
      <c r="G165" s="88" t="n"/>
      <c r="H165" s="88" t="n"/>
      <c r="I165" s="88" t="n"/>
      <c r="J165" s="88" t="n"/>
      <c r="K165" s="88" t="n"/>
      <c r="L165" s="88" t="n"/>
      <c r="M165" s="88" t="n"/>
      <c r="N165" s="88" t="n"/>
      <c r="O165" s="88" t="n"/>
      <c r="P165" s="88" t="n"/>
      <c r="Q165" s="88" t="n"/>
      <c r="R165" s="89">
        <f>IF($E165="","",SUM($F165:$Q165))</f>
        <v/>
      </c>
      <c r="S165" s="90">
        <f>IF($E165="","",SUMIFS(J_Montant,J_Annee,$B165,J_Module,$C165,J_Type,$D165,J_Cat,$E165,J_Statut,"&lt;&gt;Annulé",J_Statut,"&lt;&gt;Prévu"))</f>
        <v/>
      </c>
      <c r="T165" s="90">
        <f>IF($E165="","",IF($D165="Revenu",$S165-$R165,$R165-$S165))</f>
        <v/>
      </c>
      <c r="U165" s="91">
        <f>IF(OR($E165="",$R165=0),"",$S165/$R165)</f>
        <v/>
      </c>
      <c r="V165" s="92" t="n"/>
    </row>
    <row r="166">
      <c r="B166" s="87">
        <f>Annee_Travail</f>
        <v/>
      </c>
      <c r="C166" s="54" t="n"/>
      <c r="D166" s="54" t="n"/>
      <c r="E166" s="54" t="n"/>
      <c r="F166" s="88" t="n"/>
      <c r="G166" s="88" t="n"/>
      <c r="H166" s="88" t="n"/>
      <c r="I166" s="88" t="n"/>
      <c r="J166" s="88" t="n"/>
      <c r="K166" s="88" t="n"/>
      <c r="L166" s="88" t="n"/>
      <c r="M166" s="88" t="n"/>
      <c r="N166" s="88" t="n"/>
      <c r="O166" s="88" t="n"/>
      <c r="P166" s="88" t="n"/>
      <c r="Q166" s="88" t="n"/>
      <c r="R166" s="89">
        <f>IF($E166="","",SUM($F166:$Q166))</f>
        <v/>
      </c>
      <c r="S166" s="90">
        <f>IF($E166="","",SUMIFS(J_Montant,J_Annee,$B166,J_Module,$C166,J_Type,$D166,J_Cat,$E166,J_Statut,"&lt;&gt;Annulé",J_Statut,"&lt;&gt;Prévu"))</f>
        <v/>
      </c>
      <c r="T166" s="90">
        <f>IF($E166="","",IF($D166="Revenu",$S166-$R166,$R166-$S166))</f>
        <v/>
      </c>
      <c r="U166" s="91">
        <f>IF(OR($E166="",$R166=0),"",$S166/$R166)</f>
        <v/>
      </c>
      <c r="V166" s="92" t="n"/>
    </row>
    <row r="167">
      <c r="B167" s="87">
        <f>Annee_Travail</f>
        <v/>
      </c>
      <c r="C167" s="54" t="n"/>
      <c r="D167" s="54" t="n"/>
      <c r="E167" s="54" t="n"/>
      <c r="F167" s="88" t="n"/>
      <c r="G167" s="88" t="n"/>
      <c r="H167" s="88" t="n"/>
      <c r="I167" s="88" t="n"/>
      <c r="J167" s="88" t="n"/>
      <c r="K167" s="88" t="n"/>
      <c r="L167" s="88" t="n"/>
      <c r="M167" s="88" t="n"/>
      <c r="N167" s="88" t="n"/>
      <c r="O167" s="88" t="n"/>
      <c r="P167" s="88" t="n"/>
      <c r="Q167" s="88" t="n"/>
      <c r="R167" s="89">
        <f>IF($E167="","",SUM($F167:$Q167))</f>
        <v/>
      </c>
      <c r="S167" s="90">
        <f>IF($E167="","",SUMIFS(J_Montant,J_Annee,$B167,J_Module,$C167,J_Type,$D167,J_Cat,$E167,J_Statut,"&lt;&gt;Annulé",J_Statut,"&lt;&gt;Prévu"))</f>
        <v/>
      </c>
      <c r="T167" s="90">
        <f>IF($E167="","",IF($D167="Revenu",$S167-$R167,$R167-$S167))</f>
        <v/>
      </c>
      <c r="U167" s="91">
        <f>IF(OR($E167="",$R167=0),"",$S167/$R167)</f>
        <v/>
      </c>
      <c r="V167" s="92" t="n"/>
    </row>
    <row r="168">
      <c r="B168" s="87">
        <f>Annee_Travail</f>
        <v/>
      </c>
      <c r="C168" s="54" t="n"/>
      <c r="D168" s="54" t="n"/>
      <c r="E168" s="54" t="n"/>
      <c r="F168" s="88" t="n"/>
      <c r="G168" s="88" t="n"/>
      <c r="H168" s="88" t="n"/>
      <c r="I168" s="88" t="n"/>
      <c r="J168" s="88" t="n"/>
      <c r="K168" s="88" t="n"/>
      <c r="L168" s="88" t="n"/>
      <c r="M168" s="88" t="n"/>
      <c r="N168" s="88" t="n"/>
      <c r="O168" s="88" t="n"/>
      <c r="P168" s="88" t="n"/>
      <c r="Q168" s="88" t="n"/>
      <c r="R168" s="89">
        <f>IF($E168="","",SUM($F168:$Q168))</f>
        <v/>
      </c>
      <c r="S168" s="90">
        <f>IF($E168="","",SUMIFS(J_Montant,J_Annee,$B168,J_Module,$C168,J_Type,$D168,J_Cat,$E168,J_Statut,"&lt;&gt;Annulé",J_Statut,"&lt;&gt;Prévu"))</f>
        <v/>
      </c>
      <c r="T168" s="90">
        <f>IF($E168="","",IF($D168="Revenu",$S168-$R168,$R168-$S168))</f>
        <v/>
      </c>
      <c r="U168" s="91">
        <f>IF(OR($E168="",$R168=0),"",$S168/$R168)</f>
        <v/>
      </c>
      <c r="V168" s="92" t="n"/>
    </row>
    <row r="169">
      <c r="B169" s="87">
        <f>Annee_Travail</f>
        <v/>
      </c>
      <c r="C169" s="54" t="n"/>
      <c r="D169" s="54" t="n"/>
      <c r="E169" s="54" t="n"/>
      <c r="F169" s="88" t="n"/>
      <c r="G169" s="88" t="n"/>
      <c r="H169" s="88" t="n"/>
      <c r="I169" s="88" t="n"/>
      <c r="J169" s="88" t="n"/>
      <c r="K169" s="88" t="n"/>
      <c r="L169" s="88" t="n"/>
      <c r="M169" s="88" t="n"/>
      <c r="N169" s="88" t="n"/>
      <c r="O169" s="88" t="n"/>
      <c r="P169" s="88" t="n"/>
      <c r="Q169" s="88" t="n"/>
      <c r="R169" s="89">
        <f>IF($E169="","",SUM($F169:$Q169))</f>
        <v/>
      </c>
      <c r="S169" s="90">
        <f>IF($E169="","",SUMIFS(J_Montant,J_Annee,$B169,J_Module,$C169,J_Type,$D169,J_Cat,$E169,J_Statut,"&lt;&gt;Annulé",J_Statut,"&lt;&gt;Prévu"))</f>
        <v/>
      </c>
      <c r="T169" s="90">
        <f>IF($E169="","",IF($D169="Revenu",$S169-$R169,$R169-$S169))</f>
        <v/>
      </c>
      <c r="U169" s="91">
        <f>IF(OR($E169="",$R169=0),"",$S169/$R169)</f>
        <v/>
      </c>
      <c r="V169" s="92" t="n"/>
    </row>
    <row r="170">
      <c r="B170" s="87">
        <f>Annee_Travail</f>
        <v/>
      </c>
      <c r="C170" s="54" t="n"/>
      <c r="D170" s="54" t="n"/>
      <c r="E170" s="54" t="n"/>
      <c r="F170" s="88" t="n"/>
      <c r="G170" s="88" t="n"/>
      <c r="H170" s="88" t="n"/>
      <c r="I170" s="88" t="n"/>
      <c r="J170" s="88" t="n"/>
      <c r="K170" s="88" t="n"/>
      <c r="L170" s="88" t="n"/>
      <c r="M170" s="88" t="n"/>
      <c r="N170" s="88" t="n"/>
      <c r="O170" s="88" t="n"/>
      <c r="P170" s="88" t="n"/>
      <c r="Q170" s="88" t="n"/>
      <c r="R170" s="89">
        <f>IF($E170="","",SUM($F170:$Q170))</f>
        <v/>
      </c>
      <c r="S170" s="90">
        <f>IF($E170="","",SUMIFS(J_Montant,J_Annee,$B170,J_Module,$C170,J_Type,$D170,J_Cat,$E170,J_Statut,"&lt;&gt;Annulé",J_Statut,"&lt;&gt;Prévu"))</f>
        <v/>
      </c>
      <c r="T170" s="90">
        <f>IF($E170="","",IF($D170="Revenu",$S170-$R170,$R170-$S170))</f>
        <v/>
      </c>
      <c r="U170" s="91">
        <f>IF(OR($E170="",$R170=0),"",$S170/$R170)</f>
        <v/>
      </c>
      <c r="V170" s="92" t="n"/>
    </row>
    <row r="171">
      <c r="B171" s="87">
        <f>Annee_Travail</f>
        <v/>
      </c>
      <c r="C171" s="54" t="n"/>
      <c r="D171" s="54" t="n"/>
      <c r="E171" s="54" t="n"/>
      <c r="F171" s="88" t="n"/>
      <c r="G171" s="88" t="n"/>
      <c r="H171" s="88" t="n"/>
      <c r="I171" s="88" t="n"/>
      <c r="J171" s="88" t="n"/>
      <c r="K171" s="88" t="n"/>
      <c r="L171" s="88" t="n"/>
      <c r="M171" s="88" t="n"/>
      <c r="N171" s="88" t="n"/>
      <c r="O171" s="88" t="n"/>
      <c r="P171" s="88" t="n"/>
      <c r="Q171" s="88" t="n"/>
      <c r="R171" s="89">
        <f>IF($E171="","",SUM($F171:$Q171))</f>
        <v/>
      </c>
      <c r="S171" s="90">
        <f>IF($E171="","",SUMIFS(J_Montant,J_Annee,$B171,J_Module,$C171,J_Type,$D171,J_Cat,$E171,J_Statut,"&lt;&gt;Annulé",J_Statut,"&lt;&gt;Prévu"))</f>
        <v/>
      </c>
      <c r="T171" s="90">
        <f>IF($E171="","",IF($D171="Revenu",$S171-$R171,$R171-$S171))</f>
        <v/>
      </c>
      <c r="U171" s="91">
        <f>IF(OR($E171="",$R171=0),"",$S171/$R171)</f>
        <v/>
      </c>
      <c r="V171" s="92" t="n"/>
    </row>
    <row r="172">
      <c r="B172" s="87">
        <f>Annee_Travail</f>
        <v/>
      </c>
      <c r="C172" s="54" t="n"/>
      <c r="D172" s="54" t="n"/>
      <c r="E172" s="54" t="n"/>
      <c r="F172" s="88" t="n"/>
      <c r="G172" s="88" t="n"/>
      <c r="H172" s="88" t="n"/>
      <c r="I172" s="88" t="n"/>
      <c r="J172" s="88" t="n"/>
      <c r="K172" s="88" t="n"/>
      <c r="L172" s="88" t="n"/>
      <c r="M172" s="88" t="n"/>
      <c r="N172" s="88" t="n"/>
      <c r="O172" s="88" t="n"/>
      <c r="P172" s="88" t="n"/>
      <c r="Q172" s="88" t="n"/>
      <c r="R172" s="89">
        <f>IF($E172="","",SUM($F172:$Q172))</f>
        <v/>
      </c>
      <c r="S172" s="90">
        <f>IF($E172="","",SUMIFS(J_Montant,J_Annee,$B172,J_Module,$C172,J_Type,$D172,J_Cat,$E172,J_Statut,"&lt;&gt;Annulé",J_Statut,"&lt;&gt;Prévu"))</f>
        <v/>
      </c>
      <c r="T172" s="90">
        <f>IF($E172="","",IF($D172="Revenu",$S172-$R172,$R172-$S172))</f>
        <v/>
      </c>
      <c r="U172" s="91">
        <f>IF(OR($E172="",$R172=0),"",$S172/$R172)</f>
        <v/>
      </c>
      <c r="V172" s="92" t="n"/>
    </row>
    <row r="173">
      <c r="B173" s="87">
        <f>Annee_Travail</f>
        <v/>
      </c>
      <c r="C173" s="54" t="n"/>
      <c r="D173" s="54" t="n"/>
      <c r="E173" s="54" t="n"/>
      <c r="F173" s="88" t="n"/>
      <c r="G173" s="88" t="n"/>
      <c r="H173" s="88" t="n"/>
      <c r="I173" s="88" t="n"/>
      <c r="J173" s="88" t="n"/>
      <c r="K173" s="88" t="n"/>
      <c r="L173" s="88" t="n"/>
      <c r="M173" s="88" t="n"/>
      <c r="N173" s="88" t="n"/>
      <c r="O173" s="88" t="n"/>
      <c r="P173" s="88" t="n"/>
      <c r="Q173" s="88" t="n"/>
      <c r="R173" s="89">
        <f>IF($E173="","",SUM($F173:$Q173))</f>
        <v/>
      </c>
      <c r="S173" s="90">
        <f>IF($E173="","",SUMIFS(J_Montant,J_Annee,$B173,J_Module,$C173,J_Type,$D173,J_Cat,$E173,J_Statut,"&lt;&gt;Annulé",J_Statut,"&lt;&gt;Prévu"))</f>
        <v/>
      </c>
      <c r="T173" s="90">
        <f>IF($E173="","",IF($D173="Revenu",$S173-$R173,$R173-$S173))</f>
        <v/>
      </c>
      <c r="U173" s="91">
        <f>IF(OR($E173="",$R173=0),"",$S173/$R173)</f>
        <v/>
      </c>
      <c r="V173" s="92" t="n"/>
    </row>
    <row r="174">
      <c r="B174" s="87">
        <f>Annee_Travail</f>
        <v/>
      </c>
      <c r="C174" s="54" t="n"/>
      <c r="D174" s="54" t="n"/>
      <c r="E174" s="54" t="n"/>
      <c r="F174" s="88" t="n"/>
      <c r="G174" s="88" t="n"/>
      <c r="H174" s="88" t="n"/>
      <c r="I174" s="88" t="n"/>
      <c r="J174" s="88" t="n"/>
      <c r="K174" s="88" t="n"/>
      <c r="L174" s="88" t="n"/>
      <c r="M174" s="88" t="n"/>
      <c r="N174" s="88" t="n"/>
      <c r="O174" s="88" t="n"/>
      <c r="P174" s="88" t="n"/>
      <c r="Q174" s="88" t="n"/>
      <c r="R174" s="89">
        <f>IF($E174="","",SUM($F174:$Q174))</f>
        <v/>
      </c>
      <c r="S174" s="90">
        <f>IF($E174="","",SUMIFS(J_Montant,J_Annee,$B174,J_Module,$C174,J_Type,$D174,J_Cat,$E174,J_Statut,"&lt;&gt;Annulé",J_Statut,"&lt;&gt;Prévu"))</f>
        <v/>
      </c>
      <c r="T174" s="90">
        <f>IF($E174="","",IF($D174="Revenu",$S174-$R174,$R174-$S174))</f>
        <v/>
      </c>
      <c r="U174" s="91">
        <f>IF(OR($E174="",$R174=0),"",$S174/$R174)</f>
        <v/>
      </c>
      <c r="V174" s="92" t="n"/>
    </row>
    <row r="175">
      <c r="B175" s="87">
        <f>Annee_Travail</f>
        <v/>
      </c>
      <c r="C175" s="54" t="n"/>
      <c r="D175" s="54" t="n"/>
      <c r="E175" s="54" t="n"/>
      <c r="F175" s="88" t="n"/>
      <c r="G175" s="88" t="n"/>
      <c r="H175" s="88" t="n"/>
      <c r="I175" s="88" t="n"/>
      <c r="J175" s="88" t="n"/>
      <c r="K175" s="88" t="n"/>
      <c r="L175" s="88" t="n"/>
      <c r="M175" s="88" t="n"/>
      <c r="N175" s="88" t="n"/>
      <c r="O175" s="88" t="n"/>
      <c r="P175" s="88" t="n"/>
      <c r="Q175" s="88" t="n"/>
      <c r="R175" s="89">
        <f>IF($E175="","",SUM($F175:$Q175))</f>
        <v/>
      </c>
      <c r="S175" s="90">
        <f>IF($E175="","",SUMIFS(J_Montant,J_Annee,$B175,J_Module,$C175,J_Type,$D175,J_Cat,$E175,J_Statut,"&lt;&gt;Annulé",J_Statut,"&lt;&gt;Prévu"))</f>
        <v/>
      </c>
      <c r="T175" s="90">
        <f>IF($E175="","",IF($D175="Revenu",$S175-$R175,$R175-$S175))</f>
        <v/>
      </c>
      <c r="U175" s="91">
        <f>IF(OR($E175="",$R175=0),"",$S175/$R175)</f>
        <v/>
      </c>
      <c r="V175" s="92" t="n"/>
    </row>
    <row r="176">
      <c r="B176" s="87">
        <f>Annee_Travail</f>
        <v/>
      </c>
      <c r="C176" s="54" t="n"/>
      <c r="D176" s="54" t="n"/>
      <c r="E176" s="54" t="n"/>
      <c r="F176" s="88" t="n"/>
      <c r="G176" s="88" t="n"/>
      <c r="H176" s="88" t="n"/>
      <c r="I176" s="88" t="n"/>
      <c r="J176" s="88" t="n"/>
      <c r="K176" s="88" t="n"/>
      <c r="L176" s="88" t="n"/>
      <c r="M176" s="88" t="n"/>
      <c r="N176" s="88" t="n"/>
      <c r="O176" s="88" t="n"/>
      <c r="P176" s="88" t="n"/>
      <c r="Q176" s="88" t="n"/>
      <c r="R176" s="89">
        <f>IF($E176="","",SUM($F176:$Q176))</f>
        <v/>
      </c>
      <c r="S176" s="90">
        <f>IF($E176="","",SUMIFS(J_Montant,J_Annee,$B176,J_Module,$C176,J_Type,$D176,J_Cat,$E176,J_Statut,"&lt;&gt;Annulé",J_Statut,"&lt;&gt;Prévu"))</f>
        <v/>
      </c>
      <c r="T176" s="90">
        <f>IF($E176="","",IF($D176="Revenu",$S176-$R176,$R176-$S176))</f>
        <v/>
      </c>
      <c r="U176" s="91">
        <f>IF(OR($E176="",$R176=0),"",$S176/$R176)</f>
        <v/>
      </c>
      <c r="V176" s="92" t="n"/>
    </row>
    <row r="177">
      <c r="B177" s="87">
        <f>Annee_Travail</f>
        <v/>
      </c>
      <c r="C177" s="54" t="n"/>
      <c r="D177" s="54" t="n"/>
      <c r="E177" s="54" t="n"/>
      <c r="F177" s="88" t="n"/>
      <c r="G177" s="88" t="n"/>
      <c r="H177" s="88" t="n"/>
      <c r="I177" s="88" t="n"/>
      <c r="J177" s="88" t="n"/>
      <c r="K177" s="88" t="n"/>
      <c r="L177" s="88" t="n"/>
      <c r="M177" s="88" t="n"/>
      <c r="N177" s="88" t="n"/>
      <c r="O177" s="88" t="n"/>
      <c r="P177" s="88" t="n"/>
      <c r="Q177" s="88" t="n"/>
      <c r="R177" s="89">
        <f>IF($E177="","",SUM($F177:$Q177))</f>
        <v/>
      </c>
      <c r="S177" s="90">
        <f>IF($E177="","",SUMIFS(J_Montant,J_Annee,$B177,J_Module,$C177,J_Type,$D177,J_Cat,$E177,J_Statut,"&lt;&gt;Annulé",J_Statut,"&lt;&gt;Prévu"))</f>
        <v/>
      </c>
      <c r="T177" s="90">
        <f>IF($E177="","",IF($D177="Revenu",$S177-$R177,$R177-$S177))</f>
        <v/>
      </c>
      <c r="U177" s="91">
        <f>IF(OR($E177="",$R177=0),"",$S177/$R177)</f>
        <v/>
      </c>
      <c r="V177" s="92" t="n"/>
    </row>
    <row r="178">
      <c r="B178" s="87">
        <f>Annee_Travail</f>
        <v/>
      </c>
      <c r="C178" s="54" t="n"/>
      <c r="D178" s="54" t="n"/>
      <c r="E178" s="54" t="n"/>
      <c r="F178" s="88" t="n"/>
      <c r="G178" s="88" t="n"/>
      <c r="H178" s="88" t="n"/>
      <c r="I178" s="88" t="n"/>
      <c r="J178" s="88" t="n"/>
      <c r="K178" s="88" t="n"/>
      <c r="L178" s="88" t="n"/>
      <c r="M178" s="88" t="n"/>
      <c r="N178" s="88" t="n"/>
      <c r="O178" s="88" t="n"/>
      <c r="P178" s="88" t="n"/>
      <c r="Q178" s="88" t="n"/>
      <c r="R178" s="89">
        <f>IF($E178="","",SUM($F178:$Q178))</f>
        <v/>
      </c>
      <c r="S178" s="90">
        <f>IF($E178="","",SUMIFS(J_Montant,J_Annee,$B178,J_Module,$C178,J_Type,$D178,J_Cat,$E178,J_Statut,"&lt;&gt;Annulé",J_Statut,"&lt;&gt;Prévu"))</f>
        <v/>
      </c>
      <c r="T178" s="90">
        <f>IF($E178="","",IF($D178="Revenu",$S178-$R178,$R178-$S178))</f>
        <v/>
      </c>
      <c r="U178" s="91">
        <f>IF(OR($E178="",$R178=0),"",$S178/$R178)</f>
        <v/>
      </c>
      <c r="V178" s="92" t="n"/>
    </row>
    <row r="179">
      <c r="B179" s="87">
        <f>Annee_Travail</f>
        <v/>
      </c>
      <c r="C179" s="54" t="n"/>
      <c r="D179" s="54" t="n"/>
      <c r="E179" s="54" t="n"/>
      <c r="F179" s="88" t="n"/>
      <c r="G179" s="88" t="n"/>
      <c r="H179" s="88" t="n"/>
      <c r="I179" s="88" t="n"/>
      <c r="J179" s="88" t="n"/>
      <c r="K179" s="88" t="n"/>
      <c r="L179" s="88" t="n"/>
      <c r="M179" s="88" t="n"/>
      <c r="N179" s="88" t="n"/>
      <c r="O179" s="88" t="n"/>
      <c r="P179" s="88" t="n"/>
      <c r="Q179" s="88" t="n"/>
      <c r="R179" s="89">
        <f>IF($E179="","",SUM($F179:$Q179))</f>
        <v/>
      </c>
      <c r="S179" s="90">
        <f>IF($E179="","",SUMIFS(J_Montant,J_Annee,$B179,J_Module,$C179,J_Type,$D179,J_Cat,$E179,J_Statut,"&lt;&gt;Annulé",J_Statut,"&lt;&gt;Prévu"))</f>
        <v/>
      </c>
      <c r="T179" s="90">
        <f>IF($E179="","",IF($D179="Revenu",$S179-$R179,$R179-$S179))</f>
        <v/>
      </c>
      <c r="U179" s="91">
        <f>IF(OR($E179="",$R179=0),"",$S179/$R179)</f>
        <v/>
      </c>
      <c r="V179" s="92" t="n"/>
    </row>
    <row r="180">
      <c r="B180" s="87">
        <f>Annee_Travail</f>
        <v/>
      </c>
      <c r="C180" s="54" t="n"/>
      <c r="D180" s="54" t="n"/>
      <c r="E180" s="54" t="n"/>
      <c r="F180" s="88" t="n"/>
      <c r="G180" s="88" t="n"/>
      <c r="H180" s="88" t="n"/>
      <c r="I180" s="88" t="n"/>
      <c r="J180" s="88" t="n"/>
      <c r="K180" s="88" t="n"/>
      <c r="L180" s="88" t="n"/>
      <c r="M180" s="88" t="n"/>
      <c r="N180" s="88" t="n"/>
      <c r="O180" s="88" t="n"/>
      <c r="P180" s="88" t="n"/>
      <c r="Q180" s="88" t="n"/>
      <c r="R180" s="89">
        <f>IF($E180="","",SUM($F180:$Q180))</f>
        <v/>
      </c>
      <c r="S180" s="90">
        <f>IF($E180="","",SUMIFS(J_Montant,J_Annee,$B180,J_Module,$C180,J_Type,$D180,J_Cat,$E180,J_Statut,"&lt;&gt;Annulé",J_Statut,"&lt;&gt;Prévu"))</f>
        <v/>
      </c>
      <c r="T180" s="90">
        <f>IF($E180="","",IF($D180="Revenu",$S180-$R180,$R180-$S180))</f>
        <v/>
      </c>
      <c r="U180" s="91">
        <f>IF(OR($E180="",$R180=0),"",$S180/$R180)</f>
        <v/>
      </c>
      <c r="V180" s="92" t="n"/>
    </row>
    <row r="181">
      <c r="B181" s="87">
        <f>Annee_Travail</f>
        <v/>
      </c>
      <c r="C181" s="54" t="n"/>
      <c r="D181" s="54" t="n"/>
      <c r="E181" s="54" t="n"/>
      <c r="F181" s="88" t="n"/>
      <c r="G181" s="88" t="n"/>
      <c r="H181" s="88" t="n"/>
      <c r="I181" s="88" t="n"/>
      <c r="J181" s="88" t="n"/>
      <c r="K181" s="88" t="n"/>
      <c r="L181" s="88" t="n"/>
      <c r="M181" s="88" t="n"/>
      <c r="N181" s="88" t="n"/>
      <c r="O181" s="88" t="n"/>
      <c r="P181" s="88" t="n"/>
      <c r="Q181" s="88" t="n"/>
      <c r="R181" s="89">
        <f>IF($E181="","",SUM($F181:$Q181))</f>
        <v/>
      </c>
      <c r="S181" s="90">
        <f>IF($E181="","",SUMIFS(J_Montant,J_Annee,$B181,J_Module,$C181,J_Type,$D181,J_Cat,$E181,J_Statut,"&lt;&gt;Annulé",J_Statut,"&lt;&gt;Prévu"))</f>
        <v/>
      </c>
      <c r="T181" s="90">
        <f>IF($E181="","",IF($D181="Revenu",$S181-$R181,$R181-$S181))</f>
        <v/>
      </c>
      <c r="U181" s="91">
        <f>IF(OR($E181="",$R181=0),"",$S181/$R181)</f>
        <v/>
      </c>
      <c r="V181" s="92" t="n"/>
    </row>
    <row r="182">
      <c r="B182" s="87">
        <f>Annee_Travail</f>
        <v/>
      </c>
      <c r="C182" s="54" t="n"/>
      <c r="D182" s="54" t="n"/>
      <c r="E182" s="54" t="n"/>
      <c r="F182" s="88" t="n"/>
      <c r="G182" s="88" t="n"/>
      <c r="H182" s="88" t="n"/>
      <c r="I182" s="88" t="n"/>
      <c r="J182" s="88" t="n"/>
      <c r="K182" s="88" t="n"/>
      <c r="L182" s="88" t="n"/>
      <c r="M182" s="88" t="n"/>
      <c r="N182" s="88" t="n"/>
      <c r="O182" s="88" t="n"/>
      <c r="P182" s="88" t="n"/>
      <c r="Q182" s="88" t="n"/>
      <c r="R182" s="89">
        <f>IF($E182="","",SUM($F182:$Q182))</f>
        <v/>
      </c>
      <c r="S182" s="90">
        <f>IF($E182="","",SUMIFS(J_Montant,J_Annee,$B182,J_Module,$C182,J_Type,$D182,J_Cat,$E182,J_Statut,"&lt;&gt;Annulé",J_Statut,"&lt;&gt;Prévu"))</f>
        <v/>
      </c>
      <c r="T182" s="90">
        <f>IF($E182="","",IF($D182="Revenu",$S182-$R182,$R182-$S182))</f>
        <v/>
      </c>
      <c r="U182" s="91">
        <f>IF(OR($E182="",$R182=0),"",$S182/$R182)</f>
        <v/>
      </c>
      <c r="V182" s="92" t="n"/>
    </row>
    <row r="183">
      <c r="B183" s="87">
        <f>Annee_Travail</f>
        <v/>
      </c>
      <c r="C183" s="54" t="n"/>
      <c r="D183" s="54" t="n"/>
      <c r="E183" s="54" t="n"/>
      <c r="F183" s="88" t="n"/>
      <c r="G183" s="88" t="n"/>
      <c r="H183" s="88" t="n"/>
      <c r="I183" s="88" t="n"/>
      <c r="J183" s="88" t="n"/>
      <c r="K183" s="88" t="n"/>
      <c r="L183" s="88" t="n"/>
      <c r="M183" s="88" t="n"/>
      <c r="N183" s="88" t="n"/>
      <c r="O183" s="88" t="n"/>
      <c r="P183" s="88" t="n"/>
      <c r="Q183" s="88" t="n"/>
      <c r="R183" s="89">
        <f>IF($E183="","",SUM($F183:$Q183))</f>
        <v/>
      </c>
      <c r="S183" s="90">
        <f>IF($E183="","",SUMIFS(J_Montant,J_Annee,$B183,J_Module,$C183,J_Type,$D183,J_Cat,$E183,J_Statut,"&lt;&gt;Annulé",J_Statut,"&lt;&gt;Prévu"))</f>
        <v/>
      </c>
      <c r="T183" s="90">
        <f>IF($E183="","",IF($D183="Revenu",$S183-$R183,$R183-$S183))</f>
        <v/>
      </c>
      <c r="U183" s="91">
        <f>IF(OR($E183="",$R183=0),"",$S183/$R183)</f>
        <v/>
      </c>
      <c r="V183" s="92" t="n"/>
    </row>
    <row r="184">
      <c r="B184" s="87">
        <f>Annee_Travail</f>
        <v/>
      </c>
      <c r="C184" s="54" t="n"/>
      <c r="D184" s="54" t="n"/>
      <c r="E184" s="54" t="n"/>
      <c r="F184" s="88" t="n"/>
      <c r="G184" s="88" t="n"/>
      <c r="H184" s="88" t="n"/>
      <c r="I184" s="88" t="n"/>
      <c r="J184" s="88" t="n"/>
      <c r="K184" s="88" t="n"/>
      <c r="L184" s="88" t="n"/>
      <c r="M184" s="88" t="n"/>
      <c r="N184" s="88" t="n"/>
      <c r="O184" s="88" t="n"/>
      <c r="P184" s="88" t="n"/>
      <c r="Q184" s="88" t="n"/>
      <c r="R184" s="89">
        <f>IF($E184="","",SUM($F184:$Q184))</f>
        <v/>
      </c>
      <c r="S184" s="90">
        <f>IF($E184="","",SUMIFS(J_Montant,J_Annee,$B184,J_Module,$C184,J_Type,$D184,J_Cat,$E184,J_Statut,"&lt;&gt;Annulé",J_Statut,"&lt;&gt;Prévu"))</f>
        <v/>
      </c>
      <c r="T184" s="90">
        <f>IF($E184="","",IF($D184="Revenu",$S184-$R184,$R184-$S184))</f>
        <v/>
      </c>
      <c r="U184" s="91">
        <f>IF(OR($E184="",$R184=0),"",$S184/$R184)</f>
        <v/>
      </c>
      <c r="V184" s="92" t="n"/>
    </row>
    <row r="185">
      <c r="B185" s="87">
        <f>Annee_Travail</f>
        <v/>
      </c>
      <c r="C185" s="54" t="n"/>
      <c r="D185" s="54" t="n"/>
      <c r="E185" s="54" t="n"/>
      <c r="F185" s="88" t="n"/>
      <c r="G185" s="88" t="n"/>
      <c r="H185" s="88" t="n"/>
      <c r="I185" s="88" t="n"/>
      <c r="J185" s="88" t="n"/>
      <c r="K185" s="88" t="n"/>
      <c r="L185" s="88" t="n"/>
      <c r="M185" s="88" t="n"/>
      <c r="N185" s="88" t="n"/>
      <c r="O185" s="88" t="n"/>
      <c r="P185" s="88" t="n"/>
      <c r="Q185" s="88" t="n"/>
      <c r="R185" s="89">
        <f>IF($E185="","",SUM($F185:$Q185))</f>
        <v/>
      </c>
      <c r="S185" s="90">
        <f>IF($E185="","",SUMIFS(J_Montant,J_Annee,$B185,J_Module,$C185,J_Type,$D185,J_Cat,$E185,J_Statut,"&lt;&gt;Annulé",J_Statut,"&lt;&gt;Prévu"))</f>
        <v/>
      </c>
      <c r="T185" s="90">
        <f>IF($E185="","",IF($D185="Revenu",$S185-$R185,$R185-$S185))</f>
        <v/>
      </c>
      <c r="U185" s="91">
        <f>IF(OR($E185="",$R185=0),"",$S185/$R185)</f>
        <v/>
      </c>
      <c r="V185" s="92" t="n"/>
    </row>
    <row r="186">
      <c r="B186" s="87">
        <f>Annee_Travail</f>
        <v/>
      </c>
      <c r="C186" s="54" t="n"/>
      <c r="D186" s="54" t="n"/>
      <c r="E186" s="54" t="n"/>
      <c r="F186" s="88" t="n"/>
      <c r="G186" s="88" t="n"/>
      <c r="H186" s="88" t="n"/>
      <c r="I186" s="88" t="n"/>
      <c r="J186" s="88" t="n"/>
      <c r="K186" s="88" t="n"/>
      <c r="L186" s="88" t="n"/>
      <c r="M186" s="88" t="n"/>
      <c r="N186" s="88" t="n"/>
      <c r="O186" s="88" t="n"/>
      <c r="P186" s="88" t="n"/>
      <c r="Q186" s="88" t="n"/>
      <c r="R186" s="89">
        <f>IF($E186="","",SUM($F186:$Q186))</f>
        <v/>
      </c>
      <c r="S186" s="90">
        <f>IF($E186="","",SUMIFS(J_Montant,J_Annee,$B186,J_Module,$C186,J_Type,$D186,J_Cat,$E186,J_Statut,"&lt;&gt;Annulé",J_Statut,"&lt;&gt;Prévu"))</f>
        <v/>
      </c>
      <c r="T186" s="90">
        <f>IF($E186="","",IF($D186="Revenu",$S186-$R186,$R186-$S186))</f>
        <v/>
      </c>
      <c r="U186" s="91">
        <f>IF(OR($E186="",$R186=0),"",$S186/$R186)</f>
        <v/>
      </c>
      <c r="V186" s="92" t="n"/>
    </row>
    <row r="187">
      <c r="B187" s="87">
        <f>Annee_Travail</f>
        <v/>
      </c>
      <c r="C187" s="54" t="n"/>
      <c r="D187" s="54" t="n"/>
      <c r="E187" s="54" t="n"/>
      <c r="F187" s="88" t="n"/>
      <c r="G187" s="88" t="n"/>
      <c r="H187" s="88" t="n"/>
      <c r="I187" s="88" t="n"/>
      <c r="J187" s="88" t="n"/>
      <c r="K187" s="88" t="n"/>
      <c r="L187" s="88" t="n"/>
      <c r="M187" s="88" t="n"/>
      <c r="N187" s="88" t="n"/>
      <c r="O187" s="88" t="n"/>
      <c r="P187" s="88" t="n"/>
      <c r="Q187" s="88" t="n"/>
      <c r="R187" s="89">
        <f>IF($E187="","",SUM($F187:$Q187))</f>
        <v/>
      </c>
      <c r="S187" s="90">
        <f>IF($E187="","",SUMIFS(J_Montant,J_Annee,$B187,J_Module,$C187,J_Type,$D187,J_Cat,$E187,J_Statut,"&lt;&gt;Annulé",J_Statut,"&lt;&gt;Prévu"))</f>
        <v/>
      </c>
      <c r="T187" s="90">
        <f>IF($E187="","",IF($D187="Revenu",$S187-$R187,$R187-$S187))</f>
        <v/>
      </c>
      <c r="U187" s="91">
        <f>IF(OR($E187="",$R187=0),"",$S187/$R187)</f>
        <v/>
      </c>
      <c r="V187" s="92" t="n"/>
    </row>
    <row r="188">
      <c r="B188" s="87">
        <f>Annee_Travail</f>
        <v/>
      </c>
      <c r="C188" s="54" t="n"/>
      <c r="D188" s="54" t="n"/>
      <c r="E188" s="54" t="n"/>
      <c r="F188" s="88" t="n"/>
      <c r="G188" s="88" t="n"/>
      <c r="H188" s="88" t="n"/>
      <c r="I188" s="88" t="n"/>
      <c r="J188" s="88" t="n"/>
      <c r="K188" s="88" t="n"/>
      <c r="L188" s="88" t="n"/>
      <c r="M188" s="88" t="n"/>
      <c r="N188" s="88" t="n"/>
      <c r="O188" s="88" t="n"/>
      <c r="P188" s="88" t="n"/>
      <c r="Q188" s="88" t="n"/>
      <c r="R188" s="89">
        <f>IF($E188="","",SUM($F188:$Q188))</f>
        <v/>
      </c>
      <c r="S188" s="90">
        <f>IF($E188="","",SUMIFS(J_Montant,J_Annee,$B188,J_Module,$C188,J_Type,$D188,J_Cat,$E188,J_Statut,"&lt;&gt;Annulé",J_Statut,"&lt;&gt;Prévu"))</f>
        <v/>
      </c>
      <c r="T188" s="90">
        <f>IF($E188="","",IF($D188="Revenu",$S188-$R188,$R188-$S188))</f>
        <v/>
      </c>
      <c r="U188" s="91">
        <f>IF(OR($E188="",$R188=0),"",$S188/$R188)</f>
        <v/>
      </c>
      <c r="V188" s="92" t="n"/>
    </row>
    <row r="189">
      <c r="B189" s="87">
        <f>Annee_Travail</f>
        <v/>
      </c>
      <c r="C189" s="54" t="n"/>
      <c r="D189" s="54" t="n"/>
      <c r="E189" s="54" t="n"/>
      <c r="F189" s="88" t="n"/>
      <c r="G189" s="88" t="n"/>
      <c r="H189" s="88" t="n"/>
      <c r="I189" s="88" t="n"/>
      <c r="J189" s="88" t="n"/>
      <c r="K189" s="88" t="n"/>
      <c r="L189" s="88" t="n"/>
      <c r="M189" s="88" t="n"/>
      <c r="N189" s="88" t="n"/>
      <c r="O189" s="88" t="n"/>
      <c r="P189" s="88" t="n"/>
      <c r="Q189" s="88" t="n"/>
      <c r="R189" s="89">
        <f>IF($E189="","",SUM($F189:$Q189))</f>
        <v/>
      </c>
      <c r="S189" s="90">
        <f>IF($E189="","",SUMIFS(J_Montant,J_Annee,$B189,J_Module,$C189,J_Type,$D189,J_Cat,$E189,J_Statut,"&lt;&gt;Annulé",J_Statut,"&lt;&gt;Prévu"))</f>
        <v/>
      </c>
      <c r="T189" s="90">
        <f>IF($E189="","",IF($D189="Revenu",$S189-$R189,$R189-$S189))</f>
        <v/>
      </c>
      <c r="U189" s="91">
        <f>IF(OR($E189="",$R189=0),"",$S189/$R189)</f>
        <v/>
      </c>
      <c r="V189" s="92" t="n"/>
    </row>
    <row r="190">
      <c r="B190" s="87">
        <f>Annee_Travail</f>
        <v/>
      </c>
      <c r="C190" s="54" t="n"/>
      <c r="D190" s="54" t="n"/>
      <c r="E190" s="54" t="n"/>
      <c r="F190" s="88" t="n"/>
      <c r="G190" s="88" t="n"/>
      <c r="H190" s="88" t="n"/>
      <c r="I190" s="88" t="n"/>
      <c r="J190" s="88" t="n"/>
      <c r="K190" s="88" t="n"/>
      <c r="L190" s="88" t="n"/>
      <c r="M190" s="88" t="n"/>
      <c r="N190" s="88" t="n"/>
      <c r="O190" s="88" t="n"/>
      <c r="P190" s="88" t="n"/>
      <c r="Q190" s="88" t="n"/>
      <c r="R190" s="89">
        <f>IF($E190="","",SUM($F190:$Q190))</f>
        <v/>
      </c>
      <c r="S190" s="90">
        <f>IF($E190="","",SUMIFS(J_Montant,J_Annee,$B190,J_Module,$C190,J_Type,$D190,J_Cat,$E190,J_Statut,"&lt;&gt;Annulé",J_Statut,"&lt;&gt;Prévu"))</f>
        <v/>
      </c>
      <c r="T190" s="90">
        <f>IF($E190="","",IF($D190="Revenu",$S190-$R190,$R190-$S190))</f>
        <v/>
      </c>
      <c r="U190" s="91">
        <f>IF(OR($E190="",$R190=0),"",$S190/$R190)</f>
        <v/>
      </c>
      <c r="V190" s="92" t="n"/>
    </row>
    <row r="191">
      <c r="B191" s="87">
        <f>Annee_Travail</f>
        <v/>
      </c>
      <c r="C191" s="54" t="n"/>
      <c r="D191" s="54" t="n"/>
      <c r="E191" s="54" t="n"/>
      <c r="F191" s="88" t="n"/>
      <c r="G191" s="88" t="n"/>
      <c r="H191" s="88" t="n"/>
      <c r="I191" s="88" t="n"/>
      <c r="J191" s="88" t="n"/>
      <c r="K191" s="88" t="n"/>
      <c r="L191" s="88" t="n"/>
      <c r="M191" s="88" t="n"/>
      <c r="N191" s="88" t="n"/>
      <c r="O191" s="88" t="n"/>
      <c r="P191" s="88" t="n"/>
      <c r="Q191" s="88" t="n"/>
      <c r="R191" s="89">
        <f>IF($E191="","",SUM($F191:$Q191))</f>
        <v/>
      </c>
      <c r="S191" s="90">
        <f>IF($E191="","",SUMIFS(J_Montant,J_Annee,$B191,J_Module,$C191,J_Type,$D191,J_Cat,$E191,J_Statut,"&lt;&gt;Annulé",J_Statut,"&lt;&gt;Prévu"))</f>
        <v/>
      </c>
      <c r="T191" s="90">
        <f>IF($E191="","",IF($D191="Revenu",$S191-$R191,$R191-$S191))</f>
        <v/>
      </c>
      <c r="U191" s="91">
        <f>IF(OR($E191="",$R191=0),"",$S191/$R191)</f>
        <v/>
      </c>
      <c r="V191" s="92" t="n"/>
    </row>
    <row r="192">
      <c r="B192" s="87">
        <f>Annee_Travail</f>
        <v/>
      </c>
      <c r="C192" s="54" t="n"/>
      <c r="D192" s="54" t="n"/>
      <c r="E192" s="54" t="n"/>
      <c r="F192" s="88" t="n"/>
      <c r="G192" s="88" t="n"/>
      <c r="H192" s="88" t="n"/>
      <c r="I192" s="88" t="n"/>
      <c r="J192" s="88" t="n"/>
      <c r="K192" s="88" t="n"/>
      <c r="L192" s="88" t="n"/>
      <c r="M192" s="88" t="n"/>
      <c r="N192" s="88" t="n"/>
      <c r="O192" s="88" t="n"/>
      <c r="P192" s="88" t="n"/>
      <c r="Q192" s="88" t="n"/>
      <c r="R192" s="89">
        <f>IF($E192="","",SUM($F192:$Q192))</f>
        <v/>
      </c>
      <c r="S192" s="90">
        <f>IF($E192="","",SUMIFS(J_Montant,J_Annee,$B192,J_Module,$C192,J_Type,$D192,J_Cat,$E192,J_Statut,"&lt;&gt;Annulé",J_Statut,"&lt;&gt;Prévu"))</f>
        <v/>
      </c>
      <c r="T192" s="90">
        <f>IF($E192="","",IF($D192="Revenu",$S192-$R192,$R192-$S192))</f>
        <v/>
      </c>
      <c r="U192" s="91">
        <f>IF(OR($E192="",$R192=0),"",$S192/$R192)</f>
        <v/>
      </c>
      <c r="V192" s="92" t="n"/>
    </row>
    <row r="193">
      <c r="B193" s="87">
        <f>Annee_Travail</f>
        <v/>
      </c>
      <c r="C193" s="54" t="n"/>
      <c r="D193" s="54" t="n"/>
      <c r="E193" s="54" t="n"/>
      <c r="F193" s="88" t="n"/>
      <c r="G193" s="88" t="n"/>
      <c r="H193" s="88" t="n"/>
      <c r="I193" s="88" t="n"/>
      <c r="J193" s="88" t="n"/>
      <c r="K193" s="88" t="n"/>
      <c r="L193" s="88" t="n"/>
      <c r="M193" s="88" t="n"/>
      <c r="N193" s="88" t="n"/>
      <c r="O193" s="88" t="n"/>
      <c r="P193" s="88" t="n"/>
      <c r="Q193" s="88" t="n"/>
      <c r="R193" s="89">
        <f>IF($E193="","",SUM($F193:$Q193))</f>
        <v/>
      </c>
      <c r="S193" s="90">
        <f>IF($E193="","",SUMIFS(J_Montant,J_Annee,$B193,J_Module,$C193,J_Type,$D193,J_Cat,$E193,J_Statut,"&lt;&gt;Annulé",J_Statut,"&lt;&gt;Prévu"))</f>
        <v/>
      </c>
      <c r="T193" s="90">
        <f>IF($E193="","",IF($D193="Revenu",$S193-$R193,$R193-$S193))</f>
        <v/>
      </c>
      <c r="U193" s="91">
        <f>IF(OR($E193="",$R193=0),"",$S193/$R193)</f>
        <v/>
      </c>
      <c r="V193" s="92" t="n"/>
    </row>
    <row r="194">
      <c r="B194" s="87">
        <f>Annee_Travail</f>
        <v/>
      </c>
      <c r="C194" s="54" t="n"/>
      <c r="D194" s="54" t="n"/>
      <c r="E194" s="54" t="n"/>
      <c r="F194" s="88" t="n"/>
      <c r="G194" s="88" t="n"/>
      <c r="H194" s="88" t="n"/>
      <c r="I194" s="88" t="n"/>
      <c r="J194" s="88" t="n"/>
      <c r="K194" s="88" t="n"/>
      <c r="L194" s="88" t="n"/>
      <c r="M194" s="88" t="n"/>
      <c r="N194" s="88" t="n"/>
      <c r="O194" s="88" t="n"/>
      <c r="P194" s="88" t="n"/>
      <c r="Q194" s="88" t="n"/>
      <c r="R194" s="89">
        <f>IF($E194="","",SUM($F194:$Q194))</f>
        <v/>
      </c>
      <c r="S194" s="90">
        <f>IF($E194="","",SUMIFS(J_Montant,J_Annee,$B194,J_Module,$C194,J_Type,$D194,J_Cat,$E194,J_Statut,"&lt;&gt;Annulé",J_Statut,"&lt;&gt;Prévu"))</f>
        <v/>
      </c>
      <c r="T194" s="90">
        <f>IF($E194="","",IF($D194="Revenu",$S194-$R194,$R194-$S194))</f>
        <v/>
      </c>
      <c r="U194" s="91">
        <f>IF(OR($E194="",$R194=0),"",$S194/$R194)</f>
        <v/>
      </c>
      <c r="V194" s="92" t="n"/>
    </row>
    <row r="195">
      <c r="B195" s="87">
        <f>Annee_Travail</f>
        <v/>
      </c>
      <c r="C195" s="54" t="n"/>
      <c r="D195" s="54" t="n"/>
      <c r="E195" s="54" t="n"/>
      <c r="F195" s="88" t="n"/>
      <c r="G195" s="88" t="n"/>
      <c r="H195" s="88" t="n"/>
      <c r="I195" s="88" t="n"/>
      <c r="J195" s="88" t="n"/>
      <c r="K195" s="88" t="n"/>
      <c r="L195" s="88" t="n"/>
      <c r="M195" s="88" t="n"/>
      <c r="N195" s="88" t="n"/>
      <c r="O195" s="88" t="n"/>
      <c r="P195" s="88" t="n"/>
      <c r="Q195" s="88" t="n"/>
      <c r="R195" s="89">
        <f>IF($E195="","",SUM($F195:$Q195))</f>
        <v/>
      </c>
      <c r="S195" s="90">
        <f>IF($E195="","",SUMIFS(J_Montant,J_Annee,$B195,J_Module,$C195,J_Type,$D195,J_Cat,$E195,J_Statut,"&lt;&gt;Annulé",J_Statut,"&lt;&gt;Prévu"))</f>
        <v/>
      </c>
      <c r="T195" s="90">
        <f>IF($E195="","",IF($D195="Revenu",$S195-$R195,$R195-$S195))</f>
        <v/>
      </c>
      <c r="U195" s="91">
        <f>IF(OR($E195="",$R195=0),"",$S195/$R195)</f>
        <v/>
      </c>
      <c r="V195" s="92" t="n"/>
    </row>
    <row r="196">
      <c r="B196" s="87">
        <f>Annee_Travail</f>
        <v/>
      </c>
      <c r="C196" s="54" t="n"/>
      <c r="D196" s="54" t="n"/>
      <c r="E196" s="54" t="n"/>
      <c r="F196" s="88" t="n"/>
      <c r="G196" s="88" t="n"/>
      <c r="H196" s="88" t="n"/>
      <c r="I196" s="88" t="n"/>
      <c r="J196" s="88" t="n"/>
      <c r="K196" s="88" t="n"/>
      <c r="L196" s="88" t="n"/>
      <c r="M196" s="88" t="n"/>
      <c r="N196" s="88" t="n"/>
      <c r="O196" s="88" t="n"/>
      <c r="P196" s="88" t="n"/>
      <c r="Q196" s="88" t="n"/>
      <c r="R196" s="89">
        <f>IF($E196="","",SUM($F196:$Q196))</f>
        <v/>
      </c>
      <c r="S196" s="90">
        <f>IF($E196="","",SUMIFS(J_Montant,J_Annee,$B196,J_Module,$C196,J_Type,$D196,J_Cat,$E196,J_Statut,"&lt;&gt;Annulé",J_Statut,"&lt;&gt;Prévu"))</f>
        <v/>
      </c>
      <c r="T196" s="90">
        <f>IF($E196="","",IF($D196="Revenu",$S196-$R196,$R196-$S196))</f>
        <v/>
      </c>
      <c r="U196" s="91">
        <f>IF(OR($E196="",$R196=0),"",$S196/$R196)</f>
        <v/>
      </c>
      <c r="V196" s="92" t="n"/>
    </row>
    <row r="197">
      <c r="B197" s="87">
        <f>Annee_Travail</f>
        <v/>
      </c>
      <c r="C197" s="54" t="n"/>
      <c r="D197" s="54" t="n"/>
      <c r="E197" s="54" t="n"/>
      <c r="F197" s="88" t="n"/>
      <c r="G197" s="88" t="n"/>
      <c r="H197" s="88" t="n"/>
      <c r="I197" s="88" t="n"/>
      <c r="J197" s="88" t="n"/>
      <c r="K197" s="88" t="n"/>
      <c r="L197" s="88" t="n"/>
      <c r="M197" s="88" t="n"/>
      <c r="N197" s="88" t="n"/>
      <c r="O197" s="88" t="n"/>
      <c r="P197" s="88" t="n"/>
      <c r="Q197" s="88" t="n"/>
      <c r="R197" s="89">
        <f>IF($E197="","",SUM($F197:$Q197))</f>
        <v/>
      </c>
      <c r="S197" s="90">
        <f>IF($E197="","",SUMIFS(J_Montant,J_Annee,$B197,J_Module,$C197,J_Type,$D197,J_Cat,$E197,J_Statut,"&lt;&gt;Annulé",J_Statut,"&lt;&gt;Prévu"))</f>
        <v/>
      </c>
      <c r="T197" s="90">
        <f>IF($E197="","",IF($D197="Revenu",$S197-$R197,$R197-$S197))</f>
        <v/>
      </c>
      <c r="U197" s="91">
        <f>IF(OR($E197="",$R197=0),"",$S197/$R197)</f>
        <v/>
      </c>
      <c r="V197" s="92" t="n"/>
    </row>
    <row r="198">
      <c r="B198" s="87">
        <f>Annee_Travail</f>
        <v/>
      </c>
      <c r="C198" s="54" t="n"/>
      <c r="D198" s="54" t="n"/>
      <c r="E198" s="54" t="n"/>
      <c r="F198" s="88" t="n"/>
      <c r="G198" s="88" t="n"/>
      <c r="H198" s="88" t="n"/>
      <c r="I198" s="88" t="n"/>
      <c r="J198" s="88" t="n"/>
      <c r="K198" s="88" t="n"/>
      <c r="L198" s="88" t="n"/>
      <c r="M198" s="88" t="n"/>
      <c r="N198" s="88" t="n"/>
      <c r="O198" s="88" t="n"/>
      <c r="P198" s="88" t="n"/>
      <c r="Q198" s="88" t="n"/>
      <c r="R198" s="89">
        <f>IF($E198="","",SUM($F198:$Q198))</f>
        <v/>
      </c>
      <c r="S198" s="90">
        <f>IF($E198="","",SUMIFS(J_Montant,J_Annee,$B198,J_Module,$C198,J_Type,$D198,J_Cat,$E198,J_Statut,"&lt;&gt;Annulé",J_Statut,"&lt;&gt;Prévu"))</f>
        <v/>
      </c>
      <c r="T198" s="90">
        <f>IF($E198="","",IF($D198="Revenu",$S198-$R198,$R198-$S198))</f>
        <v/>
      </c>
      <c r="U198" s="91">
        <f>IF(OR($E198="",$R198=0),"",$S198/$R198)</f>
        <v/>
      </c>
      <c r="V198" s="92" t="n"/>
    </row>
    <row r="199">
      <c r="B199" s="87">
        <f>Annee_Travail</f>
        <v/>
      </c>
      <c r="C199" s="54" t="n"/>
      <c r="D199" s="54" t="n"/>
      <c r="E199" s="54" t="n"/>
      <c r="F199" s="88" t="n"/>
      <c r="G199" s="88" t="n"/>
      <c r="H199" s="88" t="n"/>
      <c r="I199" s="88" t="n"/>
      <c r="J199" s="88" t="n"/>
      <c r="K199" s="88" t="n"/>
      <c r="L199" s="88" t="n"/>
      <c r="M199" s="88" t="n"/>
      <c r="N199" s="88" t="n"/>
      <c r="O199" s="88" t="n"/>
      <c r="P199" s="88" t="n"/>
      <c r="Q199" s="88" t="n"/>
      <c r="R199" s="89">
        <f>IF($E199="","",SUM($F199:$Q199))</f>
        <v/>
      </c>
      <c r="S199" s="90">
        <f>IF($E199="","",SUMIFS(J_Montant,J_Annee,$B199,J_Module,$C199,J_Type,$D199,J_Cat,$E199,J_Statut,"&lt;&gt;Annulé",J_Statut,"&lt;&gt;Prévu"))</f>
        <v/>
      </c>
      <c r="T199" s="90">
        <f>IF($E199="","",IF($D199="Revenu",$S199-$R199,$R199-$S199))</f>
        <v/>
      </c>
      <c r="U199" s="91">
        <f>IF(OR($E199="",$R199=0),"",$S199/$R199)</f>
        <v/>
      </c>
      <c r="V199" s="92" t="n"/>
    </row>
    <row r="200">
      <c r="B200" s="87">
        <f>Annee_Travail</f>
        <v/>
      </c>
      <c r="C200" s="54" t="n"/>
      <c r="D200" s="54" t="n"/>
      <c r="E200" s="54" t="n"/>
      <c r="F200" s="88" t="n"/>
      <c r="G200" s="88" t="n"/>
      <c r="H200" s="88" t="n"/>
      <c r="I200" s="88" t="n"/>
      <c r="J200" s="88" t="n"/>
      <c r="K200" s="88" t="n"/>
      <c r="L200" s="88" t="n"/>
      <c r="M200" s="88" t="n"/>
      <c r="N200" s="88" t="n"/>
      <c r="O200" s="88" t="n"/>
      <c r="P200" s="88" t="n"/>
      <c r="Q200" s="88" t="n"/>
      <c r="R200" s="89">
        <f>IF($E200="","",SUM($F200:$Q200))</f>
        <v/>
      </c>
      <c r="S200" s="90">
        <f>IF($E200="","",SUMIFS(J_Montant,J_Annee,$B200,J_Module,$C200,J_Type,$D200,J_Cat,$E200,J_Statut,"&lt;&gt;Annulé",J_Statut,"&lt;&gt;Prévu"))</f>
        <v/>
      </c>
      <c r="T200" s="90">
        <f>IF($E200="","",IF($D200="Revenu",$S200-$R200,$R200-$S200))</f>
        <v/>
      </c>
      <c r="U200" s="91">
        <f>IF(OR($E200="",$R200=0),"",$S200/$R200)</f>
        <v/>
      </c>
      <c r="V200" s="92" t="n"/>
    </row>
    <row r="201">
      <c r="B201" s="87">
        <f>Annee_Travail</f>
        <v/>
      </c>
      <c r="C201" s="54" t="n"/>
      <c r="D201" s="54" t="n"/>
      <c r="E201" s="54" t="n"/>
      <c r="F201" s="88" t="n"/>
      <c r="G201" s="88" t="n"/>
      <c r="H201" s="88" t="n"/>
      <c r="I201" s="88" t="n"/>
      <c r="J201" s="88" t="n"/>
      <c r="K201" s="88" t="n"/>
      <c r="L201" s="88" t="n"/>
      <c r="M201" s="88" t="n"/>
      <c r="N201" s="88" t="n"/>
      <c r="O201" s="88" t="n"/>
      <c r="P201" s="88" t="n"/>
      <c r="Q201" s="88" t="n"/>
      <c r="R201" s="89">
        <f>IF($E201="","",SUM($F201:$Q201))</f>
        <v/>
      </c>
      <c r="S201" s="90">
        <f>IF($E201="","",SUMIFS(J_Montant,J_Annee,$B201,J_Module,$C201,J_Type,$D201,J_Cat,$E201,J_Statut,"&lt;&gt;Annulé",J_Statut,"&lt;&gt;Prévu"))</f>
        <v/>
      </c>
      <c r="T201" s="90">
        <f>IF($E201="","",IF($D201="Revenu",$S201-$R201,$R201-$S201))</f>
        <v/>
      </c>
      <c r="U201" s="91">
        <f>IF(OR($E201="",$R201=0),"",$S201/$R201)</f>
        <v/>
      </c>
      <c r="V201" s="92" t="n"/>
    </row>
    <row r="202">
      <c r="B202" s="87">
        <f>Annee_Travail</f>
        <v/>
      </c>
      <c r="C202" s="54" t="n"/>
      <c r="D202" s="54" t="n"/>
      <c r="E202" s="54" t="n"/>
      <c r="F202" s="88" t="n"/>
      <c r="G202" s="88" t="n"/>
      <c r="H202" s="88" t="n"/>
      <c r="I202" s="88" t="n"/>
      <c r="J202" s="88" t="n"/>
      <c r="K202" s="88" t="n"/>
      <c r="L202" s="88" t="n"/>
      <c r="M202" s="88" t="n"/>
      <c r="N202" s="88" t="n"/>
      <c r="O202" s="88" t="n"/>
      <c r="P202" s="88" t="n"/>
      <c r="Q202" s="88" t="n"/>
      <c r="R202" s="89">
        <f>IF($E202="","",SUM($F202:$Q202))</f>
        <v/>
      </c>
      <c r="S202" s="90">
        <f>IF($E202="","",SUMIFS(J_Montant,J_Annee,$B202,J_Module,$C202,J_Type,$D202,J_Cat,$E202,J_Statut,"&lt;&gt;Annulé",J_Statut,"&lt;&gt;Prévu"))</f>
        <v/>
      </c>
      <c r="T202" s="90">
        <f>IF($E202="","",IF($D202="Revenu",$S202-$R202,$R202-$S202))</f>
        <v/>
      </c>
      <c r="U202" s="91">
        <f>IF(OR($E202="",$R202=0),"",$S202/$R202)</f>
        <v/>
      </c>
      <c r="V202" s="92" t="n"/>
    </row>
    <row r="203">
      <c r="B203" s="87">
        <f>Annee_Travail</f>
        <v/>
      </c>
      <c r="C203" s="54" t="n"/>
      <c r="D203" s="54" t="n"/>
      <c r="E203" s="54" t="n"/>
      <c r="F203" s="88" t="n"/>
      <c r="G203" s="88" t="n"/>
      <c r="H203" s="88" t="n"/>
      <c r="I203" s="88" t="n"/>
      <c r="J203" s="88" t="n"/>
      <c r="K203" s="88" t="n"/>
      <c r="L203" s="88" t="n"/>
      <c r="M203" s="88" t="n"/>
      <c r="N203" s="88" t="n"/>
      <c r="O203" s="88" t="n"/>
      <c r="P203" s="88" t="n"/>
      <c r="Q203" s="88" t="n"/>
      <c r="R203" s="89">
        <f>IF($E203="","",SUM($F203:$Q203))</f>
        <v/>
      </c>
      <c r="S203" s="90">
        <f>IF($E203="","",SUMIFS(J_Montant,J_Annee,$B203,J_Module,$C203,J_Type,$D203,J_Cat,$E203,J_Statut,"&lt;&gt;Annulé",J_Statut,"&lt;&gt;Prévu"))</f>
        <v/>
      </c>
      <c r="T203" s="90">
        <f>IF($E203="","",IF($D203="Revenu",$S203-$R203,$R203-$S203))</f>
        <v/>
      </c>
      <c r="U203" s="91">
        <f>IF(OR($E203="",$R203=0),"",$S203/$R203)</f>
        <v/>
      </c>
      <c r="V203" s="92" t="n"/>
    </row>
    <row r="204">
      <c r="B204" s="87">
        <f>Annee_Travail</f>
        <v/>
      </c>
      <c r="C204" s="54" t="n"/>
      <c r="D204" s="54" t="n"/>
      <c r="E204" s="54" t="n"/>
      <c r="F204" s="88" t="n"/>
      <c r="G204" s="88" t="n"/>
      <c r="H204" s="88" t="n"/>
      <c r="I204" s="88" t="n"/>
      <c r="J204" s="88" t="n"/>
      <c r="K204" s="88" t="n"/>
      <c r="L204" s="88" t="n"/>
      <c r="M204" s="88" t="n"/>
      <c r="N204" s="88" t="n"/>
      <c r="O204" s="88" t="n"/>
      <c r="P204" s="88" t="n"/>
      <c r="Q204" s="88" t="n"/>
      <c r="R204" s="89">
        <f>IF($E204="","",SUM($F204:$Q204))</f>
        <v/>
      </c>
      <c r="S204" s="90">
        <f>IF($E204="","",SUMIFS(J_Montant,J_Annee,$B204,J_Module,$C204,J_Type,$D204,J_Cat,$E204,J_Statut,"&lt;&gt;Annulé",J_Statut,"&lt;&gt;Prévu"))</f>
        <v/>
      </c>
      <c r="T204" s="90">
        <f>IF($E204="","",IF($D204="Revenu",$S204-$R204,$R204-$S204))</f>
        <v/>
      </c>
      <c r="U204" s="91">
        <f>IF(OR($E204="",$R204=0),"",$S204/$R204)</f>
        <v/>
      </c>
      <c r="V204" s="92" t="n"/>
    </row>
    <row r="205">
      <c r="B205" s="87">
        <f>Annee_Travail</f>
        <v/>
      </c>
      <c r="C205" s="54" t="n"/>
      <c r="D205" s="54" t="n"/>
      <c r="E205" s="54" t="n"/>
      <c r="F205" s="88" t="n"/>
      <c r="G205" s="88" t="n"/>
      <c r="H205" s="88" t="n"/>
      <c r="I205" s="88" t="n"/>
      <c r="J205" s="88" t="n"/>
      <c r="K205" s="88" t="n"/>
      <c r="L205" s="88" t="n"/>
      <c r="M205" s="88" t="n"/>
      <c r="N205" s="88" t="n"/>
      <c r="O205" s="88" t="n"/>
      <c r="P205" s="88" t="n"/>
      <c r="Q205" s="88" t="n"/>
      <c r="R205" s="89">
        <f>IF($E205="","",SUM($F205:$Q205))</f>
        <v/>
      </c>
      <c r="S205" s="90">
        <f>IF($E205="","",SUMIFS(J_Montant,J_Annee,$B205,J_Module,$C205,J_Type,$D205,J_Cat,$E205,J_Statut,"&lt;&gt;Annulé",J_Statut,"&lt;&gt;Prévu"))</f>
        <v/>
      </c>
      <c r="T205" s="90">
        <f>IF($E205="","",IF($D205="Revenu",$S205-$R205,$R205-$S205))</f>
        <v/>
      </c>
      <c r="U205" s="91">
        <f>IF(OR($E205="",$R205=0),"",$S205/$R205)</f>
        <v/>
      </c>
      <c r="V205" s="92" t="n"/>
    </row>
    <row r="206">
      <c r="B206" s="87">
        <f>Annee_Travail</f>
        <v/>
      </c>
      <c r="C206" s="54" t="n"/>
      <c r="D206" s="54" t="n"/>
      <c r="E206" s="54" t="n"/>
      <c r="F206" s="88" t="n"/>
      <c r="G206" s="88" t="n"/>
      <c r="H206" s="88" t="n"/>
      <c r="I206" s="88" t="n"/>
      <c r="J206" s="88" t="n"/>
      <c r="K206" s="88" t="n"/>
      <c r="L206" s="88" t="n"/>
      <c r="M206" s="88" t="n"/>
      <c r="N206" s="88" t="n"/>
      <c r="O206" s="88" t="n"/>
      <c r="P206" s="88" t="n"/>
      <c r="Q206" s="88" t="n"/>
      <c r="R206" s="89">
        <f>IF($E206="","",SUM($F206:$Q206))</f>
        <v/>
      </c>
      <c r="S206" s="90">
        <f>IF($E206="","",SUMIFS(J_Montant,J_Annee,$B206,J_Module,$C206,J_Type,$D206,J_Cat,$E206,J_Statut,"&lt;&gt;Annulé",J_Statut,"&lt;&gt;Prévu"))</f>
        <v/>
      </c>
      <c r="T206" s="90">
        <f>IF($E206="","",IF($D206="Revenu",$S206-$R206,$R206-$S206))</f>
        <v/>
      </c>
      <c r="U206" s="91">
        <f>IF(OR($E206="",$R206=0),"",$S206/$R206)</f>
        <v/>
      </c>
      <c r="V206" s="92" t="n"/>
    </row>
    <row r="207">
      <c r="B207" s="87">
        <f>Annee_Travail</f>
        <v/>
      </c>
      <c r="C207" s="54" t="n"/>
      <c r="D207" s="54" t="n"/>
      <c r="E207" s="54" t="n"/>
      <c r="F207" s="88" t="n"/>
      <c r="G207" s="88" t="n"/>
      <c r="H207" s="88" t="n"/>
      <c r="I207" s="88" t="n"/>
      <c r="J207" s="88" t="n"/>
      <c r="K207" s="88" t="n"/>
      <c r="L207" s="88" t="n"/>
      <c r="M207" s="88" t="n"/>
      <c r="N207" s="88" t="n"/>
      <c r="O207" s="88" t="n"/>
      <c r="P207" s="88" t="n"/>
      <c r="Q207" s="88" t="n"/>
      <c r="R207" s="89">
        <f>IF($E207="","",SUM($F207:$Q207))</f>
        <v/>
      </c>
      <c r="S207" s="90">
        <f>IF($E207="","",SUMIFS(J_Montant,J_Annee,$B207,J_Module,$C207,J_Type,$D207,J_Cat,$E207,J_Statut,"&lt;&gt;Annulé",J_Statut,"&lt;&gt;Prévu"))</f>
        <v/>
      </c>
      <c r="T207" s="90">
        <f>IF($E207="","",IF($D207="Revenu",$S207-$R207,$R207-$S207))</f>
        <v/>
      </c>
      <c r="U207" s="91">
        <f>IF(OR($E207="",$R207=0),"",$S207/$R207)</f>
        <v/>
      </c>
      <c r="V207" s="92" t="n"/>
    </row>
    <row r="208">
      <c r="B208" s="87">
        <f>Annee_Travail</f>
        <v/>
      </c>
      <c r="C208" s="54" t="n"/>
      <c r="D208" s="54" t="n"/>
      <c r="E208" s="54" t="n"/>
      <c r="F208" s="88" t="n"/>
      <c r="G208" s="88" t="n"/>
      <c r="H208" s="88" t="n"/>
      <c r="I208" s="88" t="n"/>
      <c r="J208" s="88" t="n"/>
      <c r="K208" s="88" t="n"/>
      <c r="L208" s="88" t="n"/>
      <c r="M208" s="88" t="n"/>
      <c r="N208" s="88" t="n"/>
      <c r="O208" s="88" t="n"/>
      <c r="P208" s="88" t="n"/>
      <c r="Q208" s="88" t="n"/>
      <c r="R208" s="89">
        <f>IF($E208="","",SUM($F208:$Q208))</f>
        <v/>
      </c>
      <c r="S208" s="90">
        <f>IF($E208="","",SUMIFS(J_Montant,J_Annee,$B208,J_Module,$C208,J_Type,$D208,J_Cat,$E208,J_Statut,"&lt;&gt;Annulé",J_Statut,"&lt;&gt;Prévu"))</f>
        <v/>
      </c>
      <c r="T208" s="90">
        <f>IF($E208="","",IF($D208="Revenu",$S208-$R208,$R208-$S208))</f>
        <v/>
      </c>
      <c r="U208" s="91">
        <f>IF(OR($E208="",$R208=0),"",$S208/$R208)</f>
        <v/>
      </c>
      <c r="V208" s="92" t="n"/>
    </row>
    <row r="209">
      <c r="B209" s="87">
        <f>Annee_Travail</f>
        <v/>
      </c>
      <c r="C209" s="54" t="n"/>
      <c r="D209" s="54" t="n"/>
      <c r="E209" s="54" t="n"/>
      <c r="F209" s="88" t="n"/>
      <c r="G209" s="88" t="n"/>
      <c r="H209" s="88" t="n"/>
      <c r="I209" s="88" t="n"/>
      <c r="J209" s="88" t="n"/>
      <c r="K209" s="88" t="n"/>
      <c r="L209" s="88" t="n"/>
      <c r="M209" s="88" t="n"/>
      <c r="N209" s="88" t="n"/>
      <c r="O209" s="88" t="n"/>
      <c r="P209" s="88" t="n"/>
      <c r="Q209" s="88" t="n"/>
      <c r="R209" s="89">
        <f>IF($E209="","",SUM($F209:$Q209))</f>
        <v/>
      </c>
      <c r="S209" s="90">
        <f>IF($E209="","",SUMIFS(J_Montant,J_Annee,$B209,J_Module,$C209,J_Type,$D209,J_Cat,$E209,J_Statut,"&lt;&gt;Annulé",J_Statut,"&lt;&gt;Prévu"))</f>
        <v/>
      </c>
      <c r="T209" s="90">
        <f>IF($E209="","",IF($D209="Revenu",$S209-$R209,$R209-$S209))</f>
        <v/>
      </c>
      <c r="U209" s="91">
        <f>IF(OR($E209="",$R209=0),"",$S209/$R209)</f>
        <v/>
      </c>
      <c r="V209" s="92" t="n"/>
    </row>
    <row r="210">
      <c r="B210" s="87">
        <f>Annee_Travail</f>
        <v/>
      </c>
      <c r="C210" s="54" t="n"/>
      <c r="D210" s="54" t="n"/>
      <c r="E210" s="54" t="n"/>
      <c r="F210" s="88" t="n"/>
      <c r="G210" s="88" t="n"/>
      <c r="H210" s="88" t="n"/>
      <c r="I210" s="88" t="n"/>
      <c r="J210" s="88" t="n"/>
      <c r="K210" s="88" t="n"/>
      <c r="L210" s="88" t="n"/>
      <c r="M210" s="88" t="n"/>
      <c r="N210" s="88" t="n"/>
      <c r="O210" s="88" t="n"/>
      <c r="P210" s="88" t="n"/>
      <c r="Q210" s="88" t="n"/>
      <c r="R210" s="89">
        <f>IF($E210="","",SUM($F210:$Q210))</f>
        <v/>
      </c>
      <c r="S210" s="90">
        <f>IF($E210="","",SUMIFS(J_Montant,J_Annee,$B210,J_Module,$C210,J_Type,$D210,J_Cat,$E210,J_Statut,"&lt;&gt;Annulé",J_Statut,"&lt;&gt;Prévu"))</f>
        <v/>
      </c>
      <c r="T210" s="90">
        <f>IF($E210="","",IF($D210="Revenu",$S210-$R210,$R210-$S210))</f>
        <v/>
      </c>
      <c r="U210" s="91">
        <f>IF(OR($E210="",$R210=0),"",$S210/$R210)</f>
        <v/>
      </c>
      <c r="V210" s="92" t="n"/>
    </row>
    <row r="211">
      <c r="B211" s="87">
        <f>Annee_Travail</f>
        <v/>
      </c>
      <c r="C211" s="54" t="n"/>
      <c r="D211" s="54" t="n"/>
      <c r="E211" s="54" t="n"/>
      <c r="F211" s="88" t="n"/>
      <c r="G211" s="88" t="n"/>
      <c r="H211" s="88" t="n"/>
      <c r="I211" s="88" t="n"/>
      <c r="J211" s="88" t="n"/>
      <c r="K211" s="88" t="n"/>
      <c r="L211" s="88" t="n"/>
      <c r="M211" s="88" t="n"/>
      <c r="N211" s="88" t="n"/>
      <c r="O211" s="88" t="n"/>
      <c r="P211" s="88" t="n"/>
      <c r="Q211" s="88" t="n"/>
      <c r="R211" s="89">
        <f>IF($E211="","",SUM($F211:$Q211))</f>
        <v/>
      </c>
      <c r="S211" s="90">
        <f>IF($E211="","",SUMIFS(J_Montant,J_Annee,$B211,J_Module,$C211,J_Type,$D211,J_Cat,$E211,J_Statut,"&lt;&gt;Annulé",J_Statut,"&lt;&gt;Prévu"))</f>
        <v/>
      </c>
      <c r="T211" s="90">
        <f>IF($E211="","",IF($D211="Revenu",$S211-$R211,$R211-$S211))</f>
        <v/>
      </c>
      <c r="U211" s="91">
        <f>IF(OR($E211="",$R211=0),"",$S211/$R211)</f>
        <v/>
      </c>
      <c r="V211" s="92" t="n"/>
    </row>
  </sheetData>
  <sheetProtection selectLockedCells="0" selectUnlockedCells="0" sheet="1" objects="1" insertRows="1" insertHyperlinks="1" autoFilter="0" scenarios="1" formatColumns="0" deleteColumns="1" insertColumns="1" pivotTables="1" deleteRows="1" formatCells="0" formatRows="0" sort="0" password="8708"/>
  <autoFilter ref="B11:V211"/>
  <mergeCells count="24">
    <mergeCell ref="B2:V2"/>
    <mergeCell ref="B8:D8"/>
    <mergeCell ref="E9:G9"/>
    <mergeCell ref="N8:P8"/>
    <mergeCell ref="B1:V1"/>
    <mergeCell ref="H7:J7"/>
    <mergeCell ref="K8:M8"/>
    <mergeCell ref="B9:D9"/>
    <mergeCell ref="N9:P9"/>
    <mergeCell ref="H3:J3"/>
    <mergeCell ref="E7:G7"/>
    <mergeCell ref="K7:M7"/>
    <mergeCell ref="B5:V5"/>
    <mergeCell ref="H8:J8"/>
    <mergeCell ref="E3:G3"/>
    <mergeCell ref="K3:M3"/>
    <mergeCell ref="B7:D7"/>
    <mergeCell ref="Q3:S3"/>
    <mergeCell ref="N7:P7"/>
    <mergeCell ref="B3:D3"/>
    <mergeCell ref="K9:M9"/>
    <mergeCell ref="E8:G8"/>
    <mergeCell ref="H9:J9"/>
    <mergeCell ref="N3:P3"/>
  </mergeCells>
  <conditionalFormatting sqref="B8:D8">
    <cfRule type="expression" priority="1" dxfId="93" stopIfTrue="1">
      <formula>Devise_Base="XOF"</formula>
    </cfRule>
    <cfRule type="expression" priority="2" dxfId="94" stopIfTrue="1">
      <formula>Devise_Base="XAF"</formula>
    </cfRule>
    <cfRule type="expression" priority="3" dxfId="95" stopIfTrue="1">
      <formula>Devise_Base="EUR"</formula>
    </cfRule>
    <cfRule type="expression" priority="4" dxfId="96" stopIfTrue="1">
      <formula>Devise_Base="USD"</formula>
    </cfRule>
    <cfRule type="expression" priority="5" dxfId="97" stopIfTrue="1">
      <formula>Devise_Base="GBP"</formula>
    </cfRule>
    <cfRule type="expression" priority="6" dxfId="98" stopIfTrue="1">
      <formula>Devise_Base="CAD"</formula>
    </cfRule>
    <cfRule type="expression" priority="7" dxfId="99" stopIfTrue="1">
      <formula>Devise_Base="CHF"</formula>
    </cfRule>
    <cfRule type="expression" priority="8" dxfId="100" stopIfTrue="1">
      <formula>Devise_Base="MAD"</formula>
    </cfRule>
    <cfRule type="expression" priority="9" dxfId="101" stopIfTrue="1">
      <formula>Devise_Base="NGN"</formula>
    </cfRule>
    <cfRule type="expression" priority="10" dxfId="102" stopIfTrue="1">
      <formula>Devise_Base="GHS"</formula>
    </cfRule>
    <cfRule type="expression" priority="11" dxfId="103" stopIfTrue="1">
      <formula>Devise_Base="CDF"</formula>
    </cfRule>
    <cfRule type="expression" priority="12" dxfId="104" stopIfTrue="1">
      <formula>Devise_Base="ZAR"</formula>
    </cfRule>
    <cfRule type="expression" priority="13" dxfId="105" stopIfTrue="1">
      <formula>Devise_Base="AED"</formula>
    </cfRule>
    <cfRule type="expression" priority="14" dxfId="106" stopIfTrue="1">
      <formula>Devise_Base="MRU"</formula>
    </cfRule>
    <cfRule type="expression" priority="15" dxfId="107" stopIfTrue="1">
      <formula>Devise_Base="GNF"</formula>
    </cfRule>
  </conditionalFormatting>
  <conditionalFormatting sqref="E8:G8">
    <cfRule type="expression" priority="16" dxfId="108" stopIfTrue="1">
      <formula>Devise_Base="XOF"</formula>
    </cfRule>
    <cfRule type="expression" priority="17" dxfId="109" stopIfTrue="1">
      <formula>Devise_Base="XAF"</formula>
    </cfRule>
    <cfRule type="expression" priority="18" dxfId="110" stopIfTrue="1">
      <formula>Devise_Base="EUR"</formula>
    </cfRule>
    <cfRule type="expression" priority="19" dxfId="111" stopIfTrue="1">
      <formula>Devise_Base="USD"</formula>
    </cfRule>
    <cfRule type="expression" priority="20" dxfId="112" stopIfTrue="1">
      <formula>Devise_Base="GBP"</formula>
    </cfRule>
    <cfRule type="expression" priority="21" dxfId="113" stopIfTrue="1">
      <formula>Devise_Base="CAD"</formula>
    </cfRule>
    <cfRule type="expression" priority="22" dxfId="114" stopIfTrue="1">
      <formula>Devise_Base="CHF"</formula>
    </cfRule>
    <cfRule type="expression" priority="23" dxfId="115" stopIfTrue="1">
      <formula>Devise_Base="MAD"</formula>
    </cfRule>
    <cfRule type="expression" priority="24" dxfId="116" stopIfTrue="1">
      <formula>Devise_Base="NGN"</formula>
    </cfRule>
    <cfRule type="expression" priority="25" dxfId="117" stopIfTrue="1">
      <formula>Devise_Base="GHS"</formula>
    </cfRule>
    <cfRule type="expression" priority="26" dxfId="118" stopIfTrue="1">
      <formula>Devise_Base="CDF"</formula>
    </cfRule>
    <cfRule type="expression" priority="27" dxfId="119" stopIfTrue="1">
      <formula>Devise_Base="ZAR"</formula>
    </cfRule>
    <cfRule type="expression" priority="28" dxfId="120" stopIfTrue="1">
      <formula>Devise_Base="AED"</formula>
    </cfRule>
    <cfRule type="expression" priority="29" dxfId="121" stopIfTrue="1">
      <formula>Devise_Base="MRU"</formula>
    </cfRule>
    <cfRule type="expression" priority="30" dxfId="122" stopIfTrue="1">
      <formula>Devise_Base="GNF"</formula>
    </cfRule>
  </conditionalFormatting>
  <conditionalFormatting sqref="H8:J8">
    <cfRule type="expression" priority="31" dxfId="123" stopIfTrue="1">
      <formula>Devise_Base="XOF"</formula>
    </cfRule>
    <cfRule type="expression" priority="32" dxfId="124" stopIfTrue="1">
      <formula>Devise_Base="XAF"</formula>
    </cfRule>
    <cfRule type="expression" priority="33" dxfId="125" stopIfTrue="1">
      <formula>Devise_Base="EUR"</formula>
    </cfRule>
    <cfRule type="expression" priority="34" dxfId="126" stopIfTrue="1">
      <formula>Devise_Base="USD"</formula>
    </cfRule>
    <cfRule type="expression" priority="35" dxfId="127" stopIfTrue="1">
      <formula>Devise_Base="GBP"</formula>
    </cfRule>
    <cfRule type="expression" priority="36" dxfId="128" stopIfTrue="1">
      <formula>Devise_Base="CAD"</formula>
    </cfRule>
    <cfRule type="expression" priority="37" dxfId="129" stopIfTrue="1">
      <formula>Devise_Base="CHF"</formula>
    </cfRule>
    <cfRule type="expression" priority="38" dxfId="130" stopIfTrue="1">
      <formula>Devise_Base="MAD"</formula>
    </cfRule>
    <cfRule type="expression" priority="39" dxfId="131" stopIfTrue="1">
      <formula>Devise_Base="NGN"</formula>
    </cfRule>
    <cfRule type="expression" priority="40" dxfId="132" stopIfTrue="1">
      <formula>Devise_Base="GHS"</formula>
    </cfRule>
    <cfRule type="expression" priority="41" dxfId="133" stopIfTrue="1">
      <formula>Devise_Base="CDF"</formula>
    </cfRule>
    <cfRule type="expression" priority="42" dxfId="134" stopIfTrue="1">
      <formula>Devise_Base="ZAR"</formula>
    </cfRule>
    <cfRule type="expression" priority="43" dxfId="135" stopIfTrue="1">
      <formula>Devise_Base="AED"</formula>
    </cfRule>
    <cfRule type="expression" priority="44" dxfId="136" stopIfTrue="1">
      <formula>Devise_Base="MRU"</formula>
    </cfRule>
    <cfRule type="expression" priority="45" dxfId="137" stopIfTrue="1">
      <formula>Devise_Base="GNF"</formula>
    </cfRule>
  </conditionalFormatting>
  <conditionalFormatting sqref="K8:M8">
    <cfRule type="expression" priority="46" dxfId="138" stopIfTrue="1">
      <formula>Devise_Base="XOF"</formula>
    </cfRule>
    <cfRule type="expression" priority="47" dxfId="139" stopIfTrue="1">
      <formula>Devise_Base="XAF"</formula>
    </cfRule>
    <cfRule type="expression" priority="48" dxfId="140" stopIfTrue="1">
      <formula>Devise_Base="EUR"</formula>
    </cfRule>
    <cfRule type="expression" priority="49" dxfId="141" stopIfTrue="1">
      <formula>Devise_Base="USD"</formula>
    </cfRule>
    <cfRule type="expression" priority="50" dxfId="142" stopIfTrue="1">
      <formula>Devise_Base="GBP"</formula>
    </cfRule>
    <cfRule type="expression" priority="51" dxfId="143" stopIfTrue="1">
      <formula>Devise_Base="CAD"</formula>
    </cfRule>
    <cfRule type="expression" priority="52" dxfId="144" stopIfTrue="1">
      <formula>Devise_Base="CHF"</formula>
    </cfRule>
    <cfRule type="expression" priority="53" dxfId="145" stopIfTrue="1">
      <formula>Devise_Base="MAD"</formula>
    </cfRule>
    <cfRule type="expression" priority="54" dxfId="146" stopIfTrue="1">
      <formula>Devise_Base="NGN"</formula>
    </cfRule>
    <cfRule type="expression" priority="55" dxfId="147" stopIfTrue="1">
      <formula>Devise_Base="GHS"</formula>
    </cfRule>
    <cfRule type="expression" priority="56" dxfId="148" stopIfTrue="1">
      <formula>Devise_Base="CDF"</formula>
    </cfRule>
    <cfRule type="expression" priority="57" dxfId="149" stopIfTrue="1">
      <formula>Devise_Base="ZAR"</formula>
    </cfRule>
    <cfRule type="expression" priority="58" dxfId="150" stopIfTrue="1">
      <formula>Devise_Base="AED"</formula>
    </cfRule>
    <cfRule type="expression" priority="59" dxfId="151" stopIfTrue="1">
      <formula>Devise_Base="MRU"</formula>
    </cfRule>
    <cfRule type="expression" priority="60" dxfId="152" stopIfTrue="1">
      <formula>Devise_Base="GNF"</formula>
    </cfRule>
  </conditionalFormatting>
  <conditionalFormatting sqref="B12:V211">
    <cfRule type="expression" priority="61" dxfId="75" stopIfTrue="0">
      <formula>MOD(ROW()-12,2)=1</formula>
    </cfRule>
  </conditionalFormatting>
  <conditionalFormatting sqref="T12:T211">
    <cfRule type="cellIs" priority="62" operator="greaterThan" dxfId="76">
      <formula>0</formula>
    </cfRule>
    <cfRule type="cellIs" priority="63" operator="lessThan" dxfId="77">
      <formula>0</formula>
    </cfRule>
  </conditionalFormatting>
  <conditionalFormatting sqref="U12:U211">
    <cfRule type="dataBar" priority="64">
      <dataBar showValue="1">
        <cfvo type="num" val="0"/>
        <cfvo type="num" val="1"/>
        <color rgb="004A5C8C"/>
      </dataBar>
    </cfRule>
  </conditionalFormatting>
  <conditionalFormatting sqref="F12:T211">
    <cfRule type="expression" priority="65" dxfId="153" stopIfTrue="1">
      <formula>Devise_Base="XOF"</formula>
    </cfRule>
    <cfRule type="expression" priority="66" dxfId="154" stopIfTrue="1">
      <formula>Devise_Base="XAF"</formula>
    </cfRule>
    <cfRule type="expression" priority="67" dxfId="155" stopIfTrue="1">
      <formula>Devise_Base="EUR"</formula>
    </cfRule>
    <cfRule type="expression" priority="68" dxfId="156" stopIfTrue="1">
      <formula>Devise_Base="USD"</formula>
    </cfRule>
    <cfRule type="expression" priority="69" dxfId="157" stopIfTrue="1">
      <formula>Devise_Base="GBP"</formula>
    </cfRule>
    <cfRule type="expression" priority="70" dxfId="158" stopIfTrue="1">
      <formula>Devise_Base="CAD"</formula>
    </cfRule>
    <cfRule type="expression" priority="71" dxfId="159" stopIfTrue="1">
      <formula>Devise_Base="CHF"</formula>
    </cfRule>
    <cfRule type="expression" priority="72" dxfId="160" stopIfTrue="1">
      <formula>Devise_Base="MAD"</formula>
    </cfRule>
    <cfRule type="expression" priority="73" dxfId="161" stopIfTrue="1">
      <formula>Devise_Base="NGN"</formula>
    </cfRule>
    <cfRule type="expression" priority="74" dxfId="162" stopIfTrue="1">
      <formula>Devise_Base="GHS"</formula>
    </cfRule>
    <cfRule type="expression" priority="75" dxfId="163" stopIfTrue="1">
      <formula>Devise_Base="CDF"</formula>
    </cfRule>
    <cfRule type="expression" priority="76" dxfId="164" stopIfTrue="1">
      <formula>Devise_Base="ZAR"</formula>
    </cfRule>
    <cfRule type="expression" priority="77" dxfId="165" stopIfTrue="1">
      <formula>Devise_Base="AED"</formula>
    </cfRule>
    <cfRule type="expression" priority="78" dxfId="166" stopIfTrue="1">
      <formula>Devise_Base="MRU"</formula>
    </cfRule>
    <cfRule type="expression" priority="79" dxfId="167" stopIfTrue="1">
      <formula>Devise_Base="GNF"</formula>
    </cfRule>
  </conditionalFormatting>
  <dataValidations count="3">
    <dataValidation sqref="C12:C211" showDropDown="0" showInputMessage="0" showErrorMessage="0" allowBlank="1" type="list">
      <formula1>Liste_Modules</formula1>
    </dataValidation>
    <dataValidation sqref="D12:D211" showDropDown="0" showInputMessage="0" showErrorMessage="0" allowBlank="1" type="list">
      <formula1>Liste_Types</formula1>
    </dataValidation>
    <dataValidation sqref="E12:E211" showDropDown="0" showInputMessage="0" showErrorMessage="0" allowBlank="1" type="list">
      <formula1>INDIRECT("Cat_"&amp;IFERROR(MATCH($C12,Liste_Modules,0),1))</formula1>
    </dataValidation>
  </dataValidations>
  <hyperlinks>
    <hyperlink ref="B3" location="'Accueil'!A1"/>
    <hyperlink ref="E3" location="'Paramètres'!A1"/>
    <hyperlink ref="K3" location="'Journal'!A1"/>
    <hyperlink ref="N3" location="'Tableau de Bord'!A1"/>
    <hyperlink ref="Q3" location="'Budget 12 Mois'!A1"/>
  </hyperlinks>
  <pageMargins left="0.75" right="0.75" top="1" bottom="1" header="0.5" footer="0.5"/>
</worksheet>
</file>

<file path=xl/worksheets/sheet4.xml><?xml version="1.0" encoding="utf-8"?>
<worksheet xmlns="http://schemas.openxmlformats.org/spreadsheetml/2006/main">
  <sheetPr>
    <tabColor rgb="002E5480"/>
    <outlinePr summaryBelow="1" summaryRight="1"/>
    <pageSetUpPr/>
  </sheetPr>
  <dimension ref="A1:W3012"/>
  <sheetViews>
    <sheetView showGridLines="0" zoomScale="85" workbookViewId="0">
      <pane xSplit="2" ySplit="12" topLeftCell="C13" activePane="bottomRight" state="frozen"/>
      <selection pane="topRight"/>
      <selection pane="bottomLeft"/>
      <selection pane="bottomRight" activeCell="A1" sqref="A1"/>
    </sheetView>
  </sheetViews>
  <sheetFormatPr baseColWidth="8" defaultRowHeight="15"/>
  <cols>
    <col width="2" customWidth="1" min="1" max="1"/>
    <col width="12" customWidth="1" min="2" max="2"/>
    <col width="20" customWidth="1" min="3" max="3"/>
    <col width="13" customWidth="1" min="4" max="4"/>
    <col width="28" customWidth="1" min="5" max="5"/>
    <col width="30" customWidth="1" min="6" max="6"/>
    <col width="14" customWidth="1" min="7" max="7"/>
    <col width="22" customWidth="1" min="8" max="8"/>
    <col width="14" customWidth="1" min="9" max="9"/>
    <col width="14" customWidth="1" min="10" max="10"/>
    <col width="14" customWidth="1" min="11" max="11"/>
    <col width="16" customWidth="1" min="12" max="12"/>
    <col width="8" customWidth="1" min="13" max="13"/>
    <col width="17" customWidth="1" min="14" max="14"/>
    <col width="22" customWidth="1" min="15" max="15"/>
    <col width="13" customWidth="1" min="16" max="16"/>
    <col width="11" customWidth="1" min="17" max="17"/>
    <col width="10" customWidth="1" min="18" max="18"/>
    <col width="26" customWidth="1" min="19" max="19"/>
    <col outlineLevel="1" width="10" customWidth="1" min="20" max="23"/>
  </cols>
  <sheetData>
    <row r="1" ht="52" customHeight="1">
      <c r="B1" s="46" t="inlineStr">
        <is>
          <t>BUDGET SMART — JOURNAL QUOTIDIEN</t>
        </is>
      </c>
      <c r="C1" s="47" t="n"/>
      <c r="D1" s="47" t="n"/>
      <c r="E1" s="47" t="n"/>
      <c r="F1" s="47" t="n"/>
      <c r="G1" s="47" t="n"/>
      <c r="H1" s="47" t="n"/>
      <c r="I1" s="47" t="n"/>
      <c r="J1" s="47" t="n"/>
      <c r="K1" s="47" t="n"/>
      <c r="L1" s="47" t="n"/>
      <c r="M1" s="47" t="n"/>
      <c r="N1" s="47" t="n"/>
      <c r="O1" s="47" t="n"/>
      <c r="P1" s="47" t="n"/>
      <c r="Q1" s="47" t="n"/>
      <c r="R1" s="47" t="n"/>
      <c r="S1" s="47" t="n"/>
      <c r="T1" s="47" t="n"/>
      <c r="U1" s="47" t="n"/>
      <c r="V1" s="47" t="n"/>
      <c r="W1" s="47" t="n"/>
    </row>
    <row r="2" ht="20" customHeight="1">
      <c r="B2" s="48" t="inlineStr">
        <is>
          <t>Une ligne par opération. Vous ne remplissez que le premier bloc ; le sens, l'entrée, la sortie et le solde se calculent seuls.</t>
        </is>
      </c>
      <c r="C2" s="7" t="n"/>
      <c r="D2" s="7" t="n"/>
      <c r="E2" s="7" t="n"/>
      <c r="F2" s="7" t="n"/>
      <c r="G2" s="7" t="n"/>
      <c r="H2" s="7" t="n"/>
      <c r="I2" s="7" t="n"/>
      <c r="J2" s="7" t="n"/>
      <c r="K2" s="7" t="n"/>
      <c r="L2" s="7" t="n"/>
      <c r="M2" s="7" t="n"/>
      <c r="N2" s="7" t="n"/>
      <c r="O2" s="7" t="n"/>
      <c r="P2" s="7" t="n"/>
      <c r="Q2" s="7" t="n"/>
      <c r="R2" s="7" t="n"/>
      <c r="S2" s="7" t="n"/>
      <c r="T2" s="7" t="n"/>
      <c r="U2" s="7" t="n"/>
      <c r="V2" s="7" t="n"/>
      <c r="W2" s="7" t="n"/>
    </row>
    <row r="3" ht="20" customHeight="1">
      <c r="B3" s="49" t="inlineStr">
        <is>
          <t>⌂  ACCUEIL</t>
        </is>
      </c>
      <c r="C3" s="42" t="n"/>
      <c r="D3" s="42" t="n"/>
      <c r="E3" s="49" t="inlineStr">
        <is>
          <t>①  MES INFOS</t>
        </is>
      </c>
      <c r="F3" s="42" t="n"/>
      <c r="G3" s="42" t="n"/>
      <c r="H3" s="49" t="inlineStr">
        <is>
          <t>②  ESTIMATION</t>
        </is>
      </c>
      <c r="I3" s="42" t="n"/>
      <c r="J3" s="42" t="n"/>
      <c r="K3" s="50" t="inlineStr">
        <is>
          <t>③  BUDGET SMART</t>
        </is>
      </c>
      <c r="L3" s="51" t="n"/>
      <c r="M3" s="51" t="n"/>
      <c r="N3" s="49" t="inlineStr">
        <is>
          <t>TABLEAU DE BORD</t>
        </is>
      </c>
      <c r="O3" s="42" t="n"/>
      <c r="P3" s="42" t="n"/>
      <c r="Q3" s="49" t="inlineStr">
        <is>
          <t>BUDGET 12 MOIS</t>
        </is>
      </c>
      <c r="R3" s="42" t="n"/>
      <c r="S3" s="42" t="n"/>
    </row>
    <row r="4" ht="6" customHeight="1"/>
    <row r="5" ht="32" customHeight="1">
      <c r="B5" s="41" t="inlineStr">
        <is>
          <t>Saisissez toujours un montant POSITIF dans « Montant ». C'est la colonne « Type » qui dit si l'argent entre ou sort : le classeur remplit alors tout seul les colonnes ENTRÉE, SORTIE et SOLDE CUMULÉ. Statut « Prévu » = engagement futur, compté à part. Les cases jaunes sont les seules à remplir.</t>
        </is>
      </c>
      <c r="C5" s="42" t="n"/>
      <c r="D5" s="42" t="n"/>
      <c r="E5" s="42" t="n"/>
      <c r="F5" s="42" t="n"/>
      <c r="G5" s="42" t="n"/>
      <c r="H5" s="42" t="n"/>
      <c r="I5" s="42" t="n"/>
      <c r="J5" s="42" t="n"/>
      <c r="K5" s="42" t="n"/>
      <c r="L5" s="42" t="n"/>
      <c r="M5" s="42" t="n"/>
      <c r="N5" s="42" t="n"/>
      <c r="O5" s="42" t="n"/>
      <c r="P5" s="42" t="n"/>
      <c r="Q5" s="42" t="n"/>
      <c r="R5" s="42" t="n"/>
      <c r="S5" s="42" t="n"/>
      <c r="T5" s="42" t="n"/>
      <c r="U5" s="42" t="n"/>
      <c r="V5" s="42" t="n"/>
      <c r="W5" s="42" t="n"/>
    </row>
    <row r="6"/>
    <row r="7" ht="18" customHeight="1">
      <c r="B7" s="93" t="inlineStr">
        <is>
          <t>ÉCRITURES SAISIES</t>
        </is>
      </c>
      <c r="C7" s="94" t="n"/>
      <c r="D7" s="95" t="n"/>
      <c r="E7" s="31" t="inlineStr">
        <is>
          <t>TOTAL DES ENTRÉES</t>
        </is>
      </c>
      <c r="F7" s="74" t="n"/>
      <c r="G7" s="32" t="n"/>
      <c r="H7" s="29" t="inlineStr">
        <is>
          <t>TOTAL DES SORTIES</t>
        </is>
      </c>
      <c r="I7" s="75" t="n"/>
      <c r="J7" s="30" t="n"/>
      <c r="K7" s="27" t="inlineStr">
        <is>
          <t>SOLDE DE L'ANNÉE</t>
        </is>
      </c>
      <c r="L7" s="79" t="n"/>
      <c r="M7" s="28" t="n"/>
      <c r="N7" s="76" t="inlineStr">
        <is>
          <t>MIS DE CÔTÉ</t>
        </is>
      </c>
      <c r="O7" s="77" t="n"/>
      <c r="P7" s="78" t="n"/>
      <c r="Q7" s="80" t="inlineStr">
        <is>
          <t>EN ATTENTE / PRÉVU</t>
        </is>
      </c>
      <c r="R7" s="81" t="n"/>
      <c r="S7" s="82" t="n"/>
    </row>
    <row r="8" ht="30" customHeight="1">
      <c r="B8" s="96">
        <f>COUNT(J_Date)</f>
        <v/>
      </c>
      <c r="C8" s="83" t="n"/>
      <c r="D8" s="34" t="n"/>
      <c r="E8" s="36">
        <f>SUMIFS(J_Montant,J_Annee,Annee_Travail,J_Type,"Revenu",J_Statut,"&lt;&gt;Annulé",J_Statut,"&lt;&gt;Prévu")</f>
        <v/>
      </c>
      <c r="F8" s="83" t="n"/>
      <c r="G8" s="34" t="n"/>
      <c r="H8" s="35">
        <f>SUMIFS(J_Montant,J_Annee,Annee_Travail,J_Type,"&lt;&gt;Revenu",J_Type,"&lt;&gt;Transfert",J_Statut,"&lt;&gt;Annulé",J_Statut,"&lt;&gt;Prévu")</f>
        <v/>
      </c>
      <c r="I8" s="83" t="n"/>
      <c r="J8" s="34" t="n"/>
      <c r="K8" s="33">
        <f>SUMIFS(J_Montant,J_Annee,Annee_Travail,J_Type,"Revenu",J_Statut,"&lt;&gt;Annulé",J_Statut,"&lt;&gt;Prévu")-SUMIFS(J_Montant,J_Annee,Annee_Travail,J_Type,"&lt;&gt;Revenu",J_Type,"&lt;&gt;Transfert",J_Statut,"&lt;&gt;Annulé",J_Statut,"&lt;&gt;Prévu")</f>
        <v/>
      </c>
      <c r="L8" s="83" t="n"/>
      <c r="M8" s="34" t="n"/>
      <c r="N8" s="84">
        <f>SUMIFS(J_Montant,J_Annee,Annee_Travail,J_Type,"Épargne",J_Statut,"&lt;&gt;Annulé",J_Statut,"&lt;&gt;Prévu")+SUMIFS(J_Montant,J_Annee,Annee_Travail,J_Type,"Investissement",J_Statut,"&lt;&gt;Annulé",J_Statut,"&lt;&gt;Prévu")</f>
        <v/>
      </c>
      <c r="O8" s="83" t="n"/>
      <c r="P8" s="34" t="n"/>
      <c r="Q8" s="97">
        <f>SUMIFS(J_Montant,J_Annee,Annee_Travail,J_Statut,"Prévu")+SUMIFS(J_Montant,J_Annee,Annee_Travail,J_Statut,"En attente")</f>
        <v/>
      </c>
      <c r="R8" s="83" t="n"/>
      <c r="S8" s="34" t="n"/>
    </row>
    <row r="9" ht="16" customHeight="1">
      <c r="B9" s="98">
        <f>"Dernière saisie : "&amp;IF(COUNT(J_Date)=0,"—",RIGHT("0"&amp;DAY(MAX(J_Date)),2)&amp;"/"&amp;RIGHT("0"&amp;MONTH(MAX(J_Date)),2)&amp;"/"&amp;YEAR(MAX(J_Date)))</f>
        <v/>
      </c>
      <c r="C9" s="86" t="n"/>
      <c r="D9" s="38" t="n"/>
      <c r="E9" s="98">
        <f>"Année "&amp;Annee_Travail</f>
        <v/>
      </c>
      <c r="F9" s="86" t="n"/>
      <c r="G9" s="38" t="n"/>
      <c r="H9" s="37" t="inlineStr">
        <is>
          <t>Dépenses + épargne + crédits</t>
        </is>
      </c>
      <c r="I9" s="86" t="n"/>
      <c r="J9" s="38" t="n"/>
      <c r="K9" s="37" t="inlineStr"/>
      <c r="L9" s="86" t="n"/>
      <c r="M9" s="38" t="n"/>
      <c r="N9" s="37" t="inlineStr">
        <is>
          <t>Épargne + investissement</t>
        </is>
      </c>
      <c r="O9" s="86" t="n"/>
      <c r="P9" s="38" t="n"/>
      <c r="Q9" s="37" t="inlineStr">
        <is>
          <t>Engagements non décaissés</t>
        </is>
      </c>
      <c r="R9" s="86" t="n"/>
      <c r="S9" s="38" t="n"/>
    </row>
    <row r="10"/>
    <row r="11" ht="20" customHeight="1">
      <c r="B11" s="99" t="inlineStr">
        <is>
          <t>①  À REMPLIR</t>
        </is>
      </c>
      <c r="C11" s="1" t="n"/>
      <c r="D11" s="1" t="n"/>
      <c r="E11" s="1" t="n"/>
      <c r="F11" s="1" t="n"/>
      <c r="G11" s="1" t="n"/>
      <c r="H11" s="1" t="n"/>
      <c r="I11" s="100" t="inlineStr">
        <is>
          <t>②  CALCULÉ POUR VOUS</t>
        </is>
      </c>
      <c r="J11" s="47" t="n"/>
      <c r="K11" s="47" t="n"/>
      <c r="L11" s="47" t="n"/>
      <c r="M11" s="101" t="inlineStr">
        <is>
          <t>③  COMPLÉMENTS — facultatifs</t>
        </is>
      </c>
      <c r="N11" s="102" t="n"/>
      <c r="O11" s="102" t="n"/>
      <c r="P11" s="102" t="n"/>
      <c r="Q11" s="102" t="n"/>
      <c r="R11" s="102" t="n"/>
      <c r="S11" s="102" t="n"/>
      <c r="T11" s="103" t="inlineStr">
        <is>
          <t>④  TECHNIQUE</t>
        </is>
      </c>
      <c r="U11" s="104" t="n"/>
      <c r="V11" s="104" t="n"/>
      <c r="W11" s="104" t="n"/>
    </row>
    <row r="12" ht="36" customHeight="1">
      <c r="B12" s="63" t="inlineStr">
        <is>
          <t>Date</t>
        </is>
      </c>
      <c r="C12" s="63" t="inlineStr">
        <is>
          <t>Type d'opération</t>
        </is>
      </c>
      <c r="D12" s="63" t="inlineStr">
        <is>
          <t>Module</t>
        </is>
      </c>
      <c r="E12" s="63" t="inlineStr">
        <is>
          <t>Catégorie</t>
        </is>
      </c>
      <c r="F12" s="63" t="inlineStr">
        <is>
          <t>Libellé / Description</t>
        </is>
      </c>
      <c r="G12" s="63" t="inlineStr">
        <is>
          <t>Montant</t>
        </is>
      </c>
      <c r="H12" s="63" t="inlineStr">
        <is>
          <t>Compte</t>
        </is>
      </c>
      <c r="I12" s="63" t="inlineStr">
        <is>
          <t>Sens</t>
        </is>
      </c>
      <c r="J12" s="63" t="inlineStr">
        <is>
          <t>ENTRÉE</t>
        </is>
      </c>
      <c r="K12" s="63" t="inlineStr">
        <is>
          <t>SORTIE</t>
        </is>
      </c>
      <c r="L12" s="63" t="inlineStr">
        <is>
          <t>Solde cumulé</t>
        </is>
      </c>
      <c r="M12" s="63" t="inlineStr">
        <is>
          <t>Devise</t>
        </is>
      </c>
      <c r="N12" s="63" t="inlineStr">
        <is>
          <t>Moyen de paiement</t>
        </is>
      </c>
      <c r="O12" s="63" t="inlineStr">
        <is>
          <t>Projet / Bien</t>
        </is>
      </c>
      <c r="P12" s="63" t="inlineStr">
        <is>
          <t>Nature</t>
        </is>
      </c>
      <c r="Q12" s="63" t="inlineStr">
        <is>
          <t>Statut</t>
        </is>
      </c>
      <c r="R12" s="63" t="inlineStr">
        <is>
          <t>Récurrent</t>
        </is>
      </c>
      <c r="S12" s="63" t="inlineStr">
        <is>
          <t>Notes</t>
        </is>
      </c>
      <c r="T12" s="63" t="inlineStr">
        <is>
          <t>Taux</t>
        </is>
      </c>
      <c r="U12" s="63" t="inlineStr">
        <is>
          <t>Montant (devise de base)</t>
        </is>
      </c>
      <c r="V12" s="63" t="inlineStr">
        <is>
          <t>Mois</t>
        </is>
      </c>
      <c r="W12" s="63" t="inlineStr">
        <is>
          <t>Année</t>
        </is>
      </c>
    </row>
    <row r="13">
      <c r="B13" s="105" t="n"/>
      <c r="C13" s="54" t="n"/>
      <c r="D13" s="54" t="n"/>
      <c r="E13" s="54" t="n"/>
      <c r="F13" s="54" t="n"/>
      <c r="G13" s="65" t="n"/>
      <c r="H13" s="54" t="n"/>
      <c r="I13" s="106">
        <f>IF($C13="","",IFERROR(INDEX(Sens_Types,MATCH($C13,Liste_Types,0)),""))</f>
        <v/>
      </c>
      <c r="J13" s="107">
        <f>IF($I13="▲ ENTRÉE",$U13,"")</f>
        <v/>
      </c>
      <c r="K13" s="108">
        <f>IF($I13="▼ SORTIE",$U13,"")</f>
        <v/>
      </c>
      <c r="L13" s="109">
        <f>Solde_Initial+N($J13)-N($K13)</f>
        <v/>
      </c>
      <c r="M13" s="110" t="n"/>
      <c r="N13" s="54" t="n"/>
      <c r="O13" s="54" t="n"/>
      <c r="P13" s="54" t="n"/>
      <c r="Q13" s="110" t="n"/>
      <c r="R13" s="110" t="n"/>
      <c r="S13" s="54" t="n"/>
      <c r="T13" s="111">
        <f>IF($G13="","",IFERROR(INDEX(Taux_Devises,MATCH(IF($M13="",Devise_Base,$M13),Codes_Devises,0)),1))</f>
        <v/>
      </c>
      <c r="U13" s="112">
        <f>IF($G13="","",ROUND($G13*$T13,2))</f>
        <v/>
      </c>
      <c r="V13" s="113">
        <f>IF($B13="","",MONTH($B13))</f>
        <v/>
      </c>
      <c r="W13" s="113">
        <f>IF($B13="","",YEAR($B13))</f>
        <v/>
      </c>
    </row>
    <row r="14">
      <c r="B14" s="105" t="n"/>
      <c r="C14" s="54" t="n"/>
      <c r="D14" s="54" t="n"/>
      <c r="E14" s="54" t="n"/>
      <c r="F14" s="54" t="n"/>
      <c r="G14" s="65" t="n"/>
      <c r="H14" s="54" t="n"/>
      <c r="I14" s="106">
        <f>IF($C14="","",IFERROR(INDEX(Sens_Types,MATCH($C14,Liste_Types,0)),""))</f>
        <v/>
      </c>
      <c r="J14" s="107">
        <f>IF($I14="▲ ENTRÉE",$U14,"")</f>
        <v/>
      </c>
      <c r="K14" s="108">
        <f>IF($I14="▼ SORTIE",$U14,"")</f>
        <v/>
      </c>
      <c r="L14" s="109">
        <f>$L13+N($J14)-N($K14)</f>
        <v/>
      </c>
      <c r="M14" s="110" t="n"/>
      <c r="N14" s="54" t="n"/>
      <c r="O14" s="54" t="n"/>
      <c r="P14" s="54" t="n"/>
      <c r="Q14" s="110" t="n"/>
      <c r="R14" s="110" t="n"/>
      <c r="S14" s="54" t="n"/>
      <c r="T14" s="111">
        <f>IF($G14="","",IFERROR(INDEX(Taux_Devises,MATCH(IF($M14="",Devise_Base,$M14),Codes_Devises,0)),1))</f>
        <v/>
      </c>
      <c r="U14" s="112">
        <f>IF($G14="","",ROUND($G14*$T14,2))</f>
        <v/>
      </c>
      <c r="V14" s="113">
        <f>IF($B14="","",MONTH($B14))</f>
        <v/>
      </c>
      <c r="W14" s="113">
        <f>IF($B14="","",YEAR($B14))</f>
        <v/>
      </c>
    </row>
    <row r="15">
      <c r="B15" s="105" t="n"/>
      <c r="C15" s="54" t="n"/>
      <c r="D15" s="54" t="n"/>
      <c r="E15" s="54" t="n"/>
      <c r="F15" s="54" t="n"/>
      <c r="G15" s="65" t="n"/>
      <c r="H15" s="54" t="n"/>
      <c r="I15" s="106">
        <f>IF($C15="","",IFERROR(INDEX(Sens_Types,MATCH($C15,Liste_Types,0)),""))</f>
        <v/>
      </c>
      <c r="J15" s="107">
        <f>IF($I15="▲ ENTRÉE",$U15,"")</f>
        <v/>
      </c>
      <c r="K15" s="108">
        <f>IF($I15="▼ SORTIE",$U15,"")</f>
        <v/>
      </c>
      <c r="L15" s="109">
        <f>$L14+N($J15)-N($K15)</f>
        <v/>
      </c>
      <c r="M15" s="110" t="n"/>
      <c r="N15" s="54" t="n"/>
      <c r="O15" s="54" t="n"/>
      <c r="P15" s="54" t="n"/>
      <c r="Q15" s="110" t="n"/>
      <c r="R15" s="110" t="n"/>
      <c r="S15" s="54" t="n"/>
      <c r="T15" s="111">
        <f>IF($G15="","",IFERROR(INDEX(Taux_Devises,MATCH(IF($M15="",Devise_Base,$M15),Codes_Devises,0)),1))</f>
        <v/>
      </c>
      <c r="U15" s="112">
        <f>IF($G15="","",ROUND($G15*$T15,2))</f>
        <v/>
      </c>
      <c r="V15" s="113">
        <f>IF($B15="","",MONTH($B15))</f>
        <v/>
      </c>
      <c r="W15" s="113">
        <f>IF($B15="","",YEAR($B15))</f>
        <v/>
      </c>
    </row>
    <row r="16">
      <c r="B16" s="105" t="n"/>
      <c r="C16" s="54" t="n"/>
      <c r="D16" s="54" t="n"/>
      <c r="E16" s="54" t="n"/>
      <c r="F16" s="54" t="n"/>
      <c r="G16" s="65" t="n"/>
      <c r="H16" s="54" t="n"/>
      <c r="I16" s="106">
        <f>IF($C16="","",IFERROR(INDEX(Sens_Types,MATCH($C16,Liste_Types,0)),""))</f>
        <v/>
      </c>
      <c r="J16" s="107">
        <f>IF($I16="▲ ENTRÉE",$U16,"")</f>
        <v/>
      </c>
      <c r="K16" s="108">
        <f>IF($I16="▼ SORTIE",$U16,"")</f>
        <v/>
      </c>
      <c r="L16" s="109">
        <f>$L15+N($J16)-N($K16)</f>
        <v/>
      </c>
      <c r="M16" s="110" t="n"/>
      <c r="N16" s="54" t="n"/>
      <c r="O16" s="54" t="n"/>
      <c r="P16" s="54" t="n"/>
      <c r="Q16" s="110" t="n"/>
      <c r="R16" s="110" t="n"/>
      <c r="S16" s="54" t="n"/>
      <c r="T16" s="111">
        <f>IF($G16="","",IFERROR(INDEX(Taux_Devises,MATCH(IF($M16="",Devise_Base,$M16),Codes_Devises,0)),1))</f>
        <v/>
      </c>
      <c r="U16" s="112">
        <f>IF($G16="","",ROUND($G16*$T16,2))</f>
        <v/>
      </c>
      <c r="V16" s="113">
        <f>IF($B16="","",MONTH($B16))</f>
        <v/>
      </c>
      <c r="W16" s="113">
        <f>IF($B16="","",YEAR($B16))</f>
        <v/>
      </c>
    </row>
    <row r="17">
      <c r="B17" s="105" t="n"/>
      <c r="C17" s="54" t="n"/>
      <c r="D17" s="54" t="n"/>
      <c r="E17" s="54" t="n"/>
      <c r="F17" s="54" t="n"/>
      <c r="G17" s="65" t="n"/>
      <c r="H17" s="54" t="n"/>
      <c r="I17" s="106">
        <f>IF($C17="","",IFERROR(INDEX(Sens_Types,MATCH($C17,Liste_Types,0)),""))</f>
        <v/>
      </c>
      <c r="J17" s="107">
        <f>IF($I17="▲ ENTRÉE",$U17,"")</f>
        <v/>
      </c>
      <c r="K17" s="108">
        <f>IF($I17="▼ SORTIE",$U17,"")</f>
        <v/>
      </c>
      <c r="L17" s="109">
        <f>$L16+N($J17)-N($K17)</f>
        <v/>
      </c>
      <c r="M17" s="110" t="n"/>
      <c r="N17" s="54" t="n"/>
      <c r="O17" s="54" t="n"/>
      <c r="P17" s="54" t="n"/>
      <c r="Q17" s="110" t="n"/>
      <c r="R17" s="110" t="n"/>
      <c r="S17" s="54" t="n"/>
      <c r="T17" s="111">
        <f>IF($G17="","",IFERROR(INDEX(Taux_Devises,MATCH(IF($M17="",Devise_Base,$M17),Codes_Devises,0)),1))</f>
        <v/>
      </c>
      <c r="U17" s="112">
        <f>IF($G17="","",ROUND($G17*$T17,2))</f>
        <v/>
      </c>
      <c r="V17" s="113">
        <f>IF($B17="","",MONTH($B17))</f>
        <v/>
      </c>
      <c r="W17" s="113">
        <f>IF($B17="","",YEAR($B17))</f>
        <v/>
      </c>
    </row>
    <row r="18">
      <c r="B18" s="105" t="n"/>
      <c r="C18" s="54" t="n"/>
      <c r="D18" s="54" t="n"/>
      <c r="E18" s="54" t="n"/>
      <c r="F18" s="54" t="n"/>
      <c r="G18" s="65" t="n"/>
      <c r="H18" s="54" t="n"/>
      <c r="I18" s="106">
        <f>IF($C18="","",IFERROR(INDEX(Sens_Types,MATCH($C18,Liste_Types,0)),""))</f>
        <v/>
      </c>
      <c r="J18" s="107">
        <f>IF($I18="▲ ENTRÉE",$U18,"")</f>
        <v/>
      </c>
      <c r="K18" s="108">
        <f>IF($I18="▼ SORTIE",$U18,"")</f>
        <v/>
      </c>
      <c r="L18" s="109">
        <f>$L17+N($J18)-N($K18)</f>
        <v/>
      </c>
      <c r="M18" s="110" t="n"/>
      <c r="N18" s="54" t="n"/>
      <c r="O18" s="54" t="n"/>
      <c r="P18" s="54" t="n"/>
      <c r="Q18" s="110" t="n"/>
      <c r="R18" s="110" t="n"/>
      <c r="S18" s="54" t="n"/>
      <c r="T18" s="111">
        <f>IF($G18="","",IFERROR(INDEX(Taux_Devises,MATCH(IF($M18="",Devise_Base,$M18),Codes_Devises,0)),1))</f>
        <v/>
      </c>
      <c r="U18" s="112">
        <f>IF($G18="","",ROUND($G18*$T18,2))</f>
        <v/>
      </c>
      <c r="V18" s="113">
        <f>IF($B18="","",MONTH($B18))</f>
        <v/>
      </c>
      <c r="W18" s="113">
        <f>IF($B18="","",YEAR($B18))</f>
        <v/>
      </c>
    </row>
    <row r="19">
      <c r="B19" s="105" t="n"/>
      <c r="C19" s="54" t="n"/>
      <c r="D19" s="54" t="n"/>
      <c r="E19" s="54" t="n"/>
      <c r="F19" s="54" t="n"/>
      <c r="G19" s="65" t="n"/>
      <c r="H19" s="54" t="n"/>
      <c r="I19" s="106">
        <f>IF($C19="","",IFERROR(INDEX(Sens_Types,MATCH($C19,Liste_Types,0)),""))</f>
        <v/>
      </c>
      <c r="J19" s="107">
        <f>IF($I19="▲ ENTRÉE",$U19,"")</f>
        <v/>
      </c>
      <c r="K19" s="108">
        <f>IF($I19="▼ SORTIE",$U19,"")</f>
        <v/>
      </c>
      <c r="L19" s="109">
        <f>$L18+N($J19)-N($K19)</f>
        <v/>
      </c>
      <c r="M19" s="110" t="n"/>
      <c r="N19" s="54" t="n"/>
      <c r="O19" s="54" t="n"/>
      <c r="P19" s="54" t="n"/>
      <c r="Q19" s="110" t="n"/>
      <c r="R19" s="110" t="n"/>
      <c r="S19" s="54" t="n"/>
      <c r="T19" s="111">
        <f>IF($G19="","",IFERROR(INDEX(Taux_Devises,MATCH(IF($M19="",Devise_Base,$M19),Codes_Devises,0)),1))</f>
        <v/>
      </c>
      <c r="U19" s="112">
        <f>IF($G19="","",ROUND($G19*$T19,2))</f>
        <v/>
      </c>
      <c r="V19" s="113">
        <f>IF($B19="","",MONTH($B19))</f>
        <v/>
      </c>
      <c r="W19" s="113">
        <f>IF($B19="","",YEAR($B19))</f>
        <v/>
      </c>
    </row>
    <row r="20">
      <c r="B20" s="105" t="n"/>
      <c r="C20" s="54" t="n"/>
      <c r="D20" s="54" t="n"/>
      <c r="E20" s="54" t="n"/>
      <c r="F20" s="54" t="n"/>
      <c r="G20" s="65" t="n"/>
      <c r="H20" s="54" t="n"/>
      <c r="I20" s="106">
        <f>IF($C20="","",IFERROR(INDEX(Sens_Types,MATCH($C20,Liste_Types,0)),""))</f>
        <v/>
      </c>
      <c r="J20" s="107">
        <f>IF($I20="▲ ENTRÉE",$U20,"")</f>
        <v/>
      </c>
      <c r="K20" s="108">
        <f>IF($I20="▼ SORTIE",$U20,"")</f>
        <v/>
      </c>
      <c r="L20" s="109">
        <f>$L19+N($J20)-N($K20)</f>
        <v/>
      </c>
      <c r="M20" s="110" t="n"/>
      <c r="N20" s="54" t="n"/>
      <c r="O20" s="54" t="n"/>
      <c r="P20" s="54" t="n"/>
      <c r="Q20" s="110" t="n"/>
      <c r="R20" s="110" t="n"/>
      <c r="S20" s="54" t="n"/>
      <c r="T20" s="111">
        <f>IF($G20="","",IFERROR(INDEX(Taux_Devises,MATCH(IF($M20="",Devise_Base,$M20),Codes_Devises,0)),1))</f>
        <v/>
      </c>
      <c r="U20" s="112">
        <f>IF($G20="","",ROUND($G20*$T20,2))</f>
        <v/>
      </c>
      <c r="V20" s="113">
        <f>IF($B20="","",MONTH($B20))</f>
        <v/>
      </c>
      <c r="W20" s="113">
        <f>IF($B20="","",YEAR($B20))</f>
        <v/>
      </c>
    </row>
    <row r="21">
      <c r="B21" s="105" t="n"/>
      <c r="C21" s="54" t="n"/>
      <c r="D21" s="54" t="n"/>
      <c r="E21" s="54" t="n"/>
      <c r="F21" s="54" t="n"/>
      <c r="G21" s="65" t="n"/>
      <c r="H21" s="54" t="n"/>
      <c r="I21" s="106">
        <f>IF($C21="","",IFERROR(INDEX(Sens_Types,MATCH($C21,Liste_Types,0)),""))</f>
        <v/>
      </c>
      <c r="J21" s="107">
        <f>IF($I21="▲ ENTRÉE",$U21,"")</f>
        <v/>
      </c>
      <c r="K21" s="108">
        <f>IF($I21="▼ SORTIE",$U21,"")</f>
        <v/>
      </c>
      <c r="L21" s="109">
        <f>$L20+N($J21)-N($K21)</f>
        <v/>
      </c>
      <c r="M21" s="110" t="n"/>
      <c r="N21" s="54" t="n"/>
      <c r="O21" s="54" t="n"/>
      <c r="P21" s="54" t="n"/>
      <c r="Q21" s="110" t="n"/>
      <c r="R21" s="110" t="n"/>
      <c r="S21" s="54" t="n"/>
      <c r="T21" s="111">
        <f>IF($G21="","",IFERROR(INDEX(Taux_Devises,MATCH(IF($M21="",Devise_Base,$M21),Codes_Devises,0)),1))</f>
        <v/>
      </c>
      <c r="U21" s="112">
        <f>IF($G21="","",ROUND($G21*$T21,2))</f>
        <v/>
      </c>
      <c r="V21" s="113">
        <f>IF($B21="","",MONTH($B21))</f>
        <v/>
      </c>
      <c r="W21" s="113">
        <f>IF($B21="","",YEAR($B21))</f>
        <v/>
      </c>
    </row>
    <row r="22">
      <c r="B22" s="105" t="n"/>
      <c r="C22" s="54" t="n"/>
      <c r="D22" s="54" t="n"/>
      <c r="E22" s="54" t="n"/>
      <c r="F22" s="54" t="n"/>
      <c r="G22" s="65" t="n"/>
      <c r="H22" s="54" t="n"/>
      <c r="I22" s="106">
        <f>IF($C22="","",IFERROR(INDEX(Sens_Types,MATCH($C22,Liste_Types,0)),""))</f>
        <v/>
      </c>
      <c r="J22" s="107">
        <f>IF($I22="▲ ENTRÉE",$U22,"")</f>
        <v/>
      </c>
      <c r="K22" s="108">
        <f>IF($I22="▼ SORTIE",$U22,"")</f>
        <v/>
      </c>
      <c r="L22" s="109">
        <f>$L21+N($J22)-N($K22)</f>
        <v/>
      </c>
      <c r="M22" s="110" t="n"/>
      <c r="N22" s="54" t="n"/>
      <c r="O22" s="54" t="n"/>
      <c r="P22" s="54" t="n"/>
      <c r="Q22" s="110" t="n"/>
      <c r="R22" s="110" t="n"/>
      <c r="S22" s="54" t="n"/>
      <c r="T22" s="111">
        <f>IF($G22="","",IFERROR(INDEX(Taux_Devises,MATCH(IF($M22="",Devise_Base,$M22),Codes_Devises,0)),1))</f>
        <v/>
      </c>
      <c r="U22" s="112">
        <f>IF($G22="","",ROUND($G22*$T22,2))</f>
        <v/>
      </c>
      <c r="V22" s="113">
        <f>IF($B22="","",MONTH($B22))</f>
        <v/>
      </c>
      <c r="W22" s="113">
        <f>IF($B22="","",YEAR($B22))</f>
        <v/>
      </c>
    </row>
    <row r="23">
      <c r="B23" s="105" t="n"/>
      <c r="C23" s="54" t="n"/>
      <c r="D23" s="54" t="n"/>
      <c r="E23" s="54" t="n"/>
      <c r="F23" s="54" t="n"/>
      <c r="G23" s="65" t="n"/>
      <c r="H23" s="54" t="n"/>
      <c r="I23" s="106">
        <f>IF($C23="","",IFERROR(INDEX(Sens_Types,MATCH($C23,Liste_Types,0)),""))</f>
        <v/>
      </c>
      <c r="J23" s="107">
        <f>IF($I23="▲ ENTRÉE",$U23,"")</f>
        <v/>
      </c>
      <c r="K23" s="108">
        <f>IF($I23="▼ SORTIE",$U23,"")</f>
        <v/>
      </c>
      <c r="L23" s="109">
        <f>$L22+N($J23)-N($K23)</f>
        <v/>
      </c>
      <c r="M23" s="110" t="n"/>
      <c r="N23" s="54" t="n"/>
      <c r="O23" s="54" t="n"/>
      <c r="P23" s="54" t="n"/>
      <c r="Q23" s="110" t="n"/>
      <c r="R23" s="110" t="n"/>
      <c r="S23" s="54" t="n"/>
      <c r="T23" s="111">
        <f>IF($G23="","",IFERROR(INDEX(Taux_Devises,MATCH(IF($M23="",Devise_Base,$M23),Codes_Devises,0)),1))</f>
        <v/>
      </c>
      <c r="U23" s="112">
        <f>IF($G23="","",ROUND($G23*$T23,2))</f>
        <v/>
      </c>
      <c r="V23" s="113">
        <f>IF($B23="","",MONTH($B23))</f>
        <v/>
      </c>
      <c r="W23" s="113">
        <f>IF($B23="","",YEAR($B23))</f>
        <v/>
      </c>
    </row>
    <row r="24">
      <c r="B24" s="105" t="n"/>
      <c r="C24" s="54" t="n"/>
      <c r="D24" s="54" t="n"/>
      <c r="E24" s="54" t="n"/>
      <c r="F24" s="54" t="n"/>
      <c r="G24" s="65" t="n"/>
      <c r="H24" s="54" t="n"/>
      <c r="I24" s="106">
        <f>IF($C24="","",IFERROR(INDEX(Sens_Types,MATCH($C24,Liste_Types,0)),""))</f>
        <v/>
      </c>
      <c r="J24" s="107">
        <f>IF($I24="▲ ENTRÉE",$U24,"")</f>
        <v/>
      </c>
      <c r="K24" s="108">
        <f>IF($I24="▼ SORTIE",$U24,"")</f>
        <v/>
      </c>
      <c r="L24" s="109">
        <f>$L23+N($J24)-N($K24)</f>
        <v/>
      </c>
      <c r="M24" s="110" t="n"/>
      <c r="N24" s="54" t="n"/>
      <c r="O24" s="54" t="n"/>
      <c r="P24" s="54" t="n"/>
      <c r="Q24" s="110" t="n"/>
      <c r="R24" s="110" t="n"/>
      <c r="S24" s="54" t="n"/>
      <c r="T24" s="111">
        <f>IF($G24="","",IFERROR(INDEX(Taux_Devises,MATCH(IF($M24="",Devise_Base,$M24),Codes_Devises,0)),1))</f>
        <v/>
      </c>
      <c r="U24" s="112">
        <f>IF($G24="","",ROUND($G24*$T24,2))</f>
        <v/>
      </c>
      <c r="V24" s="113">
        <f>IF($B24="","",MONTH($B24))</f>
        <v/>
      </c>
      <c r="W24" s="113">
        <f>IF($B24="","",YEAR($B24))</f>
        <v/>
      </c>
    </row>
    <row r="25">
      <c r="B25" s="105" t="n"/>
      <c r="C25" s="54" t="n"/>
      <c r="D25" s="54" t="n"/>
      <c r="E25" s="54" t="n"/>
      <c r="F25" s="54" t="n"/>
      <c r="G25" s="65" t="n"/>
      <c r="H25" s="54" t="n"/>
      <c r="I25" s="106">
        <f>IF($C25="","",IFERROR(INDEX(Sens_Types,MATCH($C25,Liste_Types,0)),""))</f>
        <v/>
      </c>
      <c r="J25" s="107">
        <f>IF($I25="▲ ENTRÉE",$U25,"")</f>
        <v/>
      </c>
      <c r="K25" s="108">
        <f>IF($I25="▼ SORTIE",$U25,"")</f>
        <v/>
      </c>
      <c r="L25" s="109">
        <f>$L24+N($J25)-N($K25)</f>
        <v/>
      </c>
      <c r="M25" s="110" t="n"/>
      <c r="N25" s="54" t="n"/>
      <c r="O25" s="54" t="n"/>
      <c r="P25" s="54" t="n"/>
      <c r="Q25" s="110" t="n"/>
      <c r="R25" s="110" t="n"/>
      <c r="S25" s="54" t="n"/>
      <c r="T25" s="111">
        <f>IF($G25="","",IFERROR(INDEX(Taux_Devises,MATCH(IF($M25="",Devise_Base,$M25),Codes_Devises,0)),1))</f>
        <v/>
      </c>
      <c r="U25" s="112">
        <f>IF($G25="","",ROUND($G25*$T25,2))</f>
        <v/>
      </c>
      <c r="V25" s="113">
        <f>IF($B25="","",MONTH($B25))</f>
        <v/>
      </c>
      <c r="W25" s="113">
        <f>IF($B25="","",YEAR($B25))</f>
        <v/>
      </c>
    </row>
    <row r="26">
      <c r="B26" s="105" t="n"/>
      <c r="C26" s="54" t="n"/>
      <c r="D26" s="54" t="n"/>
      <c r="E26" s="54" t="n"/>
      <c r="F26" s="54" t="n"/>
      <c r="G26" s="65" t="n"/>
      <c r="H26" s="54" t="n"/>
      <c r="I26" s="106">
        <f>IF($C26="","",IFERROR(INDEX(Sens_Types,MATCH($C26,Liste_Types,0)),""))</f>
        <v/>
      </c>
      <c r="J26" s="107">
        <f>IF($I26="▲ ENTRÉE",$U26,"")</f>
        <v/>
      </c>
      <c r="K26" s="108">
        <f>IF($I26="▼ SORTIE",$U26,"")</f>
        <v/>
      </c>
      <c r="L26" s="109">
        <f>$L25+N($J26)-N($K26)</f>
        <v/>
      </c>
      <c r="M26" s="110" t="n"/>
      <c r="N26" s="54" t="n"/>
      <c r="O26" s="54" t="n"/>
      <c r="P26" s="54" t="n"/>
      <c r="Q26" s="110" t="n"/>
      <c r="R26" s="110" t="n"/>
      <c r="S26" s="54" t="n"/>
      <c r="T26" s="111">
        <f>IF($G26="","",IFERROR(INDEX(Taux_Devises,MATCH(IF($M26="",Devise_Base,$M26),Codes_Devises,0)),1))</f>
        <v/>
      </c>
      <c r="U26" s="112">
        <f>IF($G26="","",ROUND($G26*$T26,2))</f>
        <v/>
      </c>
      <c r="V26" s="113">
        <f>IF($B26="","",MONTH($B26))</f>
        <v/>
      </c>
      <c r="W26" s="113">
        <f>IF($B26="","",YEAR($B26))</f>
        <v/>
      </c>
    </row>
    <row r="27">
      <c r="B27" s="105" t="n"/>
      <c r="C27" s="54" t="n"/>
      <c r="D27" s="54" t="n"/>
      <c r="E27" s="54" t="n"/>
      <c r="F27" s="54" t="n"/>
      <c r="G27" s="65" t="n"/>
      <c r="H27" s="54" t="n"/>
      <c r="I27" s="106">
        <f>IF($C27="","",IFERROR(INDEX(Sens_Types,MATCH($C27,Liste_Types,0)),""))</f>
        <v/>
      </c>
      <c r="J27" s="107">
        <f>IF($I27="▲ ENTRÉE",$U27,"")</f>
        <v/>
      </c>
      <c r="K27" s="108">
        <f>IF($I27="▼ SORTIE",$U27,"")</f>
        <v/>
      </c>
      <c r="L27" s="109">
        <f>$L26+N($J27)-N($K27)</f>
        <v/>
      </c>
      <c r="M27" s="110" t="n"/>
      <c r="N27" s="54" t="n"/>
      <c r="O27" s="54" t="n"/>
      <c r="P27" s="54" t="n"/>
      <c r="Q27" s="110" t="n"/>
      <c r="R27" s="110" t="n"/>
      <c r="S27" s="54" t="n"/>
      <c r="T27" s="111">
        <f>IF($G27="","",IFERROR(INDEX(Taux_Devises,MATCH(IF($M27="",Devise_Base,$M27),Codes_Devises,0)),1))</f>
        <v/>
      </c>
      <c r="U27" s="112">
        <f>IF($G27="","",ROUND($G27*$T27,2))</f>
        <v/>
      </c>
      <c r="V27" s="113">
        <f>IF($B27="","",MONTH($B27))</f>
        <v/>
      </c>
      <c r="W27" s="113">
        <f>IF($B27="","",YEAR($B27))</f>
        <v/>
      </c>
    </row>
    <row r="28">
      <c r="B28" s="105" t="n"/>
      <c r="C28" s="54" t="n"/>
      <c r="D28" s="54" t="n"/>
      <c r="E28" s="54" t="n"/>
      <c r="F28" s="54" t="n"/>
      <c r="G28" s="65" t="n"/>
      <c r="H28" s="54" t="n"/>
      <c r="I28" s="106">
        <f>IF($C28="","",IFERROR(INDEX(Sens_Types,MATCH($C28,Liste_Types,0)),""))</f>
        <v/>
      </c>
      <c r="J28" s="107">
        <f>IF($I28="▲ ENTRÉE",$U28,"")</f>
        <v/>
      </c>
      <c r="K28" s="108">
        <f>IF($I28="▼ SORTIE",$U28,"")</f>
        <v/>
      </c>
      <c r="L28" s="109">
        <f>$L27+N($J28)-N($K28)</f>
        <v/>
      </c>
      <c r="M28" s="110" t="n"/>
      <c r="N28" s="54" t="n"/>
      <c r="O28" s="54" t="n"/>
      <c r="P28" s="54" t="n"/>
      <c r="Q28" s="110" t="n"/>
      <c r="R28" s="110" t="n"/>
      <c r="S28" s="54" t="n"/>
      <c r="T28" s="111">
        <f>IF($G28="","",IFERROR(INDEX(Taux_Devises,MATCH(IF($M28="",Devise_Base,$M28),Codes_Devises,0)),1))</f>
        <v/>
      </c>
      <c r="U28" s="112">
        <f>IF($G28="","",ROUND($G28*$T28,2))</f>
        <v/>
      </c>
      <c r="V28" s="113">
        <f>IF($B28="","",MONTH($B28))</f>
        <v/>
      </c>
      <c r="W28" s="113">
        <f>IF($B28="","",YEAR($B28))</f>
        <v/>
      </c>
    </row>
    <row r="29">
      <c r="B29" s="105" t="n"/>
      <c r="C29" s="54" t="n"/>
      <c r="D29" s="54" t="n"/>
      <c r="E29" s="54" t="n"/>
      <c r="F29" s="54" t="n"/>
      <c r="G29" s="65" t="n"/>
      <c r="H29" s="54" t="n"/>
      <c r="I29" s="106">
        <f>IF($C29="","",IFERROR(INDEX(Sens_Types,MATCH($C29,Liste_Types,0)),""))</f>
        <v/>
      </c>
      <c r="J29" s="107">
        <f>IF($I29="▲ ENTRÉE",$U29,"")</f>
        <v/>
      </c>
      <c r="K29" s="108">
        <f>IF($I29="▼ SORTIE",$U29,"")</f>
        <v/>
      </c>
      <c r="L29" s="109">
        <f>$L28+N($J29)-N($K29)</f>
        <v/>
      </c>
      <c r="M29" s="110" t="n"/>
      <c r="N29" s="54" t="n"/>
      <c r="O29" s="54" t="n"/>
      <c r="P29" s="54" t="n"/>
      <c r="Q29" s="110" t="n"/>
      <c r="R29" s="110" t="n"/>
      <c r="S29" s="54" t="n"/>
      <c r="T29" s="111">
        <f>IF($G29="","",IFERROR(INDEX(Taux_Devises,MATCH(IF($M29="",Devise_Base,$M29),Codes_Devises,0)),1))</f>
        <v/>
      </c>
      <c r="U29" s="112">
        <f>IF($G29="","",ROUND($G29*$T29,2))</f>
        <v/>
      </c>
      <c r="V29" s="113">
        <f>IF($B29="","",MONTH($B29))</f>
        <v/>
      </c>
      <c r="W29" s="113">
        <f>IF($B29="","",YEAR($B29))</f>
        <v/>
      </c>
    </row>
    <row r="30">
      <c r="B30" s="105" t="n"/>
      <c r="C30" s="54" t="n"/>
      <c r="D30" s="54" t="n"/>
      <c r="E30" s="54" t="n"/>
      <c r="F30" s="54" t="n"/>
      <c r="G30" s="65" t="n"/>
      <c r="H30" s="54" t="n"/>
      <c r="I30" s="106">
        <f>IF($C30="","",IFERROR(INDEX(Sens_Types,MATCH($C30,Liste_Types,0)),""))</f>
        <v/>
      </c>
      <c r="J30" s="107">
        <f>IF($I30="▲ ENTRÉE",$U30,"")</f>
        <v/>
      </c>
      <c r="K30" s="108">
        <f>IF($I30="▼ SORTIE",$U30,"")</f>
        <v/>
      </c>
      <c r="L30" s="109">
        <f>$L29+N($J30)-N($K30)</f>
        <v/>
      </c>
      <c r="M30" s="110" t="n"/>
      <c r="N30" s="54" t="n"/>
      <c r="O30" s="54" t="n"/>
      <c r="P30" s="54" t="n"/>
      <c r="Q30" s="110" t="n"/>
      <c r="R30" s="110" t="n"/>
      <c r="S30" s="54" t="n"/>
      <c r="T30" s="111">
        <f>IF($G30="","",IFERROR(INDEX(Taux_Devises,MATCH(IF($M30="",Devise_Base,$M30),Codes_Devises,0)),1))</f>
        <v/>
      </c>
      <c r="U30" s="112">
        <f>IF($G30="","",ROUND($G30*$T30,2))</f>
        <v/>
      </c>
      <c r="V30" s="113">
        <f>IF($B30="","",MONTH($B30))</f>
        <v/>
      </c>
      <c r="W30" s="113">
        <f>IF($B30="","",YEAR($B30))</f>
        <v/>
      </c>
    </row>
    <row r="31">
      <c r="B31" s="105" t="n"/>
      <c r="C31" s="54" t="n"/>
      <c r="D31" s="54" t="n"/>
      <c r="E31" s="54" t="n"/>
      <c r="F31" s="54" t="n"/>
      <c r="G31" s="65" t="n"/>
      <c r="H31" s="54" t="n"/>
      <c r="I31" s="106">
        <f>IF($C31="","",IFERROR(INDEX(Sens_Types,MATCH($C31,Liste_Types,0)),""))</f>
        <v/>
      </c>
      <c r="J31" s="107">
        <f>IF($I31="▲ ENTRÉE",$U31,"")</f>
        <v/>
      </c>
      <c r="K31" s="108">
        <f>IF($I31="▼ SORTIE",$U31,"")</f>
        <v/>
      </c>
      <c r="L31" s="109">
        <f>$L30+N($J31)-N($K31)</f>
        <v/>
      </c>
      <c r="M31" s="110" t="n"/>
      <c r="N31" s="54" t="n"/>
      <c r="O31" s="54" t="n"/>
      <c r="P31" s="54" t="n"/>
      <c r="Q31" s="110" t="n"/>
      <c r="R31" s="110" t="n"/>
      <c r="S31" s="54" t="n"/>
      <c r="T31" s="111">
        <f>IF($G31="","",IFERROR(INDEX(Taux_Devises,MATCH(IF($M31="",Devise_Base,$M31),Codes_Devises,0)),1))</f>
        <v/>
      </c>
      <c r="U31" s="112">
        <f>IF($G31="","",ROUND($G31*$T31,2))</f>
        <v/>
      </c>
      <c r="V31" s="113">
        <f>IF($B31="","",MONTH($B31))</f>
        <v/>
      </c>
      <c r="W31" s="113">
        <f>IF($B31="","",YEAR($B31))</f>
        <v/>
      </c>
    </row>
    <row r="32">
      <c r="B32" s="105" t="n"/>
      <c r="C32" s="54" t="n"/>
      <c r="D32" s="54" t="n"/>
      <c r="E32" s="54" t="n"/>
      <c r="F32" s="54" t="n"/>
      <c r="G32" s="65" t="n"/>
      <c r="H32" s="54" t="n"/>
      <c r="I32" s="106">
        <f>IF($C32="","",IFERROR(INDEX(Sens_Types,MATCH($C32,Liste_Types,0)),""))</f>
        <v/>
      </c>
      <c r="J32" s="107">
        <f>IF($I32="▲ ENTRÉE",$U32,"")</f>
        <v/>
      </c>
      <c r="K32" s="108">
        <f>IF($I32="▼ SORTIE",$U32,"")</f>
        <v/>
      </c>
      <c r="L32" s="109">
        <f>$L31+N($J32)-N($K32)</f>
        <v/>
      </c>
      <c r="M32" s="110" t="n"/>
      <c r="N32" s="54" t="n"/>
      <c r="O32" s="54" t="n"/>
      <c r="P32" s="54" t="n"/>
      <c r="Q32" s="110" t="n"/>
      <c r="R32" s="110" t="n"/>
      <c r="S32" s="54" t="n"/>
      <c r="T32" s="111">
        <f>IF($G32="","",IFERROR(INDEX(Taux_Devises,MATCH(IF($M32="",Devise_Base,$M32),Codes_Devises,0)),1))</f>
        <v/>
      </c>
      <c r="U32" s="112">
        <f>IF($G32="","",ROUND($G32*$T32,2))</f>
        <v/>
      </c>
      <c r="V32" s="113">
        <f>IF($B32="","",MONTH($B32))</f>
        <v/>
      </c>
      <c r="W32" s="113">
        <f>IF($B32="","",YEAR($B32))</f>
        <v/>
      </c>
    </row>
    <row r="33">
      <c r="B33" s="105" t="n"/>
      <c r="C33" s="54" t="n"/>
      <c r="D33" s="54" t="n"/>
      <c r="E33" s="54" t="n"/>
      <c r="F33" s="54" t="n"/>
      <c r="G33" s="65" t="n"/>
      <c r="H33" s="54" t="n"/>
      <c r="I33" s="106">
        <f>IF($C33="","",IFERROR(INDEX(Sens_Types,MATCH($C33,Liste_Types,0)),""))</f>
        <v/>
      </c>
      <c r="J33" s="107">
        <f>IF($I33="▲ ENTRÉE",$U33,"")</f>
        <v/>
      </c>
      <c r="K33" s="108">
        <f>IF($I33="▼ SORTIE",$U33,"")</f>
        <v/>
      </c>
      <c r="L33" s="109">
        <f>$L32+N($J33)-N($K33)</f>
        <v/>
      </c>
      <c r="M33" s="110" t="n"/>
      <c r="N33" s="54" t="n"/>
      <c r="O33" s="54" t="n"/>
      <c r="P33" s="54" t="n"/>
      <c r="Q33" s="110" t="n"/>
      <c r="R33" s="110" t="n"/>
      <c r="S33" s="54" t="n"/>
      <c r="T33" s="111">
        <f>IF($G33="","",IFERROR(INDEX(Taux_Devises,MATCH(IF($M33="",Devise_Base,$M33),Codes_Devises,0)),1))</f>
        <v/>
      </c>
      <c r="U33" s="112">
        <f>IF($G33="","",ROUND($G33*$T33,2))</f>
        <v/>
      </c>
      <c r="V33" s="113">
        <f>IF($B33="","",MONTH($B33))</f>
        <v/>
      </c>
      <c r="W33" s="113">
        <f>IF($B33="","",YEAR($B33))</f>
        <v/>
      </c>
    </row>
    <row r="34">
      <c r="B34" s="105" t="n"/>
      <c r="C34" s="54" t="n"/>
      <c r="D34" s="54" t="n"/>
      <c r="E34" s="54" t="n"/>
      <c r="F34" s="54" t="n"/>
      <c r="G34" s="65" t="n"/>
      <c r="H34" s="54" t="n"/>
      <c r="I34" s="106">
        <f>IF($C34="","",IFERROR(INDEX(Sens_Types,MATCH($C34,Liste_Types,0)),""))</f>
        <v/>
      </c>
      <c r="J34" s="107">
        <f>IF($I34="▲ ENTRÉE",$U34,"")</f>
        <v/>
      </c>
      <c r="K34" s="108">
        <f>IF($I34="▼ SORTIE",$U34,"")</f>
        <v/>
      </c>
      <c r="L34" s="109">
        <f>$L33+N($J34)-N($K34)</f>
        <v/>
      </c>
      <c r="M34" s="110" t="n"/>
      <c r="N34" s="54" t="n"/>
      <c r="O34" s="54" t="n"/>
      <c r="P34" s="54" t="n"/>
      <c r="Q34" s="110" t="n"/>
      <c r="R34" s="110" t="n"/>
      <c r="S34" s="54" t="n"/>
      <c r="T34" s="111">
        <f>IF($G34="","",IFERROR(INDEX(Taux_Devises,MATCH(IF($M34="",Devise_Base,$M34),Codes_Devises,0)),1))</f>
        <v/>
      </c>
      <c r="U34" s="112">
        <f>IF($G34="","",ROUND($G34*$T34,2))</f>
        <v/>
      </c>
      <c r="V34" s="113">
        <f>IF($B34="","",MONTH($B34))</f>
        <v/>
      </c>
      <c r="W34" s="113">
        <f>IF($B34="","",YEAR($B34))</f>
        <v/>
      </c>
    </row>
    <row r="35">
      <c r="B35" s="105" t="n"/>
      <c r="C35" s="54" t="n"/>
      <c r="D35" s="54" t="n"/>
      <c r="E35" s="54" t="n"/>
      <c r="F35" s="54" t="n"/>
      <c r="G35" s="65" t="n"/>
      <c r="H35" s="54" t="n"/>
      <c r="I35" s="106">
        <f>IF($C35="","",IFERROR(INDEX(Sens_Types,MATCH($C35,Liste_Types,0)),""))</f>
        <v/>
      </c>
      <c r="J35" s="107">
        <f>IF($I35="▲ ENTRÉE",$U35,"")</f>
        <v/>
      </c>
      <c r="K35" s="108">
        <f>IF($I35="▼ SORTIE",$U35,"")</f>
        <v/>
      </c>
      <c r="L35" s="109">
        <f>$L34+N($J35)-N($K35)</f>
        <v/>
      </c>
      <c r="M35" s="110" t="n"/>
      <c r="N35" s="54" t="n"/>
      <c r="O35" s="54" t="n"/>
      <c r="P35" s="54" t="n"/>
      <c r="Q35" s="110" t="n"/>
      <c r="R35" s="110" t="n"/>
      <c r="S35" s="54" t="n"/>
      <c r="T35" s="111">
        <f>IF($G35="","",IFERROR(INDEX(Taux_Devises,MATCH(IF($M35="",Devise_Base,$M35),Codes_Devises,0)),1))</f>
        <v/>
      </c>
      <c r="U35" s="112">
        <f>IF($G35="","",ROUND($G35*$T35,2))</f>
        <v/>
      </c>
      <c r="V35" s="113">
        <f>IF($B35="","",MONTH($B35))</f>
        <v/>
      </c>
      <c r="W35" s="113">
        <f>IF($B35="","",YEAR($B35))</f>
        <v/>
      </c>
    </row>
    <row r="36">
      <c r="B36" s="105" t="n"/>
      <c r="C36" s="54" t="n"/>
      <c r="D36" s="54" t="n"/>
      <c r="E36" s="54" t="n"/>
      <c r="F36" s="54" t="n"/>
      <c r="G36" s="65" t="n"/>
      <c r="H36" s="54" t="n"/>
      <c r="I36" s="106">
        <f>IF($C36="","",IFERROR(INDEX(Sens_Types,MATCH($C36,Liste_Types,0)),""))</f>
        <v/>
      </c>
      <c r="J36" s="107">
        <f>IF($I36="▲ ENTRÉE",$U36,"")</f>
        <v/>
      </c>
      <c r="K36" s="108">
        <f>IF($I36="▼ SORTIE",$U36,"")</f>
        <v/>
      </c>
      <c r="L36" s="109">
        <f>$L35+N($J36)-N($K36)</f>
        <v/>
      </c>
      <c r="M36" s="110" t="n"/>
      <c r="N36" s="54" t="n"/>
      <c r="O36" s="54" t="n"/>
      <c r="P36" s="54" t="n"/>
      <c r="Q36" s="110" t="n"/>
      <c r="R36" s="110" t="n"/>
      <c r="S36" s="54" t="n"/>
      <c r="T36" s="111">
        <f>IF($G36="","",IFERROR(INDEX(Taux_Devises,MATCH(IF($M36="",Devise_Base,$M36),Codes_Devises,0)),1))</f>
        <v/>
      </c>
      <c r="U36" s="112">
        <f>IF($G36="","",ROUND($G36*$T36,2))</f>
        <v/>
      </c>
      <c r="V36" s="113">
        <f>IF($B36="","",MONTH($B36))</f>
        <v/>
      </c>
      <c r="W36" s="113">
        <f>IF($B36="","",YEAR($B36))</f>
        <v/>
      </c>
    </row>
    <row r="37">
      <c r="B37" s="105" t="n"/>
      <c r="C37" s="54" t="n"/>
      <c r="D37" s="54" t="n"/>
      <c r="E37" s="54" t="n"/>
      <c r="F37" s="54" t="n"/>
      <c r="G37" s="65" t="n"/>
      <c r="H37" s="54" t="n"/>
      <c r="I37" s="106">
        <f>IF($C37="","",IFERROR(INDEX(Sens_Types,MATCH($C37,Liste_Types,0)),""))</f>
        <v/>
      </c>
      <c r="J37" s="107">
        <f>IF($I37="▲ ENTRÉE",$U37,"")</f>
        <v/>
      </c>
      <c r="K37" s="108">
        <f>IF($I37="▼ SORTIE",$U37,"")</f>
        <v/>
      </c>
      <c r="L37" s="109">
        <f>$L36+N($J37)-N($K37)</f>
        <v/>
      </c>
      <c r="M37" s="110" t="n"/>
      <c r="N37" s="54" t="n"/>
      <c r="O37" s="54" t="n"/>
      <c r="P37" s="54" t="n"/>
      <c r="Q37" s="110" t="n"/>
      <c r="R37" s="110" t="n"/>
      <c r="S37" s="54" t="n"/>
      <c r="T37" s="111">
        <f>IF($G37="","",IFERROR(INDEX(Taux_Devises,MATCH(IF($M37="",Devise_Base,$M37),Codes_Devises,0)),1))</f>
        <v/>
      </c>
      <c r="U37" s="112">
        <f>IF($G37="","",ROUND($G37*$T37,2))</f>
        <v/>
      </c>
      <c r="V37" s="113">
        <f>IF($B37="","",MONTH($B37))</f>
        <v/>
      </c>
      <c r="W37" s="113">
        <f>IF($B37="","",YEAR($B37))</f>
        <v/>
      </c>
    </row>
    <row r="38">
      <c r="B38" s="105" t="n"/>
      <c r="C38" s="54" t="n"/>
      <c r="D38" s="54" t="n"/>
      <c r="E38" s="54" t="n"/>
      <c r="F38" s="54" t="n"/>
      <c r="G38" s="65" t="n"/>
      <c r="H38" s="54" t="n"/>
      <c r="I38" s="106">
        <f>IF($C38="","",IFERROR(INDEX(Sens_Types,MATCH($C38,Liste_Types,0)),""))</f>
        <v/>
      </c>
      <c r="J38" s="107">
        <f>IF($I38="▲ ENTRÉE",$U38,"")</f>
        <v/>
      </c>
      <c r="K38" s="108">
        <f>IF($I38="▼ SORTIE",$U38,"")</f>
        <v/>
      </c>
      <c r="L38" s="109">
        <f>$L37+N($J38)-N($K38)</f>
        <v/>
      </c>
      <c r="M38" s="110" t="n"/>
      <c r="N38" s="54" t="n"/>
      <c r="O38" s="54" t="n"/>
      <c r="P38" s="54" t="n"/>
      <c r="Q38" s="110" t="n"/>
      <c r="R38" s="110" t="n"/>
      <c r="S38" s="54" t="n"/>
      <c r="T38" s="111">
        <f>IF($G38="","",IFERROR(INDEX(Taux_Devises,MATCH(IF($M38="",Devise_Base,$M38),Codes_Devises,0)),1))</f>
        <v/>
      </c>
      <c r="U38" s="112">
        <f>IF($G38="","",ROUND($G38*$T38,2))</f>
        <v/>
      </c>
      <c r="V38" s="113">
        <f>IF($B38="","",MONTH($B38))</f>
        <v/>
      </c>
      <c r="W38" s="113">
        <f>IF($B38="","",YEAR($B38))</f>
        <v/>
      </c>
    </row>
    <row r="39">
      <c r="B39" s="105" t="n"/>
      <c r="C39" s="54" t="n"/>
      <c r="D39" s="54" t="n"/>
      <c r="E39" s="54" t="n"/>
      <c r="F39" s="54" t="n"/>
      <c r="G39" s="65" t="n"/>
      <c r="H39" s="54" t="n"/>
      <c r="I39" s="106">
        <f>IF($C39="","",IFERROR(INDEX(Sens_Types,MATCH($C39,Liste_Types,0)),""))</f>
        <v/>
      </c>
      <c r="J39" s="107">
        <f>IF($I39="▲ ENTRÉE",$U39,"")</f>
        <v/>
      </c>
      <c r="K39" s="108">
        <f>IF($I39="▼ SORTIE",$U39,"")</f>
        <v/>
      </c>
      <c r="L39" s="109">
        <f>$L38+N($J39)-N($K39)</f>
        <v/>
      </c>
      <c r="M39" s="110" t="n"/>
      <c r="N39" s="54" t="n"/>
      <c r="O39" s="54" t="n"/>
      <c r="P39" s="54" t="n"/>
      <c r="Q39" s="110" t="n"/>
      <c r="R39" s="110" t="n"/>
      <c r="S39" s="54" t="n"/>
      <c r="T39" s="111">
        <f>IF($G39="","",IFERROR(INDEX(Taux_Devises,MATCH(IF($M39="",Devise_Base,$M39),Codes_Devises,0)),1))</f>
        <v/>
      </c>
      <c r="U39" s="112">
        <f>IF($G39="","",ROUND($G39*$T39,2))</f>
        <v/>
      </c>
      <c r="V39" s="113">
        <f>IF($B39="","",MONTH($B39))</f>
        <v/>
      </c>
      <c r="W39" s="113">
        <f>IF($B39="","",YEAR($B39))</f>
        <v/>
      </c>
    </row>
    <row r="40">
      <c r="B40" s="105" t="n"/>
      <c r="C40" s="54" t="n"/>
      <c r="D40" s="54" t="n"/>
      <c r="E40" s="54" t="n"/>
      <c r="F40" s="54" t="n"/>
      <c r="G40" s="65" t="n"/>
      <c r="H40" s="54" t="n"/>
      <c r="I40" s="106">
        <f>IF($C40="","",IFERROR(INDEX(Sens_Types,MATCH($C40,Liste_Types,0)),""))</f>
        <v/>
      </c>
      <c r="J40" s="107">
        <f>IF($I40="▲ ENTRÉE",$U40,"")</f>
        <v/>
      </c>
      <c r="K40" s="108">
        <f>IF($I40="▼ SORTIE",$U40,"")</f>
        <v/>
      </c>
      <c r="L40" s="109">
        <f>$L39+N($J40)-N($K40)</f>
        <v/>
      </c>
      <c r="M40" s="110" t="n"/>
      <c r="N40" s="54" t="n"/>
      <c r="O40" s="54" t="n"/>
      <c r="P40" s="54" t="n"/>
      <c r="Q40" s="110" t="n"/>
      <c r="R40" s="110" t="n"/>
      <c r="S40" s="54" t="n"/>
      <c r="T40" s="111">
        <f>IF($G40="","",IFERROR(INDEX(Taux_Devises,MATCH(IF($M40="",Devise_Base,$M40),Codes_Devises,0)),1))</f>
        <v/>
      </c>
      <c r="U40" s="112">
        <f>IF($G40="","",ROUND($G40*$T40,2))</f>
        <v/>
      </c>
      <c r="V40" s="113">
        <f>IF($B40="","",MONTH($B40))</f>
        <v/>
      </c>
      <c r="W40" s="113">
        <f>IF($B40="","",YEAR($B40))</f>
        <v/>
      </c>
    </row>
    <row r="41">
      <c r="B41" s="105" t="n"/>
      <c r="C41" s="54" t="n"/>
      <c r="D41" s="54" t="n"/>
      <c r="E41" s="54" t="n"/>
      <c r="F41" s="54" t="n"/>
      <c r="G41" s="65" t="n"/>
      <c r="H41" s="54" t="n"/>
      <c r="I41" s="106">
        <f>IF($C41="","",IFERROR(INDEX(Sens_Types,MATCH($C41,Liste_Types,0)),""))</f>
        <v/>
      </c>
      <c r="J41" s="107">
        <f>IF($I41="▲ ENTRÉE",$U41,"")</f>
        <v/>
      </c>
      <c r="K41" s="108">
        <f>IF($I41="▼ SORTIE",$U41,"")</f>
        <v/>
      </c>
      <c r="L41" s="109">
        <f>$L40+N($J41)-N($K41)</f>
        <v/>
      </c>
      <c r="M41" s="110" t="n"/>
      <c r="N41" s="54" t="n"/>
      <c r="O41" s="54" t="n"/>
      <c r="P41" s="54" t="n"/>
      <c r="Q41" s="110" t="n"/>
      <c r="R41" s="110" t="n"/>
      <c r="S41" s="54" t="n"/>
      <c r="T41" s="111">
        <f>IF($G41="","",IFERROR(INDEX(Taux_Devises,MATCH(IF($M41="",Devise_Base,$M41),Codes_Devises,0)),1))</f>
        <v/>
      </c>
      <c r="U41" s="112">
        <f>IF($G41="","",ROUND($G41*$T41,2))</f>
        <v/>
      </c>
      <c r="V41" s="113">
        <f>IF($B41="","",MONTH($B41))</f>
        <v/>
      </c>
      <c r="W41" s="113">
        <f>IF($B41="","",YEAR($B41))</f>
        <v/>
      </c>
    </row>
    <row r="42">
      <c r="B42" s="105" t="n"/>
      <c r="C42" s="54" t="n"/>
      <c r="D42" s="54" t="n"/>
      <c r="E42" s="54" t="n"/>
      <c r="F42" s="54" t="n"/>
      <c r="G42" s="65" t="n"/>
      <c r="H42" s="54" t="n"/>
      <c r="I42" s="106">
        <f>IF($C42="","",IFERROR(INDEX(Sens_Types,MATCH($C42,Liste_Types,0)),""))</f>
        <v/>
      </c>
      <c r="J42" s="107">
        <f>IF($I42="▲ ENTRÉE",$U42,"")</f>
        <v/>
      </c>
      <c r="K42" s="108">
        <f>IF($I42="▼ SORTIE",$U42,"")</f>
        <v/>
      </c>
      <c r="L42" s="109">
        <f>$L41+N($J42)-N($K42)</f>
        <v/>
      </c>
      <c r="M42" s="110" t="n"/>
      <c r="N42" s="54" t="n"/>
      <c r="O42" s="54" t="n"/>
      <c r="P42" s="54" t="n"/>
      <c r="Q42" s="110" t="n"/>
      <c r="R42" s="110" t="n"/>
      <c r="S42" s="54" t="n"/>
      <c r="T42" s="111">
        <f>IF($G42="","",IFERROR(INDEX(Taux_Devises,MATCH(IF($M42="",Devise_Base,$M42),Codes_Devises,0)),1))</f>
        <v/>
      </c>
      <c r="U42" s="112">
        <f>IF($G42="","",ROUND($G42*$T42,2))</f>
        <v/>
      </c>
      <c r="V42" s="113">
        <f>IF($B42="","",MONTH($B42))</f>
        <v/>
      </c>
      <c r="W42" s="113">
        <f>IF($B42="","",YEAR($B42))</f>
        <v/>
      </c>
    </row>
    <row r="43">
      <c r="B43" s="105" t="n"/>
      <c r="C43" s="54" t="n"/>
      <c r="D43" s="54" t="n"/>
      <c r="E43" s="54" t="n"/>
      <c r="F43" s="54" t="n"/>
      <c r="G43" s="65" t="n"/>
      <c r="H43" s="54" t="n"/>
      <c r="I43" s="106">
        <f>IF($C43="","",IFERROR(INDEX(Sens_Types,MATCH($C43,Liste_Types,0)),""))</f>
        <v/>
      </c>
      <c r="J43" s="107">
        <f>IF($I43="▲ ENTRÉE",$U43,"")</f>
        <v/>
      </c>
      <c r="K43" s="108">
        <f>IF($I43="▼ SORTIE",$U43,"")</f>
        <v/>
      </c>
      <c r="L43" s="109">
        <f>$L42+N($J43)-N($K43)</f>
        <v/>
      </c>
      <c r="M43" s="110" t="n"/>
      <c r="N43" s="54" t="n"/>
      <c r="O43" s="54" t="n"/>
      <c r="P43" s="54" t="n"/>
      <c r="Q43" s="110" t="n"/>
      <c r="R43" s="110" t="n"/>
      <c r="S43" s="54" t="n"/>
      <c r="T43" s="111">
        <f>IF($G43="","",IFERROR(INDEX(Taux_Devises,MATCH(IF($M43="",Devise_Base,$M43),Codes_Devises,0)),1))</f>
        <v/>
      </c>
      <c r="U43" s="112">
        <f>IF($G43="","",ROUND($G43*$T43,2))</f>
        <v/>
      </c>
      <c r="V43" s="113">
        <f>IF($B43="","",MONTH($B43))</f>
        <v/>
      </c>
      <c r="W43" s="113">
        <f>IF($B43="","",YEAR($B43))</f>
        <v/>
      </c>
    </row>
    <row r="44">
      <c r="B44" s="105" t="n"/>
      <c r="C44" s="54" t="n"/>
      <c r="D44" s="54" t="n"/>
      <c r="E44" s="54" t="n"/>
      <c r="F44" s="54" t="n"/>
      <c r="G44" s="65" t="n"/>
      <c r="H44" s="54" t="n"/>
      <c r="I44" s="106">
        <f>IF($C44="","",IFERROR(INDEX(Sens_Types,MATCH($C44,Liste_Types,0)),""))</f>
        <v/>
      </c>
      <c r="J44" s="107">
        <f>IF($I44="▲ ENTRÉE",$U44,"")</f>
        <v/>
      </c>
      <c r="K44" s="108">
        <f>IF($I44="▼ SORTIE",$U44,"")</f>
        <v/>
      </c>
      <c r="L44" s="109">
        <f>$L43+N($J44)-N($K44)</f>
        <v/>
      </c>
      <c r="M44" s="110" t="n"/>
      <c r="N44" s="54" t="n"/>
      <c r="O44" s="54" t="n"/>
      <c r="P44" s="54" t="n"/>
      <c r="Q44" s="110" t="n"/>
      <c r="R44" s="110" t="n"/>
      <c r="S44" s="54" t="n"/>
      <c r="T44" s="111">
        <f>IF($G44="","",IFERROR(INDEX(Taux_Devises,MATCH(IF($M44="",Devise_Base,$M44),Codes_Devises,0)),1))</f>
        <v/>
      </c>
      <c r="U44" s="112">
        <f>IF($G44="","",ROUND($G44*$T44,2))</f>
        <v/>
      </c>
      <c r="V44" s="113">
        <f>IF($B44="","",MONTH($B44))</f>
        <v/>
      </c>
      <c r="W44" s="113">
        <f>IF($B44="","",YEAR($B44))</f>
        <v/>
      </c>
    </row>
    <row r="45">
      <c r="B45" s="105" t="n"/>
      <c r="C45" s="54" t="n"/>
      <c r="D45" s="54" t="n"/>
      <c r="E45" s="54" t="n"/>
      <c r="F45" s="54" t="n"/>
      <c r="G45" s="65" t="n"/>
      <c r="H45" s="54" t="n"/>
      <c r="I45" s="106">
        <f>IF($C45="","",IFERROR(INDEX(Sens_Types,MATCH($C45,Liste_Types,0)),""))</f>
        <v/>
      </c>
      <c r="J45" s="107">
        <f>IF($I45="▲ ENTRÉE",$U45,"")</f>
        <v/>
      </c>
      <c r="K45" s="108">
        <f>IF($I45="▼ SORTIE",$U45,"")</f>
        <v/>
      </c>
      <c r="L45" s="109">
        <f>$L44+N($J45)-N($K45)</f>
        <v/>
      </c>
      <c r="M45" s="110" t="n"/>
      <c r="N45" s="54" t="n"/>
      <c r="O45" s="54" t="n"/>
      <c r="P45" s="54" t="n"/>
      <c r="Q45" s="110" t="n"/>
      <c r="R45" s="110" t="n"/>
      <c r="S45" s="54" t="n"/>
      <c r="T45" s="111">
        <f>IF($G45="","",IFERROR(INDEX(Taux_Devises,MATCH(IF($M45="",Devise_Base,$M45),Codes_Devises,0)),1))</f>
        <v/>
      </c>
      <c r="U45" s="112">
        <f>IF($G45="","",ROUND($G45*$T45,2))</f>
        <v/>
      </c>
      <c r="V45" s="113">
        <f>IF($B45="","",MONTH($B45))</f>
        <v/>
      </c>
      <c r="W45" s="113">
        <f>IF($B45="","",YEAR($B45))</f>
        <v/>
      </c>
    </row>
    <row r="46">
      <c r="B46" s="105" t="n"/>
      <c r="C46" s="54" t="n"/>
      <c r="D46" s="54" t="n"/>
      <c r="E46" s="54" t="n"/>
      <c r="F46" s="54" t="n"/>
      <c r="G46" s="65" t="n"/>
      <c r="H46" s="54" t="n"/>
      <c r="I46" s="106">
        <f>IF($C46="","",IFERROR(INDEX(Sens_Types,MATCH($C46,Liste_Types,0)),""))</f>
        <v/>
      </c>
      <c r="J46" s="107">
        <f>IF($I46="▲ ENTRÉE",$U46,"")</f>
        <v/>
      </c>
      <c r="K46" s="108">
        <f>IF($I46="▼ SORTIE",$U46,"")</f>
        <v/>
      </c>
      <c r="L46" s="109">
        <f>$L45+N($J46)-N($K46)</f>
        <v/>
      </c>
      <c r="M46" s="110" t="n"/>
      <c r="N46" s="54" t="n"/>
      <c r="O46" s="54" t="n"/>
      <c r="P46" s="54" t="n"/>
      <c r="Q46" s="110" t="n"/>
      <c r="R46" s="110" t="n"/>
      <c r="S46" s="54" t="n"/>
      <c r="T46" s="111">
        <f>IF($G46="","",IFERROR(INDEX(Taux_Devises,MATCH(IF($M46="",Devise_Base,$M46),Codes_Devises,0)),1))</f>
        <v/>
      </c>
      <c r="U46" s="112">
        <f>IF($G46="","",ROUND($G46*$T46,2))</f>
        <v/>
      </c>
      <c r="V46" s="113">
        <f>IF($B46="","",MONTH($B46))</f>
        <v/>
      </c>
      <c r="W46" s="113">
        <f>IF($B46="","",YEAR($B46))</f>
        <v/>
      </c>
    </row>
    <row r="47">
      <c r="B47" s="105" t="n"/>
      <c r="C47" s="54" t="n"/>
      <c r="D47" s="54" t="n"/>
      <c r="E47" s="54" t="n"/>
      <c r="F47" s="54" t="n"/>
      <c r="G47" s="65" t="n"/>
      <c r="H47" s="54" t="n"/>
      <c r="I47" s="106">
        <f>IF($C47="","",IFERROR(INDEX(Sens_Types,MATCH($C47,Liste_Types,0)),""))</f>
        <v/>
      </c>
      <c r="J47" s="107">
        <f>IF($I47="▲ ENTRÉE",$U47,"")</f>
        <v/>
      </c>
      <c r="K47" s="108">
        <f>IF($I47="▼ SORTIE",$U47,"")</f>
        <v/>
      </c>
      <c r="L47" s="109">
        <f>$L46+N($J47)-N($K47)</f>
        <v/>
      </c>
      <c r="M47" s="110" t="n"/>
      <c r="N47" s="54" t="n"/>
      <c r="O47" s="54" t="n"/>
      <c r="P47" s="54" t="n"/>
      <c r="Q47" s="110" t="n"/>
      <c r="R47" s="110" t="n"/>
      <c r="S47" s="54" t="n"/>
      <c r="T47" s="111">
        <f>IF($G47="","",IFERROR(INDEX(Taux_Devises,MATCH(IF($M47="",Devise_Base,$M47),Codes_Devises,0)),1))</f>
        <v/>
      </c>
      <c r="U47" s="112">
        <f>IF($G47="","",ROUND($G47*$T47,2))</f>
        <v/>
      </c>
      <c r="V47" s="113">
        <f>IF($B47="","",MONTH($B47))</f>
        <v/>
      </c>
      <c r="W47" s="113">
        <f>IF($B47="","",YEAR($B47))</f>
        <v/>
      </c>
    </row>
    <row r="48">
      <c r="B48" s="105" t="n"/>
      <c r="C48" s="54" t="n"/>
      <c r="D48" s="54" t="n"/>
      <c r="E48" s="54" t="n"/>
      <c r="F48" s="54" t="n"/>
      <c r="G48" s="65" t="n"/>
      <c r="H48" s="54" t="n"/>
      <c r="I48" s="106">
        <f>IF($C48="","",IFERROR(INDEX(Sens_Types,MATCH($C48,Liste_Types,0)),""))</f>
        <v/>
      </c>
      <c r="J48" s="107">
        <f>IF($I48="▲ ENTRÉE",$U48,"")</f>
        <v/>
      </c>
      <c r="K48" s="108">
        <f>IF($I48="▼ SORTIE",$U48,"")</f>
        <v/>
      </c>
      <c r="L48" s="109">
        <f>$L47+N($J48)-N($K48)</f>
        <v/>
      </c>
      <c r="M48" s="110" t="n"/>
      <c r="N48" s="54" t="n"/>
      <c r="O48" s="54" t="n"/>
      <c r="P48" s="54" t="n"/>
      <c r="Q48" s="110" t="n"/>
      <c r="R48" s="110" t="n"/>
      <c r="S48" s="54" t="n"/>
      <c r="T48" s="111">
        <f>IF($G48="","",IFERROR(INDEX(Taux_Devises,MATCH(IF($M48="",Devise_Base,$M48),Codes_Devises,0)),1))</f>
        <v/>
      </c>
      <c r="U48" s="112">
        <f>IF($G48="","",ROUND($G48*$T48,2))</f>
        <v/>
      </c>
      <c r="V48" s="113">
        <f>IF($B48="","",MONTH($B48))</f>
        <v/>
      </c>
      <c r="W48" s="113">
        <f>IF($B48="","",YEAR($B48))</f>
        <v/>
      </c>
    </row>
    <row r="49">
      <c r="B49" s="105" t="n"/>
      <c r="C49" s="54" t="n"/>
      <c r="D49" s="54" t="n"/>
      <c r="E49" s="54" t="n"/>
      <c r="F49" s="54" t="n"/>
      <c r="G49" s="65" t="n"/>
      <c r="H49" s="54" t="n"/>
      <c r="I49" s="106">
        <f>IF($C49="","",IFERROR(INDEX(Sens_Types,MATCH($C49,Liste_Types,0)),""))</f>
        <v/>
      </c>
      <c r="J49" s="107">
        <f>IF($I49="▲ ENTRÉE",$U49,"")</f>
        <v/>
      </c>
      <c r="K49" s="108">
        <f>IF($I49="▼ SORTIE",$U49,"")</f>
        <v/>
      </c>
      <c r="L49" s="109">
        <f>$L48+N($J49)-N($K49)</f>
        <v/>
      </c>
      <c r="M49" s="110" t="n"/>
      <c r="N49" s="54" t="n"/>
      <c r="O49" s="54" t="n"/>
      <c r="P49" s="54" t="n"/>
      <c r="Q49" s="110" t="n"/>
      <c r="R49" s="110" t="n"/>
      <c r="S49" s="54" t="n"/>
      <c r="T49" s="111">
        <f>IF($G49="","",IFERROR(INDEX(Taux_Devises,MATCH(IF($M49="",Devise_Base,$M49),Codes_Devises,0)),1))</f>
        <v/>
      </c>
      <c r="U49" s="112">
        <f>IF($G49="","",ROUND($G49*$T49,2))</f>
        <v/>
      </c>
      <c r="V49" s="113">
        <f>IF($B49="","",MONTH($B49))</f>
        <v/>
      </c>
      <c r="W49" s="113">
        <f>IF($B49="","",YEAR($B49))</f>
        <v/>
      </c>
    </row>
    <row r="50">
      <c r="B50" s="105" t="n"/>
      <c r="C50" s="54" t="n"/>
      <c r="D50" s="54" t="n"/>
      <c r="E50" s="54" t="n"/>
      <c r="F50" s="54" t="n"/>
      <c r="G50" s="65" t="n"/>
      <c r="H50" s="54" t="n"/>
      <c r="I50" s="106">
        <f>IF($C50="","",IFERROR(INDEX(Sens_Types,MATCH($C50,Liste_Types,0)),""))</f>
        <v/>
      </c>
      <c r="J50" s="107">
        <f>IF($I50="▲ ENTRÉE",$U50,"")</f>
        <v/>
      </c>
      <c r="K50" s="108">
        <f>IF($I50="▼ SORTIE",$U50,"")</f>
        <v/>
      </c>
      <c r="L50" s="109">
        <f>$L49+N($J50)-N($K50)</f>
        <v/>
      </c>
      <c r="M50" s="110" t="n"/>
      <c r="N50" s="54" t="n"/>
      <c r="O50" s="54" t="n"/>
      <c r="P50" s="54" t="n"/>
      <c r="Q50" s="110" t="n"/>
      <c r="R50" s="110" t="n"/>
      <c r="S50" s="54" t="n"/>
      <c r="T50" s="111">
        <f>IF($G50="","",IFERROR(INDEX(Taux_Devises,MATCH(IF($M50="",Devise_Base,$M50),Codes_Devises,0)),1))</f>
        <v/>
      </c>
      <c r="U50" s="112">
        <f>IF($G50="","",ROUND($G50*$T50,2))</f>
        <v/>
      </c>
      <c r="V50" s="113">
        <f>IF($B50="","",MONTH($B50))</f>
        <v/>
      </c>
      <c r="W50" s="113">
        <f>IF($B50="","",YEAR($B50))</f>
        <v/>
      </c>
    </row>
    <row r="51">
      <c r="B51" s="105" t="n"/>
      <c r="C51" s="54" t="n"/>
      <c r="D51" s="54" t="n"/>
      <c r="E51" s="54" t="n"/>
      <c r="F51" s="54" t="n"/>
      <c r="G51" s="65" t="n"/>
      <c r="H51" s="54" t="n"/>
      <c r="I51" s="106">
        <f>IF($C51="","",IFERROR(INDEX(Sens_Types,MATCH($C51,Liste_Types,0)),""))</f>
        <v/>
      </c>
      <c r="J51" s="107">
        <f>IF($I51="▲ ENTRÉE",$U51,"")</f>
        <v/>
      </c>
      <c r="K51" s="108">
        <f>IF($I51="▼ SORTIE",$U51,"")</f>
        <v/>
      </c>
      <c r="L51" s="109">
        <f>$L50+N($J51)-N($K51)</f>
        <v/>
      </c>
      <c r="M51" s="110" t="n"/>
      <c r="N51" s="54" t="n"/>
      <c r="O51" s="54" t="n"/>
      <c r="P51" s="54" t="n"/>
      <c r="Q51" s="110" t="n"/>
      <c r="R51" s="110" t="n"/>
      <c r="S51" s="54" t="n"/>
      <c r="T51" s="111">
        <f>IF($G51="","",IFERROR(INDEX(Taux_Devises,MATCH(IF($M51="",Devise_Base,$M51),Codes_Devises,0)),1))</f>
        <v/>
      </c>
      <c r="U51" s="112">
        <f>IF($G51="","",ROUND($G51*$T51,2))</f>
        <v/>
      </c>
      <c r="V51" s="113">
        <f>IF($B51="","",MONTH($B51))</f>
        <v/>
      </c>
      <c r="W51" s="113">
        <f>IF($B51="","",YEAR($B51))</f>
        <v/>
      </c>
    </row>
    <row r="52">
      <c r="B52" s="105" t="n"/>
      <c r="C52" s="54" t="n"/>
      <c r="D52" s="54" t="n"/>
      <c r="E52" s="54" t="n"/>
      <c r="F52" s="54" t="n"/>
      <c r="G52" s="65" t="n"/>
      <c r="H52" s="54" t="n"/>
      <c r="I52" s="106">
        <f>IF($C52="","",IFERROR(INDEX(Sens_Types,MATCH($C52,Liste_Types,0)),""))</f>
        <v/>
      </c>
      <c r="J52" s="107">
        <f>IF($I52="▲ ENTRÉE",$U52,"")</f>
        <v/>
      </c>
      <c r="K52" s="108">
        <f>IF($I52="▼ SORTIE",$U52,"")</f>
        <v/>
      </c>
      <c r="L52" s="109">
        <f>$L51+N($J52)-N($K52)</f>
        <v/>
      </c>
      <c r="M52" s="110" t="n"/>
      <c r="N52" s="54" t="n"/>
      <c r="O52" s="54" t="n"/>
      <c r="P52" s="54" t="n"/>
      <c r="Q52" s="110" t="n"/>
      <c r="R52" s="110" t="n"/>
      <c r="S52" s="54" t="n"/>
      <c r="T52" s="111">
        <f>IF($G52="","",IFERROR(INDEX(Taux_Devises,MATCH(IF($M52="",Devise_Base,$M52),Codes_Devises,0)),1))</f>
        <v/>
      </c>
      <c r="U52" s="112">
        <f>IF($G52="","",ROUND($G52*$T52,2))</f>
        <v/>
      </c>
      <c r="V52" s="113">
        <f>IF($B52="","",MONTH($B52))</f>
        <v/>
      </c>
      <c r="W52" s="113">
        <f>IF($B52="","",YEAR($B52))</f>
        <v/>
      </c>
    </row>
    <row r="53">
      <c r="B53" s="105" t="n"/>
      <c r="C53" s="54" t="n"/>
      <c r="D53" s="54" t="n"/>
      <c r="E53" s="54" t="n"/>
      <c r="F53" s="54" t="n"/>
      <c r="G53" s="65" t="n"/>
      <c r="H53" s="54" t="n"/>
      <c r="I53" s="106">
        <f>IF($C53="","",IFERROR(INDEX(Sens_Types,MATCH($C53,Liste_Types,0)),""))</f>
        <v/>
      </c>
      <c r="J53" s="107">
        <f>IF($I53="▲ ENTRÉE",$U53,"")</f>
        <v/>
      </c>
      <c r="K53" s="108">
        <f>IF($I53="▼ SORTIE",$U53,"")</f>
        <v/>
      </c>
      <c r="L53" s="109">
        <f>$L52+N($J53)-N($K53)</f>
        <v/>
      </c>
      <c r="M53" s="110" t="n"/>
      <c r="N53" s="54" t="n"/>
      <c r="O53" s="54" t="n"/>
      <c r="P53" s="54" t="n"/>
      <c r="Q53" s="110" t="n"/>
      <c r="R53" s="110" t="n"/>
      <c r="S53" s="54" t="n"/>
      <c r="T53" s="111">
        <f>IF($G53="","",IFERROR(INDEX(Taux_Devises,MATCH(IF($M53="",Devise_Base,$M53),Codes_Devises,0)),1))</f>
        <v/>
      </c>
      <c r="U53" s="112">
        <f>IF($G53="","",ROUND($G53*$T53,2))</f>
        <v/>
      </c>
      <c r="V53" s="113">
        <f>IF($B53="","",MONTH($B53))</f>
        <v/>
      </c>
      <c r="W53" s="113">
        <f>IF($B53="","",YEAR($B53))</f>
        <v/>
      </c>
    </row>
    <row r="54">
      <c r="B54" s="105" t="n"/>
      <c r="C54" s="54" t="n"/>
      <c r="D54" s="54" t="n"/>
      <c r="E54" s="54" t="n"/>
      <c r="F54" s="54" t="n"/>
      <c r="G54" s="65" t="n"/>
      <c r="H54" s="54" t="n"/>
      <c r="I54" s="106">
        <f>IF($C54="","",IFERROR(INDEX(Sens_Types,MATCH($C54,Liste_Types,0)),""))</f>
        <v/>
      </c>
      <c r="J54" s="107">
        <f>IF($I54="▲ ENTRÉE",$U54,"")</f>
        <v/>
      </c>
      <c r="K54" s="108">
        <f>IF($I54="▼ SORTIE",$U54,"")</f>
        <v/>
      </c>
      <c r="L54" s="109">
        <f>$L53+N($J54)-N($K54)</f>
        <v/>
      </c>
      <c r="M54" s="110" t="n"/>
      <c r="N54" s="54" t="n"/>
      <c r="O54" s="54" t="n"/>
      <c r="P54" s="54" t="n"/>
      <c r="Q54" s="110" t="n"/>
      <c r="R54" s="110" t="n"/>
      <c r="S54" s="54" t="n"/>
      <c r="T54" s="111">
        <f>IF($G54="","",IFERROR(INDEX(Taux_Devises,MATCH(IF($M54="",Devise_Base,$M54),Codes_Devises,0)),1))</f>
        <v/>
      </c>
      <c r="U54" s="112">
        <f>IF($G54="","",ROUND($G54*$T54,2))</f>
        <v/>
      </c>
      <c r="V54" s="113">
        <f>IF($B54="","",MONTH($B54))</f>
        <v/>
      </c>
      <c r="W54" s="113">
        <f>IF($B54="","",YEAR($B54))</f>
        <v/>
      </c>
    </row>
    <row r="55">
      <c r="B55" s="105" t="n"/>
      <c r="C55" s="54" t="n"/>
      <c r="D55" s="54" t="n"/>
      <c r="E55" s="54" t="n"/>
      <c r="F55" s="54" t="n"/>
      <c r="G55" s="65" t="n"/>
      <c r="H55" s="54" t="n"/>
      <c r="I55" s="106">
        <f>IF($C55="","",IFERROR(INDEX(Sens_Types,MATCH($C55,Liste_Types,0)),""))</f>
        <v/>
      </c>
      <c r="J55" s="107">
        <f>IF($I55="▲ ENTRÉE",$U55,"")</f>
        <v/>
      </c>
      <c r="K55" s="108">
        <f>IF($I55="▼ SORTIE",$U55,"")</f>
        <v/>
      </c>
      <c r="L55" s="109">
        <f>$L54+N($J55)-N($K55)</f>
        <v/>
      </c>
      <c r="M55" s="110" t="n"/>
      <c r="N55" s="54" t="n"/>
      <c r="O55" s="54" t="n"/>
      <c r="P55" s="54" t="n"/>
      <c r="Q55" s="110" t="n"/>
      <c r="R55" s="110" t="n"/>
      <c r="S55" s="54" t="n"/>
      <c r="T55" s="111">
        <f>IF($G55="","",IFERROR(INDEX(Taux_Devises,MATCH(IF($M55="",Devise_Base,$M55),Codes_Devises,0)),1))</f>
        <v/>
      </c>
      <c r="U55" s="112">
        <f>IF($G55="","",ROUND($G55*$T55,2))</f>
        <v/>
      </c>
      <c r="V55" s="113">
        <f>IF($B55="","",MONTH($B55))</f>
        <v/>
      </c>
      <c r="W55" s="113">
        <f>IF($B55="","",YEAR($B55))</f>
        <v/>
      </c>
    </row>
    <row r="56">
      <c r="B56" s="105" t="n"/>
      <c r="C56" s="54" t="n"/>
      <c r="D56" s="54" t="n"/>
      <c r="E56" s="54" t="n"/>
      <c r="F56" s="54" t="n"/>
      <c r="G56" s="65" t="n"/>
      <c r="H56" s="54" t="n"/>
      <c r="I56" s="106">
        <f>IF($C56="","",IFERROR(INDEX(Sens_Types,MATCH($C56,Liste_Types,0)),""))</f>
        <v/>
      </c>
      <c r="J56" s="107">
        <f>IF($I56="▲ ENTRÉE",$U56,"")</f>
        <v/>
      </c>
      <c r="K56" s="108">
        <f>IF($I56="▼ SORTIE",$U56,"")</f>
        <v/>
      </c>
      <c r="L56" s="109">
        <f>$L55+N($J56)-N($K56)</f>
        <v/>
      </c>
      <c r="M56" s="110" t="n"/>
      <c r="N56" s="54" t="n"/>
      <c r="O56" s="54" t="n"/>
      <c r="P56" s="54" t="n"/>
      <c r="Q56" s="110" t="n"/>
      <c r="R56" s="110" t="n"/>
      <c r="S56" s="54" t="n"/>
      <c r="T56" s="111">
        <f>IF($G56="","",IFERROR(INDEX(Taux_Devises,MATCH(IF($M56="",Devise_Base,$M56),Codes_Devises,0)),1))</f>
        <v/>
      </c>
      <c r="U56" s="112">
        <f>IF($G56="","",ROUND($G56*$T56,2))</f>
        <v/>
      </c>
      <c r="V56" s="113">
        <f>IF($B56="","",MONTH($B56))</f>
        <v/>
      </c>
      <c r="W56" s="113">
        <f>IF($B56="","",YEAR($B56))</f>
        <v/>
      </c>
    </row>
    <row r="57">
      <c r="B57" s="105" t="n"/>
      <c r="C57" s="54" t="n"/>
      <c r="D57" s="54" t="n"/>
      <c r="E57" s="54" t="n"/>
      <c r="F57" s="54" t="n"/>
      <c r="G57" s="65" t="n"/>
      <c r="H57" s="54" t="n"/>
      <c r="I57" s="106">
        <f>IF($C57="","",IFERROR(INDEX(Sens_Types,MATCH($C57,Liste_Types,0)),""))</f>
        <v/>
      </c>
      <c r="J57" s="107">
        <f>IF($I57="▲ ENTRÉE",$U57,"")</f>
        <v/>
      </c>
      <c r="K57" s="108">
        <f>IF($I57="▼ SORTIE",$U57,"")</f>
        <v/>
      </c>
      <c r="L57" s="109">
        <f>$L56+N($J57)-N($K57)</f>
        <v/>
      </c>
      <c r="M57" s="110" t="n"/>
      <c r="N57" s="54" t="n"/>
      <c r="O57" s="54" t="n"/>
      <c r="P57" s="54" t="n"/>
      <c r="Q57" s="110" t="n"/>
      <c r="R57" s="110" t="n"/>
      <c r="S57" s="54" t="n"/>
      <c r="T57" s="111">
        <f>IF($G57="","",IFERROR(INDEX(Taux_Devises,MATCH(IF($M57="",Devise_Base,$M57),Codes_Devises,0)),1))</f>
        <v/>
      </c>
      <c r="U57" s="112">
        <f>IF($G57="","",ROUND($G57*$T57,2))</f>
        <v/>
      </c>
      <c r="V57" s="113">
        <f>IF($B57="","",MONTH($B57))</f>
        <v/>
      </c>
      <c r="W57" s="113">
        <f>IF($B57="","",YEAR($B57))</f>
        <v/>
      </c>
    </row>
    <row r="58">
      <c r="B58" s="105" t="n"/>
      <c r="C58" s="54" t="n"/>
      <c r="D58" s="54" t="n"/>
      <c r="E58" s="54" t="n"/>
      <c r="F58" s="54" t="n"/>
      <c r="G58" s="65" t="n"/>
      <c r="H58" s="54" t="n"/>
      <c r="I58" s="106">
        <f>IF($C58="","",IFERROR(INDEX(Sens_Types,MATCH($C58,Liste_Types,0)),""))</f>
        <v/>
      </c>
      <c r="J58" s="107">
        <f>IF($I58="▲ ENTRÉE",$U58,"")</f>
        <v/>
      </c>
      <c r="K58" s="108">
        <f>IF($I58="▼ SORTIE",$U58,"")</f>
        <v/>
      </c>
      <c r="L58" s="109">
        <f>$L57+N($J58)-N($K58)</f>
        <v/>
      </c>
      <c r="M58" s="110" t="n"/>
      <c r="N58" s="54" t="n"/>
      <c r="O58" s="54" t="n"/>
      <c r="P58" s="54" t="n"/>
      <c r="Q58" s="110" t="n"/>
      <c r="R58" s="110" t="n"/>
      <c r="S58" s="54" t="n"/>
      <c r="T58" s="111">
        <f>IF($G58="","",IFERROR(INDEX(Taux_Devises,MATCH(IF($M58="",Devise_Base,$M58),Codes_Devises,0)),1))</f>
        <v/>
      </c>
      <c r="U58" s="112">
        <f>IF($G58="","",ROUND($G58*$T58,2))</f>
        <v/>
      </c>
      <c r="V58" s="113">
        <f>IF($B58="","",MONTH($B58))</f>
        <v/>
      </c>
      <c r="W58" s="113">
        <f>IF($B58="","",YEAR($B58))</f>
        <v/>
      </c>
    </row>
    <row r="59">
      <c r="B59" s="105" t="n"/>
      <c r="C59" s="54" t="n"/>
      <c r="D59" s="54" t="n"/>
      <c r="E59" s="54" t="n"/>
      <c r="F59" s="54" t="n"/>
      <c r="G59" s="65" t="n"/>
      <c r="H59" s="54" t="n"/>
      <c r="I59" s="106">
        <f>IF($C59="","",IFERROR(INDEX(Sens_Types,MATCH($C59,Liste_Types,0)),""))</f>
        <v/>
      </c>
      <c r="J59" s="107">
        <f>IF($I59="▲ ENTRÉE",$U59,"")</f>
        <v/>
      </c>
      <c r="K59" s="108">
        <f>IF($I59="▼ SORTIE",$U59,"")</f>
        <v/>
      </c>
      <c r="L59" s="109">
        <f>$L58+N($J59)-N($K59)</f>
        <v/>
      </c>
      <c r="M59" s="110" t="n"/>
      <c r="N59" s="54" t="n"/>
      <c r="O59" s="54" t="n"/>
      <c r="P59" s="54" t="n"/>
      <c r="Q59" s="110" t="n"/>
      <c r="R59" s="110" t="n"/>
      <c r="S59" s="54" t="n"/>
      <c r="T59" s="111">
        <f>IF($G59="","",IFERROR(INDEX(Taux_Devises,MATCH(IF($M59="",Devise_Base,$M59),Codes_Devises,0)),1))</f>
        <v/>
      </c>
      <c r="U59" s="112">
        <f>IF($G59="","",ROUND($G59*$T59,2))</f>
        <v/>
      </c>
      <c r="V59" s="113">
        <f>IF($B59="","",MONTH($B59))</f>
        <v/>
      </c>
      <c r="W59" s="113">
        <f>IF($B59="","",YEAR($B59))</f>
        <v/>
      </c>
    </row>
    <row r="60">
      <c r="B60" s="105" t="n"/>
      <c r="C60" s="54" t="n"/>
      <c r="D60" s="54" t="n"/>
      <c r="E60" s="54" t="n"/>
      <c r="F60" s="54" t="n"/>
      <c r="G60" s="65" t="n"/>
      <c r="H60" s="54" t="n"/>
      <c r="I60" s="106">
        <f>IF($C60="","",IFERROR(INDEX(Sens_Types,MATCH($C60,Liste_Types,0)),""))</f>
        <v/>
      </c>
      <c r="J60" s="107">
        <f>IF($I60="▲ ENTRÉE",$U60,"")</f>
        <v/>
      </c>
      <c r="K60" s="108">
        <f>IF($I60="▼ SORTIE",$U60,"")</f>
        <v/>
      </c>
      <c r="L60" s="109">
        <f>$L59+N($J60)-N($K60)</f>
        <v/>
      </c>
      <c r="M60" s="110" t="n"/>
      <c r="N60" s="54" t="n"/>
      <c r="O60" s="54" t="n"/>
      <c r="P60" s="54" t="n"/>
      <c r="Q60" s="110" t="n"/>
      <c r="R60" s="110" t="n"/>
      <c r="S60" s="54" t="n"/>
      <c r="T60" s="111">
        <f>IF($G60="","",IFERROR(INDEX(Taux_Devises,MATCH(IF($M60="",Devise_Base,$M60),Codes_Devises,0)),1))</f>
        <v/>
      </c>
      <c r="U60" s="112">
        <f>IF($G60="","",ROUND($G60*$T60,2))</f>
        <v/>
      </c>
      <c r="V60" s="113">
        <f>IF($B60="","",MONTH($B60))</f>
        <v/>
      </c>
      <c r="W60" s="113">
        <f>IF($B60="","",YEAR($B60))</f>
        <v/>
      </c>
    </row>
    <row r="61">
      <c r="B61" s="105" t="n"/>
      <c r="C61" s="54" t="n"/>
      <c r="D61" s="54" t="n"/>
      <c r="E61" s="54" t="n"/>
      <c r="F61" s="54" t="n"/>
      <c r="G61" s="65" t="n"/>
      <c r="H61" s="54" t="n"/>
      <c r="I61" s="106">
        <f>IF($C61="","",IFERROR(INDEX(Sens_Types,MATCH($C61,Liste_Types,0)),""))</f>
        <v/>
      </c>
      <c r="J61" s="107">
        <f>IF($I61="▲ ENTRÉE",$U61,"")</f>
        <v/>
      </c>
      <c r="K61" s="108">
        <f>IF($I61="▼ SORTIE",$U61,"")</f>
        <v/>
      </c>
      <c r="L61" s="109">
        <f>$L60+N($J61)-N($K61)</f>
        <v/>
      </c>
      <c r="M61" s="110" t="n"/>
      <c r="N61" s="54" t="n"/>
      <c r="O61" s="54" t="n"/>
      <c r="P61" s="54" t="n"/>
      <c r="Q61" s="110" t="n"/>
      <c r="R61" s="110" t="n"/>
      <c r="S61" s="54" t="n"/>
      <c r="T61" s="111">
        <f>IF($G61="","",IFERROR(INDEX(Taux_Devises,MATCH(IF($M61="",Devise_Base,$M61),Codes_Devises,0)),1))</f>
        <v/>
      </c>
      <c r="U61" s="112">
        <f>IF($G61="","",ROUND($G61*$T61,2))</f>
        <v/>
      </c>
      <c r="V61" s="113">
        <f>IF($B61="","",MONTH($B61))</f>
        <v/>
      </c>
      <c r="W61" s="113">
        <f>IF($B61="","",YEAR($B61))</f>
        <v/>
      </c>
    </row>
    <row r="62">
      <c r="B62" s="105" t="n"/>
      <c r="C62" s="54" t="n"/>
      <c r="D62" s="54" t="n"/>
      <c r="E62" s="54" t="n"/>
      <c r="F62" s="54" t="n"/>
      <c r="G62" s="65" t="n"/>
      <c r="H62" s="54" t="n"/>
      <c r="I62" s="106">
        <f>IF($C62="","",IFERROR(INDEX(Sens_Types,MATCH($C62,Liste_Types,0)),""))</f>
        <v/>
      </c>
      <c r="J62" s="107">
        <f>IF($I62="▲ ENTRÉE",$U62,"")</f>
        <v/>
      </c>
      <c r="K62" s="108">
        <f>IF($I62="▼ SORTIE",$U62,"")</f>
        <v/>
      </c>
      <c r="L62" s="109">
        <f>$L61+N($J62)-N($K62)</f>
        <v/>
      </c>
      <c r="M62" s="110" t="n"/>
      <c r="N62" s="54" t="n"/>
      <c r="O62" s="54" t="n"/>
      <c r="P62" s="54" t="n"/>
      <c r="Q62" s="110" t="n"/>
      <c r="R62" s="110" t="n"/>
      <c r="S62" s="54" t="n"/>
      <c r="T62" s="111">
        <f>IF($G62="","",IFERROR(INDEX(Taux_Devises,MATCH(IF($M62="",Devise_Base,$M62),Codes_Devises,0)),1))</f>
        <v/>
      </c>
      <c r="U62" s="112">
        <f>IF($G62="","",ROUND($G62*$T62,2))</f>
        <v/>
      </c>
      <c r="V62" s="113">
        <f>IF($B62="","",MONTH($B62))</f>
        <v/>
      </c>
      <c r="W62" s="113">
        <f>IF($B62="","",YEAR($B62))</f>
        <v/>
      </c>
    </row>
    <row r="63">
      <c r="B63" s="105" t="n"/>
      <c r="C63" s="54" t="n"/>
      <c r="D63" s="54" t="n"/>
      <c r="E63" s="54" t="n"/>
      <c r="F63" s="54" t="n"/>
      <c r="G63" s="65" t="n"/>
      <c r="H63" s="54" t="n"/>
      <c r="I63" s="106">
        <f>IF($C63="","",IFERROR(INDEX(Sens_Types,MATCH($C63,Liste_Types,0)),""))</f>
        <v/>
      </c>
      <c r="J63" s="107">
        <f>IF($I63="▲ ENTRÉE",$U63,"")</f>
        <v/>
      </c>
      <c r="K63" s="108">
        <f>IF($I63="▼ SORTIE",$U63,"")</f>
        <v/>
      </c>
      <c r="L63" s="109">
        <f>$L62+N($J63)-N($K63)</f>
        <v/>
      </c>
      <c r="M63" s="110" t="n"/>
      <c r="N63" s="54" t="n"/>
      <c r="O63" s="54" t="n"/>
      <c r="P63" s="54" t="n"/>
      <c r="Q63" s="110" t="n"/>
      <c r="R63" s="110" t="n"/>
      <c r="S63" s="54" t="n"/>
      <c r="T63" s="111">
        <f>IF($G63="","",IFERROR(INDEX(Taux_Devises,MATCH(IF($M63="",Devise_Base,$M63),Codes_Devises,0)),1))</f>
        <v/>
      </c>
      <c r="U63" s="112">
        <f>IF($G63="","",ROUND($G63*$T63,2))</f>
        <v/>
      </c>
      <c r="V63" s="113">
        <f>IF($B63="","",MONTH($B63))</f>
        <v/>
      </c>
      <c r="W63" s="113">
        <f>IF($B63="","",YEAR($B63))</f>
        <v/>
      </c>
    </row>
    <row r="64">
      <c r="B64" s="105" t="n"/>
      <c r="C64" s="54" t="n"/>
      <c r="D64" s="54" t="n"/>
      <c r="E64" s="54" t="n"/>
      <c r="F64" s="54" t="n"/>
      <c r="G64" s="65" t="n"/>
      <c r="H64" s="54" t="n"/>
      <c r="I64" s="106">
        <f>IF($C64="","",IFERROR(INDEX(Sens_Types,MATCH($C64,Liste_Types,0)),""))</f>
        <v/>
      </c>
      <c r="J64" s="107">
        <f>IF($I64="▲ ENTRÉE",$U64,"")</f>
        <v/>
      </c>
      <c r="K64" s="108">
        <f>IF($I64="▼ SORTIE",$U64,"")</f>
        <v/>
      </c>
      <c r="L64" s="109">
        <f>$L63+N($J64)-N($K64)</f>
        <v/>
      </c>
      <c r="M64" s="110" t="n"/>
      <c r="N64" s="54" t="n"/>
      <c r="O64" s="54" t="n"/>
      <c r="P64" s="54" t="n"/>
      <c r="Q64" s="110" t="n"/>
      <c r="R64" s="110" t="n"/>
      <c r="S64" s="54" t="n"/>
      <c r="T64" s="111">
        <f>IF($G64="","",IFERROR(INDEX(Taux_Devises,MATCH(IF($M64="",Devise_Base,$M64),Codes_Devises,0)),1))</f>
        <v/>
      </c>
      <c r="U64" s="112">
        <f>IF($G64="","",ROUND($G64*$T64,2))</f>
        <v/>
      </c>
      <c r="V64" s="113">
        <f>IF($B64="","",MONTH($B64))</f>
        <v/>
      </c>
      <c r="W64" s="113">
        <f>IF($B64="","",YEAR($B64))</f>
        <v/>
      </c>
    </row>
    <row r="65">
      <c r="B65" s="105" t="n"/>
      <c r="C65" s="54" t="n"/>
      <c r="D65" s="54" t="n"/>
      <c r="E65" s="54" t="n"/>
      <c r="F65" s="54" t="n"/>
      <c r="G65" s="65" t="n"/>
      <c r="H65" s="54" t="n"/>
      <c r="I65" s="106">
        <f>IF($C65="","",IFERROR(INDEX(Sens_Types,MATCH($C65,Liste_Types,0)),""))</f>
        <v/>
      </c>
      <c r="J65" s="107">
        <f>IF($I65="▲ ENTRÉE",$U65,"")</f>
        <v/>
      </c>
      <c r="K65" s="108">
        <f>IF($I65="▼ SORTIE",$U65,"")</f>
        <v/>
      </c>
      <c r="L65" s="109">
        <f>$L64+N($J65)-N($K65)</f>
        <v/>
      </c>
      <c r="M65" s="110" t="n"/>
      <c r="N65" s="54" t="n"/>
      <c r="O65" s="54" t="n"/>
      <c r="P65" s="54" t="n"/>
      <c r="Q65" s="110" t="n"/>
      <c r="R65" s="110" t="n"/>
      <c r="S65" s="54" t="n"/>
      <c r="T65" s="111">
        <f>IF($G65="","",IFERROR(INDEX(Taux_Devises,MATCH(IF($M65="",Devise_Base,$M65),Codes_Devises,0)),1))</f>
        <v/>
      </c>
      <c r="U65" s="112">
        <f>IF($G65="","",ROUND($G65*$T65,2))</f>
        <v/>
      </c>
      <c r="V65" s="113">
        <f>IF($B65="","",MONTH($B65))</f>
        <v/>
      </c>
      <c r="W65" s="113">
        <f>IF($B65="","",YEAR($B65))</f>
        <v/>
      </c>
    </row>
    <row r="66">
      <c r="B66" s="105" t="n"/>
      <c r="C66" s="54" t="n"/>
      <c r="D66" s="54" t="n"/>
      <c r="E66" s="54" t="n"/>
      <c r="F66" s="54" t="n"/>
      <c r="G66" s="65" t="n"/>
      <c r="H66" s="54" t="n"/>
      <c r="I66" s="106">
        <f>IF($C66="","",IFERROR(INDEX(Sens_Types,MATCH($C66,Liste_Types,0)),""))</f>
        <v/>
      </c>
      <c r="J66" s="107">
        <f>IF($I66="▲ ENTRÉE",$U66,"")</f>
        <v/>
      </c>
      <c r="K66" s="108">
        <f>IF($I66="▼ SORTIE",$U66,"")</f>
        <v/>
      </c>
      <c r="L66" s="109">
        <f>$L65+N($J66)-N($K66)</f>
        <v/>
      </c>
      <c r="M66" s="110" t="n"/>
      <c r="N66" s="54" t="n"/>
      <c r="O66" s="54" t="n"/>
      <c r="P66" s="54" t="n"/>
      <c r="Q66" s="110" t="n"/>
      <c r="R66" s="110" t="n"/>
      <c r="S66" s="54" t="n"/>
      <c r="T66" s="111">
        <f>IF($G66="","",IFERROR(INDEX(Taux_Devises,MATCH(IF($M66="",Devise_Base,$M66),Codes_Devises,0)),1))</f>
        <v/>
      </c>
      <c r="U66" s="112">
        <f>IF($G66="","",ROUND($G66*$T66,2))</f>
        <v/>
      </c>
      <c r="V66" s="113">
        <f>IF($B66="","",MONTH($B66))</f>
        <v/>
      </c>
      <c r="W66" s="113">
        <f>IF($B66="","",YEAR($B66))</f>
        <v/>
      </c>
    </row>
    <row r="67">
      <c r="B67" s="105" t="n"/>
      <c r="C67" s="54" t="n"/>
      <c r="D67" s="54" t="n"/>
      <c r="E67" s="54" t="n"/>
      <c r="F67" s="54" t="n"/>
      <c r="G67" s="65" t="n"/>
      <c r="H67" s="54" t="n"/>
      <c r="I67" s="106">
        <f>IF($C67="","",IFERROR(INDEX(Sens_Types,MATCH($C67,Liste_Types,0)),""))</f>
        <v/>
      </c>
      <c r="J67" s="107">
        <f>IF($I67="▲ ENTRÉE",$U67,"")</f>
        <v/>
      </c>
      <c r="K67" s="108">
        <f>IF($I67="▼ SORTIE",$U67,"")</f>
        <v/>
      </c>
      <c r="L67" s="109">
        <f>$L66+N($J67)-N($K67)</f>
        <v/>
      </c>
      <c r="M67" s="110" t="n"/>
      <c r="N67" s="54" t="n"/>
      <c r="O67" s="54" t="n"/>
      <c r="P67" s="54" t="n"/>
      <c r="Q67" s="110" t="n"/>
      <c r="R67" s="110" t="n"/>
      <c r="S67" s="54" t="n"/>
      <c r="T67" s="111">
        <f>IF($G67="","",IFERROR(INDEX(Taux_Devises,MATCH(IF($M67="",Devise_Base,$M67),Codes_Devises,0)),1))</f>
        <v/>
      </c>
      <c r="U67" s="112">
        <f>IF($G67="","",ROUND($G67*$T67,2))</f>
        <v/>
      </c>
      <c r="V67" s="113">
        <f>IF($B67="","",MONTH($B67))</f>
        <v/>
      </c>
      <c r="W67" s="113">
        <f>IF($B67="","",YEAR($B67))</f>
        <v/>
      </c>
    </row>
    <row r="68">
      <c r="B68" s="105" t="n"/>
      <c r="C68" s="54" t="n"/>
      <c r="D68" s="54" t="n"/>
      <c r="E68" s="54" t="n"/>
      <c r="F68" s="54" t="n"/>
      <c r="G68" s="65" t="n"/>
      <c r="H68" s="54" t="n"/>
      <c r="I68" s="106">
        <f>IF($C68="","",IFERROR(INDEX(Sens_Types,MATCH($C68,Liste_Types,0)),""))</f>
        <v/>
      </c>
      <c r="J68" s="107">
        <f>IF($I68="▲ ENTRÉE",$U68,"")</f>
        <v/>
      </c>
      <c r="K68" s="108">
        <f>IF($I68="▼ SORTIE",$U68,"")</f>
        <v/>
      </c>
      <c r="L68" s="109">
        <f>$L67+N($J68)-N($K68)</f>
        <v/>
      </c>
      <c r="M68" s="110" t="n"/>
      <c r="N68" s="54" t="n"/>
      <c r="O68" s="54" t="n"/>
      <c r="P68" s="54" t="n"/>
      <c r="Q68" s="110" t="n"/>
      <c r="R68" s="110" t="n"/>
      <c r="S68" s="54" t="n"/>
      <c r="T68" s="111">
        <f>IF($G68="","",IFERROR(INDEX(Taux_Devises,MATCH(IF($M68="",Devise_Base,$M68),Codes_Devises,0)),1))</f>
        <v/>
      </c>
      <c r="U68" s="112">
        <f>IF($G68="","",ROUND($G68*$T68,2))</f>
        <v/>
      </c>
      <c r="V68" s="113">
        <f>IF($B68="","",MONTH($B68))</f>
        <v/>
      </c>
      <c r="W68" s="113">
        <f>IF($B68="","",YEAR($B68))</f>
        <v/>
      </c>
    </row>
    <row r="69">
      <c r="B69" s="105" t="n"/>
      <c r="C69" s="54" t="n"/>
      <c r="D69" s="54" t="n"/>
      <c r="E69" s="54" t="n"/>
      <c r="F69" s="54" t="n"/>
      <c r="G69" s="65" t="n"/>
      <c r="H69" s="54" t="n"/>
      <c r="I69" s="106">
        <f>IF($C69="","",IFERROR(INDEX(Sens_Types,MATCH($C69,Liste_Types,0)),""))</f>
        <v/>
      </c>
      <c r="J69" s="107">
        <f>IF($I69="▲ ENTRÉE",$U69,"")</f>
        <v/>
      </c>
      <c r="K69" s="108">
        <f>IF($I69="▼ SORTIE",$U69,"")</f>
        <v/>
      </c>
      <c r="L69" s="109">
        <f>$L68+N($J69)-N($K69)</f>
        <v/>
      </c>
      <c r="M69" s="110" t="n"/>
      <c r="N69" s="54" t="n"/>
      <c r="O69" s="54" t="n"/>
      <c r="P69" s="54" t="n"/>
      <c r="Q69" s="110" t="n"/>
      <c r="R69" s="110" t="n"/>
      <c r="S69" s="54" t="n"/>
      <c r="T69" s="111">
        <f>IF($G69="","",IFERROR(INDEX(Taux_Devises,MATCH(IF($M69="",Devise_Base,$M69),Codes_Devises,0)),1))</f>
        <v/>
      </c>
      <c r="U69" s="112">
        <f>IF($G69="","",ROUND($G69*$T69,2))</f>
        <v/>
      </c>
      <c r="V69" s="113">
        <f>IF($B69="","",MONTH($B69))</f>
        <v/>
      </c>
      <c r="W69" s="113">
        <f>IF($B69="","",YEAR($B69))</f>
        <v/>
      </c>
    </row>
    <row r="70">
      <c r="B70" s="105" t="n"/>
      <c r="C70" s="54" t="n"/>
      <c r="D70" s="54" t="n"/>
      <c r="E70" s="54" t="n"/>
      <c r="F70" s="54" t="n"/>
      <c r="G70" s="65" t="n"/>
      <c r="H70" s="54" t="n"/>
      <c r="I70" s="106">
        <f>IF($C70="","",IFERROR(INDEX(Sens_Types,MATCH($C70,Liste_Types,0)),""))</f>
        <v/>
      </c>
      <c r="J70" s="107">
        <f>IF($I70="▲ ENTRÉE",$U70,"")</f>
        <v/>
      </c>
      <c r="K70" s="108">
        <f>IF($I70="▼ SORTIE",$U70,"")</f>
        <v/>
      </c>
      <c r="L70" s="109">
        <f>$L69+N($J70)-N($K70)</f>
        <v/>
      </c>
      <c r="M70" s="110" t="n"/>
      <c r="N70" s="54" t="n"/>
      <c r="O70" s="54" t="n"/>
      <c r="P70" s="54" t="n"/>
      <c r="Q70" s="110" t="n"/>
      <c r="R70" s="110" t="n"/>
      <c r="S70" s="54" t="n"/>
      <c r="T70" s="111">
        <f>IF($G70="","",IFERROR(INDEX(Taux_Devises,MATCH(IF($M70="",Devise_Base,$M70),Codes_Devises,0)),1))</f>
        <v/>
      </c>
      <c r="U70" s="112">
        <f>IF($G70="","",ROUND($G70*$T70,2))</f>
        <v/>
      </c>
      <c r="V70" s="113">
        <f>IF($B70="","",MONTH($B70))</f>
        <v/>
      </c>
      <c r="W70" s="113">
        <f>IF($B70="","",YEAR($B70))</f>
        <v/>
      </c>
    </row>
    <row r="71">
      <c r="B71" s="105" t="n"/>
      <c r="C71" s="54" t="n"/>
      <c r="D71" s="54" t="n"/>
      <c r="E71" s="54" t="n"/>
      <c r="F71" s="54" t="n"/>
      <c r="G71" s="65" t="n"/>
      <c r="H71" s="54" t="n"/>
      <c r="I71" s="106">
        <f>IF($C71="","",IFERROR(INDEX(Sens_Types,MATCH($C71,Liste_Types,0)),""))</f>
        <v/>
      </c>
      <c r="J71" s="107">
        <f>IF($I71="▲ ENTRÉE",$U71,"")</f>
        <v/>
      </c>
      <c r="K71" s="108">
        <f>IF($I71="▼ SORTIE",$U71,"")</f>
        <v/>
      </c>
      <c r="L71" s="109">
        <f>$L70+N($J71)-N($K71)</f>
        <v/>
      </c>
      <c r="M71" s="110" t="n"/>
      <c r="N71" s="54" t="n"/>
      <c r="O71" s="54" t="n"/>
      <c r="P71" s="54" t="n"/>
      <c r="Q71" s="110" t="n"/>
      <c r="R71" s="110" t="n"/>
      <c r="S71" s="54" t="n"/>
      <c r="T71" s="111">
        <f>IF($G71="","",IFERROR(INDEX(Taux_Devises,MATCH(IF($M71="",Devise_Base,$M71),Codes_Devises,0)),1))</f>
        <v/>
      </c>
      <c r="U71" s="112">
        <f>IF($G71="","",ROUND($G71*$T71,2))</f>
        <v/>
      </c>
      <c r="V71" s="113">
        <f>IF($B71="","",MONTH($B71))</f>
        <v/>
      </c>
      <c r="W71" s="113">
        <f>IF($B71="","",YEAR($B71))</f>
        <v/>
      </c>
    </row>
    <row r="72">
      <c r="B72" s="105" t="n"/>
      <c r="C72" s="54" t="n"/>
      <c r="D72" s="54" t="n"/>
      <c r="E72" s="54" t="n"/>
      <c r="F72" s="54" t="n"/>
      <c r="G72" s="65" t="n"/>
      <c r="H72" s="54" t="n"/>
      <c r="I72" s="106">
        <f>IF($C72="","",IFERROR(INDEX(Sens_Types,MATCH($C72,Liste_Types,0)),""))</f>
        <v/>
      </c>
      <c r="J72" s="107">
        <f>IF($I72="▲ ENTRÉE",$U72,"")</f>
        <v/>
      </c>
      <c r="K72" s="108">
        <f>IF($I72="▼ SORTIE",$U72,"")</f>
        <v/>
      </c>
      <c r="L72" s="109">
        <f>$L71+N($J72)-N($K72)</f>
        <v/>
      </c>
      <c r="M72" s="110" t="n"/>
      <c r="N72" s="54" t="n"/>
      <c r="O72" s="54" t="n"/>
      <c r="P72" s="54" t="n"/>
      <c r="Q72" s="110" t="n"/>
      <c r="R72" s="110" t="n"/>
      <c r="S72" s="54" t="n"/>
      <c r="T72" s="111">
        <f>IF($G72="","",IFERROR(INDEX(Taux_Devises,MATCH(IF($M72="",Devise_Base,$M72),Codes_Devises,0)),1))</f>
        <v/>
      </c>
      <c r="U72" s="112">
        <f>IF($G72="","",ROUND($G72*$T72,2))</f>
        <v/>
      </c>
      <c r="V72" s="113">
        <f>IF($B72="","",MONTH($B72))</f>
        <v/>
      </c>
      <c r="W72" s="113">
        <f>IF($B72="","",YEAR($B72))</f>
        <v/>
      </c>
    </row>
    <row r="73">
      <c r="B73" s="105" t="n"/>
      <c r="C73" s="54" t="n"/>
      <c r="D73" s="54" t="n"/>
      <c r="E73" s="54" t="n"/>
      <c r="F73" s="54" t="n"/>
      <c r="G73" s="65" t="n"/>
      <c r="H73" s="54" t="n"/>
      <c r="I73" s="106">
        <f>IF($C73="","",IFERROR(INDEX(Sens_Types,MATCH($C73,Liste_Types,0)),""))</f>
        <v/>
      </c>
      <c r="J73" s="107">
        <f>IF($I73="▲ ENTRÉE",$U73,"")</f>
        <v/>
      </c>
      <c r="K73" s="108">
        <f>IF($I73="▼ SORTIE",$U73,"")</f>
        <v/>
      </c>
      <c r="L73" s="109">
        <f>$L72+N($J73)-N($K73)</f>
        <v/>
      </c>
      <c r="M73" s="110" t="n"/>
      <c r="N73" s="54" t="n"/>
      <c r="O73" s="54" t="n"/>
      <c r="P73" s="54" t="n"/>
      <c r="Q73" s="110" t="n"/>
      <c r="R73" s="110" t="n"/>
      <c r="S73" s="54" t="n"/>
      <c r="T73" s="111">
        <f>IF($G73="","",IFERROR(INDEX(Taux_Devises,MATCH(IF($M73="",Devise_Base,$M73),Codes_Devises,0)),1))</f>
        <v/>
      </c>
      <c r="U73" s="112">
        <f>IF($G73="","",ROUND($G73*$T73,2))</f>
        <v/>
      </c>
      <c r="V73" s="113">
        <f>IF($B73="","",MONTH($B73))</f>
        <v/>
      </c>
      <c r="W73" s="113">
        <f>IF($B73="","",YEAR($B73))</f>
        <v/>
      </c>
    </row>
    <row r="74">
      <c r="B74" s="105" t="n"/>
      <c r="C74" s="54" t="n"/>
      <c r="D74" s="54" t="n"/>
      <c r="E74" s="54" t="n"/>
      <c r="F74" s="54" t="n"/>
      <c r="G74" s="65" t="n"/>
      <c r="H74" s="54" t="n"/>
      <c r="I74" s="106">
        <f>IF($C74="","",IFERROR(INDEX(Sens_Types,MATCH($C74,Liste_Types,0)),""))</f>
        <v/>
      </c>
      <c r="J74" s="107">
        <f>IF($I74="▲ ENTRÉE",$U74,"")</f>
        <v/>
      </c>
      <c r="K74" s="108">
        <f>IF($I74="▼ SORTIE",$U74,"")</f>
        <v/>
      </c>
      <c r="L74" s="109">
        <f>$L73+N($J74)-N($K74)</f>
        <v/>
      </c>
      <c r="M74" s="110" t="n"/>
      <c r="N74" s="54" t="n"/>
      <c r="O74" s="54" t="n"/>
      <c r="P74" s="54" t="n"/>
      <c r="Q74" s="110" t="n"/>
      <c r="R74" s="110" t="n"/>
      <c r="S74" s="54" t="n"/>
      <c r="T74" s="111">
        <f>IF($G74="","",IFERROR(INDEX(Taux_Devises,MATCH(IF($M74="",Devise_Base,$M74),Codes_Devises,0)),1))</f>
        <v/>
      </c>
      <c r="U74" s="112">
        <f>IF($G74="","",ROUND($G74*$T74,2))</f>
        <v/>
      </c>
      <c r="V74" s="113">
        <f>IF($B74="","",MONTH($B74))</f>
        <v/>
      </c>
      <c r="W74" s="113">
        <f>IF($B74="","",YEAR($B74))</f>
        <v/>
      </c>
    </row>
    <row r="75">
      <c r="B75" s="105" t="n"/>
      <c r="C75" s="54" t="n"/>
      <c r="D75" s="54" t="n"/>
      <c r="E75" s="54" t="n"/>
      <c r="F75" s="54" t="n"/>
      <c r="G75" s="65" t="n"/>
      <c r="H75" s="54" t="n"/>
      <c r="I75" s="106">
        <f>IF($C75="","",IFERROR(INDEX(Sens_Types,MATCH($C75,Liste_Types,0)),""))</f>
        <v/>
      </c>
      <c r="J75" s="107">
        <f>IF($I75="▲ ENTRÉE",$U75,"")</f>
        <v/>
      </c>
      <c r="K75" s="108">
        <f>IF($I75="▼ SORTIE",$U75,"")</f>
        <v/>
      </c>
      <c r="L75" s="109">
        <f>$L74+N($J75)-N($K75)</f>
        <v/>
      </c>
      <c r="M75" s="110" t="n"/>
      <c r="N75" s="54" t="n"/>
      <c r="O75" s="54" t="n"/>
      <c r="P75" s="54" t="n"/>
      <c r="Q75" s="110" t="n"/>
      <c r="R75" s="110" t="n"/>
      <c r="S75" s="54" t="n"/>
      <c r="T75" s="111">
        <f>IF($G75="","",IFERROR(INDEX(Taux_Devises,MATCH(IF($M75="",Devise_Base,$M75),Codes_Devises,0)),1))</f>
        <v/>
      </c>
      <c r="U75" s="112">
        <f>IF($G75="","",ROUND($G75*$T75,2))</f>
        <v/>
      </c>
      <c r="V75" s="113">
        <f>IF($B75="","",MONTH($B75))</f>
        <v/>
      </c>
      <c r="W75" s="113">
        <f>IF($B75="","",YEAR($B75))</f>
        <v/>
      </c>
    </row>
    <row r="76">
      <c r="B76" s="105" t="n"/>
      <c r="C76" s="54" t="n"/>
      <c r="D76" s="54" t="n"/>
      <c r="E76" s="54" t="n"/>
      <c r="F76" s="54" t="n"/>
      <c r="G76" s="65" t="n"/>
      <c r="H76" s="54" t="n"/>
      <c r="I76" s="106">
        <f>IF($C76="","",IFERROR(INDEX(Sens_Types,MATCH($C76,Liste_Types,0)),""))</f>
        <v/>
      </c>
      <c r="J76" s="107">
        <f>IF($I76="▲ ENTRÉE",$U76,"")</f>
        <v/>
      </c>
      <c r="K76" s="108">
        <f>IF($I76="▼ SORTIE",$U76,"")</f>
        <v/>
      </c>
      <c r="L76" s="109">
        <f>$L75+N($J76)-N($K76)</f>
        <v/>
      </c>
      <c r="M76" s="110" t="n"/>
      <c r="N76" s="54" t="n"/>
      <c r="O76" s="54" t="n"/>
      <c r="P76" s="54" t="n"/>
      <c r="Q76" s="110" t="n"/>
      <c r="R76" s="110" t="n"/>
      <c r="S76" s="54" t="n"/>
      <c r="T76" s="111">
        <f>IF($G76="","",IFERROR(INDEX(Taux_Devises,MATCH(IF($M76="",Devise_Base,$M76),Codes_Devises,0)),1))</f>
        <v/>
      </c>
      <c r="U76" s="112">
        <f>IF($G76="","",ROUND($G76*$T76,2))</f>
        <v/>
      </c>
      <c r="V76" s="113">
        <f>IF($B76="","",MONTH($B76))</f>
        <v/>
      </c>
      <c r="W76" s="113">
        <f>IF($B76="","",YEAR($B76))</f>
        <v/>
      </c>
    </row>
    <row r="77">
      <c r="B77" s="105" t="n"/>
      <c r="C77" s="54" t="n"/>
      <c r="D77" s="54" t="n"/>
      <c r="E77" s="54" t="n"/>
      <c r="F77" s="54" t="n"/>
      <c r="G77" s="65" t="n"/>
      <c r="H77" s="54" t="n"/>
      <c r="I77" s="106">
        <f>IF($C77="","",IFERROR(INDEX(Sens_Types,MATCH($C77,Liste_Types,0)),""))</f>
        <v/>
      </c>
      <c r="J77" s="107">
        <f>IF($I77="▲ ENTRÉE",$U77,"")</f>
        <v/>
      </c>
      <c r="K77" s="108">
        <f>IF($I77="▼ SORTIE",$U77,"")</f>
        <v/>
      </c>
      <c r="L77" s="109">
        <f>$L76+N($J77)-N($K77)</f>
        <v/>
      </c>
      <c r="M77" s="110" t="n"/>
      <c r="N77" s="54" t="n"/>
      <c r="O77" s="54" t="n"/>
      <c r="P77" s="54" t="n"/>
      <c r="Q77" s="110" t="n"/>
      <c r="R77" s="110" t="n"/>
      <c r="S77" s="54" t="n"/>
      <c r="T77" s="111">
        <f>IF($G77="","",IFERROR(INDEX(Taux_Devises,MATCH(IF($M77="",Devise_Base,$M77),Codes_Devises,0)),1))</f>
        <v/>
      </c>
      <c r="U77" s="112">
        <f>IF($G77="","",ROUND($G77*$T77,2))</f>
        <v/>
      </c>
      <c r="V77" s="113">
        <f>IF($B77="","",MONTH($B77))</f>
        <v/>
      </c>
      <c r="W77" s="113">
        <f>IF($B77="","",YEAR($B77))</f>
        <v/>
      </c>
    </row>
    <row r="78">
      <c r="B78" s="105" t="n"/>
      <c r="C78" s="54" t="n"/>
      <c r="D78" s="54" t="n"/>
      <c r="E78" s="54" t="n"/>
      <c r="F78" s="54" t="n"/>
      <c r="G78" s="65" t="n"/>
      <c r="H78" s="54" t="n"/>
      <c r="I78" s="106">
        <f>IF($C78="","",IFERROR(INDEX(Sens_Types,MATCH($C78,Liste_Types,0)),""))</f>
        <v/>
      </c>
      <c r="J78" s="107">
        <f>IF($I78="▲ ENTRÉE",$U78,"")</f>
        <v/>
      </c>
      <c r="K78" s="108">
        <f>IF($I78="▼ SORTIE",$U78,"")</f>
        <v/>
      </c>
      <c r="L78" s="109">
        <f>$L77+N($J78)-N($K78)</f>
        <v/>
      </c>
      <c r="M78" s="110" t="n"/>
      <c r="N78" s="54" t="n"/>
      <c r="O78" s="54" t="n"/>
      <c r="P78" s="54" t="n"/>
      <c r="Q78" s="110" t="n"/>
      <c r="R78" s="110" t="n"/>
      <c r="S78" s="54" t="n"/>
      <c r="T78" s="111">
        <f>IF($G78="","",IFERROR(INDEX(Taux_Devises,MATCH(IF($M78="",Devise_Base,$M78),Codes_Devises,0)),1))</f>
        <v/>
      </c>
      <c r="U78" s="112">
        <f>IF($G78="","",ROUND($G78*$T78,2))</f>
        <v/>
      </c>
      <c r="V78" s="113">
        <f>IF($B78="","",MONTH($B78))</f>
        <v/>
      </c>
      <c r="W78" s="113">
        <f>IF($B78="","",YEAR($B78))</f>
        <v/>
      </c>
    </row>
    <row r="79">
      <c r="B79" s="105" t="n"/>
      <c r="C79" s="54" t="n"/>
      <c r="D79" s="54" t="n"/>
      <c r="E79" s="54" t="n"/>
      <c r="F79" s="54" t="n"/>
      <c r="G79" s="65" t="n"/>
      <c r="H79" s="54" t="n"/>
      <c r="I79" s="106">
        <f>IF($C79="","",IFERROR(INDEX(Sens_Types,MATCH($C79,Liste_Types,0)),""))</f>
        <v/>
      </c>
      <c r="J79" s="107">
        <f>IF($I79="▲ ENTRÉE",$U79,"")</f>
        <v/>
      </c>
      <c r="K79" s="108">
        <f>IF($I79="▼ SORTIE",$U79,"")</f>
        <v/>
      </c>
      <c r="L79" s="109">
        <f>$L78+N($J79)-N($K79)</f>
        <v/>
      </c>
      <c r="M79" s="110" t="n"/>
      <c r="N79" s="54" t="n"/>
      <c r="O79" s="54" t="n"/>
      <c r="P79" s="54" t="n"/>
      <c r="Q79" s="110" t="n"/>
      <c r="R79" s="110" t="n"/>
      <c r="S79" s="54" t="n"/>
      <c r="T79" s="111">
        <f>IF($G79="","",IFERROR(INDEX(Taux_Devises,MATCH(IF($M79="",Devise_Base,$M79),Codes_Devises,0)),1))</f>
        <v/>
      </c>
      <c r="U79" s="112">
        <f>IF($G79="","",ROUND($G79*$T79,2))</f>
        <v/>
      </c>
      <c r="V79" s="113">
        <f>IF($B79="","",MONTH($B79))</f>
        <v/>
      </c>
      <c r="W79" s="113">
        <f>IF($B79="","",YEAR($B79))</f>
        <v/>
      </c>
    </row>
    <row r="80">
      <c r="B80" s="105" t="n"/>
      <c r="C80" s="54" t="n"/>
      <c r="D80" s="54" t="n"/>
      <c r="E80" s="54" t="n"/>
      <c r="F80" s="54" t="n"/>
      <c r="G80" s="65" t="n"/>
      <c r="H80" s="54" t="n"/>
      <c r="I80" s="106">
        <f>IF($C80="","",IFERROR(INDEX(Sens_Types,MATCH($C80,Liste_Types,0)),""))</f>
        <v/>
      </c>
      <c r="J80" s="107">
        <f>IF($I80="▲ ENTRÉE",$U80,"")</f>
        <v/>
      </c>
      <c r="K80" s="108">
        <f>IF($I80="▼ SORTIE",$U80,"")</f>
        <v/>
      </c>
      <c r="L80" s="109">
        <f>$L79+N($J80)-N($K80)</f>
        <v/>
      </c>
      <c r="M80" s="110" t="n"/>
      <c r="N80" s="54" t="n"/>
      <c r="O80" s="54" t="n"/>
      <c r="P80" s="54" t="n"/>
      <c r="Q80" s="110" t="n"/>
      <c r="R80" s="110" t="n"/>
      <c r="S80" s="54" t="n"/>
      <c r="T80" s="111">
        <f>IF($G80="","",IFERROR(INDEX(Taux_Devises,MATCH(IF($M80="",Devise_Base,$M80),Codes_Devises,0)),1))</f>
        <v/>
      </c>
      <c r="U80" s="112">
        <f>IF($G80="","",ROUND($G80*$T80,2))</f>
        <v/>
      </c>
      <c r="V80" s="113">
        <f>IF($B80="","",MONTH($B80))</f>
        <v/>
      </c>
      <c r="W80" s="113">
        <f>IF($B80="","",YEAR($B80))</f>
        <v/>
      </c>
    </row>
    <row r="81">
      <c r="B81" s="105" t="n"/>
      <c r="C81" s="54" t="n"/>
      <c r="D81" s="54" t="n"/>
      <c r="E81" s="54" t="n"/>
      <c r="F81" s="54" t="n"/>
      <c r="G81" s="65" t="n"/>
      <c r="H81" s="54" t="n"/>
      <c r="I81" s="106">
        <f>IF($C81="","",IFERROR(INDEX(Sens_Types,MATCH($C81,Liste_Types,0)),""))</f>
        <v/>
      </c>
      <c r="J81" s="107">
        <f>IF($I81="▲ ENTRÉE",$U81,"")</f>
        <v/>
      </c>
      <c r="K81" s="108">
        <f>IF($I81="▼ SORTIE",$U81,"")</f>
        <v/>
      </c>
      <c r="L81" s="109">
        <f>$L80+N($J81)-N($K81)</f>
        <v/>
      </c>
      <c r="M81" s="110" t="n"/>
      <c r="N81" s="54" t="n"/>
      <c r="O81" s="54" t="n"/>
      <c r="P81" s="54" t="n"/>
      <c r="Q81" s="110" t="n"/>
      <c r="R81" s="110" t="n"/>
      <c r="S81" s="54" t="n"/>
      <c r="T81" s="111">
        <f>IF($G81="","",IFERROR(INDEX(Taux_Devises,MATCH(IF($M81="",Devise_Base,$M81),Codes_Devises,0)),1))</f>
        <v/>
      </c>
      <c r="U81" s="112">
        <f>IF($G81="","",ROUND($G81*$T81,2))</f>
        <v/>
      </c>
      <c r="V81" s="113">
        <f>IF($B81="","",MONTH($B81))</f>
        <v/>
      </c>
      <c r="W81" s="113">
        <f>IF($B81="","",YEAR($B81))</f>
        <v/>
      </c>
    </row>
    <row r="82">
      <c r="B82" s="105" t="n"/>
      <c r="C82" s="54" t="n"/>
      <c r="D82" s="54" t="n"/>
      <c r="E82" s="54" t="n"/>
      <c r="F82" s="54" t="n"/>
      <c r="G82" s="65" t="n"/>
      <c r="H82" s="54" t="n"/>
      <c r="I82" s="106">
        <f>IF($C82="","",IFERROR(INDEX(Sens_Types,MATCH($C82,Liste_Types,0)),""))</f>
        <v/>
      </c>
      <c r="J82" s="107">
        <f>IF($I82="▲ ENTRÉE",$U82,"")</f>
        <v/>
      </c>
      <c r="K82" s="108">
        <f>IF($I82="▼ SORTIE",$U82,"")</f>
        <v/>
      </c>
      <c r="L82" s="109">
        <f>$L81+N($J82)-N($K82)</f>
        <v/>
      </c>
      <c r="M82" s="110" t="n"/>
      <c r="N82" s="54" t="n"/>
      <c r="O82" s="54" t="n"/>
      <c r="P82" s="54" t="n"/>
      <c r="Q82" s="110" t="n"/>
      <c r="R82" s="110" t="n"/>
      <c r="S82" s="54" t="n"/>
      <c r="T82" s="111">
        <f>IF($G82="","",IFERROR(INDEX(Taux_Devises,MATCH(IF($M82="",Devise_Base,$M82),Codes_Devises,0)),1))</f>
        <v/>
      </c>
      <c r="U82" s="112">
        <f>IF($G82="","",ROUND($G82*$T82,2))</f>
        <v/>
      </c>
      <c r="V82" s="113">
        <f>IF($B82="","",MONTH($B82))</f>
        <v/>
      </c>
      <c r="W82" s="113">
        <f>IF($B82="","",YEAR($B82))</f>
        <v/>
      </c>
    </row>
    <row r="83">
      <c r="B83" s="105" t="n"/>
      <c r="C83" s="54" t="n"/>
      <c r="D83" s="54" t="n"/>
      <c r="E83" s="54" t="n"/>
      <c r="F83" s="54" t="n"/>
      <c r="G83" s="65" t="n"/>
      <c r="H83" s="54" t="n"/>
      <c r="I83" s="106">
        <f>IF($C83="","",IFERROR(INDEX(Sens_Types,MATCH($C83,Liste_Types,0)),""))</f>
        <v/>
      </c>
      <c r="J83" s="107">
        <f>IF($I83="▲ ENTRÉE",$U83,"")</f>
        <v/>
      </c>
      <c r="K83" s="108">
        <f>IF($I83="▼ SORTIE",$U83,"")</f>
        <v/>
      </c>
      <c r="L83" s="109">
        <f>$L82+N($J83)-N($K83)</f>
        <v/>
      </c>
      <c r="M83" s="110" t="n"/>
      <c r="N83" s="54" t="n"/>
      <c r="O83" s="54" t="n"/>
      <c r="P83" s="54" t="n"/>
      <c r="Q83" s="110" t="n"/>
      <c r="R83" s="110" t="n"/>
      <c r="S83" s="54" t="n"/>
      <c r="T83" s="111">
        <f>IF($G83="","",IFERROR(INDEX(Taux_Devises,MATCH(IF($M83="",Devise_Base,$M83),Codes_Devises,0)),1))</f>
        <v/>
      </c>
      <c r="U83" s="112">
        <f>IF($G83="","",ROUND($G83*$T83,2))</f>
        <v/>
      </c>
      <c r="V83" s="113">
        <f>IF($B83="","",MONTH($B83))</f>
        <v/>
      </c>
      <c r="W83" s="113">
        <f>IF($B83="","",YEAR($B83))</f>
        <v/>
      </c>
    </row>
    <row r="84">
      <c r="B84" s="105" t="n"/>
      <c r="C84" s="54" t="n"/>
      <c r="D84" s="54" t="n"/>
      <c r="E84" s="54" t="n"/>
      <c r="F84" s="54" t="n"/>
      <c r="G84" s="65" t="n"/>
      <c r="H84" s="54" t="n"/>
      <c r="I84" s="106">
        <f>IF($C84="","",IFERROR(INDEX(Sens_Types,MATCH($C84,Liste_Types,0)),""))</f>
        <v/>
      </c>
      <c r="J84" s="107">
        <f>IF($I84="▲ ENTRÉE",$U84,"")</f>
        <v/>
      </c>
      <c r="K84" s="108">
        <f>IF($I84="▼ SORTIE",$U84,"")</f>
        <v/>
      </c>
      <c r="L84" s="109">
        <f>$L83+N($J84)-N($K84)</f>
        <v/>
      </c>
      <c r="M84" s="110" t="n"/>
      <c r="N84" s="54" t="n"/>
      <c r="O84" s="54" t="n"/>
      <c r="P84" s="54" t="n"/>
      <c r="Q84" s="110" t="n"/>
      <c r="R84" s="110" t="n"/>
      <c r="S84" s="54" t="n"/>
      <c r="T84" s="111">
        <f>IF($G84="","",IFERROR(INDEX(Taux_Devises,MATCH(IF($M84="",Devise_Base,$M84),Codes_Devises,0)),1))</f>
        <v/>
      </c>
      <c r="U84" s="112">
        <f>IF($G84="","",ROUND($G84*$T84,2))</f>
        <v/>
      </c>
      <c r="V84" s="113">
        <f>IF($B84="","",MONTH($B84))</f>
        <v/>
      </c>
      <c r="W84" s="113">
        <f>IF($B84="","",YEAR($B84))</f>
        <v/>
      </c>
    </row>
    <row r="85">
      <c r="B85" s="105" t="n"/>
      <c r="C85" s="54" t="n"/>
      <c r="D85" s="54" t="n"/>
      <c r="E85" s="54" t="n"/>
      <c r="F85" s="54" t="n"/>
      <c r="G85" s="65" t="n"/>
      <c r="H85" s="54" t="n"/>
      <c r="I85" s="106">
        <f>IF($C85="","",IFERROR(INDEX(Sens_Types,MATCH($C85,Liste_Types,0)),""))</f>
        <v/>
      </c>
      <c r="J85" s="107">
        <f>IF($I85="▲ ENTRÉE",$U85,"")</f>
        <v/>
      </c>
      <c r="K85" s="108">
        <f>IF($I85="▼ SORTIE",$U85,"")</f>
        <v/>
      </c>
      <c r="L85" s="109">
        <f>$L84+N($J85)-N($K85)</f>
        <v/>
      </c>
      <c r="M85" s="110" t="n"/>
      <c r="N85" s="54" t="n"/>
      <c r="O85" s="54" t="n"/>
      <c r="P85" s="54" t="n"/>
      <c r="Q85" s="110" t="n"/>
      <c r="R85" s="110" t="n"/>
      <c r="S85" s="54" t="n"/>
      <c r="T85" s="111">
        <f>IF($G85="","",IFERROR(INDEX(Taux_Devises,MATCH(IF($M85="",Devise_Base,$M85),Codes_Devises,0)),1))</f>
        <v/>
      </c>
      <c r="U85" s="112">
        <f>IF($G85="","",ROUND($G85*$T85,2))</f>
        <v/>
      </c>
      <c r="V85" s="113">
        <f>IF($B85="","",MONTH($B85))</f>
        <v/>
      </c>
      <c r="W85" s="113">
        <f>IF($B85="","",YEAR($B85))</f>
        <v/>
      </c>
    </row>
    <row r="86">
      <c r="B86" s="105" t="n"/>
      <c r="C86" s="54" t="n"/>
      <c r="D86" s="54" t="n"/>
      <c r="E86" s="54" t="n"/>
      <c r="F86" s="54" t="n"/>
      <c r="G86" s="65" t="n"/>
      <c r="H86" s="54" t="n"/>
      <c r="I86" s="106">
        <f>IF($C86="","",IFERROR(INDEX(Sens_Types,MATCH($C86,Liste_Types,0)),""))</f>
        <v/>
      </c>
      <c r="J86" s="107">
        <f>IF($I86="▲ ENTRÉE",$U86,"")</f>
        <v/>
      </c>
      <c r="K86" s="108">
        <f>IF($I86="▼ SORTIE",$U86,"")</f>
        <v/>
      </c>
      <c r="L86" s="109">
        <f>$L85+N($J86)-N($K86)</f>
        <v/>
      </c>
      <c r="M86" s="110" t="n"/>
      <c r="N86" s="54" t="n"/>
      <c r="O86" s="54" t="n"/>
      <c r="P86" s="54" t="n"/>
      <c r="Q86" s="110" t="n"/>
      <c r="R86" s="110" t="n"/>
      <c r="S86" s="54" t="n"/>
      <c r="T86" s="111">
        <f>IF($G86="","",IFERROR(INDEX(Taux_Devises,MATCH(IF($M86="",Devise_Base,$M86),Codes_Devises,0)),1))</f>
        <v/>
      </c>
      <c r="U86" s="112">
        <f>IF($G86="","",ROUND($G86*$T86,2))</f>
        <v/>
      </c>
      <c r="V86" s="113">
        <f>IF($B86="","",MONTH($B86))</f>
        <v/>
      </c>
      <c r="W86" s="113">
        <f>IF($B86="","",YEAR($B86))</f>
        <v/>
      </c>
    </row>
    <row r="87">
      <c r="B87" s="105" t="n"/>
      <c r="C87" s="54" t="n"/>
      <c r="D87" s="54" t="n"/>
      <c r="E87" s="54" t="n"/>
      <c r="F87" s="54" t="n"/>
      <c r="G87" s="65" t="n"/>
      <c r="H87" s="54" t="n"/>
      <c r="I87" s="106">
        <f>IF($C87="","",IFERROR(INDEX(Sens_Types,MATCH($C87,Liste_Types,0)),""))</f>
        <v/>
      </c>
      <c r="J87" s="107">
        <f>IF($I87="▲ ENTRÉE",$U87,"")</f>
        <v/>
      </c>
      <c r="K87" s="108">
        <f>IF($I87="▼ SORTIE",$U87,"")</f>
        <v/>
      </c>
      <c r="L87" s="109">
        <f>$L86+N($J87)-N($K87)</f>
        <v/>
      </c>
      <c r="M87" s="110" t="n"/>
      <c r="N87" s="54" t="n"/>
      <c r="O87" s="54" t="n"/>
      <c r="P87" s="54" t="n"/>
      <c r="Q87" s="110" t="n"/>
      <c r="R87" s="110" t="n"/>
      <c r="S87" s="54" t="n"/>
      <c r="T87" s="111">
        <f>IF($G87="","",IFERROR(INDEX(Taux_Devises,MATCH(IF($M87="",Devise_Base,$M87),Codes_Devises,0)),1))</f>
        <v/>
      </c>
      <c r="U87" s="112">
        <f>IF($G87="","",ROUND($G87*$T87,2))</f>
        <v/>
      </c>
      <c r="V87" s="113">
        <f>IF($B87="","",MONTH($B87))</f>
        <v/>
      </c>
      <c r="W87" s="113">
        <f>IF($B87="","",YEAR($B87))</f>
        <v/>
      </c>
    </row>
    <row r="88">
      <c r="B88" s="105" t="n"/>
      <c r="C88" s="54" t="n"/>
      <c r="D88" s="54" t="n"/>
      <c r="E88" s="54" t="n"/>
      <c r="F88" s="54" t="n"/>
      <c r="G88" s="65" t="n"/>
      <c r="H88" s="54" t="n"/>
      <c r="I88" s="106">
        <f>IF($C88="","",IFERROR(INDEX(Sens_Types,MATCH($C88,Liste_Types,0)),""))</f>
        <v/>
      </c>
      <c r="J88" s="107">
        <f>IF($I88="▲ ENTRÉE",$U88,"")</f>
        <v/>
      </c>
      <c r="K88" s="108">
        <f>IF($I88="▼ SORTIE",$U88,"")</f>
        <v/>
      </c>
      <c r="L88" s="109">
        <f>$L87+N($J88)-N($K88)</f>
        <v/>
      </c>
      <c r="M88" s="110" t="n"/>
      <c r="N88" s="54" t="n"/>
      <c r="O88" s="54" t="n"/>
      <c r="P88" s="54" t="n"/>
      <c r="Q88" s="110" t="n"/>
      <c r="R88" s="110" t="n"/>
      <c r="S88" s="54" t="n"/>
      <c r="T88" s="111">
        <f>IF($G88="","",IFERROR(INDEX(Taux_Devises,MATCH(IF($M88="",Devise_Base,$M88),Codes_Devises,0)),1))</f>
        <v/>
      </c>
      <c r="U88" s="112">
        <f>IF($G88="","",ROUND($G88*$T88,2))</f>
        <v/>
      </c>
      <c r="V88" s="113">
        <f>IF($B88="","",MONTH($B88))</f>
        <v/>
      </c>
      <c r="W88" s="113">
        <f>IF($B88="","",YEAR($B88))</f>
        <v/>
      </c>
    </row>
    <row r="89">
      <c r="B89" s="105" t="n"/>
      <c r="C89" s="54" t="n"/>
      <c r="D89" s="54" t="n"/>
      <c r="E89" s="54" t="n"/>
      <c r="F89" s="54" t="n"/>
      <c r="G89" s="65" t="n"/>
      <c r="H89" s="54" t="n"/>
      <c r="I89" s="106">
        <f>IF($C89="","",IFERROR(INDEX(Sens_Types,MATCH($C89,Liste_Types,0)),""))</f>
        <v/>
      </c>
      <c r="J89" s="107">
        <f>IF($I89="▲ ENTRÉE",$U89,"")</f>
        <v/>
      </c>
      <c r="K89" s="108">
        <f>IF($I89="▼ SORTIE",$U89,"")</f>
        <v/>
      </c>
      <c r="L89" s="109">
        <f>$L88+N($J89)-N($K89)</f>
        <v/>
      </c>
      <c r="M89" s="110" t="n"/>
      <c r="N89" s="54" t="n"/>
      <c r="O89" s="54" t="n"/>
      <c r="P89" s="54" t="n"/>
      <c r="Q89" s="110" t="n"/>
      <c r="R89" s="110" t="n"/>
      <c r="S89" s="54" t="n"/>
      <c r="T89" s="111">
        <f>IF($G89="","",IFERROR(INDEX(Taux_Devises,MATCH(IF($M89="",Devise_Base,$M89),Codes_Devises,0)),1))</f>
        <v/>
      </c>
      <c r="U89" s="112">
        <f>IF($G89="","",ROUND($G89*$T89,2))</f>
        <v/>
      </c>
      <c r="V89" s="113">
        <f>IF($B89="","",MONTH($B89))</f>
        <v/>
      </c>
      <c r="W89" s="113">
        <f>IF($B89="","",YEAR($B89))</f>
        <v/>
      </c>
    </row>
    <row r="90">
      <c r="B90" s="105" t="n"/>
      <c r="C90" s="54" t="n"/>
      <c r="D90" s="54" t="n"/>
      <c r="E90" s="54" t="n"/>
      <c r="F90" s="54" t="n"/>
      <c r="G90" s="65" t="n"/>
      <c r="H90" s="54" t="n"/>
      <c r="I90" s="106">
        <f>IF($C90="","",IFERROR(INDEX(Sens_Types,MATCH($C90,Liste_Types,0)),""))</f>
        <v/>
      </c>
      <c r="J90" s="107">
        <f>IF($I90="▲ ENTRÉE",$U90,"")</f>
        <v/>
      </c>
      <c r="K90" s="108">
        <f>IF($I90="▼ SORTIE",$U90,"")</f>
        <v/>
      </c>
      <c r="L90" s="109">
        <f>$L89+N($J90)-N($K90)</f>
        <v/>
      </c>
      <c r="M90" s="110" t="n"/>
      <c r="N90" s="54" t="n"/>
      <c r="O90" s="54" t="n"/>
      <c r="P90" s="54" t="n"/>
      <c r="Q90" s="110" t="n"/>
      <c r="R90" s="110" t="n"/>
      <c r="S90" s="54" t="n"/>
      <c r="T90" s="111">
        <f>IF($G90="","",IFERROR(INDEX(Taux_Devises,MATCH(IF($M90="",Devise_Base,$M90),Codes_Devises,0)),1))</f>
        <v/>
      </c>
      <c r="U90" s="112">
        <f>IF($G90="","",ROUND($G90*$T90,2))</f>
        <v/>
      </c>
      <c r="V90" s="113">
        <f>IF($B90="","",MONTH($B90))</f>
        <v/>
      </c>
      <c r="W90" s="113">
        <f>IF($B90="","",YEAR($B90))</f>
        <v/>
      </c>
    </row>
    <row r="91">
      <c r="B91" s="105" t="n"/>
      <c r="C91" s="54" t="n"/>
      <c r="D91" s="54" t="n"/>
      <c r="E91" s="54" t="n"/>
      <c r="F91" s="54" t="n"/>
      <c r="G91" s="65" t="n"/>
      <c r="H91" s="54" t="n"/>
      <c r="I91" s="106">
        <f>IF($C91="","",IFERROR(INDEX(Sens_Types,MATCH($C91,Liste_Types,0)),""))</f>
        <v/>
      </c>
      <c r="J91" s="107">
        <f>IF($I91="▲ ENTRÉE",$U91,"")</f>
        <v/>
      </c>
      <c r="K91" s="108">
        <f>IF($I91="▼ SORTIE",$U91,"")</f>
        <v/>
      </c>
      <c r="L91" s="109">
        <f>$L90+N($J91)-N($K91)</f>
        <v/>
      </c>
      <c r="M91" s="110" t="n"/>
      <c r="N91" s="54" t="n"/>
      <c r="O91" s="54" t="n"/>
      <c r="P91" s="54" t="n"/>
      <c r="Q91" s="110" t="n"/>
      <c r="R91" s="110" t="n"/>
      <c r="S91" s="54" t="n"/>
      <c r="T91" s="111">
        <f>IF($G91="","",IFERROR(INDEX(Taux_Devises,MATCH(IF($M91="",Devise_Base,$M91),Codes_Devises,0)),1))</f>
        <v/>
      </c>
      <c r="U91" s="112">
        <f>IF($G91="","",ROUND($G91*$T91,2))</f>
        <v/>
      </c>
      <c r="V91" s="113">
        <f>IF($B91="","",MONTH($B91))</f>
        <v/>
      </c>
      <c r="W91" s="113">
        <f>IF($B91="","",YEAR($B91))</f>
        <v/>
      </c>
    </row>
    <row r="92">
      <c r="B92" s="105" t="n"/>
      <c r="C92" s="54" t="n"/>
      <c r="D92" s="54" t="n"/>
      <c r="E92" s="54" t="n"/>
      <c r="F92" s="54" t="n"/>
      <c r="G92" s="65" t="n"/>
      <c r="H92" s="54" t="n"/>
      <c r="I92" s="106">
        <f>IF($C92="","",IFERROR(INDEX(Sens_Types,MATCH($C92,Liste_Types,0)),""))</f>
        <v/>
      </c>
      <c r="J92" s="107">
        <f>IF($I92="▲ ENTRÉE",$U92,"")</f>
        <v/>
      </c>
      <c r="K92" s="108">
        <f>IF($I92="▼ SORTIE",$U92,"")</f>
        <v/>
      </c>
      <c r="L92" s="109">
        <f>$L91+N($J92)-N($K92)</f>
        <v/>
      </c>
      <c r="M92" s="110" t="n"/>
      <c r="N92" s="54" t="n"/>
      <c r="O92" s="54" t="n"/>
      <c r="P92" s="54" t="n"/>
      <c r="Q92" s="110" t="n"/>
      <c r="R92" s="110" t="n"/>
      <c r="S92" s="54" t="n"/>
      <c r="T92" s="111">
        <f>IF($G92="","",IFERROR(INDEX(Taux_Devises,MATCH(IF($M92="",Devise_Base,$M92),Codes_Devises,0)),1))</f>
        <v/>
      </c>
      <c r="U92" s="112">
        <f>IF($G92="","",ROUND($G92*$T92,2))</f>
        <v/>
      </c>
      <c r="V92" s="113">
        <f>IF($B92="","",MONTH($B92))</f>
        <v/>
      </c>
      <c r="W92" s="113">
        <f>IF($B92="","",YEAR($B92))</f>
        <v/>
      </c>
    </row>
    <row r="93">
      <c r="B93" s="105" t="n"/>
      <c r="C93" s="54" t="n"/>
      <c r="D93" s="54" t="n"/>
      <c r="E93" s="54" t="n"/>
      <c r="F93" s="54" t="n"/>
      <c r="G93" s="65" t="n"/>
      <c r="H93" s="54" t="n"/>
      <c r="I93" s="106">
        <f>IF($C93="","",IFERROR(INDEX(Sens_Types,MATCH($C93,Liste_Types,0)),""))</f>
        <v/>
      </c>
      <c r="J93" s="107">
        <f>IF($I93="▲ ENTRÉE",$U93,"")</f>
        <v/>
      </c>
      <c r="K93" s="108">
        <f>IF($I93="▼ SORTIE",$U93,"")</f>
        <v/>
      </c>
      <c r="L93" s="109">
        <f>$L92+N($J93)-N($K93)</f>
        <v/>
      </c>
      <c r="M93" s="110" t="n"/>
      <c r="N93" s="54" t="n"/>
      <c r="O93" s="54" t="n"/>
      <c r="P93" s="54" t="n"/>
      <c r="Q93" s="110" t="n"/>
      <c r="R93" s="110" t="n"/>
      <c r="S93" s="54" t="n"/>
      <c r="T93" s="111">
        <f>IF($G93="","",IFERROR(INDEX(Taux_Devises,MATCH(IF($M93="",Devise_Base,$M93),Codes_Devises,0)),1))</f>
        <v/>
      </c>
      <c r="U93" s="112">
        <f>IF($G93="","",ROUND($G93*$T93,2))</f>
        <v/>
      </c>
      <c r="V93" s="113">
        <f>IF($B93="","",MONTH($B93))</f>
        <v/>
      </c>
      <c r="W93" s="113">
        <f>IF($B93="","",YEAR($B93))</f>
        <v/>
      </c>
    </row>
    <row r="94">
      <c r="B94" s="105" t="n"/>
      <c r="C94" s="54" t="n"/>
      <c r="D94" s="54" t="n"/>
      <c r="E94" s="54" t="n"/>
      <c r="F94" s="54" t="n"/>
      <c r="G94" s="65" t="n"/>
      <c r="H94" s="54" t="n"/>
      <c r="I94" s="106">
        <f>IF($C94="","",IFERROR(INDEX(Sens_Types,MATCH($C94,Liste_Types,0)),""))</f>
        <v/>
      </c>
      <c r="J94" s="107">
        <f>IF($I94="▲ ENTRÉE",$U94,"")</f>
        <v/>
      </c>
      <c r="K94" s="108">
        <f>IF($I94="▼ SORTIE",$U94,"")</f>
        <v/>
      </c>
      <c r="L94" s="109">
        <f>$L93+N($J94)-N($K94)</f>
        <v/>
      </c>
      <c r="M94" s="110" t="n"/>
      <c r="N94" s="54" t="n"/>
      <c r="O94" s="54" t="n"/>
      <c r="P94" s="54" t="n"/>
      <c r="Q94" s="110" t="n"/>
      <c r="R94" s="110" t="n"/>
      <c r="S94" s="54" t="n"/>
      <c r="T94" s="111">
        <f>IF($G94="","",IFERROR(INDEX(Taux_Devises,MATCH(IF($M94="",Devise_Base,$M94),Codes_Devises,0)),1))</f>
        <v/>
      </c>
      <c r="U94" s="112">
        <f>IF($G94="","",ROUND($G94*$T94,2))</f>
        <v/>
      </c>
      <c r="V94" s="113">
        <f>IF($B94="","",MONTH($B94))</f>
        <v/>
      </c>
      <c r="W94" s="113">
        <f>IF($B94="","",YEAR($B94))</f>
        <v/>
      </c>
    </row>
    <row r="95">
      <c r="B95" s="105" t="n"/>
      <c r="C95" s="54" t="n"/>
      <c r="D95" s="54" t="n"/>
      <c r="E95" s="54" t="n"/>
      <c r="F95" s="54" t="n"/>
      <c r="G95" s="65" t="n"/>
      <c r="H95" s="54" t="n"/>
      <c r="I95" s="106">
        <f>IF($C95="","",IFERROR(INDEX(Sens_Types,MATCH($C95,Liste_Types,0)),""))</f>
        <v/>
      </c>
      <c r="J95" s="107">
        <f>IF($I95="▲ ENTRÉE",$U95,"")</f>
        <v/>
      </c>
      <c r="K95" s="108">
        <f>IF($I95="▼ SORTIE",$U95,"")</f>
        <v/>
      </c>
      <c r="L95" s="109">
        <f>$L94+N($J95)-N($K95)</f>
        <v/>
      </c>
      <c r="M95" s="110" t="n"/>
      <c r="N95" s="54" t="n"/>
      <c r="O95" s="54" t="n"/>
      <c r="P95" s="54" t="n"/>
      <c r="Q95" s="110" t="n"/>
      <c r="R95" s="110" t="n"/>
      <c r="S95" s="54" t="n"/>
      <c r="T95" s="111">
        <f>IF($G95="","",IFERROR(INDEX(Taux_Devises,MATCH(IF($M95="",Devise_Base,$M95),Codes_Devises,0)),1))</f>
        <v/>
      </c>
      <c r="U95" s="112">
        <f>IF($G95="","",ROUND($G95*$T95,2))</f>
        <v/>
      </c>
      <c r="V95" s="113">
        <f>IF($B95="","",MONTH($B95))</f>
        <v/>
      </c>
      <c r="W95" s="113">
        <f>IF($B95="","",YEAR($B95))</f>
        <v/>
      </c>
    </row>
    <row r="96">
      <c r="B96" s="105" t="n"/>
      <c r="C96" s="54" t="n"/>
      <c r="D96" s="54" t="n"/>
      <c r="E96" s="54" t="n"/>
      <c r="F96" s="54" t="n"/>
      <c r="G96" s="65" t="n"/>
      <c r="H96" s="54" t="n"/>
      <c r="I96" s="106">
        <f>IF($C96="","",IFERROR(INDEX(Sens_Types,MATCH($C96,Liste_Types,0)),""))</f>
        <v/>
      </c>
      <c r="J96" s="107">
        <f>IF($I96="▲ ENTRÉE",$U96,"")</f>
        <v/>
      </c>
      <c r="K96" s="108">
        <f>IF($I96="▼ SORTIE",$U96,"")</f>
        <v/>
      </c>
      <c r="L96" s="109">
        <f>$L95+N($J96)-N($K96)</f>
        <v/>
      </c>
      <c r="M96" s="110" t="n"/>
      <c r="N96" s="54" t="n"/>
      <c r="O96" s="54" t="n"/>
      <c r="P96" s="54" t="n"/>
      <c r="Q96" s="110" t="n"/>
      <c r="R96" s="110" t="n"/>
      <c r="S96" s="54" t="n"/>
      <c r="T96" s="111">
        <f>IF($G96="","",IFERROR(INDEX(Taux_Devises,MATCH(IF($M96="",Devise_Base,$M96),Codes_Devises,0)),1))</f>
        <v/>
      </c>
      <c r="U96" s="112">
        <f>IF($G96="","",ROUND($G96*$T96,2))</f>
        <v/>
      </c>
      <c r="V96" s="113">
        <f>IF($B96="","",MONTH($B96))</f>
        <v/>
      </c>
      <c r="W96" s="113">
        <f>IF($B96="","",YEAR($B96))</f>
        <v/>
      </c>
    </row>
    <row r="97">
      <c r="B97" s="105" t="n"/>
      <c r="C97" s="54" t="n"/>
      <c r="D97" s="54" t="n"/>
      <c r="E97" s="54" t="n"/>
      <c r="F97" s="54" t="n"/>
      <c r="G97" s="65" t="n"/>
      <c r="H97" s="54" t="n"/>
      <c r="I97" s="106">
        <f>IF($C97="","",IFERROR(INDEX(Sens_Types,MATCH($C97,Liste_Types,0)),""))</f>
        <v/>
      </c>
      <c r="J97" s="107">
        <f>IF($I97="▲ ENTRÉE",$U97,"")</f>
        <v/>
      </c>
      <c r="K97" s="108">
        <f>IF($I97="▼ SORTIE",$U97,"")</f>
        <v/>
      </c>
      <c r="L97" s="109">
        <f>$L96+N($J97)-N($K97)</f>
        <v/>
      </c>
      <c r="M97" s="110" t="n"/>
      <c r="N97" s="54" t="n"/>
      <c r="O97" s="54" t="n"/>
      <c r="P97" s="54" t="n"/>
      <c r="Q97" s="110" t="n"/>
      <c r="R97" s="110" t="n"/>
      <c r="S97" s="54" t="n"/>
      <c r="T97" s="111">
        <f>IF($G97="","",IFERROR(INDEX(Taux_Devises,MATCH(IF($M97="",Devise_Base,$M97),Codes_Devises,0)),1))</f>
        <v/>
      </c>
      <c r="U97" s="112">
        <f>IF($G97="","",ROUND($G97*$T97,2))</f>
        <v/>
      </c>
      <c r="V97" s="113">
        <f>IF($B97="","",MONTH($B97))</f>
        <v/>
      </c>
      <c r="W97" s="113">
        <f>IF($B97="","",YEAR($B97))</f>
        <v/>
      </c>
    </row>
    <row r="98">
      <c r="B98" s="105" t="n"/>
      <c r="C98" s="54" t="n"/>
      <c r="D98" s="54" t="n"/>
      <c r="E98" s="54" t="n"/>
      <c r="F98" s="54" t="n"/>
      <c r="G98" s="65" t="n"/>
      <c r="H98" s="54" t="n"/>
      <c r="I98" s="106">
        <f>IF($C98="","",IFERROR(INDEX(Sens_Types,MATCH($C98,Liste_Types,0)),""))</f>
        <v/>
      </c>
      <c r="J98" s="107">
        <f>IF($I98="▲ ENTRÉE",$U98,"")</f>
        <v/>
      </c>
      <c r="K98" s="108">
        <f>IF($I98="▼ SORTIE",$U98,"")</f>
        <v/>
      </c>
      <c r="L98" s="109">
        <f>$L97+N($J98)-N($K98)</f>
        <v/>
      </c>
      <c r="M98" s="110" t="n"/>
      <c r="N98" s="54" t="n"/>
      <c r="O98" s="54" t="n"/>
      <c r="P98" s="54" t="n"/>
      <c r="Q98" s="110" t="n"/>
      <c r="R98" s="110" t="n"/>
      <c r="S98" s="54" t="n"/>
      <c r="T98" s="111">
        <f>IF($G98="","",IFERROR(INDEX(Taux_Devises,MATCH(IF($M98="",Devise_Base,$M98),Codes_Devises,0)),1))</f>
        <v/>
      </c>
      <c r="U98" s="112">
        <f>IF($G98="","",ROUND($G98*$T98,2))</f>
        <v/>
      </c>
      <c r="V98" s="113">
        <f>IF($B98="","",MONTH($B98))</f>
        <v/>
      </c>
      <c r="W98" s="113">
        <f>IF($B98="","",YEAR($B98))</f>
        <v/>
      </c>
    </row>
    <row r="99">
      <c r="B99" s="105" t="n"/>
      <c r="C99" s="54" t="n"/>
      <c r="D99" s="54" t="n"/>
      <c r="E99" s="54" t="n"/>
      <c r="F99" s="54" t="n"/>
      <c r="G99" s="65" t="n"/>
      <c r="H99" s="54" t="n"/>
      <c r="I99" s="106">
        <f>IF($C99="","",IFERROR(INDEX(Sens_Types,MATCH($C99,Liste_Types,0)),""))</f>
        <v/>
      </c>
      <c r="J99" s="107">
        <f>IF($I99="▲ ENTRÉE",$U99,"")</f>
        <v/>
      </c>
      <c r="K99" s="108">
        <f>IF($I99="▼ SORTIE",$U99,"")</f>
        <v/>
      </c>
      <c r="L99" s="109">
        <f>$L98+N($J99)-N($K99)</f>
        <v/>
      </c>
      <c r="M99" s="110" t="n"/>
      <c r="N99" s="54" t="n"/>
      <c r="O99" s="54" t="n"/>
      <c r="P99" s="54" t="n"/>
      <c r="Q99" s="110" t="n"/>
      <c r="R99" s="110" t="n"/>
      <c r="S99" s="54" t="n"/>
      <c r="T99" s="111">
        <f>IF($G99="","",IFERROR(INDEX(Taux_Devises,MATCH(IF($M99="",Devise_Base,$M99),Codes_Devises,0)),1))</f>
        <v/>
      </c>
      <c r="U99" s="112">
        <f>IF($G99="","",ROUND($G99*$T99,2))</f>
        <v/>
      </c>
      <c r="V99" s="113">
        <f>IF($B99="","",MONTH($B99))</f>
        <v/>
      </c>
      <c r="W99" s="113">
        <f>IF($B99="","",YEAR($B99))</f>
        <v/>
      </c>
    </row>
    <row r="100">
      <c r="B100" s="105" t="n"/>
      <c r="C100" s="54" t="n"/>
      <c r="D100" s="54" t="n"/>
      <c r="E100" s="54" t="n"/>
      <c r="F100" s="54" t="n"/>
      <c r="G100" s="65" t="n"/>
      <c r="H100" s="54" t="n"/>
      <c r="I100" s="106">
        <f>IF($C100="","",IFERROR(INDEX(Sens_Types,MATCH($C100,Liste_Types,0)),""))</f>
        <v/>
      </c>
      <c r="J100" s="107">
        <f>IF($I100="▲ ENTRÉE",$U100,"")</f>
        <v/>
      </c>
      <c r="K100" s="108">
        <f>IF($I100="▼ SORTIE",$U100,"")</f>
        <v/>
      </c>
      <c r="L100" s="109">
        <f>$L99+N($J100)-N($K100)</f>
        <v/>
      </c>
      <c r="M100" s="110" t="n"/>
      <c r="N100" s="54" t="n"/>
      <c r="O100" s="54" t="n"/>
      <c r="P100" s="54" t="n"/>
      <c r="Q100" s="110" t="n"/>
      <c r="R100" s="110" t="n"/>
      <c r="S100" s="54" t="n"/>
      <c r="T100" s="111">
        <f>IF($G100="","",IFERROR(INDEX(Taux_Devises,MATCH(IF($M100="",Devise_Base,$M100),Codes_Devises,0)),1))</f>
        <v/>
      </c>
      <c r="U100" s="112">
        <f>IF($G100="","",ROUND($G100*$T100,2))</f>
        <v/>
      </c>
      <c r="V100" s="113">
        <f>IF($B100="","",MONTH($B100))</f>
        <v/>
      </c>
      <c r="W100" s="113">
        <f>IF($B100="","",YEAR($B100))</f>
        <v/>
      </c>
    </row>
    <row r="101">
      <c r="B101" s="105" t="n"/>
      <c r="C101" s="54" t="n"/>
      <c r="D101" s="54" t="n"/>
      <c r="E101" s="54" t="n"/>
      <c r="F101" s="54" t="n"/>
      <c r="G101" s="65" t="n"/>
      <c r="H101" s="54" t="n"/>
      <c r="I101" s="106">
        <f>IF($C101="","",IFERROR(INDEX(Sens_Types,MATCH($C101,Liste_Types,0)),""))</f>
        <v/>
      </c>
      <c r="J101" s="107">
        <f>IF($I101="▲ ENTRÉE",$U101,"")</f>
        <v/>
      </c>
      <c r="K101" s="108">
        <f>IF($I101="▼ SORTIE",$U101,"")</f>
        <v/>
      </c>
      <c r="L101" s="109">
        <f>$L100+N($J101)-N($K101)</f>
        <v/>
      </c>
      <c r="M101" s="110" t="n"/>
      <c r="N101" s="54" t="n"/>
      <c r="O101" s="54" t="n"/>
      <c r="P101" s="54" t="n"/>
      <c r="Q101" s="110" t="n"/>
      <c r="R101" s="110" t="n"/>
      <c r="S101" s="54" t="n"/>
      <c r="T101" s="111">
        <f>IF($G101="","",IFERROR(INDEX(Taux_Devises,MATCH(IF($M101="",Devise_Base,$M101),Codes_Devises,0)),1))</f>
        <v/>
      </c>
      <c r="U101" s="112">
        <f>IF($G101="","",ROUND($G101*$T101,2))</f>
        <v/>
      </c>
      <c r="V101" s="113">
        <f>IF($B101="","",MONTH($B101))</f>
        <v/>
      </c>
      <c r="W101" s="113">
        <f>IF($B101="","",YEAR($B101))</f>
        <v/>
      </c>
    </row>
    <row r="102">
      <c r="B102" s="105" t="n"/>
      <c r="C102" s="54" t="n"/>
      <c r="D102" s="54" t="n"/>
      <c r="E102" s="54" t="n"/>
      <c r="F102" s="54" t="n"/>
      <c r="G102" s="65" t="n"/>
      <c r="H102" s="54" t="n"/>
      <c r="I102" s="106">
        <f>IF($C102="","",IFERROR(INDEX(Sens_Types,MATCH($C102,Liste_Types,0)),""))</f>
        <v/>
      </c>
      <c r="J102" s="107">
        <f>IF($I102="▲ ENTRÉE",$U102,"")</f>
        <v/>
      </c>
      <c r="K102" s="108">
        <f>IF($I102="▼ SORTIE",$U102,"")</f>
        <v/>
      </c>
      <c r="L102" s="109">
        <f>$L101+N($J102)-N($K102)</f>
        <v/>
      </c>
      <c r="M102" s="110" t="n"/>
      <c r="N102" s="54" t="n"/>
      <c r="O102" s="54" t="n"/>
      <c r="P102" s="54" t="n"/>
      <c r="Q102" s="110" t="n"/>
      <c r="R102" s="110" t="n"/>
      <c r="S102" s="54" t="n"/>
      <c r="T102" s="111">
        <f>IF($G102="","",IFERROR(INDEX(Taux_Devises,MATCH(IF($M102="",Devise_Base,$M102),Codes_Devises,0)),1))</f>
        <v/>
      </c>
      <c r="U102" s="112">
        <f>IF($G102="","",ROUND($G102*$T102,2))</f>
        <v/>
      </c>
      <c r="V102" s="113">
        <f>IF($B102="","",MONTH($B102))</f>
        <v/>
      </c>
      <c r="W102" s="113">
        <f>IF($B102="","",YEAR($B102))</f>
        <v/>
      </c>
    </row>
    <row r="103">
      <c r="B103" s="105" t="n"/>
      <c r="C103" s="54" t="n"/>
      <c r="D103" s="54" t="n"/>
      <c r="E103" s="54" t="n"/>
      <c r="F103" s="54" t="n"/>
      <c r="G103" s="65" t="n"/>
      <c r="H103" s="54" t="n"/>
      <c r="I103" s="106">
        <f>IF($C103="","",IFERROR(INDEX(Sens_Types,MATCH($C103,Liste_Types,0)),""))</f>
        <v/>
      </c>
      <c r="J103" s="107">
        <f>IF($I103="▲ ENTRÉE",$U103,"")</f>
        <v/>
      </c>
      <c r="K103" s="108">
        <f>IF($I103="▼ SORTIE",$U103,"")</f>
        <v/>
      </c>
      <c r="L103" s="109">
        <f>$L102+N($J103)-N($K103)</f>
        <v/>
      </c>
      <c r="M103" s="110" t="n"/>
      <c r="N103" s="54" t="n"/>
      <c r="O103" s="54" t="n"/>
      <c r="P103" s="54" t="n"/>
      <c r="Q103" s="110" t="n"/>
      <c r="R103" s="110" t="n"/>
      <c r="S103" s="54" t="n"/>
      <c r="T103" s="111">
        <f>IF($G103="","",IFERROR(INDEX(Taux_Devises,MATCH(IF($M103="",Devise_Base,$M103),Codes_Devises,0)),1))</f>
        <v/>
      </c>
      <c r="U103" s="112">
        <f>IF($G103="","",ROUND($G103*$T103,2))</f>
        <v/>
      </c>
      <c r="V103" s="113">
        <f>IF($B103="","",MONTH($B103))</f>
        <v/>
      </c>
      <c r="W103" s="113">
        <f>IF($B103="","",YEAR($B103))</f>
        <v/>
      </c>
    </row>
    <row r="104">
      <c r="B104" s="105" t="n"/>
      <c r="C104" s="54" t="n"/>
      <c r="D104" s="54" t="n"/>
      <c r="E104" s="54" t="n"/>
      <c r="F104" s="54" t="n"/>
      <c r="G104" s="65" t="n"/>
      <c r="H104" s="54" t="n"/>
      <c r="I104" s="106">
        <f>IF($C104="","",IFERROR(INDEX(Sens_Types,MATCH($C104,Liste_Types,0)),""))</f>
        <v/>
      </c>
      <c r="J104" s="107">
        <f>IF($I104="▲ ENTRÉE",$U104,"")</f>
        <v/>
      </c>
      <c r="K104" s="108">
        <f>IF($I104="▼ SORTIE",$U104,"")</f>
        <v/>
      </c>
      <c r="L104" s="109">
        <f>$L103+N($J104)-N($K104)</f>
        <v/>
      </c>
      <c r="M104" s="110" t="n"/>
      <c r="N104" s="54" t="n"/>
      <c r="O104" s="54" t="n"/>
      <c r="P104" s="54" t="n"/>
      <c r="Q104" s="110" t="n"/>
      <c r="R104" s="110" t="n"/>
      <c r="S104" s="54" t="n"/>
      <c r="T104" s="111">
        <f>IF($G104="","",IFERROR(INDEX(Taux_Devises,MATCH(IF($M104="",Devise_Base,$M104),Codes_Devises,0)),1))</f>
        <v/>
      </c>
      <c r="U104" s="112">
        <f>IF($G104="","",ROUND($G104*$T104,2))</f>
        <v/>
      </c>
      <c r="V104" s="113">
        <f>IF($B104="","",MONTH($B104))</f>
        <v/>
      </c>
      <c r="W104" s="113">
        <f>IF($B104="","",YEAR($B104))</f>
        <v/>
      </c>
    </row>
    <row r="105">
      <c r="B105" s="105" t="n"/>
      <c r="C105" s="54" t="n"/>
      <c r="D105" s="54" t="n"/>
      <c r="E105" s="54" t="n"/>
      <c r="F105" s="54" t="n"/>
      <c r="G105" s="65" t="n"/>
      <c r="H105" s="54" t="n"/>
      <c r="I105" s="106">
        <f>IF($C105="","",IFERROR(INDEX(Sens_Types,MATCH($C105,Liste_Types,0)),""))</f>
        <v/>
      </c>
      <c r="J105" s="107">
        <f>IF($I105="▲ ENTRÉE",$U105,"")</f>
        <v/>
      </c>
      <c r="K105" s="108">
        <f>IF($I105="▼ SORTIE",$U105,"")</f>
        <v/>
      </c>
      <c r="L105" s="109">
        <f>$L104+N($J105)-N($K105)</f>
        <v/>
      </c>
      <c r="M105" s="110" t="n"/>
      <c r="N105" s="54" t="n"/>
      <c r="O105" s="54" t="n"/>
      <c r="P105" s="54" t="n"/>
      <c r="Q105" s="110" t="n"/>
      <c r="R105" s="110" t="n"/>
      <c r="S105" s="54" t="n"/>
      <c r="T105" s="111">
        <f>IF($G105="","",IFERROR(INDEX(Taux_Devises,MATCH(IF($M105="",Devise_Base,$M105),Codes_Devises,0)),1))</f>
        <v/>
      </c>
      <c r="U105" s="112">
        <f>IF($G105="","",ROUND($G105*$T105,2))</f>
        <v/>
      </c>
      <c r="V105" s="113">
        <f>IF($B105="","",MONTH($B105))</f>
        <v/>
      </c>
      <c r="W105" s="113">
        <f>IF($B105="","",YEAR($B105))</f>
        <v/>
      </c>
    </row>
    <row r="106">
      <c r="B106" s="105" t="n"/>
      <c r="C106" s="54" t="n"/>
      <c r="D106" s="54" t="n"/>
      <c r="E106" s="54" t="n"/>
      <c r="F106" s="54" t="n"/>
      <c r="G106" s="65" t="n"/>
      <c r="H106" s="54" t="n"/>
      <c r="I106" s="106">
        <f>IF($C106="","",IFERROR(INDEX(Sens_Types,MATCH($C106,Liste_Types,0)),""))</f>
        <v/>
      </c>
      <c r="J106" s="107">
        <f>IF($I106="▲ ENTRÉE",$U106,"")</f>
        <v/>
      </c>
      <c r="K106" s="108">
        <f>IF($I106="▼ SORTIE",$U106,"")</f>
        <v/>
      </c>
      <c r="L106" s="109">
        <f>$L105+N($J106)-N($K106)</f>
        <v/>
      </c>
      <c r="M106" s="110" t="n"/>
      <c r="N106" s="54" t="n"/>
      <c r="O106" s="54" t="n"/>
      <c r="P106" s="54" t="n"/>
      <c r="Q106" s="110" t="n"/>
      <c r="R106" s="110" t="n"/>
      <c r="S106" s="54" t="n"/>
      <c r="T106" s="111">
        <f>IF($G106="","",IFERROR(INDEX(Taux_Devises,MATCH(IF($M106="",Devise_Base,$M106),Codes_Devises,0)),1))</f>
        <v/>
      </c>
      <c r="U106" s="112">
        <f>IF($G106="","",ROUND($G106*$T106,2))</f>
        <v/>
      </c>
      <c r="V106" s="113">
        <f>IF($B106="","",MONTH($B106))</f>
        <v/>
      </c>
      <c r="W106" s="113">
        <f>IF($B106="","",YEAR($B106))</f>
        <v/>
      </c>
    </row>
    <row r="107">
      <c r="B107" s="105" t="n"/>
      <c r="C107" s="54" t="n"/>
      <c r="D107" s="54" t="n"/>
      <c r="E107" s="54" t="n"/>
      <c r="F107" s="54" t="n"/>
      <c r="G107" s="65" t="n"/>
      <c r="H107" s="54" t="n"/>
      <c r="I107" s="106">
        <f>IF($C107="","",IFERROR(INDEX(Sens_Types,MATCH($C107,Liste_Types,0)),""))</f>
        <v/>
      </c>
      <c r="J107" s="107">
        <f>IF($I107="▲ ENTRÉE",$U107,"")</f>
        <v/>
      </c>
      <c r="K107" s="108">
        <f>IF($I107="▼ SORTIE",$U107,"")</f>
        <v/>
      </c>
      <c r="L107" s="109">
        <f>$L106+N($J107)-N($K107)</f>
        <v/>
      </c>
      <c r="M107" s="110" t="n"/>
      <c r="N107" s="54" t="n"/>
      <c r="O107" s="54" t="n"/>
      <c r="P107" s="54" t="n"/>
      <c r="Q107" s="110" t="n"/>
      <c r="R107" s="110" t="n"/>
      <c r="S107" s="54" t="n"/>
      <c r="T107" s="111">
        <f>IF($G107="","",IFERROR(INDEX(Taux_Devises,MATCH(IF($M107="",Devise_Base,$M107),Codes_Devises,0)),1))</f>
        <v/>
      </c>
      <c r="U107" s="112">
        <f>IF($G107="","",ROUND($G107*$T107,2))</f>
        <v/>
      </c>
      <c r="V107" s="113">
        <f>IF($B107="","",MONTH($B107))</f>
        <v/>
      </c>
      <c r="W107" s="113">
        <f>IF($B107="","",YEAR($B107))</f>
        <v/>
      </c>
    </row>
    <row r="108">
      <c r="B108" s="105" t="n"/>
      <c r="C108" s="54" t="n"/>
      <c r="D108" s="54" t="n"/>
      <c r="E108" s="54" t="n"/>
      <c r="F108" s="54" t="n"/>
      <c r="G108" s="65" t="n"/>
      <c r="H108" s="54" t="n"/>
      <c r="I108" s="106">
        <f>IF($C108="","",IFERROR(INDEX(Sens_Types,MATCH($C108,Liste_Types,0)),""))</f>
        <v/>
      </c>
      <c r="J108" s="107">
        <f>IF($I108="▲ ENTRÉE",$U108,"")</f>
        <v/>
      </c>
      <c r="K108" s="108">
        <f>IF($I108="▼ SORTIE",$U108,"")</f>
        <v/>
      </c>
      <c r="L108" s="109">
        <f>$L107+N($J108)-N($K108)</f>
        <v/>
      </c>
      <c r="M108" s="110" t="n"/>
      <c r="N108" s="54" t="n"/>
      <c r="O108" s="54" t="n"/>
      <c r="P108" s="54" t="n"/>
      <c r="Q108" s="110" t="n"/>
      <c r="R108" s="110" t="n"/>
      <c r="S108" s="54" t="n"/>
      <c r="T108" s="111">
        <f>IF($G108="","",IFERROR(INDEX(Taux_Devises,MATCH(IF($M108="",Devise_Base,$M108),Codes_Devises,0)),1))</f>
        <v/>
      </c>
      <c r="U108" s="112">
        <f>IF($G108="","",ROUND($G108*$T108,2))</f>
        <v/>
      </c>
      <c r="V108" s="113">
        <f>IF($B108="","",MONTH($B108))</f>
        <v/>
      </c>
      <c r="W108" s="113">
        <f>IF($B108="","",YEAR($B108))</f>
        <v/>
      </c>
    </row>
    <row r="109">
      <c r="B109" s="105" t="n"/>
      <c r="C109" s="54" t="n"/>
      <c r="D109" s="54" t="n"/>
      <c r="E109" s="54" t="n"/>
      <c r="F109" s="54" t="n"/>
      <c r="G109" s="65" t="n"/>
      <c r="H109" s="54" t="n"/>
      <c r="I109" s="106">
        <f>IF($C109="","",IFERROR(INDEX(Sens_Types,MATCH($C109,Liste_Types,0)),""))</f>
        <v/>
      </c>
      <c r="J109" s="107">
        <f>IF($I109="▲ ENTRÉE",$U109,"")</f>
        <v/>
      </c>
      <c r="K109" s="108">
        <f>IF($I109="▼ SORTIE",$U109,"")</f>
        <v/>
      </c>
      <c r="L109" s="109">
        <f>$L108+N($J109)-N($K109)</f>
        <v/>
      </c>
      <c r="M109" s="110" t="n"/>
      <c r="N109" s="54" t="n"/>
      <c r="O109" s="54" t="n"/>
      <c r="P109" s="54" t="n"/>
      <c r="Q109" s="110" t="n"/>
      <c r="R109" s="110" t="n"/>
      <c r="S109" s="54" t="n"/>
      <c r="T109" s="111">
        <f>IF($G109="","",IFERROR(INDEX(Taux_Devises,MATCH(IF($M109="",Devise_Base,$M109),Codes_Devises,0)),1))</f>
        <v/>
      </c>
      <c r="U109" s="112">
        <f>IF($G109="","",ROUND($G109*$T109,2))</f>
        <v/>
      </c>
      <c r="V109" s="113">
        <f>IF($B109="","",MONTH($B109))</f>
        <v/>
      </c>
      <c r="W109" s="113">
        <f>IF($B109="","",YEAR($B109))</f>
        <v/>
      </c>
    </row>
    <row r="110">
      <c r="B110" s="105" t="n"/>
      <c r="C110" s="54" t="n"/>
      <c r="D110" s="54" t="n"/>
      <c r="E110" s="54" t="n"/>
      <c r="F110" s="54" t="n"/>
      <c r="G110" s="65" t="n"/>
      <c r="H110" s="54" t="n"/>
      <c r="I110" s="106">
        <f>IF($C110="","",IFERROR(INDEX(Sens_Types,MATCH($C110,Liste_Types,0)),""))</f>
        <v/>
      </c>
      <c r="J110" s="107">
        <f>IF($I110="▲ ENTRÉE",$U110,"")</f>
        <v/>
      </c>
      <c r="K110" s="108">
        <f>IF($I110="▼ SORTIE",$U110,"")</f>
        <v/>
      </c>
      <c r="L110" s="109">
        <f>$L109+N($J110)-N($K110)</f>
        <v/>
      </c>
      <c r="M110" s="110" t="n"/>
      <c r="N110" s="54" t="n"/>
      <c r="O110" s="54" t="n"/>
      <c r="P110" s="54" t="n"/>
      <c r="Q110" s="110" t="n"/>
      <c r="R110" s="110" t="n"/>
      <c r="S110" s="54" t="n"/>
      <c r="T110" s="111">
        <f>IF($G110="","",IFERROR(INDEX(Taux_Devises,MATCH(IF($M110="",Devise_Base,$M110),Codes_Devises,0)),1))</f>
        <v/>
      </c>
      <c r="U110" s="112">
        <f>IF($G110="","",ROUND($G110*$T110,2))</f>
        <v/>
      </c>
      <c r="V110" s="113">
        <f>IF($B110="","",MONTH($B110))</f>
        <v/>
      </c>
      <c r="W110" s="113">
        <f>IF($B110="","",YEAR($B110))</f>
        <v/>
      </c>
    </row>
    <row r="111">
      <c r="B111" s="105" t="n"/>
      <c r="C111" s="54" t="n"/>
      <c r="D111" s="54" t="n"/>
      <c r="E111" s="54" t="n"/>
      <c r="F111" s="54" t="n"/>
      <c r="G111" s="65" t="n"/>
      <c r="H111" s="54" t="n"/>
      <c r="I111" s="106">
        <f>IF($C111="","",IFERROR(INDEX(Sens_Types,MATCH($C111,Liste_Types,0)),""))</f>
        <v/>
      </c>
      <c r="J111" s="107">
        <f>IF($I111="▲ ENTRÉE",$U111,"")</f>
        <v/>
      </c>
      <c r="K111" s="108">
        <f>IF($I111="▼ SORTIE",$U111,"")</f>
        <v/>
      </c>
      <c r="L111" s="109">
        <f>$L110+N($J111)-N($K111)</f>
        <v/>
      </c>
      <c r="M111" s="110" t="n"/>
      <c r="N111" s="54" t="n"/>
      <c r="O111" s="54" t="n"/>
      <c r="P111" s="54" t="n"/>
      <c r="Q111" s="110" t="n"/>
      <c r="R111" s="110" t="n"/>
      <c r="S111" s="54" t="n"/>
      <c r="T111" s="111">
        <f>IF($G111="","",IFERROR(INDEX(Taux_Devises,MATCH(IF($M111="",Devise_Base,$M111),Codes_Devises,0)),1))</f>
        <v/>
      </c>
      <c r="U111" s="112">
        <f>IF($G111="","",ROUND($G111*$T111,2))</f>
        <v/>
      </c>
      <c r="V111" s="113">
        <f>IF($B111="","",MONTH($B111))</f>
        <v/>
      </c>
      <c r="W111" s="113">
        <f>IF($B111="","",YEAR($B111))</f>
        <v/>
      </c>
    </row>
    <row r="112">
      <c r="B112" s="105" t="n"/>
      <c r="C112" s="54" t="n"/>
      <c r="D112" s="54" t="n"/>
      <c r="E112" s="54" t="n"/>
      <c r="F112" s="54" t="n"/>
      <c r="G112" s="65" t="n"/>
      <c r="H112" s="54" t="n"/>
      <c r="I112" s="106">
        <f>IF($C112="","",IFERROR(INDEX(Sens_Types,MATCH($C112,Liste_Types,0)),""))</f>
        <v/>
      </c>
      <c r="J112" s="107">
        <f>IF($I112="▲ ENTRÉE",$U112,"")</f>
        <v/>
      </c>
      <c r="K112" s="108">
        <f>IF($I112="▼ SORTIE",$U112,"")</f>
        <v/>
      </c>
      <c r="L112" s="109">
        <f>$L111+N($J112)-N($K112)</f>
        <v/>
      </c>
      <c r="M112" s="110" t="n"/>
      <c r="N112" s="54" t="n"/>
      <c r="O112" s="54" t="n"/>
      <c r="P112" s="54" t="n"/>
      <c r="Q112" s="110" t="n"/>
      <c r="R112" s="110" t="n"/>
      <c r="S112" s="54" t="n"/>
      <c r="T112" s="111">
        <f>IF($G112="","",IFERROR(INDEX(Taux_Devises,MATCH(IF($M112="",Devise_Base,$M112),Codes_Devises,0)),1))</f>
        <v/>
      </c>
      <c r="U112" s="112">
        <f>IF($G112="","",ROUND($G112*$T112,2))</f>
        <v/>
      </c>
      <c r="V112" s="113">
        <f>IF($B112="","",MONTH($B112))</f>
        <v/>
      </c>
      <c r="W112" s="113">
        <f>IF($B112="","",YEAR($B112))</f>
        <v/>
      </c>
    </row>
    <row r="113">
      <c r="B113" s="105" t="n"/>
      <c r="C113" s="54" t="n"/>
      <c r="D113" s="54" t="n"/>
      <c r="E113" s="54" t="n"/>
      <c r="F113" s="54" t="n"/>
      <c r="G113" s="65" t="n"/>
      <c r="H113" s="54" t="n"/>
      <c r="I113" s="106">
        <f>IF($C113="","",IFERROR(INDEX(Sens_Types,MATCH($C113,Liste_Types,0)),""))</f>
        <v/>
      </c>
      <c r="J113" s="107">
        <f>IF($I113="▲ ENTRÉE",$U113,"")</f>
        <v/>
      </c>
      <c r="K113" s="108">
        <f>IF($I113="▼ SORTIE",$U113,"")</f>
        <v/>
      </c>
      <c r="L113" s="109">
        <f>$L112+N($J113)-N($K113)</f>
        <v/>
      </c>
      <c r="M113" s="110" t="n"/>
      <c r="N113" s="54" t="n"/>
      <c r="O113" s="54" t="n"/>
      <c r="P113" s="54" t="n"/>
      <c r="Q113" s="110" t="n"/>
      <c r="R113" s="110" t="n"/>
      <c r="S113" s="54" t="n"/>
      <c r="T113" s="111">
        <f>IF($G113="","",IFERROR(INDEX(Taux_Devises,MATCH(IF($M113="",Devise_Base,$M113),Codes_Devises,0)),1))</f>
        <v/>
      </c>
      <c r="U113" s="112">
        <f>IF($G113="","",ROUND($G113*$T113,2))</f>
        <v/>
      </c>
      <c r="V113" s="113">
        <f>IF($B113="","",MONTH($B113))</f>
        <v/>
      </c>
      <c r="W113" s="113">
        <f>IF($B113="","",YEAR($B113))</f>
        <v/>
      </c>
    </row>
    <row r="114">
      <c r="B114" s="105" t="n"/>
      <c r="C114" s="54" t="n"/>
      <c r="D114" s="54" t="n"/>
      <c r="E114" s="54" t="n"/>
      <c r="F114" s="54" t="n"/>
      <c r="G114" s="65" t="n"/>
      <c r="H114" s="54" t="n"/>
      <c r="I114" s="106">
        <f>IF($C114="","",IFERROR(INDEX(Sens_Types,MATCH($C114,Liste_Types,0)),""))</f>
        <v/>
      </c>
      <c r="J114" s="107">
        <f>IF($I114="▲ ENTRÉE",$U114,"")</f>
        <v/>
      </c>
      <c r="K114" s="108">
        <f>IF($I114="▼ SORTIE",$U114,"")</f>
        <v/>
      </c>
      <c r="L114" s="109">
        <f>$L113+N($J114)-N($K114)</f>
        <v/>
      </c>
      <c r="M114" s="110" t="n"/>
      <c r="N114" s="54" t="n"/>
      <c r="O114" s="54" t="n"/>
      <c r="P114" s="54" t="n"/>
      <c r="Q114" s="110" t="n"/>
      <c r="R114" s="110" t="n"/>
      <c r="S114" s="54" t="n"/>
      <c r="T114" s="111">
        <f>IF($G114="","",IFERROR(INDEX(Taux_Devises,MATCH(IF($M114="",Devise_Base,$M114),Codes_Devises,0)),1))</f>
        <v/>
      </c>
      <c r="U114" s="112">
        <f>IF($G114="","",ROUND($G114*$T114,2))</f>
        <v/>
      </c>
      <c r="V114" s="113">
        <f>IF($B114="","",MONTH($B114))</f>
        <v/>
      </c>
      <c r="W114" s="113">
        <f>IF($B114="","",YEAR($B114))</f>
        <v/>
      </c>
    </row>
    <row r="115">
      <c r="B115" s="105" t="n"/>
      <c r="C115" s="54" t="n"/>
      <c r="D115" s="54" t="n"/>
      <c r="E115" s="54" t="n"/>
      <c r="F115" s="54" t="n"/>
      <c r="G115" s="65" t="n"/>
      <c r="H115" s="54" t="n"/>
      <c r="I115" s="106">
        <f>IF($C115="","",IFERROR(INDEX(Sens_Types,MATCH($C115,Liste_Types,0)),""))</f>
        <v/>
      </c>
      <c r="J115" s="107">
        <f>IF($I115="▲ ENTRÉE",$U115,"")</f>
        <v/>
      </c>
      <c r="K115" s="108">
        <f>IF($I115="▼ SORTIE",$U115,"")</f>
        <v/>
      </c>
      <c r="L115" s="109">
        <f>$L114+N($J115)-N($K115)</f>
        <v/>
      </c>
      <c r="M115" s="110" t="n"/>
      <c r="N115" s="54" t="n"/>
      <c r="O115" s="54" t="n"/>
      <c r="P115" s="54" t="n"/>
      <c r="Q115" s="110" t="n"/>
      <c r="R115" s="110" t="n"/>
      <c r="S115" s="54" t="n"/>
      <c r="T115" s="111">
        <f>IF($G115="","",IFERROR(INDEX(Taux_Devises,MATCH(IF($M115="",Devise_Base,$M115),Codes_Devises,0)),1))</f>
        <v/>
      </c>
      <c r="U115" s="112">
        <f>IF($G115="","",ROUND($G115*$T115,2))</f>
        <v/>
      </c>
      <c r="V115" s="113">
        <f>IF($B115="","",MONTH($B115))</f>
        <v/>
      </c>
      <c r="W115" s="113">
        <f>IF($B115="","",YEAR($B115))</f>
        <v/>
      </c>
    </row>
    <row r="116">
      <c r="B116" s="105" t="n"/>
      <c r="C116" s="54" t="n"/>
      <c r="D116" s="54" t="n"/>
      <c r="E116" s="54" t="n"/>
      <c r="F116" s="54" t="n"/>
      <c r="G116" s="65" t="n"/>
      <c r="H116" s="54" t="n"/>
      <c r="I116" s="106">
        <f>IF($C116="","",IFERROR(INDEX(Sens_Types,MATCH($C116,Liste_Types,0)),""))</f>
        <v/>
      </c>
      <c r="J116" s="107">
        <f>IF($I116="▲ ENTRÉE",$U116,"")</f>
        <v/>
      </c>
      <c r="K116" s="108">
        <f>IF($I116="▼ SORTIE",$U116,"")</f>
        <v/>
      </c>
      <c r="L116" s="109">
        <f>$L115+N($J116)-N($K116)</f>
        <v/>
      </c>
      <c r="M116" s="110" t="n"/>
      <c r="N116" s="54" t="n"/>
      <c r="O116" s="54" t="n"/>
      <c r="P116" s="54" t="n"/>
      <c r="Q116" s="110" t="n"/>
      <c r="R116" s="110" t="n"/>
      <c r="S116" s="54" t="n"/>
      <c r="T116" s="111">
        <f>IF($G116="","",IFERROR(INDEX(Taux_Devises,MATCH(IF($M116="",Devise_Base,$M116),Codes_Devises,0)),1))</f>
        <v/>
      </c>
      <c r="U116" s="112">
        <f>IF($G116="","",ROUND($G116*$T116,2))</f>
        <v/>
      </c>
      <c r="V116" s="113">
        <f>IF($B116="","",MONTH($B116))</f>
        <v/>
      </c>
      <c r="W116" s="113">
        <f>IF($B116="","",YEAR($B116))</f>
        <v/>
      </c>
    </row>
    <row r="117">
      <c r="B117" s="105" t="n"/>
      <c r="C117" s="54" t="n"/>
      <c r="D117" s="54" t="n"/>
      <c r="E117" s="54" t="n"/>
      <c r="F117" s="54" t="n"/>
      <c r="G117" s="65" t="n"/>
      <c r="H117" s="54" t="n"/>
      <c r="I117" s="106">
        <f>IF($C117="","",IFERROR(INDEX(Sens_Types,MATCH($C117,Liste_Types,0)),""))</f>
        <v/>
      </c>
      <c r="J117" s="107">
        <f>IF($I117="▲ ENTRÉE",$U117,"")</f>
        <v/>
      </c>
      <c r="K117" s="108">
        <f>IF($I117="▼ SORTIE",$U117,"")</f>
        <v/>
      </c>
      <c r="L117" s="109">
        <f>$L116+N($J117)-N($K117)</f>
        <v/>
      </c>
      <c r="M117" s="110" t="n"/>
      <c r="N117" s="54" t="n"/>
      <c r="O117" s="54" t="n"/>
      <c r="P117" s="54" t="n"/>
      <c r="Q117" s="110" t="n"/>
      <c r="R117" s="110" t="n"/>
      <c r="S117" s="54" t="n"/>
      <c r="T117" s="111">
        <f>IF($G117="","",IFERROR(INDEX(Taux_Devises,MATCH(IF($M117="",Devise_Base,$M117),Codes_Devises,0)),1))</f>
        <v/>
      </c>
      <c r="U117" s="112">
        <f>IF($G117="","",ROUND($G117*$T117,2))</f>
        <v/>
      </c>
      <c r="V117" s="113">
        <f>IF($B117="","",MONTH($B117))</f>
        <v/>
      </c>
      <c r="W117" s="113">
        <f>IF($B117="","",YEAR($B117))</f>
        <v/>
      </c>
    </row>
    <row r="118">
      <c r="B118" s="105" t="n"/>
      <c r="C118" s="54" t="n"/>
      <c r="D118" s="54" t="n"/>
      <c r="E118" s="54" t="n"/>
      <c r="F118" s="54" t="n"/>
      <c r="G118" s="65" t="n"/>
      <c r="H118" s="54" t="n"/>
      <c r="I118" s="106">
        <f>IF($C118="","",IFERROR(INDEX(Sens_Types,MATCH($C118,Liste_Types,0)),""))</f>
        <v/>
      </c>
      <c r="J118" s="107">
        <f>IF($I118="▲ ENTRÉE",$U118,"")</f>
        <v/>
      </c>
      <c r="K118" s="108">
        <f>IF($I118="▼ SORTIE",$U118,"")</f>
        <v/>
      </c>
      <c r="L118" s="109">
        <f>$L117+N($J118)-N($K118)</f>
        <v/>
      </c>
      <c r="M118" s="110" t="n"/>
      <c r="N118" s="54" t="n"/>
      <c r="O118" s="54" t="n"/>
      <c r="P118" s="54" t="n"/>
      <c r="Q118" s="110" t="n"/>
      <c r="R118" s="110" t="n"/>
      <c r="S118" s="54" t="n"/>
      <c r="T118" s="111">
        <f>IF($G118="","",IFERROR(INDEX(Taux_Devises,MATCH(IF($M118="",Devise_Base,$M118),Codes_Devises,0)),1))</f>
        <v/>
      </c>
      <c r="U118" s="112">
        <f>IF($G118="","",ROUND($G118*$T118,2))</f>
        <v/>
      </c>
      <c r="V118" s="113">
        <f>IF($B118="","",MONTH($B118))</f>
        <v/>
      </c>
      <c r="W118" s="113">
        <f>IF($B118="","",YEAR($B118))</f>
        <v/>
      </c>
    </row>
    <row r="119">
      <c r="B119" s="105" t="n"/>
      <c r="C119" s="54" t="n"/>
      <c r="D119" s="54" t="n"/>
      <c r="E119" s="54" t="n"/>
      <c r="F119" s="54" t="n"/>
      <c r="G119" s="65" t="n"/>
      <c r="H119" s="54" t="n"/>
      <c r="I119" s="106">
        <f>IF($C119="","",IFERROR(INDEX(Sens_Types,MATCH($C119,Liste_Types,0)),""))</f>
        <v/>
      </c>
      <c r="J119" s="107">
        <f>IF($I119="▲ ENTRÉE",$U119,"")</f>
        <v/>
      </c>
      <c r="K119" s="108">
        <f>IF($I119="▼ SORTIE",$U119,"")</f>
        <v/>
      </c>
      <c r="L119" s="109">
        <f>$L118+N($J119)-N($K119)</f>
        <v/>
      </c>
      <c r="M119" s="110" t="n"/>
      <c r="N119" s="54" t="n"/>
      <c r="O119" s="54" t="n"/>
      <c r="P119" s="54" t="n"/>
      <c r="Q119" s="110" t="n"/>
      <c r="R119" s="110" t="n"/>
      <c r="S119" s="54" t="n"/>
      <c r="T119" s="111">
        <f>IF($G119="","",IFERROR(INDEX(Taux_Devises,MATCH(IF($M119="",Devise_Base,$M119),Codes_Devises,0)),1))</f>
        <v/>
      </c>
      <c r="U119" s="112">
        <f>IF($G119="","",ROUND($G119*$T119,2))</f>
        <v/>
      </c>
      <c r="V119" s="113">
        <f>IF($B119="","",MONTH($B119))</f>
        <v/>
      </c>
      <c r="W119" s="113">
        <f>IF($B119="","",YEAR($B119))</f>
        <v/>
      </c>
    </row>
    <row r="120">
      <c r="B120" s="105" t="n"/>
      <c r="C120" s="54" t="n"/>
      <c r="D120" s="54" t="n"/>
      <c r="E120" s="54" t="n"/>
      <c r="F120" s="54" t="n"/>
      <c r="G120" s="65" t="n"/>
      <c r="H120" s="54" t="n"/>
      <c r="I120" s="106">
        <f>IF($C120="","",IFERROR(INDEX(Sens_Types,MATCH($C120,Liste_Types,0)),""))</f>
        <v/>
      </c>
      <c r="J120" s="107">
        <f>IF($I120="▲ ENTRÉE",$U120,"")</f>
        <v/>
      </c>
      <c r="K120" s="108">
        <f>IF($I120="▼ SORTIE",$U120,"")</f>
        <v/>
      </c>
      <c r="L120" s="109">
        <f>$L119+N($J120)-N($K120)</f>
        <v/>
      </c>
      <c r="M120" s="110" t="n"/>
      <c r="N120" s="54" t="n"/>
      <c r="O120" s="54" t="n"/>
      <c r="P120" s="54" t="n"/>
      <c r="Q120" s="110" t="n"/>
      <c r="R120" s="110" t="n"/>
      <c r="S120" s="54" t="n"/>
      <c r="T120" s="111">
        <f>IF($G120="","",IFERROR(INDEX(Taux_Devises,MATCH(IF($M120="",Devise_Base,$M120),Codes_Devises,0)),1))</f>
        <v/>
      </c>
      <c r="U120" s="112">
        <f>IF($G120="","",ROUND($G120*$T120,2))</f>
        <v/>
      </c>
      <c r="V120" s="113">
        <f>IF($B120="","",MONTH($B120))</f>
        <v/>
      </c>
      <c r="W120" s="113">
        <f>IF($B120="","",YEAR($B120))</f>
        <v/>
      </c>
    </row>
    <row r="121">
      <c r="B121" s="105" t="n"/>
      <c r="C121" s="54" t="n"/>
      <c r="D121" s="54" t="n"/>
      <c r="E121" s="54" t="n"/>
      <c r="F121" s="54" t="n"/>
      <c r="G121" s="65" t="n"/>
      <c r="H121" s="54" t="n"/>
      <c r="I121" s="106">
        <f>IF($C121="","",IFERROR(INDEX(Sens_Types,MATCH($C121,Liste_Types,0)),""))</f>
        <v/>
      </c>
      <c r="J121" s="107">
        <f>IF($I121="▲ ENTRÉE",$U121,"")</f>
        <v/>
      </c>
      <c r="K121" s="108">
        <f>IF($I121="▼ SORTIE",$U121,"")</f>
        <v/>
      </c>
      <c r="L121" s="109">
        <f>$L120+N($J121)-N($K121)</f>
        <v/>
      </c>
      <c r="M121" s="110" t="n"/>
      <c r="N121" s="54" t="n"/>
      <c r="O121" s="54" t="n"/>
      <c r="P121" s="54" t="n"/>
      <c r="Q121" s="110" t="n"/>
      <c r="R121" s="110" t="n"/>
      <c r="S121" s="54" t="n"/>
      <c r="T121" s="111">
        <f>IF($G121="","",IFERROR(INDEX(Taux_Devises,MATCH(IF($M121="",Devise_Base,$M121),Codes_Devises,0)),1))</f>
        <v/>
      </c>
      <c r="U121" s="112">
        <f>IF($G121="","",ROUND($G121*$T121,2))</f>
        <v/>
      </c>
      <c r="V121" s="113">
        <f>IF($B121="","",MONTH($B121))</f>
        <v/>
      </c>
      <c r="W121" s="113">
        <f>IF($B121="","",YEAR($B121))</f>
        <v/>
      </c>
    </row>
    <row r="122">
      <c r="B122" s="105" t="n"/>
      <c r="C122" s="54" t="n"/>
      <c r="D122" s="54" t="n"/>
      <c r="E122" s="54" t="n"/>
      <c r="F122" s="54" t="n"/>
      <c r="G122" s="65" t="n"/>
      <c r="H122" s="54" t="n"/>
      <c r="I122" s="106">
        <f>IF($C122="","",IFERROR(INDEX(Sens_Types,MATCH($C122,Liste_Types,0)),""))</f>
        <v/>
      </c>
      <c r="J122" s="107">
        <f>IF($I122="▲ ENTRÉE",$U122,"")</f>
        <v/>
      </c>
      <c r="K122" s="108">
        <f>IF($I122="▼ SORTIE",$U122,"")</f>
        <v/>
      </c>
      <c r="L122" s="109">
        <f>$L121+N($J122)-N($K122)</f>
        <v/>
      </c>
      <c r="M122" s="110" t="n"/>
      <c r="N122" s="54" t="n"/>
      <c r="O122" s="54" t="n"/>
      <c r="P122" s="54" t="n"/>
      <c r="Q122" s="110" t="n"/>
      <c r="R122" s="110" t="n"/>
      <c r="S122" s="54" t="n"/>
      <c r="T122" s="111">
        <f>IF($G122="","",IFERROR(INDEX(Taux_Devises,MATCH(IF($M122="",Devise_Base,$M122),Codes_Devises,0)),1))</f>
        <v/>
      </c>
      <c r="U122" s="112">
        <f>IF($G122="","",ROUND($G122*$T122,2))</f>
        <v/>
      </c>
      <c r="V122" s="113">
        <f>IF($B122="","",MONTH($B122))</f>
        <v/>
      </c>
      <c r="W122" s="113">
        <f>IF($B122="","",YEAR($B122))</f>
        <v/>
      </c>
    </row>
    <row r="123">
      <c r="B123" s="105" t="n"/>
      <c r="C123" s="54" t="n"/>
      <c r="D123" s="54" t="n"/>
      <c r="E123" s="54" t="n"/>
      <c r="F123" s="54" t="n"/>
      <c r="G123" s="65" t="n"/>
      <c r="H123" s="54" t="n"/>
      <c r="I123" s="106">
        <f>IF($C123="","",IFERROR(INDEX(Sens_Types,MATCH($C123,Liste_Types,0)),""))</f>
        <v/>
      </c>
      <c r="J123" s="107">
        <f>IF($I123="▲ ENTRÉE",$U123,"")</f>
        <v/>
      </c>
      <c r="K123" s="108">
        <f>IF($I123="▼ SORTIE",$U123,"")</f>
        <v/>
      </c>
      <c r="L123" s="109">
        <f>$L122+N($J123)-N($K123)</f>
        <v/>
      </c>
      <c r="M123" s="110" t="n"/>
      <c r="N123" s="54" t="n"/>
      <c r="O123" s="54" t="n"/>
      <c r="P123" s="54" t="n"/>
      <c r="Q123" s="110" t="n"/>
      <c r="R123" s="110" t="n"/>
      <c r="S123" s="54" t="n"/>
      <c r="T123" s="111">
        <f>IF($G123="","",IFERROR(INDEX(Taux_Devises,MATCH(IF($M123="",Devise_Base,$M123),Codes_Devises,0)),1))</f>
        <v/>
      </c>
      <c r="U123" s="112">
        <f>IF($G123="","",ROUND($G123*$T123,2))</f>
        <v/>
      </c>
      <c r="V123" s="113">
        <f>IF($B123="","",MONTH($B123))</f>
        <v/>
      </c>
      <c r="W123" s="113">
        <f>IF($B123="","",YEAR($B123))</f>
        <v/>
      </c>
    </row>
    <row r="124">
      <c r="B124" s="105" t="n"/>
      <c r="C124" s="54" t="n"/>
      <c r="D124" s="54" t="n"/>
      <c r="E124" s="54" t="n"/>
      <c r="F124" s="54" t="n"/>
      <c r="G124" s="65" t="n"/>
      <c r="H124" s="54" t="n"/>
      <c r="I124" s="106">
        <f>IF($C124="","",IFERROR(INDEX(Sens_Types,MATCH($C124,Liste_Types,0)),""))</f>
        <v/>
      </c>
      <c r="J124" s="107">
        <f>IF($I124="▲ ENTRÉE",$U124,"")</f>
        <v/>
      </c>
      <c r="K124" s="108">
        <f>IF($I124="▼ SORTIE",$U124,"")</f>
        <v/>
      </c>
      <c r="L124" s="109">
        <f>$L123+N($J124)-N($K124)</f>
        <v/>
      </c>
      <c r="M124" s="110" t="n"/>
      <c r="N124" s="54" t="n"/>
      <c r="O124" s="54" t="n"/>
      <c r="P124" s="54" t="n"/>
      <c r="Q124" s="110" t="n"/>
      <c r="R124" s="110" t="n"/>
      <c r="S124" s="54" t="n"/>
      <c r="T124" s="111">
        <f>IF($G124="","",IFERROR(INDEX(Taux_Devises,MATCH(IF($M124="",Devise_Base,$M124),Codes_Devises,0)),1))</f>
        <v/>
      </c>
      <c r="U124" s="112">
        <f>IF($G124="","",ROUND($G124*$T124,2))</f>
        <v/>
      </c>
      <c r="V124" s="113">
        <f>IF($B124="","",MONTH($B124))</f>
        <v/>
      </c>
      <c r="W124" s="113">
        <f>IF($B124="","",YEAR($B124))</f>
        <v/>
      </c>
    </row>
    <row r="125">
      <c r="B125" s="105" t="n"/>
      <c r="C125" s="54" t="n"/>
      <c r="D125" s="54" t="n"/>
      <c r="E125" s="54" t="n"/>
      <c r="F125" s="54" t="n"/>
      <c r="G125" s="65" t="n"/>
      <c r="H125" s="54" t="n"/>
      <c r="I125" s="106">
        <f>IF($C125="","",IFERROR(INDEX(Sens_Types,MATCH($C125,Liste_Types,0)),""))</f>
        <v/>
      </c>
      <c r="J125" s="107">
        <f>IF($I125="▲ ENTRÉE",$U125,"")</f>
        <v/>
      </c>
      <c r="K125" s="108">
        <f>IF($I125="▼ SORTIE",$U125,"")</f>
        <v/>
      </c>
      <c r="L125" s="109">
        <f>$L124+N($J125)-N($K125)</f>
        <v/>
      </c>
      <c r="M125" s="110" t="n"/>
      <c r="N125" s="54" t="n"/>
      <c r="O125" s="54" t="n"/>
      <c r="P125" s="54" t="n"/>
      <c r="Q125" s="110" t="n"/>
      <c r="R125" s="110" t="n"/>
      <c r="S125" s="54" t="n"/>
      <c r="T125" s="111">
        <f>IF($G125="","",IFERROR(INDEX(Taux_Devises,MATCH(IF($M125="",Devise_Base,$M125),Codes_Devises,0)),1))</f>
        <v/>
      </c>
      <c r="U125" s="112">
        <f>IF($G125="","",ROUND($G125*$T125,2))</f>
        <v/>
      </c>
      <c r="V125" s="113">
        <f>IF($B125="","",MONTH($B125))</f>
        <v/>
      </c>
      <c r="W125" s="113">
        <f>IF($B125="","",YEAR($B125))</f>
        <v/>
      </c>
    </row>
    <row r="126">
      <c r="B126" s="105" t="n"/>
      <c r="C126" s="54" t="n"/>
      <c r="D126" s="54" t="n"/>
      <c r="E126" s="54" t="n"/>
      <c r="F126" s="54" t="n"/>
      <c r="G126" s="65" t="n"/>
      <c r="H126" s="54" t="n"/>
      <c r="I126" s="106">
        <f>IF($C126="","",IFERROR(INDEX(Sens_Types,MATCH($C126,Liste_Types,0)),""))</f>
        <v/>
      </c>
      <c r="J126" s="107">
        <f>IF($I126="▲ ENTRÉE",$U126,"")</f>
        <v/>
      </c>
      <c r="K126" s="108">
        <f>IF($I126="▼ SORTIE",$U126,"")</f>
        <v/>
      </c>
      <c r="L126" s="109">
        <f>$L125+N($J126)-N($K126)</f>
        <v/>
      </c>
      <c r="M126" s="110" t="n"/>
      <c r="N126" s="54" t="n"/>
      <c r="O126" s="54" t="n"/>
      <c r="P126" s="54" t="n"/>
      <c r="Q126" s="110" t="n"/>
      <c r="R126" s="110" t="n"/>
      <c r="S126" s="54" t="n"/>
      <c r="T126" s="111">
        <f>IF($G126="","",IFERROR(INDEX(Taux_Devises,MATCH(IF($M126="",Devise_Base,$M126),Codes_Devises,0)),1))</f>
        <v/>
      </c>
      <c r="U126" s="112">
        <f>IF($G126="","",ROUND($G126*$T126,2))</f>
        <v/>
      </c>
      <c r="V126" s="113">
        <f>IF($B126="","",MONTH($B126))</f>
        <v/>
      </c>
      <c r="W126" s="113">
        <f>IF($B126="","",YEAR($B126))</f>
        <v/>
      </c>
    </row>
    <row r="127">
      <c r="B127" s="105" t="n"/>
      <c r="C127" s="54" t="n"/>
      <c r="D127" s="54" t="n"/>
      <c r="E127" s="54" t="n"/>
      <c r="F127" s="54" t="n"/>
      <c r="G127" s="65" t="n"/>
      <c r="H127" s="54" t="n"/>
      <c r="I127" s="106">
        <f>IF($C127="","",IFERROR(INDEX(Sens_Types,MATCH($C127,Liste_Types,0)),""))</f>
        <v/>
      </c>
      <c r="J127" s="107">
        <f>IF($I127="▲ ENTRÉE",$U127,"")</f>
        <v/>
      </c>
      <c r="K127" s="108">
        <f>IF($I127="▼ SORTIE",$U127,"")</f>
        <v/>
      </c>
      <c r="L127" s="109">
        <f>$L126+N($J127)-N($K127)</f>
        <v/>
      </c>
      <c r="M127" s="110" t="n"/>
      <c r="N127" s="54" t="n"/>
      <c r="O127" s="54" t="n"/>
      <c r="P127" s="54" t="n"/>
      <c r="Q127" s="110" t="n"/>
      <c r="R127" s="110" t="n"/>
      <c r="S127" s="54" t="n"/>
      <c r="T127" s="111">
        <f>IF($G127="","",IFERROR(INDEX(Taux_Devises,MATCH(IF($M127="",Devise_Base,$M127),Codes_Devises,0)),1))</f>
        <v/>
      </c>
      <c r="U127" s="112">
        <f>IF($G127="","",ROUND($G127*$T127,2))</f>
        <v/>
      </c>
      <c r="V127" s="113">
        <f>IF($B127="","",MONTH($B127))</f>
        <v/>
      </c>
      <c r="W127" s="113">
        <f>IF($B127="","",YEAR($B127))</f>
        <v/>
      </c>
    </row>
    <row r="128">
      <c r="B128" s="105" t="n"/>
      <c r="C128" s="54" t="n"/>
      <c r="D128" s="54" t="n"/>
      <c r="E128" s="54" t="n"/>
      <c r="F128" s="54" t="n"/>
      <c r="G128" s="65" t="n"/>
      <c r="H128" s="54" t="n"/>
      <c r="I128" s="106">
        <f>IF($C128="","",IFERROR(INDEX(Sens_Types,MATCH($C128,Liste_Types,0)),""))</f>
        <v/>
      </c>
      <c r="J128" s="107">
        <f>IF($I128="▲ ENTRÉE",$U128,"")</f>
        <v/>
      </c>
      <c r="K128" s="108">
        <f>IF($I128="▼ SORTIE",$U128,"")</f>
        <v/>
      </c>
      <c r="L128" s="109">
        <f>$L127+N($J128)-N($K128)</f>
        <v/>
      </c>
      <c r="M128" s="110" t="n"/>
      <c r="N128" s="54" t="n"/>
      <c r="O128" s="54" t="n"/>
      <c r="P128" s="54" t="n"/>
      <c r="Q128" s="110" t="n"/>
      <c r="R128" s="110" t="n"/>
      <c r="S128" s="54" t="n"/>
      <c r="T128" s="111">
        <f>IF($G128="","",IFERROR(INDEX(Taux_Devises,MATCH(IF($M128="",Devise_Base,$M128),Codes_Devises,0)),1))</f>
        <v/>
      </c>
      <c r="U128" s="112">
        <f>IF($G128="","",ROUND($G128*$T128,2))</f>
        <v/>
      </c>
      <c r="V128" s="113">
        <f>IF($B128="","",MONTH($B128))</f>
        <v/>
      </c>
      <c r="W128" s="113">
        <f>IF($B128="","",YEAR($B128))</f>
        <v/>
      </c>
    </row>
    <row r="129">
      <c r="B129" s="105" t="n"/>
      <c r="C129" s="54" t="n"/>
      <c r="D129" s="54" t="n"/>
      <c r="E129" s="54" t="n"/>
      <c r="F129" s="54" t="n"/>
      <c r="G129" s="65" t="n"/>
      <c r="H129" s="54" t="n"/>
      <c r="I129" s="106">
        <f>IF($C129="","",IFERROR(INDEX(Sens_Types,MATCH($C129,Liste_Types,0)),""))</f>
        <v/>
      </c>
      <c r="J129" s="107">
        <f>IF($I129="▲ ENTRÉE",$U129,"")</f>
        <v/>
      </c>
      <c r="K129" s="108">
        <f>IF($I129="▼ SORTIE",$U129,"")</f>
        <v/>
      </c>
      <c r="L129" s="109">
        <f>$L128+N($J129)-N($K129)</f>
        <v/>
      </c>
      <c r="M129" s="110" t="n"/>
      <c r="N129" s="54" t="n"/>
      <c r="O129" s="54" t="n"/>
      <c r="P129" s="54" t="n"/>
      <c r="Q129" s="110" t="n"/>
      <c r="R129" s="110" t="n"/>
      <c r="S129" s="54" t="n"/>
      <c r="T129" s="111">
        <f>IF($G129="","",IFERROR(INDEX(Taux_Devises,MATCH(IF($M129="",Devise_Base,$M129),Codes_Devises,0)),1))</f>
        <v/>
      </c>
      <c r="U129" s="112">
        <f>IF($G129="","",ROUND($G129*$T129,2))</f>
        <v/>
      </c>
      <c r="V129" s="113">
        <f>IF($B129="","",MONTH($B129))</f>
        <v/>
      </c>
      <c r="W129" s="113">
        <f>IF($B129="","",YEAR($B129))</f>
        <v/>
      </c>
    </row>
    <row r="130">
      <c r="B130" s="105" t="n"/>
      <c r="C130" s="54" t="n"/>
      <c r="D130" s="54" t="n"/>
      <c r="E130" s="54" t="n"/>
      <c r="F130" s="54" t="n"/>
      <c r="G130" s="65" t="n"/>
      <c r="H130" s="54" t="n"/>
      <c r="I130" s="106">
        <f>IF($C130="","",IFERROR(INDEX(Sens_Types,MATCH($C130,Liste_Types,0)),""))</f>
        <v/>
      </c>
      <c r="J130" s="107">
        <f>IF($I130="▲ ENTRÉE",$U130,"")</f>
        <v/>
      </c>
      <c r="K130" s="108">
        <f>IF($I130="▼ SORTIE",$U130,"")</f>
        <v/>
      </c>
      <c r="L130" s="109">
        <f>$L129+N($J130)-N($K130)</f>
        <v/>
      </c>
      <c r="M130" s="110" t="n"/>
      <c r="N130" s="54" t="n"/>
      <c r="O130" s="54" t="n"/>
      <c r="P130" s="54" t="n"/>
      <c r="Q130" s="110" t="n"/>
      <c r="R130" s="110" t="n"/>
      <c r="S130" s="54" t="n"/>
      <c r="T130" s="111">
        <f>IF($G130="","",IFERROR(INDEX(Taux_Devises,MATCH(IF($M130="",Devise_Base,$M130),Codes_Devises,0)),1))</f>
        <v/>
      </c>
      <c r="U130" s="112">
        <f>IF($G130="","",ROUND($G130*$T130,2))</f>
        <v/>
      </c>
      <c r="V130" s="113">
        <f>IF($B130="","",MONTH($B130))</f>
        <v/>
      </c>
      <c r="W130" s="113">
        <f>IF($B130="","",YEAR($B130))</f>
        <v/>
      </c>
    </row>
    <row r="131">
      <c r="B131" s="105" t="n"/>
      <c r="C131" s="54" t="n"/>
      <c r="D131" s="54" t="n"/>
      <c r="E131" s="54" t="n"/>
      <c r="F131" s="54" t="n"/>
      <c r="G131" s="65" t="n"/>
      <c r="H131" s="54" t="n"/>
      <c r="I131" s="106">
        <f>IF($C131="","",IFERROR(INDEX(Sens_Types,MATCH($C131,Liste_Types,0)),""))</f>
        <v/>
      </c>
      <c r="J131" s="107">
        <f>IF($I131="▲ ENTRÉE",$U131,"")</f>
        <v/>
      </c>
      <c r="K131" s="108">
        <f>IF($I131="▼ SORTIE",$U131,"")</f>
        <v/>
      </c>
      <c r="L131" s="109">
        <f>$L130+N($J131)-N($K131)</f>
        <v/>
      </c>
      <c r="M131" s="110" t="n"/>
      <c r="N131" s="54" t="n"/>
      <c r="O131" s="54" t="n"/>
      <c r="P131" s="54" t="n"/>
      <c r="Q131" s="110" t="n"/>
      <c r="R131" s="110" t="n"/>
      <c r="S131" s="54" t="n"/>
      <c r="T131" s="111">
        <f>IF($G131="","",IFERROR(INDEX(Taux_Devises,MATCH(IF($M131="",Devise_Base,$M131),Codes_Devises,0)),1))</f>
        <v/>
      </c>
      <c r="U131" s="112">
        <f>IF($G131="","",ROUND($G131*$T131,2))</f>
        <v/>
      </c>
      <c r="V131" s="113">
        <f>IF($B131="","",MONTH($B131))</f>
        <v/>
      </c>
      <c r="W131" s="113">
        <f>IF($B131="","",YEAR($B131))</f>
        <v/>
      </c>
    </row>
    <row r="132">
      <c r="B132" s="105" t="n"/>
      <c r="C132" s="54" t="n"/>
      <c r="D132" s="54" t="n"/>
      <c r="E132" s="54" t="n"/>
      <c r="F132" s="54" t="n"/>
      <c r="G132" s="65" t="n"/>
      <c r="H132" s="54" t="n"/>
      <c r="I132" s="106">
        <f>IF($C132="","",IFERROR(INDEX(Sens_Types,MATCH($C132,Liste_Types,0)),""))</f>
        <v/>
      </c>
      <c r="J132" s="107">
        <f>IF($I132="▲ ENTRÉE",$U132,"")</f>
        <v/>
      </c>
      <c r="K132" s="108">
        <f>IF($I132="▼ SORTIE",$U132,"")</f>
        <v/>
      </c>
      <c r="L132" s="109">
        <f>$L131+N($J132)-N($K132)</f>
        <v/>
      </c>
      <c r="M132" s="110" t="n"/>
      <c r="N132" s="54" t="n"/>
      <c r="O132" s="54" t="n"/>
      <c r="P132" s="54" t="n"/>
      <c r="Q132" s="110" t="n"/>
      <c r="R132" s="110" t="n"/>
      <c r="S132" s="54" t="n"/>
      <c r="T132" s="111">
        <f>IF($G132="","",IFERROR(INDEX(Taux_Devises,MATCH(IF($M132="",Devise_Base,$M132),Codes_Devises,0)),1))</f>
        <v/>
      </c>
      <c r="U132" s="112">
        <f>IF($G132="","",ROUND($G132*$T132,2))</f>
        <v/>
      </c>
      <c r="V132" s="113">
        <f>IF($B132="","",MONTH($B132))</f>
        <v/>
      </c>
      <c r="W132" s="113">
        <f>IF($B132="","",YEAR($B132))</f>
        <v/>
      </c>
    </row>
    <row r="133">
      <c r="B133" s="105" t="n"/>
      <c r="C133" s="54" t="n"/>
      <c r="D133" s="54" t="n"/>
      <c r="E133" s="54" t="n"/>
      <c r="F133" s="54" t="n"/>
      <c r="G133" s="65" t="n"/>
      <c r="H133" s="54" t="n"/>
      <c r="I133" s="106">
        <f>IF($C133="","",IFERROR(INDEX(Sens_Types,MATCH($C133,Liste_Types,0)),""))</f>
        <v/>
      </c>
      <c r="J133" s="107">
        <f>IF($I133="▲ ENTRÉE",$U133,"")</f>
        <v/>
      </c>
      <c r="K133" s="108">
        <f>IF($I133="▼ SORTIE",$U133,"")</f>
        <v/>
      </c>
      <c r="L133" s="109">
        <f>$L132+N($J133)-N($K133)</f>
        <v/>
      </c>
      <c r="M133" s="110" t="n"/>
      <c r="N133" s="54" t="n"/>
      <c r="O133" s="54" t="n"/>
      <c r="P133" s="54" t="n"/>
      <c r="Q133" s="110" t="n"/>
      <c r="R133" s="110" t="n"/>
      <c r="S133" s="54" t="n"/>
      <c r="T133" s="111">
        <f>IF($G133="","",IFERROR(INDEX(Taux_Devises,MATCH(IF($M133="",Devise_Base,$M133),Codes_Devises,0)),1))</f>
        <v/>
      </c>
      <c r="U133" s="112">
        <f>IF($G133="","",ROUND($G133*$T133,2))</f>
        <v/>
      </c>
      <c r="V133" s="113">
        <f>IF($B133="","",MONTH($B133))</f>
        <v/>
      </c>
      <c r="W133" s="113">
        <f>IF($B133="","",YEAR($B133))</f>
        <v/>
      </c>
    </row>
    <row r="134">
      <c r="B134" s="105" t="n"/>
      <c r="C134" s="54" t="n"/>
      <c r="D134" s="54" t="n"/>
      <c r="E134" s="54" t="n"/>
      <c r="F134" s="54" t="n"/>
      <c r="G134" s="65" t="n"/>
      <c r="H134" s="54" t="n"/>
      <c r="I134" s="106">
        <f>IF($C134="","",IFERROR(INDEX(Sens_Types,MATCH($C134,Liste_Types,0)),""))</f>
        <v/>
      </c>
      <c r="J134" s="107">
        <f>IF($I134="▲ ENTRÉE",$U134,"")</f>
        <v/>
      </c>
      <c r="K134" s="108">
        <f>IF($I134="▼ SORTIE",$U134,"")</f>
        <v/>
      </c>
      <c r="L134" s="109">
        <f>$L133+N($J134)-N($K134)</f>
        <v/>
      </c>
      <c r="M134" s="110" t="n"/>
      <c r="N134" s="54" t="n"/>
      <c r="O134" s="54" t="n"/>
      <c r="P134" s="54" t="n"/>
      <c r="Q134" s="110" t="n"/>
      <c r="R134" s="110" t="n"/>
      <c r="S134" s="54" t="n"/>
      <c r="T134" s="111">
        <f>IF($G134="","",IFERROR(INDEX(Taux_Devises,MATCH(IF($M134="",Devise_Base,$M134),Codes_Devises,0)),1))</f>
        <v/>
      </c>
      <c r="U134" s="112">
        <f>IF($G134="","",ROUND($G134*$T134,2))</f>
        <v/>
      </c>
      <c r="V134" s="113">
        <f>IF($B134="","",MONTH($B134))</f>
        <v/>
      </c>
      <c r="W134" s="113">
        <f>IF($B134="","",YEAR($B134))</f>
        <v/>
      </c>
    </row>
    <row r="135">
      <c r="B135" s="105" t="n"/>
      <c r="C135" s="54" t="n"/>
      <c r="D135" s="54" t="n"/>
      <c r="E135" s="54" t="n"/>
      <c r="F135" s="54" t="n"/>
      <c r="G135" s="65" t="n"/>
      <c r="H135" s="54" t="n"/>
      <c r="I135" s="106">
        <f>IF($C135="","",IFERROR(INDEX(Sens_Types,MATCH($C135,Liste_Types,0)),""))</f>
        <v/>
      </c>
      <c r="J135" s="107">
        <f>IF($I135="▲ ENTRÉE",$U135,"")</f>
        <v/>
      </c>
      <c r="K135" s="108">
        <f>IF($I135="▼ SORTIE",$U135,"")</f>
        <v/>
      </c>
      <c r="L135" s="109">
        <f>$L134+N($J135)-N($K135)</f>
        <v/>
      </c>
      <c r="M135" s="110" t="n"/>
      <c r="N135" s="54" t="n"/>
      <c r="O135" s="54" t="n"/>
      <c r="P135" s="54" t="n"/>
      <c r="Q135" s="110" t="n"/>
      <c r="R135" s="110" t="n"/>
      <c r="S135" s="54" t="n"/>
      <c r="T135" s="111">
        <f>IF($G135="","",IFERROR(INDEX(Taux_Devises,MATCH(IF($M135="",Devise_Base,$M135),Codes_Devises,0)),1))</f>
        <v/>
      </c>
      <c r="U135" s="112">
        <f>IF($G135="","",ROUND($G135*$T135,2))</f>
        <v/>
      </c>
      <c r="V135" s="113">
        <f>IF($B135="","",MONTH($B135))</f>
        <v/>
      </c>
      <c r="W135" s="113">
        <f>IF($B135="","",YEAR($B135))</f>
        <v/>
      </c>
    </row>
    <row r="136">
      <c r="B136" s="105" t="n"/>
      <c r="C136" s="54" t="n"/>
      <c r="D136" s="54" t="n"/>
      <c r="E136" s="54" t="n"/>
      <c r="F136" s="54" t="n"/>
      <c r="G136" s="65" t="n"/>
      <c r="H136" s="54" t="n"/>
      <c r="I136" s="106">
        <f>IF($C136="","",IFERROR(INDEX(Sens_Types,MATCH($C136,Liste_Types,0)),""))</f>
        <v/>
      </c>
      <c r="J136" s="107">
        <f>IF($I136="▲ ENTRÉE",$U136,"")</f>
        <v/>
      </c>
      <c r="K136" s="108">
        <f>IF($I136="▼ SORTIE",$U136,"")</f>
        <v/>
      </c>
      <c r="L136" s="109">
        <f>$L135+N($J136)-N($K136)</f>
        <v/>
      </c>
      <c r="M136" s="110" t="n"/>
      <c r="N136" s="54" t="n"/>
      <c r="O136" s="54" t="n"/>
      <c r="P136" s="54" t="n"/>
      <c r="Q136" s="110" t="n"/>
      <c r="R136" s="110" t="n"/>
      <c r="S136" s="54" t="n"/>
      <c r="T136" s="111">
        <f>IF($G136="","",IFERROR(INDEX(Taux_Devises,MATCH(IF($M136="",Devise_Base,$M136),Codes_Devises,0)),1))</f>
        <v/>
      </c>
      <c r="U136" s="112">
        <f>IF($G136="","",ROUND($G136*$T136,2))</f>
        <v/>
      </c>
      <c r="V136" s="113">
        <f>IF($B136="","",MONTH($B136))</f>
        <v/>
      </c>
      <c r="W136" s="113">
        <f>IF($B136="","",YEAR($B136))</f>
        <v/>
      </c>
    </row>
    <row r="137">
      <c r="B137" s="105" t="n"/>
      <c r="C137" s="54" t="n"/>
      <c r="D137" s="54" t="n"/>
      <c r="E137" s="54" t="n"/>
      <c r="F137" s="54" t="n"/>
      <c r="G137" s="65" t="n"/>
      <c r="H137" s="54" t="n"/>
      <c r="I137" s="106">
        <f>IF($C137="","",IFERROR(INDEX(Sens_Types,MATCH($C137,Liste_Types,0)),""))</f>
        <v/>
      </c>
      <c r="J137" s="107">
        <f>IF($I137="▲ ENTRÉE",$U137,"")</f>
        <v/>
      </c>
      <c r="K137" s="108">
        <f>IF($I137="▼ SORTIE",$U137,"")</f>
        <v/>
      </c>
      <c r="L137" s="109">
        <f>$L136+N($J137)-N($K137)</f>
        <v/>
      </c>
      <c r="M137" s="110" t="n"/>
      <c r="N137" s="54" t="n"/>
      <c r="O137" s="54" t="n"/>
      <c r="P137" s="54" t="n"/>
      <c r="Q137" s="110" t="n"/>
      <c r="R137" s="110" t="n"/>
      <c r="S137" s="54" t="n"/>
      <c r="T137" s="111">
        <f>IF($G137="","",IFERROR(INDEX(Taux_Devises,MATCH(IF($M137="",Devise_Base,$M137),Codes_Devises,0)),1))</f>
        <v/>
      </c>
      <c r="U137" s="112">
        <f>IF($G137="","",ROUND($G137*$T137,2))</f>
        <v/>
      </c>
      <c r="V137" s="113">
        <f>IF($B137="","",MONTH($B137))</f>
        <v/>
      </c>
      <c r="W137" s="113">
        <f>IF($B137="","",YEAR($B137))</f>
        <v/>
      </c>
    </row>
    <row r="138">
      <c r="B138" s="105" t="n"/>
      <c r="C138" s="54" t="n"/>
      <c r="D138" s="54" t="n"/>
      <c r="E138" s="54" t="n"/>
      <c r="F138" s="54" t="n"/>
      <c r="G138" s="65" t="n"/>
      <c r="H138" s="54" t="n"/>
      <c r="I138" s="106">
        <f>IF($C138="","",IFERROR(INDEX(Sens_Types,MATCH($C138,Liste_Types,0)),""))</f>
        <v/>
      </c>
      <c r="J138" s="107">
        <f>IF($I138="▲ ENTRÉE",$U138,"")</f>
        <v/>
      </c>
      <c r="K138" s="108">
        <f>IF($I138="▼ SORTIE",$U138,"")</f>
        <v/>
      </c>
      <c r="L138" s="109">
        <f>$L137+N($J138)-N($K138)</f>
        <v/>
      </c>
      <c r="M138" s="110" t="n"/>
      <c r="N138" s="54" t="n"/>
      <c r="O138" s="54" t="n"/>
      <c r="P138" s="54" t="n"/>
      <c r="Q138" s="110" t="n"/>
      <c r="R138" s="110" t="n"/>
      <c r="S138" s="54" t="n"/>
      <c r="T138" s="111">
        <f>IF($G138="","",IFERROR(INDEX(Taux_Devises,MATCH(IF($M138="",Devise_Base,$M138),Codes_Devises,0)),1))</f>
        <v/>
      </c>
      <c r="U138" s="112">
        <f>IF($G138="","",ROUND($G138*$T138,2))</f>
        <v/>
      </c>
      <c r="V138" s="113">
        <f>IF($B138="","",MONTH($B138))</f>
        <v/>
      </c>
      <c r="W138" s="113">
        <f>IF($B138="","",YEAR($B138))</f>
        <v/>
      </c>
    </row>
    <row r="139">
      <c r="B139" s="105" t="n"/>
      <c r="C139" s="54" t="n"/>
      <c r="D139" s="54" t="n"/>
      <c r="E139" s="54" t="n"/>
      <c r="F139" s="54" t="n"/>
      <c r="G139" s="65" t="n"/>
      <c r="H139" s="54" t="n"/>
      <c r="I139" s="106">
        <f>IF($C139="","",IFERROR(INDEX(Sens_Types,MATCH($C139,Liste_Types,0)),""))</f>
        <v/>
      </c>
      <c r="J139" s="107">
        <f>IF($I139="▲ ENTRÉE",$U139,"")</f>
        <v/>
      </c>
      <c r="K139" s="108">
        <f>IF($I139="▼ SORTIE",$U139,"")</f>
        <v/>
      </c>
      <c r="L139" s="109">
        <f>$L138+N($J139)-N($K139)</f>
        <v/>
      </c>
      <c r="M139" s="110" t="n"/>
      <c r="N139" s="54" t="n"/>
      <c r="O139" s="54" t="n"/>
      <c r="P139" s="54" t="n"/>
      <c r="Q139" s="110" t="n"/>
      <c r="R139" s="110" t="n"/>
      <c r="S139" s="54" t="n"/>
      <c r="T139" s="111">
        <f>IF($G139="","",IFERROR(INDEX(Taux_Devises,MATCH(IF($M139="",Devise_Base,$M139),Codes_Devises,0)),1))</f>
        <v/>
      </c>
      <c r="U139" s="112">
        <f>IF($G139="","",ROUND($G139*$T139,2))</f>
        <v/>
      </c>
      <c r="V139" s="113">
        <f>IF($B139="","",MONTH($B139))</f>
        <v/>
      </c>
      <c r="W139" s="113">
        <f>IF($B139="","",YEAR($B139))</f>
        <v/>
      </c>
    </row>
    <row r="140">
      <c r="B140" s="105" t="n"/>
      <c r="C140" s="54" t="n"/>
      <c r="D140" s="54" t="n"/>
      <c r="E140" s="54" t="n"/>
      <c r="F140" s="54" t="n"/>
      <c r="G140" s="65" t="n"/>
      <c r="H140" s="54" t="n"/>
      <c r="I140" s="106">
        <f>IF($C140="","",IFERROR(INDEX(Sens_Types,MATCH($C140,Liste_Types,0)),""))</f>
        <v/>
      </c>
      <c r="J140" s="107">
        <f>IF($I140="▲ ENTRÉE",$U140,"")</f>
        <v/>
      </c>
      <c r="K140" s="108">
        <f>IF($I140="▼ SORTIE",$U140,"")</f>
        <v/>
      </c>
      <c r="L140" s="109">
        <f>$L139+N($J140)-N($K140)</f>
        <v/>
      </c>
      <c r="M140" s="110" t="n"/>
      <c r="N140" s="54" t="n"/>
      <c r="O140" s="54" t="n"/>
      <c r="P140" s="54" t="n"/>
      <c r="Q140" s="110" t="n"/>
      <c r="R140" s="110" t="n"/>
      <c r="S140" s="54" t="n"/>
      <c r="T140" s="111">
        <f>IF($G140="","",IFERROR(INDEX(Taux_Devises,MATCH(IF($M140="",Devise_Base,$M140),Codes_Devises,0)),1))</f>
        <v/>
      </c>
      <c r="U140" s="112">
        <f>IF($G140="","",ROUND($G140*$T140,2))</f>
        <v/>
      </c>
      <c r="V140" s="113">
        <f>IF($B140="","",MONTH($B140))</f>
        <v/>
      </c>
      <c r="W140" s="113">
        <f>IF($B140="","",YEAR($B140))</f>
        <v/>
      </c>
    </row>
    <row r="141">
      <c r="B141" s="105" t="n"/>
      <c r="C141" s="54" t="n"/>
      <c r="D141" s="54" t="n"/>
      <c r="E141" s="54" t="n"/>
      <c r="F141" s="54" t="n"/>
      <c r="G141" s="65" t="n"/>
      <c r="H141" s="54" t="n"/>
      <c r="I141" s="106">
        <f>IF($C141="","",IFERROR(INDEX(Sens_Types,MATCH($C141,Liste_Types,0)),""))</f>
        <v/>
      </c>
      <c r="J141" s="107">
        <f>IF($I141="▲ ENTRÉE",$U141,"")</f>
        <v/>
      </c>
      <c r="K141" s="108">
        <f>IF($I141="▼ SORTIE",$U141,"")</f>
        <v/>
      </c>
      <c r="L141" s="109">
        <f>$L140+N($J141)-N($K141)</f>
        <v/>
      </c>
      <c r="M141" s="110" t="n"/>
      <c r="N141" s="54" t="n"/>
      <c r="O141" s="54" t="n"/>
      <c r="P141" s="54" t="n"/>
      <c r="Q141" s="110" t="n"/>
      <c r="R141" s="110" t="n"/>
      <c r="S141" s="54" t="n"/>
      <c r="T141" s="111">
        <f>IF($G141="","",IFERROR(INDEX(Taux_Devises,MATCH(IF($M141="",Devise_Base,$M141),Codes_Devises,0)),1))</f>
        <v/>
      </c>
      <c r="U141" s="112">
        <f>IF($G141="","",ROUND($G141*$T141,2))</f>
        <v/>
      </c>
      <c r="V141" s="113">
        <f>IF($B141="","",MONTH($B141))</f>
        <v/>
      </c>
      <c r="W141" s="113">
        <f>IF($B141="","",YEAR($B141))</f>
        <v/>
      </c>
    </row>
    <row r="142">
      <c r="B142" s="105" t="n"/>
      <c r="C142" s="54" t="n"/>
      <c r="D142" s="54" t="n"/>
      <c r="E142" s="54" t="n"/>
      <c r="F142" s="54" t="n"/>
      <c r="G142" s="65" t="n"/>
      <c r="H142" s="54" t="n"/>
      <c r="I142" s="106">
        <f>IF($C142="","",IFERROR(INDEX(Sens_Types,MATCH($C142,Liste_Types,0)),""))</f>
        <v/>
      </c>
      <c r="J142" s="107">
        <f>IF($I142="▲ ENTRÉE",$U142,"")</f>
        <v/>
      </c>
      <c r="K142" s="108">
        <f>IF($I142="▼ SORTIE",$U142,"")</f>
        <v/>
      </c>
      <c r="L142" s="109">
        <f>$L141+N($J142)-N($K142)</f>
        <v/>
      </c>
      <c r="M142" s="110" t="n"/>
      <c r="N142" s="54" t="n"/>
      <c r="O142" s="54" t="n"/>
      <c r="P142" s="54" t="n"/>
      <c r="Q142" s="110" t="n"/>
      <c r="R142" s="110" t="n"/>
      <c r="S142" s="54" t="n"/>
      <c r="T142" s="111">
        <f>IF($G142="","",IFERROR(INDEX(Taux_Devises,MATCH(IF($M142="",Devise_Base,$M142),Codes_Devises,0)),1))</f>
        <v/>
      </c>
      <c r="U142" s="112">
        <f>IF($G142="","",ROUND($G142*$T142,2))</f>
        <v/>
      </c>
      <c r="V142" s="113">
        <f>IF($B142="","",MONTH($B142))</f>
        <v/>
      </c>
      <c r="W142" s="113">
        <f>IF($B142="","",YEAR($B142))</f>
        <v/>
      </c>
    </row>
    <row r="143">
      <c r="B143" s="105" t="n"/>
      <c r="C143" s="54" t="n"/>
      <c r="D143" s="54" t="n"/>
      <c r="E143" s="54" t="n"/>
      <c r="F143" s="54" t="n"/>
      <c r="G143" s="65" t="n"/>
      <c r="H143" s="54" t="n"/>
      <c r="I143" s="106">
        <f>IF($C143="","",IFERROR(INDEX(Sens_Types,MATCH($C143,Liste_Types,0)),""))</f>
        <v/>
      </c>
      <c r="J143" s="107">
        <f>IF($I143="▲ ENTRÉE",$U143,"")</f>
        <v/>
      </c>
      <c r="K143" s="108">
        <f>IF($I143="▼ SORTIE",$U143,"")</f>
        <v/>
      </c>
      <c r="L143" s="109">
        <f>$L142+N($J143)-N($K143)</f>
        <v/>
      </c>
      <c r="M143" s="110" t="n"/>
      <c r="N143" s="54" t="n"/>
      <c r="O143" s="54" t="n"/>
      <c r="P143" s="54" t="n"/>
      <c r="Q143" s="110" t="n"/>
      <c r="R143" s="110" t="n"/>
      <c r="S143" s="54" t="n"/>
      <c r="T143" s="111">
        <f>IF($G143="","",IFERROR(INDEX(Taux_Devises,MATCH(IF($M143="",Devise_Base,$M143),Codes_Devises,0)),1))</f>
        <v/>
      </c>
      <c r="U143" s="112">
        <f>IF($G143="","",ROUND($G143*$T143,2))</f>
        <v/>
      </c>
      <c r="V143" s="113">
        <f>IF($B143="","",MONTH($B143))</f>
        <v/>
      </c>
      <c r="W143" s="113">
        <f>IF($B143="","",YEAR($B143))</f>
        <v/>
      </c>
    </row>
    <row r="144">
      <c r="B144" s="105" t="n"/>
      <c r="C144" s="54" t="n"/>
      <c r="D144" s="54" t="n"/>
      <c r="E144" s="54" t="n"/>
      <c r="F144" s="54" t="n"/>
      <c r="G144" s="65" t="n"/>
      <c r="H144" s="54" t="n"/>
      <c r="I144" s="106">
        <f>IF($C144="","",IFERROR(INDEX(Sens_Types,MATCH($C144,Liste_Types,0)),""))</f>
        <v/>
      </c>
      <c r="J144" s="107">
        <f>IF($I144="▲ ENTRÉE",$U144,"")</f>
        <v/>
      </c>
      <c r="K144" s="108">
        <f>IF($I144="▼ SORTIE",$U144,"")</f>
        <v/>
      </c>
      <c r="L144" s="109">
        <f>$L143+N($J144)-N($K144)</f>
        <v/>
      </c>
      <c r="M144" s="110" t="n"/>
      <c r="N144" s="54" t="n"/>
      <c r="O144" s="54" t="n"/>
      <c r="P144" s="54" t="n"/>
      <c r="Q144" s="110" t="n"/>
      <c r="R144" s="110" t="n"/>
      <c r="S144" s="54" t="n"/>
      <c r="T144" s="111">
        <f>IF($G144="","",IFERROR(INDEX(Taux_Devises,MATCH(IF($M144="",Devise_Base,$M144),Codes_Devises,0)),1))</f>
        <v/>
      </c>
      <c r="U144" s="112">
        <f>IF($G144="","",ROUND($G144*$T144,2))</f>
        <v/>
      </c>
      <c r="V144" s="113">
        <f>IF($B144="","",MONTH($B144))</f>
        <v/>
      </c>
      <c r="W144" s="113">
        <f>IF($B144="","",YEAR($B144))</f>
        <v/>
      </c>
    </row>
    <row r="145">
      <c r="B145" s="105" t="n"/>
      <c r="C145" s="54" t="n"/>
      <c r="D145" s="54" t="n"/>
      <c r="E145" s="54" t="n"/>
      <c r="F145" s="54" t="n"/>
      <c r="G145" s="65" t="n"/>
      <c r="H145" s="54" t="n"/>
      <c r="I145" s="106">
        <f>IF($C145="","",IFERROR(INDEX(Sens_Types,MATCH($C145,Liste_Types,0)),""))</f>
        <v/>
      </c>
      <c r="J145" s="107">
        <f>IF($I145="▲ ENTRÉE",$U145,"")</f>
        <v/>
      </c>
      <c r="K145" s="108">
        <f>IF($I145="▼ SORTIE",$U145,"")</f>
        <v/>
      </c>
      <c r="L145" s="109">
        <f>$L144+N($J145)-N($K145)</f>
        <v/>
      </c>
      <c r="M145" s="110" t="n"/>
      <c r="N145" s="54" t="n"/>
      <c r="O145" s="54" t="n"/>
      <c r="P145" s="54" t="n"/>
      <c r="Q145" s="110" t="n"/>
      <c r="R145" s="110" t="n"/>
      <c r="S145" s="54" t="n"/>
      <c r="T145" s="111">
        <f>IF($G145="","",IFERROR(INDEX(Taux_Devises,MATCH(IF($M145="",Devise_Base,$M145),Codes_Devises,0)),1))</f>
        <v/>
      </c>
      <c r="U145" s="112">
        <f>IF($G145="","",ROUND($G145*$T145,2))</f>
        <v/>
      </c>
      <c r="V145" s="113">
        <f>IF($B145="","",MONTH($B145))</f>
        <v/>
      </c>
      <c r="W145" s="113">
        <f>IF($B145="","",YEAR($B145))</f>
        <v/>
      </c>
    </row>
    <row r="146">
      <c r="B146" s="105" t="n"/>
      <c r="C146" s="54" t="n"/>
      <c r="D146" s="54" t="n"/>
      <c r="E146" s="54" t="n"/>
      <c r="F146" s="54" t="n"/>
      <c r="G146" s="65" t="n"/>
      <c r="H146" s="54" t="n"/>
      <c r="I146" s="106">
        <f>IF($C146="","",IFERROR(INDEX(Sens_Types,MATCH($C146,Liste_Types,0)),""))</f>
        <v/>
      </c>
      <c r="J146" s="107">
        <f>IF($I146="▲ ENTRÉE",$U146,"")</f>
        <v/>
      </c>
      <c r="K146" s="108">
        <f>IF($I146="▼ SORTIE",$U146,"")</f>
        <v/>
      </c>
      <c r="L146" s="109">
        <f>$L145+N($J146)-N($K146)</f>
        <v/>
      </c>
      <c r="M146" s="110" t="n"/>
      <c r="N146" s="54" t="n"/>
      <c r="O146" s="54" t="n"/>
      <c r="P146" s="54" t="n"/>
      <c r="Q146" s="110" t="n"/>
      <c r="R146" s="110" t="n"/>
      <c r="S146" s="54" t="n"/>
      <c r="T146" s="111">
        <f>IF($G146="","",IFERROR(INDEX(Taux_Devises,MATCH(IF($M146="",Devise_Base,$M146),Codes_Devises,0)),1))</f>
        <v/>
      </c>
      <c r="U146" s="112">
        <f>IF($G146="","",ROUND($G146*$T146,2))</f>
        <v/>
      </c>
      <c r="V146" s="113">
        <f>IF($B146="","",MONTH($B146))</f>
        <v/>
      </c>
      <c r="W146" s="113">
        <f>IF($B146="","",YEAR($B146))</f>
        <v/>
      </c>
    </row>
    <row r="147">
      <c r="B147" s="105" t="n"/>
      <c r="C147" s="54" t="n"/>
      <c r="D147" s="54" t="n"/>
      <c r="E147" s="54" t="n"/>
      <c r="F147" s="54" t="n"/>
      <c r="G147" s="65" t="n"/>
      <c r="H147" s="54" t="n"/>
      <c r="I147" s="106">
        <f>IF($C147="","",IFERROR(INDEX(Sens_Types,MATCH($C147,Liste_Types,0)),""))</f>
        <v/>
      </c>
      <c r="J147" s="107">
        <f>IF($I147="▲ ENTRÉE",$U147,"")</f>
        <v/>
      </c>
      <c r="K147" s="108">
        <f>IF($I147="▼ SORTIE",$U147,"")</f>
        <v/>
      </c>
      <c r="L147" s="109">
        <f>$L146+N($J147)-N($K147)</f>
        <v/>
      </c>
      <c r="M147" s="110" t="n"/>
      <c r="N147" s="54" t="n"/>
      <c r="O147" s="54" t="n"/>
      <c r="P147" s="54" t="n"/>
      <c r="Q147" s="110" t="n"/>
      <c r="R147" s="110" t="n"/>
      <c r="S147" s="54" t="n"/>
      <c r="T147" s="111">
        <f>IF($G147="","",IFERROR(INDEX(Taux_Devises,MATCH(IF($M147="",Devise_Base,$M147),Codes_Devises,0)),1))</f>
        <v/>
      </c>
      <c r="U147" s="112">
        <f>IF($G147="","",ROUND($G147*$T147,2))</f>
        <v/>
      </c>
      <c r="V147" s="113">
        <f>IF($B147="","",MONTH($B147))</f>
        <v/>
      </c>
      <c r="W147" s="113">
        <f>IF($B147="","",YEAR($B147))</f>
        <v/>
      </c>
    </row>
    <row r="148">
      <c r="B148" s="105" t="n"/>
      <c r="C148" s="54" t="n"/>
      <c r="D148" s="54" t="n"/>
      <c r="E148" s="54" t="n"/>
      <c r="F148" s="54" t="n"/>
      <c r="G148" s="65" t="n"/>
      <c r="H148" s="54" t="n"/>
      <c r="I148" s="106">
        <f>IF($C148="","",IFERROR(INDEX(Sens_Types,MATCH($C148,Liste_Types,0)),""))</f>
        <v/>
      </c>
      <c r="J148" s="107">
        <f>IF($I148="▲ ENTRÉE",$U148,"")</f>
        <v/>
      </c>
      <c r="K148" s="108">
        <f>IF($I148="▼ SORTIE",$U148,"")</f>
        <v/>
      </c>
      <c r="L148" s="109">
        <f>$L147+N($J148)-N($K148)</f>
        <v/>
      </c>
      <c r="M148" s="110" t="n"/>
      <c r="N148" s="54" t="n"/>
      <c r="O148" s="54" t="n"/>
      <c r="P148" s="54" t="n"/>
      <c r="Q148" s="110" t="n"/>
      <c r="R148" s="110" t="n"/>
      <c r="S148" s="54" t="n"/>
      <c r="T148" s="111">
        <f>IF($G148="","",IFERROR(INDEX(Taux_Devises,MATCH(IF($M148="",Devise_Base,$M148),Codes_Devises,0)),1))</f>
        <v/>
      </c>
      <c r="U148" s="112">
        <f>IF($G148="","",ROUND($G148*$T148,2))</f>
        <v/>
      </c>
      <c r="V148" s="113">
        <f>IF($B148="","",MONTH($B148))</f>
        <v/>
      </c>
      <c r="W148" s="113">
        <f>IF($B148="","",YEAR($B148))</f>
        <v/>
      </c>
    </row>
    <row r="149">
      <c r="B149" s="105" t="n"/>
      <c r="C149" s="54" t="n"/>
      <c r="D149" s="54" t="n"/>
      <c r="E149" s="54" t="n"/>
      <c r="F149" s="54" t="n"/>
      <c r="G149" s="65" t="n"/>
      <c r="H149" s="54" t="n"/>
      <c r="I149" s="106">
        <f>IF($C149="","",IFERROR(INDEX(Sens_Types,MATCH($C149,Liste_Types,0)),""))</f>
        <v/>
      </c>
      <c r="J149" s="107">
        <f>IF($I149="▲ ENTRÉE",$U149,"")</f>
        <v/>
      </c>
      <c r="K149" s="108">
        <f>IF($I149="▼ SORTIE",$U149,"")</f>
        <v/>
      </c>
      <c r="L149" s="109">
        <f>$L148+N($J149)-N($K149)</f>
        <v/>
      </c>
      <c r="M149" s="110" t="n"/>
      <c r="N149" s="54" t="n"/>
      <c r="O149" s="54" t="n"/>
      <c r="P149" s="54" t="n"/>
      <c r="Q149" s="110" t="n"/>
      <c r="R149" s="110" t="n"/>
      <c r="S149" s="54" t="n"/>
      <c r="T149" s="111">
        <f>IF($G149="","",IFERROR(INDEX(Taux_Devises,MATCH(IF($M149="",Devise_Base,$M149),Codes_Devises,0)),1))</f>
        <v/>
      </c>
      <c r="U149" s="112">
        <f>IF($G149="","",ROUND($G149*$T149,2))</f>
        <v/>
      </c>
      <c r="V149" s="113">
        <f>IF($B149="","",MONTH($B149))</f>
        <v/>
      </c>
      <c r="W149" s="113">
        <f>IF($B149="","",YEAR($B149))</f>
        <v/>
      </c>
    </row>
    <row r="150">
      <c r="B150" s="105" t="n"/>
      <c r="C150" s="54" t="n"/>
      <c r="D150" s="54" t="n"/>
      <c r="E150" s="54" t="n"/>
      <c r="F150" s="54" t="n"/>
      <c r="G150" s="65" t="n"/>
      <c r="H150" s="54" t="n"/>
      <c r="I150" s="106">
        <f>IF($C150="","",IFERROR(INDEX(Sens_Types,MATCH($C150,Liste_Types,0)),""))</f>
        <v/>
      </c>
      <c r="J150" s="107">
        <f>IF($I150="▲ ENTRÉE",$U150,"")</f>
        <v/>
      </c>
      <c r="K150" s="108">
        <f>IF($I150="▼ SORTIE",$U150,"")</f>
        <v/>
      </c>
      <c r="L150" s="109">
        <f>$L149+N($J150)-N($K150)</f>
        <v/>
      </c>
      <c r="M150" s="110" t="n"/>
      <c r="N150" s="54" t="n"/>
      <c r="O150" s="54" t="n"/>
      <c r="P150" s="54" t="n"/>
      <c r="Q150" s="110" t="n"/>
      <c r="R150" s="110" t="n"/>
      <c r="S150" s="54" t="n"/>
      <c r="T150" s="111">
        <f>IF($G150="","",IFERROR(INDEX(Taux_Devises,MATCH(IF($M150="",Devise_Base,$M150),Codes_Devises,0)),1))</f>
        <v/>
      </c>
      <c r="U150" s="112">
        <f>IF($G150="","",ROUND($G150*$T150,2))</f>
        <v/>
      </c>
      <c r="V150" s="113">
        <f>IF($B150="","",MONTH($B150))</f>
        <v/>
      </c>
      <c r="W150" s="113">
        <f>IF($B150="","",YEAR($B150))</f>
        <v/>
      </c>
    </row>
    <row r="151">
      <c r="B151" s="105" t="n"/>
      <c r="C151" s="54" t="n"/>
      <c r="D151" s="54" t="n"/>
      <c r="E151" s="54" t="n"/>
      <c r="F151" s="54" t="n"/>
      <c r="G151" s="65" t="n"/>
      <c r="H151" s="54" t="n"/>
      <c r="I151" s="106">
        <f>IF($C151="","",IFERROR(INDEX(Sens_Types,MATCH($C151,Liste_Types,0)),""))</f>
        <v/>
      </c>
      <c r="J151" s="107">
        <f>IF($I151="▲ ENTRÉE",$U151,"")</f>
        <v/>
      </c>
      <c r="K151" s="108">
        <f>IF($I151="▼ SORTIE",$U151,"")</f>
        <v/>
      </c>
      <c r="L151" s="109">
        <f>$L150+N($J151)-N($K151)</f>
        <v/>
      </c>
      <c r="M151" s="110" t="n"/>
      <c r="N151" s="54" t="n"/>
      <c r="O151" s="54" t="n"/>
      <c r="P151" s="54" t="n"/>
      <c r="Q151" s="110" t="n"/>
      <c r="R151" s="110" t="n"/>
      <c r="S151" s="54" t="n"/>
      <c r="T151" s="111">
        <f>IF($G151="","",IFERROR(INDEX(Taux_Devises,MATCH(IF($M151="",Devise_Base,$M151),Codes_Devises,0)),1))</f>
        <v/>
      </c>
      <c r="U151" s="112">
        <f>IF($G151="","",ROUND($G151*$T151,2))</f>
        <v/>
      </c>
      <c r="V151" s="113">
        <f>IF($B151="","",MONTH($B151))</f>
        <v/>
      </c>
      <c r="W151" s="113">
        <f>IF($B151="","",YEAR($B151))</f>
        <v/>
      </c>
    </row>
    <row r="152">
      <c r="B152" s="105" t="n"/>
      <c r="C152" s="54" t="n"/>
      <c r="D152" s="54" t="n"/>
      <c r="E152" s="54" t="n"/>
      <c r="F152" s="54" t="n"/>
      <c r="G152" s="65" t="n"/>
      <c r="H152" s="54" t="n"/>
      <c r="I152" s="106">
        <f>IF($C152="","",IFERROR(INDEX(Sens_Types,MATCH($C152,Liste_Types,0)),""))</f>
        <v/>
      </c>
      <c r="J152" s="107">
        <f>IF($I152="▲ ENTRÉE",$U152,"")</f>
        <v/>
      </c>
      <c r="K152" s="108">
        <f>IF($I152="▼ SORTIE",$U152,"")</f>
        <v/>
      </c>
      <c r="L152" s="109">
        <f>$L151+N($J152)-N($K152)</f>
        <v/>
      </c>
      <c r="M152" s="110" t="n"/>
      <c r="N152" s="54" t="n"/>
      <c r="O152" s="54" t="n"/>
      <c r="P152" s="54" t="n"/>
      <c r="Q152" s="110" t="n"/>
      <c r="R152" s="110" t="n"/>
      <c r="S152" s="54" t="n"/>
      <c r="T152" s="111">
        <f>IF($G152="","",IFERROR(INDEX(Taux_Devises,MATCH(IF($M152="",Devise_Base,$M152),Codes_Devises,0)),1))</f>
        <v/>
      </c>
      <c r="U152" s="112">
        <f>IF($G152="","",ROUND($G152*$T152,2))</f>
        <v/>
      </c>
      <c r="V152" s="113">
        <f>IF($B152="","",MONTH($B152))</f>
        <v/>
      </c>
      <c r="W152" s="113">
        <f>IF($B152="","",YEAR($B152))</f>
        <v/>
      </c>
    </row>
    <row r="153">
      <c r="B153" s="105" t="n"/>
      <c r="C153" s="54" t="n"/>
      <c r="D153" s="54" t="n"/>
      <c r="E153" s="54" t="n"/>
      <c r="F153" s="54" t="n"/>
      <c r="G153" s="65" t="n"/>
      <c r="H153" s="54" t="n"/>
      <c r="I153" s="106">
        <f>IF($C153="","",IFERROR(INDEX(Sens_Types,MATCH($C153,Liste_Types,0)),""))</f>
        <v/>
      </c>
      <c r="J153" s="107">
        <f>IF($I153="▲ ENTRÉE",$U153,"")</f>
        <v/>
      </c>
      <c r="K153" s="108">
        <f>IF($I153="▼ SORTIE",$U153,"")</f>
        <v/>
      </c>
      <c r="L153" s="109">
        <f>$L152+N($J153)-N($K153)</f>
        <v/>
      </c>
      <c r="M153" s="110" t="n"/>
      <c r="N153" s="54" t="n"/>
      <c r="O153" s="54" t="n"/>
      <c r="P153" s="54" t="n"/>
      <c r="Q153" s="110" t="n"/>
      <c r="R153" s="110" t="n"/>
      <c r="S153" s="54" t="n"/>
      <c r="T153" s="111">
        <f>IF($G153="","",IFERROR(INDEX(Taux_Devises,MATCH(IF($M153="",Devise_Base,$M153),Codes_Devises,0)),1))</f>
        <v/>
      </c>
      <c r="U153" s="112">
        <f>IF($G153="","",ROUND($G153*$T153,2))</f>
        <v/>
      </c>
      <c r="V153" s="113">
        <f>IF($B153="","",MONTH($B153))</f>
        <v/>
      </c>
      <c r="W153" s="113">
        <f>IF($B153="","",YEAR($B153))</f>
        <v/>
      </c>
    </row>
    <row r="154">
      <c r="B154" s="105" t="n"/>
      <c r="C154" s="54" t="n"/>
      <c r="D154" s="54" t="n"/>
      <c r="E154" s="54" t="n"/>
      <c r="F154" s="54" t="n"/>
      <c r="G154" s="65" t="n"/>
      <c r="H154" s="54" t="n"/>
      <c r="I154" s="106">
        <f>IF($C154="","",IFERROR(INDEX(Sens_Types,MATCH($C154,Liste_Types,0)),""))</f>
        <v/>
      </c>
      <c r="J154" s="107">
        <f>IF($I154="▲ ENTRÉE",$U154,"")</f>
        <v/>
      </c>
      <c r="K154" s="108">
        <f>IF($I154="▼ SORTIE",$U154,"")</f>
        <v/>
      </c>
      <c r="L154" s="109">
        <f>$L153+N($J154)-N($K154)</f>
        <v/>
      </c>
      <c r="M154" s="110" t="n"/>
      <c r="N154" s="54" t="n"/>
      <c r="O154" s="54" t="n"/>
      <c r="P154" s="54" t="n"/>
      <c r="Q154" s="110" t="n"/>
      <c r="R154" s="110" t="n"/>
      <c r="S154" s="54" t="n"/>
      <c r="T154" s="111">
        <f>IF($G154="","",IFERROR(INDEX(Taux_Devises,MATCH(IF($M154="",Devise_Base,$M154),Codes_Devises,0)),1))</f>
        <v/>
      </c>
      <c r="U154" s="112">
        <f>IF($G154="","",ROUND($G154*$T154,2))</f>
        <v/>
      </c>
      <c r="V154" s="113">
        <f>IF($B154="","",MONTH($B154))</f>
        <v/>
      </c>
      <c r="W154" s="113">
        <f>IF($B154="","",YEAR($B154))</f>
        <v/>
      </c>
    </row>
    <row r="155">
      <c r="B155" s="105" t="n"/>
      <c r="C155" s="54" t="n"/>
      <c r="D155" s="54" t="n"/>
      <c r="E155" s="54" t="n"/>
      <c r="F155" s="54" t="n"/>
      <c r="G155" s="65" t="n"/>
      <c r="H155" s="54" t="n"/>
      <c r="I155" s="106">
        <f>IF($C155="","",IFERROR(INDEX(Sens_Types,MATCH($C155,Liste_Types,0)),""))</f>
        <v/>
      </c>
      <c r="J155" s="107">
        <f>IF($I155="▲ ENTRÉE",$U155,"")</f>
        <v/>
      </c>
      <c r="K155" s="108">
        <f>IF($I155="▼ SORTIE",$U155,"")</f>
        <v/>
      </c>
      <c r="L155" s="109">
        <f>$L154+N($J155)-N($K155)</f>
        <v/>
      </c>
      <c r="M155" s="110" t="n"/>
      <c r="N155" s="54" t="n"/>
      <c r="O155" s="54" t="n"/>
      <c r="P155" s="54" t="n"/>
      <c r="Q155" s="110" t="n"/>
      <c r="R155" s="110" t="n"/>
      <c r="S155" s="54" t="n"/>
      <c r="T155" s="111">
        <f>IF($G155="","",IFERROR(INDEX(Taux_Devises,MATCH(IF($M155="",Devise_Base,$M155),Codes_Devises,0)),1))</f>
        <v/>
      </c>
      <c r="U155" s="112">
        <f>IF($G155="","",ROUND($G155*$T155,2))</f>
        <v/>
      </c>
      <c r="V155" s="113">
        <f>IF($B155="","",MONTH($B155))</f>
        <v/>
      </c>
      <c r="W155" s="113">
        <f>IF($B155="","",YEAR($B155))</f>
        <v/>
      </c>
    </row>
    <row r="156">
      <c r="B156" s="105" t="n"/>
      <c r="C156" s="54" t="n"/>
      <c r="D156" s="54" t="n"/>
      <c r="E156" s="54" t="n"/>
      <c r="F156" s="54" t="n"/>
      <c r="G156" s="65" t="n"/>
      <c r="H156" s="54" t="n"/>
      <c r="I156" s="106">
        <f>IF($C156="","",IFERROR(INDEX(Sens_Types,MATCH($C156,Liste_Types,0)),""))</f>
        <v/>
      </c>
      <c r="J156" s="107">
        <f>IF($I156="▲ ENTRÉE",$U156,"")</f>
        <v/>
      </c>
      <c r="K156" s="108">
        <f>IF($I156="▼ SORTIE",$U156,"")</f>
        <v/>
      </c>
      <c r="L156" s="109">
        <f>$L155+N($J156)-N($K156)</f>
        <v/>
      </c>
      <c r="M156" s="110" t="n"/>
      <c r="N156" s="54" t="n"/>
      <c r="O156" s="54" t="n"/>
      <c r="P156" s="54" t="n"/>
      <c r="Q156" s="110" t="n"/>
      <c r="R156" s="110" t="n"/>
      <c r="S156" s="54" t="n"/>
      <c r="T156" s="111">
        <f>IF($G156="","",IFERROR(INDEX(Taux_Devises,MATCH(IF($M156="",Devise_Base,$M156),Codes_Devises,0)),1))</f>
        <v/>
      </c>
      <c r="U156" s="112">
        <f>IF($G156="","",ROUND($G156*$T156,2))</f>
        <v/>
      </c>
      <c r="V156" s="113">
        <f>IF($B156="","",MONTH($B156))</f>
        <v/>
      </c>
      <c r="W156" s="113">
        <f>IF($B156="","",YEAR($B156))</f>
        <v/>
      </c>
    </row>
    <row r="157">
      <c r="B157" s="105" t="n"/>
      <c r="C157" s="54" t="n"/>
      <c r="D157" s="54" t="n"/>
      <c r="E157" s="54" t="n"/>
      <c r="F157" s="54" t="n"/>
      <c r="G157" s="65" t="n"/>
      <c r="H157" s="54" t="n"/>
      <c r="I157" s="106">
        <f>IF($C157="","",IFERROR(INDEX(Sens_Types,MATCH($C157,Liste_Types,0)),""))</f>
        <v/>
      </c>
      <c r="J157" s="107">
        <f>IF($I157="▲ ENTRÉE",$U157,"")</f>
        <v/>
      </c>
      <c r="K157" s="108">
        <f>IF($I157="▼ SORTIE",$U157,"")</f>
        <v/>
      </c>
      <c r="L157" s="109">
        <f>$L156+N($J157)-N($K157)</f>
        <v/>
      </c>
      <c r="M157" s="110" t="n"/>
      <c r="N157" s="54" t="n"/>
      <c r="O157" s="54" t="n"/>
      <c r="P157" s="54" t="n"/>
      <c r="Q157" s="110" t="n"/>
      <c r="R157" s="110" t="n"/>
      <c r="S157" s="54" t="n"/>
      <c r="T157" s="111">
        <f>IF($G157="","",IFERROR(INDEX(Taux_Devises,MATCH(IF($M157="",Devise_Base,$M157),Codes_Devises,0)),1))</f>
        <v/>
      </c>
      <c r="U157" s="112">
        <f>IF($G157="","",ROUND($G157*$T157,2))</f>
        <v/>
      </c>
      <c r="V157" s="113">
        <f>IF($B157="","",MONTH($B157))</f>
        <v/>
      </c>
      <c r="W157" s="113">
        <f>IF($B157="","",YEAR($B157))</f>
        <v/>
      </c>
    </row>
    <row r="158">
      <c r="B158" s="105" t="n"/>
      <c r="C158" s="54" t="n"/>
      <c r="D158" s="54" t="n"/>
      <c r="E158" s="54" t="n"/>
      <c r="F158" s="54" t="n"/>
      <c r="G158" s="65" t="n"/>
      <c r="H158" s="54" t="n"/>
      <c r="I158" s="106">
        <f>IF($C158="","",IFERROR(INDEX(Sens_Types,MATCH($C158,Liste_Types,0)),""))</f>
        <v/>
      </c>
      <c r="J158" s="107">
        <f>IF($I158="▲ ENTRÉE",$U158,"")</f>
        <v/>
      </c>
      <c r="K158" s="108">
        <f>IF($I158="▼ SORTIE",$U158,"")</f>
        <v/>
      </c>
      <c r="L158" s="109">
        <f>$L157+N($J158)-N($K158)</f>
        <v/>
      </c>
      <c r="M158" s="110" t="n"/>
      <c r="N158" s="54" t="n"/>
      <c r="O158" s="54" t="n"/>
      <c r="P158" s="54" t="n"/>
      <c r="Q158" s="110" t="n"/>
      <c r="R158" s="110" t="n"/>
      <c r="S158" s="54" t="n"/>
      <c r="T158" s="111">
        <f>IF($G158="","",IFERROR(INDEX(Taux_Devises,MATCH(IF($M158="",Devise_Base,$M158),Codes_Devises,0)),1))</f>
        <v/>
      </c>
      <c r="U158" s="112">
        <f>IF($G158="","",ROUND($G158*$T158,2))</f>
        <v/>
      </c>
      <c r="V158" s="113">
        <f>IF($B158="","",MONTH($B158))</f>
        <v/>
      </c>
      <c r="W158" s="113">
        <f>IF($B158="","",YEAR($B158))</f>
        <v/>
      </c>
    </row>
    <row r="159">
      <c r="B159" s="105" t="n"/>
      <c r="C159" s="54" t="n"/>
      <c r="D159" s="54" t="n"/>
      <c r="E159" s="54" t="n"/>
      <c r="F159" s="54" t="n"/>
      <c r="G159" s="65" t="n"/>
      <c r="H159" s="54" t="n"/>
      <c r="I159" s="106">
        <f>IF($C159="","",IFERROR(INDEX(Sens_Types,MATCH($C159,Liste_Types,0)),""))</f>
        <v/>
      </c>
      <c r="J159" s="107">
        <f>IF($I159="▲ ENTRÉE",$U159,"")</f>
        <v/>
      </c>
      <c r="K159" s="108">
        <f>IF($I159="▼ SORTIE",$U159,"")</f>
        <v/>
      </c>
      <c r="L159" s="109">
        <f>$L158+N($J159)-N($K159)</f>
        <v/>
      </c>
      <c r="M159" s="110" t="n"/>
      <c r="N159" s="54" t="n"/>
      <c r="O159" s="54" t="n"/>
      <c r="P159" s="54" t="n"/>
      <c r="Q159" s="110" t="n"/>
      <c r="R159" s="110" t="n"/>
      <c r="S159" s="54" t="n"/>
      <c r="T159" s="111">
        <f>IF($G159="","",IFERROR(INDEX(Taux_Devises,MATCH(IF($M159="",Devise_Base,$M159),Codes_Devises,0)),1))</f>
        <v/>
      </c>
      <c r="U159" s="112">
        <f>IF($G159="","",ROUND($G159*$T159,2))</f>
        <v/>
      </c>
      <c r="V159" s="113">
        <f>IF($B159="","",MONTH($B159))</f>
        <v/>
      </c>
      <c r="W159" s="113">
        <f>IF($B159="","",YEAR($B159))</f>
        <v/>
      </c>
    </row>
    <row r="160">
      <c r="B160" s="105" t="n"/>
      <c r="C160" s="54" t="n"/>
      <c r="D160" s="54" t="n"/>
      <c r="E160" s="54" t="n"/>
      <c r="F160" s="54" t="n"/>
      <c r="G160" s="65" t="n"/>
      <c r="H160" s="54" t="n"/>
      <c r="I160" s="106">
        <f>IF($C160="","",IFERROR(INDEX(Sens_Types,MATCH($C160,Liste_Types,0)),""))</f>
        <v/>
      </c>
      <c r="J160" s="107">
        <f>IF($I160="▲ ENTRÉE",$U160,"")</f>
        <v/>
      </c>
      <c r="K160" s="108">
        <f>IF($I160="▼ SORTIE",$U160,"")</f>
        <v/>
      </c>
      <c r="L160" s="109">
        <f>$L159+N($J160)-N($K160)</f>
        <v/>
      </c>
      <c r="M160" s="110" t="n"/>
      <c r="N160" s="54" t="n"/>
      <c r="O160" s="54" t="n"/>
      <c r="P160" s="54" t="n"/>
      <c r="Q160" s="110" t="n"/>
      <c r="R160" s="110" t="n"/>
      <c r="S160" s="54" t="n"/>
      <c r="T160" s="111">
        <f>IF($G160="","",IFERROR(INDEX(Taux_Devises,MATCH(IF($M160="",Devise_Base,$M160),Codes_Devises,0)),1))</f>
        <v/>
      </c>
      <c r="U160" s="112">
        <f>IF($G160="","",ROUND($G160*$T160,2))</f>
        <v/>
      </c>
      <c r="V160" s="113">
        <f>IF($B160="","",MONTH($B160))</f>
        <v/>
      </c>
      <c r="W160" s="113">
        <f>IF($B160="","",YEAR($B160))</f>
        <v/>
      </c>
    </row>
    <row r="161">
      <c r="B161" s="105" t="n"/>
      <c r="C161" s="54" t="n"/>
      <c r="D161" s="54" t="n"/>
      <c r="E161" s="54" t="n"/>
      <c r="F161" s="54" t="n"/>
      <c r="G161" s="65" t="n"/>
      <c r="H161" s="54" t="n"/>
      <c r="I161" s="106">
        <f>IF($C161="","",IFERROR(INDEX(Sens_Types,MATCH($C161,Liste_Types,0)),""))</f>
        <v/>
      </c>
      <c r="J161" s="107">
        <f>IF($I161="▲ ENTRÉE",$U161,"")</f>
        <v/>
      </c>
      <c r="K161" s="108">
        <f>IF($I161="▼ SORTIE",$U161,"")</f>
        <v/>
      </c>
      <c r="L161" s="109">
        <f>$L160+N($J161)-N($K161)</f>
        <v/>
      </c>
      <c r="M161" s="110" t="n"/>
      <c r="N161" s="54" t="n"/>
      <c r="O161" s="54" t="n"/>
      <c r="P161" s="54" t="n"/>
      <c r="Q161" s="110" t="n"/>
      <c r="R161" s="110" t="n"/>
      <c r="S161" s="54" t="n"/>
      <c r="T161" s="111">
        <f>IF($G161="","",IFERROR(INDEX(Taux_Devises,MATCH(IF($M161="",Devise_Base,$M161),Codes_Devises,0)),1))</f>
        <v/>
      </c>
      <c r="U161" s="112">
        <f>IF($G161="","",ROUND($G161*$T161,2))</f>
        <v/>
      </c>
      <c r="V161" s="113">
        <f>IF($B161="","",MONTH($B161))</f>
        <v/>
      </c>
      <c r="W161" s="113">
        <f>IF($B161="","",YEAR($B161))</f>
        <v/>
      </c>
    </row>
    <row r="162">
      <c r="B162" s="105" t="n"/>
      <c r="C162" s="54" t="n"/>
      <c r="D162" s="54" t="n"/>
      <c r="E162" s="54" t="n"/>
      <c r="F162" s="54" t="n"/>
      <c r="G162" s="65" t="n"/>
      <c r="H162" s="54" t="n"/>
      <c r="I162" s="106">
        <f>IF($C162="","",IFERROR(INDEX(Sens_Types,MATCH($C162,Liste_Types,0)),""))</f>
        <v/>
      </c>
      <c r="J162" s="107">
        <f>IF($I162="▲ ENTRÉE",$U162,"")</f>
        <v/>
      </c>
      <c r="K162" s="108">
        <f>IF($I162="▼ SORTIE",$U162,"")</f>
        <v/>
      </c>
      <c r="L162" s="109">
        <f>$L161+N($J162)-N($K162)</f>
        <v/>
      </c>
      <c r="M162" s="110" t="n"/>
      <c r="N162" s="54" t="n"/>
      <c r="O162" s="54" t="n"/>
      <c r="P162" s="54" t="n"/>
      <c r="Q162" s="110" t="n"/>
      <c r="R162" s="110" t="n"/>
      <c r="S162" s="54" t="n"/>
      <c r="T162" s="111">
        <f>IF($G162="","",IFERROR(INDEX(Taux_Devises,MATCH(IF($M162="",Devise_Base,$M162),Codes_Devises,0)),1))</f>
        <v/>
      </c>
      <c r="U162" s="112">
        <f>IF($G162="","",ROUND($G162*$T162,2))</f>
        <v/>
      </c>
      <c r="V162" s="113">
        <f>IF($B162="","",MONTH($B162))</f>
        <v/>
      </c>
      <c r="W162" s="113">
        <f>IF($B162="","",YEAR($B162))</f>
        <v/>
      </c>
    </row>
    <row r="163">
      <c r="B163" s="105" t="n"/>
      <c r="C163" s="54" t="n"/>
      <c r="D163" s="54" t="n"/>
      <c r="E163" s="54" t="n"/>
      <c r="F163" s="54" t="n"/>
      <c r="G163" s="65" t="n"/>
      <c r="H163" s="54" t="n"/>
      <c r="I163" s="106">
        <f>IF($C163="","",IFERROR(INDEX(Sens_Types,MATCH($C163,Liste_Types,0)),""))</f>
        <v/>
      </c>
      <c r="J163" s="107">
        <f>IF($I163="▲ ENTRÉE",$U163,"")</f>
        <v/>
      </c>
      <c r="K163" s="108">
        <f>IF($I163="▼ SORTIE",$U163,"")</f>
        <v/>
      </c>
      <c r="L163" s="109">
        <f>$L162+N($J163)-N($K163)</f>
        <v/>
      </c>
      <c r="M163" s="110" t="n"/>
      <c r="N163" s="54" t="n"/>
      <c r="O163" s="54" t="n"/>
      <c r="P163" s="54" t="n"/>
      <c r="Q163" s="110" t="n"/>
      <c r="R163" s="110" t="n"/>
      <c r="S163" s="54" t="n"/>
      <c r="T163" s="111">
        <f>IF($G163="","",IFERROR(INDEX(Taux_Devises,MATCH(IF($M163="",Devise_Base,$M163),Codes_Devises,0)),1))</f>
        <v/>
      </c>
      <c r="U163" s="112">
        <f>IF($G163="","",ROUND($G163*$T163,2))</f>
        <v/>
      </c>
      <c r="V163" s="113">
        <f>IF($B163="","",MONTH($B163))</f>
        <v/>
      </c>
      <c r="W163" s="113">
        <f>IF($B163="","",YEAR($B163))</f>
        <v/>
      </c>
    </row>
    <row r="164">
      <c r="B164" s="105" t="n"/>
      <c r="C164" s="54" t="n"/>
      <c r="D164" s="54" t="n"/>
      <c r="E164" s="54" t="n"/>
      <c r="F164" s="54" t="n"/>
      <c r="G164" s="65" t="n"/>
      <c r="H164" s="54" t="n"/>
      <c r="I164" s="106">
        <f>IF($C164="","",IFERROR(INDEX(Sens_Types,MATCH($C164,Liste_Types,0)),""))</f>
        <v/>
      </c>
      <c r="J164" s="107">
        <f>IF($I164="▲ ENTRÉE",$U164,"")</f>
        <v/>
      </c>
      <c r="K164" s="108">
        <f>IF($I164="▼ SORTIE",$U164,"")</f>
        <v/>
      </c>
      <c r="L164" s="109">
        <f>$L163+N($J164)-N($K164)</f>
        <v/>
      </c>
      <c r="M164" s="110" t="n"/>
      <c r="N164" s="54" t="n"/>
      <c r="O164" s="54" t="n"/>
      <c r="P164" s="54" t="n"/>
      <c r="Q164" s="110" t="n"/>
      <c r="R164" s="110" t="n"/>
      <c r="S164" s="54" t="n"/>
      <c r="T164" s="111">
        <f>IF($G164="","",IFERROR(INDEX(Taux_Devises,MATCH(IF($M164="",Devise_Base,$M164),Codes_Devises,0)),1))</f>
        <v/>
      </c>
      <c r="U164" s="112">
        <f>IF($G164="","",ROUND($G164*$T164,2))</f>
        <v/>
      </c>
      <c r="V164" s="113">
        <f>IF($B164="","",MONTH($B164))</f>
        <v/>
      </c>
      <c r="W164" s="113">
        <f>IF($B164="","",YEAR($B164))</f>
        <v/>
      </c>
    </row>
    <row r="165">
      <c r="B165" s="105" t="n"/>
      <c r="C165" s="54" t="n"/>
      <c r="D165" s="54" t="n"/>
      <c r="E165" s="54" t="n"/>
      <c r="F165" s="54" t="n"/>
      <c r="G165" s="65" t="n"/>
      <c r="H165" s="54" t="n"/>
      <c r="I165" s="106">
        <f>IF($C165="","",IFERROR(INDEX(Sens_Types,MATCH($C165,Liste_Types,0)),""))</f>
        <v/>
      </c>
      <c r="J165" s="107">
        <f>IF($I165="▲ ENTRÉE",$U165,"")</f>
        <v/>
      </c>
      <c r="K165" s="108">
        <f>IF($I165="▼ SORTIE",$U165,"")</f>
        <v/>
      </c>
      <c r="L165" s="109">
        <f>$L164+N($J165)-N($K165)</f>
        <v/>
      </c>
      <c r="M165" s="110" t="n"/>
      <c r="N165" s="54" t="n"/>
      <c r="O165" s="54" t="n"/>
      <c r="P165" s="54" t="n"/>
      <c r="Q165" s="110" t="n"/>
      <c r="R165" s="110" t="n"/>
      <c r="S165" s="54" t="n"/>
      <c r="T165" s="111">
        <f>IF($G165="","",IFERROR(INDEX(Taux_Devises,MATCH(IF($M165="",Devise_Base,$M165),Codes_Devises,0)),1))</f>
        <v/>
      </c>
      <c r="U165" s="112">
        <f>IF($G165="","",ROUND($G165*$T165,2))</f>
        <v/>
      </c>
      <c r="V165" s="113">
        <f>IF($B165="","",MONTH($B165))</f>
        <v/>
      </c>
      <c r="W165" s="113">
        <f>IF($B165="","",YEAR($B165))</f>
        <v/>
      </c>
    </row>
    <row r="166">
      <c r="B166" s="105" t="n"/>
      <c r="C166" s="54" t="n"/>
      <c r="D166" s="54" t="n"/>
      <c r="E166" s="54" t="n"/>
      <c r="F166" s="54" t="n"/>
      <c r="G166" s="65" t="n"/>
      <c r="H166" s="54" t="n"/>
      <c r="I166" s="106">
        <f>IF($C166="","",IFERROR(INDEX(Sens_Types,MATCH($C166,Liste_Types,0)),""))</f>
        <v/>
      </c>
      <c r="J166" s="107">
        <f>IF($I166="▲ ENTRÉE",$U166,"")</f>
        <v/>
      </c>
      <c r="K166" s="108">
        <f>IF($I166="▼ SORTIE",$U166,"")</f>
        <v/>
      </c>
      <c r="L166" s="109">
        <f>$L165+N($J166)-N($K166)</f>
        <v/>
      </c>
      <c r="M166" s="110" t="n"/>
      <c r="N166" s="54" t="n"/>
      <c r="O166" s="54" t="n"/>
      <c r="P166" s="54" t="n"/>
      <c r="Q166" s="110" t="n"/>
      <c r="R166" s="110" t="n"/>
      <c r="S166" s="54" t="n"/>
      <c r="T166" s="111">
        <f>IF($G166="","",IFERROR(INDEX(Taux_Devises,MATCH(IF($M166="",Devise_Base,$M166),Codes_Devises,0)),1))</f>
        <v/>
      </c>
      <c r="U166" s="112">
        <f>IF($G166="","",ROUND($G166*$T166,2))</f>
        <v/>
      </c>
      <c r="V166" s="113">
        <f>IF($B166="","",MONTH($B166))</f>
        <v/>
      </c>
      <c r="W166" s="113">
        <f>IF($B166="","",YEAR($B166))</f>
        <v/>
      </c>
    </row>
    <row r="167">
      <c r="B167" s="105" t="n"/>
      <c r="C167" s="54" t="n"/>
      <c r="D167" s="54" t="n"/>
      <c r="E167" s="54" t="n"/>
      <c r="F167" s="54" t="n"/>
      <c r="G167" s="65" t="n"/>
      <c r="H167" s="54" t="n"/>
      <c r="I167" s="106">
        <f>IF($C167="","",IFERROR(INDEX(Sens_Types,MATCH($C167,Liste_Types,0)),""))</f>
        <v/>
      </c>
      <c r="J167" s="107">
        <f>IF($I167="▲ ENTRÉE",$U167,"")</f>
        <v/>
      </c>
      <c r="K167" s="108">
        <f>IF($I167="▼ SORTIE",$U167,"")</f>
        <v/>
      </c>
      <c r="L167" s="109">
        <f>$L166+N($J167)-N($K167)</f>
        <v/>
      </c>
      <c r="M167" s="110" t="n"/>
      <c r="N167" s="54" t="n"/>
      <c r="O167" s="54" t="n"/>
      <c r="P167" s="54" t="n"/>
      <c r="Q167" s="110" t="n"/>
      <c r="R167" s="110" t="n"/>
      <c r="S167" s="54" t="n"/>
      <c r="T167" s="111">
        <f>IF($G167="","",IFERROR(INDEX(Taux_Devises,MATCH(IF($M167="",Devise_Base,$M167),Codes_Devises,0)),1))</f>
        <v/>
      </c>
      <c r="U167" s="112">
        <f>IF($G167="","",ROUND($G167*$T167,2))</f>
        <v/>
      </c>
      <c r="V167" s="113">
        <f>IF($B167="","",MONTH($B167))</f>
        <v/>
      </c>
      <c r="W167" s="113">
        <f>IF($B167="","",YEAR($B167))</f>
        <v/>
      </c>
    </row>
    <row r="168">
      <c r="B168" s="105" t="n"/>
      <c r="C168" s="54" t="n"/>
      <c r="D168" s="54" t="n"/>
      <c r="E168" s="54" t="n"/>
      <c r="F168" s="54" t="n"/>
      <c r="G168" s="65" t="n"/>
      <c r="H168" s="54" t="n"/>
      <c r="I168" s="106">
        <f>IF($C168="","",IFERROR(INDEX(Sens_Types,MATCH($C168,Liste_Types,0)),""))</f>
        <v/>
      </c>
      <c r="J168" s="107">
        <f>IF($I168="▲ ENTRÉE",$U168,"")</f>
        <v/>
      </c>
      <c r="K168" s="108">
        <f>IF($I168="▼ SORTIE",$U168,"")</f>
        <v/>
      </c>
      <c r="L168" s="109">
        <f>$L167+N($J168)-N($K168)</f>
        <v/>
      </c>
      <c r="M168" s="110" t="n"/>
      <c r="N168" s="54" t="n"/>
      <c r="O168" s="54" t="n"/>
      <c r="P168" s="54" t="n"/>
      <c r="Q168" s="110" t="n"/>
      <c r="R168" s="110" t="n"/>
      <c r="S168" s="54" t="n"/>
      <c r="T168" s="111">
        <f>IF($G168="","",IFERROR(INDEX(Taux_Devises,MATCH(IF($M168="",Devise_Base,$M168),Codes_Devises,0)),1))</f>
        <v/>
      </c>
      <c r="U168" s="112">
        <f>IF($G168="","",ROUND($G168*$T168,2))</f>
        <v/>
      </c>
      <c r="V168" s="113">
        <f>IF($B168="","",MONTH($B168))</f>
        <v/>
      </c>
      <c r="W168" s="113">
        <f>IF($B168="","",YEAR($B168))</f>
        <v/>
      </c>
    </row>
    <row r="169">
      <c r="B169" s="105" t="n"/>
      <c r="C169" s="54" t="n"/>
      <c r="D169" s="54" t="n"/>
      <c r="E169" s="54" t="n"/>
      <c r="F169" s="54" t="n"/>
      <c r="G169" s="65" t="n"/>
      <c r="H169" s="54" t="n"/>
      <c r="I169" s="106">
        <f>IF($C169="","",IFERROR(INDEX(Sens_Types,MATCH($C169,Liste_Types,0)),""))</f>
        <v/>
      </c>
      <c r="J169" s="107">
        <f>IF($I169="▲ ENTRÉE",$U169,"")</f>
        <v/>
      </c>
      <c r="K169" s="108">
        <f>IF($I169="▼ SORTIE",$U169,"")</f>
        <v/>
      </c>
      <c r="L169" s="109">
        <f>$L168+N($J169)-N($K169)</f>
        <v/>
      </c>
      <c r="M169" s="110" t="n"/>
      <c r="N169" s="54" t="n"/>
      <c r="O169" s="54" t="n"/>
      <c r="P169" s="54" t="n"/>
      <c r="Q169" s="110" t="n"/>
      <c r="R169" s="110" t="n"/>
      <c r="S169" s="54" t="n"/>
      <c r="T169" s="111">
        <f>IF($G169="","",IFERROR(INDEX(Taux_Devises,MATCH(IF($M169="",Devise_Base,$M169),Codes_Devises,0)),1))</f>
        <v/>
      </c>
      <c r="U169" s="112">
        <f>IF($G169="","",ROUND($G169*$T169,2))</f>
        <v/>
      </c>
      <c r="V169" s="113">
        <f>IF($B169="","",MONTH($B169))</f>
        <v/>
      </c>
      <c r="W169" s="113">
        <f>IF($B169="","",YEAR($B169))</f>
        <v/>
      </c>
    </row>
    <row r="170">
      <c r="B170" s="105" t="n"/>
      <c r="C170" s="54" t="n"/>
      <c r="D170" s="54" t="n"/>
      <c r="E170" s="54" t="n"/>
      <c r="F170" s="54" t="n"/>
      <c r="G170" s="65" t="n"/>
      <c r="H170" s="54" t="n"/>
      <c r="I170" s="106">
        <f>IF($C170="","",IFERROR(INDEX(Sens_Types,MATCH($C170,Liste_Types,0)),""))</f>
        <v/>
      </c>
      <c r="J170" s="107">
        <f>IF($I170="▲ ENTRÉE",$U170,"")</f>
        <v/>
      </c>
      <c r="K170" s="108">
        <f>IF($I170="▼ SORTIE",$U170,"")</f>
        <v/>
      </c>
      <c r="L170" s="109">
        <f>$L169+N($J170)-N($K170)</f>
        <v/>
      </c>
      <c r="M170" s="110" t="n"/>
      <c r="N170" s="54" t="n"/>
      <c r="O170" s="54" t="n"/>
      <c r="P170" s="54" t="n"/>
      <c r="Q170" s="110" t="n"/>
      <c r="R170" s="110" t="n"/>
      <c r="S170" s="54" t="n"/>
      <c r="T170" s="111">
        <f>IF($G170="","",IFERROR(INDEX(Taux_Devises,MATCH(IF($M170="",Devise_Base,$M170),Codes_Devises,0)),1))</f>
        <v/>
      </c>
      <c r="U170" s="112">
        <f>IF($G170="","",ROUND($G170*$T170,2))</f>
        <v/>
      </c>
      <c r="V170" s="113">
        <f>IF($B170="","",MONTH($B170))</f>
        <v/>
      </c>
      <c r="W170" s="113">
        <f>IF($B170="","",YEAR($B170))</f>
        <v/>
      </c>
    </row>
    <row r="171">
      <c r="B171" s="105" t="n"/>
      <c r="C171" s="54" t="n"/>
      <c r="D171" s="54" t="n"/>
      <c r="E171" s="54" t="n"/>
      <c r="F171" s="54" t="n"/>
      <c r="G171" s="65" t="n"/>
      <c r="H171" s="54" t="n"/>
      <c r="I171" s="106">
        <f>IF($C171="","",IFERROR(INDEX(Sens_Types,MATCH($C171,Liste_Types,0)),""))</f>
        <v/>
      </c>
      <c r="J171" s="107">
        <f>IF($I171="▲ ENTRÉE",$U171,"")</f>
        <v/>
      </c>
      <c r="K171" s="108">
        <f>IF($I171="▼ SORTIE",$U171,"")</f>
        <v/>
      </c>
      <c r="L171" s="109">
        <f>$L170+N($J171)-N($K171)</f>
        <v/>
      </c>
      <c r="M171" s="110" t="n"/>
      <c r="N171" s="54" t="n"/>
      <c r="O171" s="54" t="n"/>
      <c r="P171" s="54" t="n"/>
      <c r="Q171" s="110" t="n"/>
      <c r="R171" s="110" t="n"/>
      <c r="S171" s="54" t="n"/>
      <c r="T171" s="111">
        <f>IF($G171="","",IFERROR(INDEX(Taux_Devises,MATCH(IF($M171="",Devise_Base,$M171),Codes_Devises,0)),1))</f>
        <v/>
      </c>
      <c r="U171" s="112">
        <f>IF($G171="","",ROUND($G171*$T171,2))</f>
        <v/>
      </c>
      <c r="V171" s="113">
        <f>IF($B171="","",MONTH($B171))</f>
        <v/>
      </c>
      <c r="W171" s="113">
        <f>IF($B171="","",YEAR($B171))</f>
        <v/>
      </c>
    </row>
    <row r="172">
      <c r="B172" s="105" t="n"/>
      <c r="C172" s="54" t="n"/>
      <c r="D172" s="54" t="n"/>
      <c r="E172" s="54" t="n"/>
      <c r="F172" s="54" t="n"/>
      <c r="G172" s="65" t="n"/>
      <c r="H172" s="54" t="n"/>
      <c r="I172" s="106">
        <f>IF($C172="","",IFERROR(INDEX(Sens_Types,MATCH($C172,Liste_Types,0)),""))</f>
        <v/>
      </c>
      <c r="J172" s="107">
        <f>IF($I172="▲ ENTRÉE",$U172,"")</f>
        <v/>
      </c>
      <c r="K172" s="108">
        <f>IF($I172="▼ SORTIE",$U172,"")</f>
        <v/>
      </c>
      <c r="L172" s="109">
        <f>$L171+N($J172)-N($K172)</f>
        <v/>
      </c>
      <c r="M172" s="110" t="n"/>
      <c r="N172" s="54" t="n"/>
      <c r="O172" s="54" t="n"/>
      <c r="P172" s="54" t="n"/>
      <c r="Q172" s="110" t="n"/>
      <c r="R172" s="110" t="n"/>
      <c r="S172" s="54" t="n"/>
      <c r="T172" s="111">
        <f>IF($G172="","",IFERROR(INDEX(Taux_Devises,MATCH(IF($M172="",Devise_Base,$M172),Codes_Devises,0)),1))</f>
        <v/>
      </c>
      <c r="U172" s="112">
        <f>IF($G172="","",ROUND($G172*$T172,2))</f>
        <v/>
      </c>
      <c r="V172" s="113">
        <f>IF($B172="","",MONTH($B172))</f>
        <v/>
      </c>
      <c r="W172" s="113">
        <f>IF($B172="","",YEAR($B172))</f>
        <v/>
      </c>
    </row>
    <row r="173">
      <c r="B173" s="105" t="n"/>
      <c r="C173" s="54" t="n"/>
      <c r="D173" s="54" t="n"/>
      <c r="E173" s="54" t="n"/>
      <c r="F173" s="54" t="n"/>
      <c r="G173" s="65" t="n"/>
      <c r="H173" s="54" t="n"/>
      <c r="I173" s="106">
        <f>IF($C173="","",IFERROR(INDEX(Sens_Types,MATCH($C173,Liste_Types,0)),""))</f>
        <v/>
      </c>
      <c r="J173" s="107">
        <f>IF($I173="▲ ENTRÉE",$U173,"")</f>
        <v/>
      </c>
      <c r="K173" s="108">
        <f>IF($I173="▼ SORTIE",$U173,"")</f>
        <v/>
      </c>
      <c r="L173" s="109">
        <f>$L172+N($J173)-N($K173)</f>
        <v/>
      </c>
      <c r="M173" s="110" t="n"/>
      <c r="N173" s="54" t="n"/>
      <c r="O173" s="54" t="n"/>
      <c r="P173" s="54" t="n"/>
      <c r="Q173" s="110" t="n"/>
      <c r="R173" s="110" t="n"/>
      <c r="S173" s="54" t="n"/>
      <c r="T173" s="111">
        <f>IF($G173="","",IFERROR(INDEX(Taux_Devises,MATCH(IF($M173="",Devise_Base,$M173),Codes_Devises,0)),1))</f>
        <v/>
      </c>
      <c r="U173" s="112">
        <f>IF($G173="","",ROUND($G173*$T173,2))</f>
        <v/>
      </c>
      <c r="V173" s="113">
        <f>IF($B173="","",MONTH($B173))</f>
        <v/>
      </c>
      <c r="W173" s="113">
        <f>IF($B173="","",YEAR($B173))</f>
        <v/>
      </c>
    </row>
    <row r="174">
      <c r="B174" s="105" t="n"/>
      <c r="C174" s="54" t="n"/>
      <c r="D174" s="54" t="n"/>
      <c r="E174" s="54" t="n"/>
      <c r="F174" s="54" t="n"/>
      <c r="G174" s="65" t="n"/>
      <c r="H174" s="54" t="n"/>
      <c r="I174" s="106">
        <f>IF($C174="","",IFERROR(INDEX(Sens_Types,MATCH($C174,Liste_Types,0)),""))</f>
        <v/>
      </c>
      <c r="J174" s="107">
        <f>IF($I174="▲ ENTRÉE",$U174,"")</f>
        <v/>
      </c>
      <c r="K174" s="108">
        <f>IF($I174="▼ SORTIE",$U174,"")</f>
        <v/>
      </c>
      <c r="L174" s="109">
        <f>$L173+N($J174)-N($K174)</f>
        <v/>
      </c>
      <c r="M174" s="110" t="n"/>
      <c r="N174" s="54" t="n"/>
      <c r="O174" s="54" t="n"/>
      <c r="P174" s="54" t="n"/>
      <c r="Q174" s="110" t="n"/>
      <c r="R174" s="110" t="n"/>
      <c r="S174" s="54" t="n"/>
      <c r="T174" s="111">
        <f>IF($G174="","",IFERROR(INDEX(Taux_Devises,MATCH(IF($M174="",Devise_Base,$M174),Codes_Devises,0)),1))</f>
        <v/>
      </c>
      <c r="U174" s="112">
        <f>IF($G174="","",ROUND($G174*$T174,2))</f>
        <v/>
      </c>
      <c r="V174" s="113">
        <f>IF($B174="","",MONTH($B174))</f>
        <v/>
      </c>
      <c r="W174" s="113">
        <f>IF($B174="","",YEAR($B174))</f>
        <v/>
      </c>
    </row>
    <row r="175">
      <c r="B175" s="105" t="n"/>
      <c r="C175" s="54" t="n"/>
      <c r="D175" s="54" t="n"/>
      <c r="E175" s="54" t="n"/>
      <c r="F175" s="54" t="n"/>
      <c r="G175" s="65" t="n"/>
      <c r="H175" s="54" t="n"/>
      <c r="I175" s="106">
        <f>IF($C175="","",IFERROR(INDEX(Sens_Types,MATCH($C175,Liste_Types,0)),""))</f>
        <v/>
      </c>
      <c r="J175" s="107">
        <f>IF($I175="▲ ENTRÉE",$U175,"")</f>
        <v/>
      </c>
      <c r="K175" s="108">
        <f>IF($I175="▼ SORTIE",$U175,"")</f>
        <v/>
      </c>
      <c r="L175" s="109">
        <f>$L174+N($J175)-N($K175)</f>
        <v/>
      </c>
      <c r="M175" s="110" t="n"/>
      <c r="N175" s="54" t="n"/>
      <c r="O175" s="54" t="n"/>
      <c r="P175" s="54" t="n"/>
      <c r="Q175" s="110" t="n"/>
      <c r="R175" s="110" t="n"/>
      <c r="S175" s="54" t="n"/>
      <c r="T175" s="111">
        <f>IF($G175="","",IFERROR(INDEX(Taux_Devises,MATCH(IF($M175="",Devise_Base,$M175),Codes_Devises,0)),1))</f>
        <v/>
      </c>
      <c r="U175" s="112">
        <f>IF($G175="","",ROUND($G175*$T175,2))</f>
        <v/>
      </c>
      <c r="V175" s="113">
        <f>IF($B175="","",MONTH($B175))</f>
        <v/>
      </c>
      <c r="W175" s="113">
        <f>IF($B175="","",YEAR($B175))</f>
        <v/>
      </c>
    </row>
    <row r="176">
      <c r="B176" s="105" t="n"/>
      <c r="C176" s="54" t="n"/>
      <c r="D176" s="54" t="n"/>
      <c r="E176" s="54" t="n"/>
      <c r="F176" s="54" t="n"/>
      <c r="G176" s="65" t="n"/>
      <c r="H176" s="54" t="n"/>
      <c r="I176" s="106">
        <f>IF($C176="","",IFERROR(INDEX(Sens_Types,MATCH($C176,Liste_Types,0)),""))</f>
        <v/>
      </c>
      <c r="J176" s="107">
        <f>IF($I176="▲ ENTRÉE",$U176,"")</f>
        <v/>
      </c>
      <c r="K176" s="108">
        <f>IF($I176="▼ SORTIE",$U176,"")</f>
        <v/>
      </c>
      <c r="L176" s="109">
        <f>$L175+N($J176)-N($K176)</f>
        <v/>
      </c>
      <c r="M176" s="110" t="n"/>
      <c r="N176" s="54" t="n"/>
      <c r="O176" s="54" t="n"/>
      <c r="P176" s="54" t="n"/>
      <c r="Q176" s="110" t="n"/>
      <c r="R176" s="110" t="n"/>
      <c r="S176" s="54" t="n"/>
      <c r="T176" s="111">
        <f>IF($G176="","",IFERROR(INDEX(Taux_Devises,MATCH(IF($M176="",Devise_Base,$M176),Codes_Devises,0)),1))</f>
        <v/>
      </c>
      <c r="U176" s="112">
        <f>IF($G176="","",ROUND($G176*$T176,2))</f>
        <v/>
      </c>
      <c r="V176" s="113">
        <f>IF($B176="","",MONTH($B176))</f>
        <v/>
      </c>
      <c r="W176" s="113">
        <f>IF($B176="","",YEAR($B176))</f>
        <v/>
      </c>
    </row>
    <row r="177">
      <c r="B177" s="105" t="n"/>
      <c r="C177" s="54" t="n"/>
      <c r="D177" s="54" t="n"/>
      <c r="E177" s="54" t="n"/>
      <c r="F177" s="54" t="n"/>
      <c r="G177" s="65" t="n"/>
      <c r="H177" s="54" t="n"/>
      <c r="I177" s="106">
        <f>IF($C177="","",IFERROR(INDEX(Sens_Types,MATCH($C177,Liste_Types,0)),""))</f>
        <v/>
      </c>
      <c r="J177" s="107">
        <f>IF($I177="▲ ENTRÉE",$U177,"")</f>
        <v/>
      </c>
      <c r="K177" s="108">
        <f>IF($I177="▼ SORTIE",$U177,"")</f>
        <v/>
      </c>
      <c r="L177" s="109">
        <f>$L176+N($J177)-N($K177)</f>
        <v/>
      </c>
      <c r="M177" s="110" t="n"/>
      <c r="N177" s="54" t="n"/>
      <c r="O177" s="54" t="n"/>
      <c r="P177" s="54" t="n"/>
      <c r="Q177" s="110" t="n"/>
      <c r="R177" s="110" t="n"/>
      <c r="S177" s="54" t="n"/>
      <c r="T177" s="111">
        <f>IF($G177="","",IFERROR(INDEX(Taux_Devises,MATCH(IF($M177="",Devise_Base,$M177),Codes_Devises,0)),1))</f>
        <v/>
      </c>
      <c r="U177" s="112">
        <f>IF($G177="","",ROUND($G177*$T177,2))</f>
        <v/>
      </c>
      <c r="V177" s="113">
        <f>IF($B177="","",MONTH($B177))</f>
        <v/>
      </c>
      <c r="W177" s="113">
        <f>IF($B177="","",YEAR($B177))</f>
        <v/>
      </c>
    </row>
    <row r="178">
      <c r="B178" s="105" t="n"/>
      <c r="C178" s="54" t="n"/>
      <c r="D178" s="54" t="n"/>
      <c r="E178" s="54" t="n"/>
      <c r="F178" s="54" t="n"/>
      <c r="G178" s="65" t="n"/>
      <c r="H178" s="54" t="n"/>
      <c r="I178" s="106">
        <f>IF($C178="","",IFERROR(INDEX(Sens_Types,MATCH($C178,Liste_Types,0)),""))</f>
        <v/>
      </c>
      <c r="J178" s="107">
        <f>IF($I178="▲ ENTRÉE",$U178,"")</f>
        <v/>
      </c>
      <c r="K178" s="108">
        <f>IF($I178="▼ SORTIE",$U178,"")</f>
        <v/>
      </c>
      <c r="L178" s="109">
        <f>$L177+N($J178)-N($K178)</f>
        <v/>
      </c>
      <c r="M178" s="110" t="n"/>
      <c r="N178" s="54" t="n"/>
      <c r="O178" s="54" t="n"/>
      <c r="P178" s="54" t="n"/>
      <c r="Q178" s="110" t="n"/>
      <c r="R178" s="110" t="n"/>
      <c r="S178" s="54" t="n"/>
      <c r="T178" s="111">
        <f>IF($G178="","",IFERROR(INDEX(Taux_Devises,MATCH(IF($M178="",Devise_Base,$M178),Codes_Devises,0)),1))</f>
        <v/>
      </c>
      <c r="U178" s="112">
        <f>IF($G178="","",ROUND($G178*$T178,2))</f>
        <v/>
      </c>
      <c r="V178" s="113">
        <f>IF($B178="","",MONTH($B178))</f>
        <v/>
      </c>
      <c r="W178" s="113">
        <f>IF($B178="","",YEAR($B178))</f>
        <v/>
      </c>
    </row>
    <row r="179">
      <c r="B179" s="105" t="n"/>
      <c r="C179" s="54" t="n"/>
      <c r="D179" s="54" t="n"/>
      <c r="E179" s="54" t="n"/>
      <c r="F179" s="54" t="n"/>
      <c r="G179" s="65" t="n"/>
      <c r="H179" s="54" t="n"/>
      <c r="I179" s="106">
        <f>IF($C179="","",IFERROR(INDEX(Sens_Types,MATCH($C179,Liste_Types,0)),""))</f>
        <v/>
      </c>
      <c r="J179" s="107">
        <f>IF($I179="▲ ENTRÉE",$U179,"")</f>
        <v/>
      </c>
      <c r="K179" s="108">
        <f>IF($I179="▼ SORTIE",$U179,"")</f>
        <v/>
      </c>
      <c r="L179" s="109">
        <f>$L178+N($J179)-N($K179)</f>
        <v/>
      </c>
      <c r="M179" s="110" t="n"/>
      <c r="N179" s="54" t="n"/>
      <c r="O179" s="54" t="n"/>
      <c r="P179" s="54" t="n"/>
      <c r="Q179" s="110" t="n"/>
      <c r="R179" s="110" t="n"/>
      <c r="S179" s="54" t="n"/>
      <c r="T179" s="111">
        <f>IF($G179="","",IFERROR(INDEX(Taux_Devises,MATCH(IF($M179="",Devise_Base,$M179),Codes_Devises,0)),1))</f>
        <v/>
      </c>
      <c r="U179" s="112">
        <f>IF($G179="","",ROUND($G179*$T179,2))</f>
        <v/>
      </c>
      <c r="V179" s="113">
        <f>IF($B179="","",MONTH($B179))</f>
        <v/>
      </c>
      <c r="W179" s="113">
        <f>IF($B179="","",YEAR($B179))</f>
        <v/>
      </c>
    </row>
    <row r="180">
      <c r="B180" s="105" t="n"/>
      <c r="C180" s="54" t="n"/>
      <c r="D180" s="54" t="n"/>
      <c r="E180" s="54" t="n"/>
      <c r="F180" s="54" t="n"/>
      <c r="G180" s="65" t="n"/>
      <c r="H180" s="54" t="n"/>
      <c r="I180" s="106">
        <f>IF($C180="","",IFERROR(INDEX(Sens_Types,MATCH($C180,Liste_Types,0)),""))</f>
        <v/>
      </c>
      <c r="J180" s="107">
        <f>IF($I180="▲ ENTRÉE",$U180,"")</f>
        <v/>
      </c>
      <c r="K180" s="108">
        <f>IF($I180="▼ SORTIE",$U180,"")</f>
        <v/>
      </c>
      <c r="L180" s="109">
        <f>$L179+N($J180)-N($K180)</f>
        <v/>
      </c>
      <c r="M180" s="110" t="n"/>
      <c r="N180" s="54" t="n"/>
      <c r="O180" s="54" t="n"/>
      <c r="P180" s="54" t="n"/>
      <c r="Q180" s="110" t="n"/>
      <c r="R180" s="110" t="n"/>
      <c r="S180" s="54" t="n"/>
      <c r="T180" s="111">
        <f>IF($G180="","",IFERROR(INDEX(Taux_Devises,MATCH(IF($M180="",Devise_Base,$M180),Codes_Devises,0)),1))</f>
        <v/>
      </c>
      <c r="U180" s="112">
        <f>IF($G180="","",ROUND($G180*$T180,2))</f>
        <v/>
      </c>
      <c r="V180" s="113">
        <f>IF($B180="","",MONTH($B180))</f>
        <v/>
      </c>
      <c r="W180" s="113">
        <f>IF($B180="","",YEAR($B180))</f>
        <v/>
      </c>
    </row>
    <row r="181">
      <c r="B181" s="105" t="n"/>
      <c r="C181" s="54" t="n"/>
      <c r="D181" s="54" t="n"/>
      <c r="E181" s="54" t="n"/>
      <c r="F181" s="54" t="n"/>
      <c r="G181" s="65" t="n"/>
      <c r="H181" s="54" t="n"/>
      <c r="I181" s="106">
        <f>IF($C181="","",IFERROR(INDEX(Sens_Types,MATCH($C181,Liste_Types,0)),""))</f>
        <v/>
      </c>
      <c r="J181" s="107">
        <f>IF($I181="▲ ENTRÉE",$U181,"")</f>
        <v/>
      </c>
      <c r="K181" s="108">
        <f>IF($I181="▼ SORTIE",$U181,"")</f>
        <v/>
      </c>
      <c r="L181" s="109">
        <f>$L180+N($J181)-N($K181)</f>
        <v/>
      </c>
      <c r="M181" s="110" t="n"/>
      <c r="N181" s="54" t="n"/>
      <c r="O181" s="54" t="n"/>
      <c r="P181" s="54" t="n"/>
      <c r="Q181" s="110" t="n"/>
      <c r="R181" s="110" t="n"/>
      <c r="S181" s="54" t="n"/>
      <c r="T181" s="111">
        <f>IF($G181="","",IFERROR(INDEX(Taux_Devises,MATCH(IF($M181="",Devise_Base,$M181),Codes_Devises,0)),1))</f>
        <v/>
      </c>
      <c r="U181" s="112">
        <f>IF($G181="","",ROUND($G181*$T181,2))</f>
        <v/>
      </c>
      <c r="V181" s="113">
        <f>IF($B181="","",MONTH($B181))</f>
        <v/>
      </c>
      <c r="W181" s="113">
        <f>IF($B181="","",YEAR($B181))</f>
        <v/>
      </c>
    </row>
    <row r="182">
      <c r="B182" s="105" t="n"/>
      <c r="C182" s="54" t="n"/>
      <c r="D182" s="54" t="n"/>
      <c r="E182" s="54" t="n"/>
      <c r="F182" s="54" t="n"/>
      <c r="G182" s="65" t="n"/>
      <c r="H182" s="54" t="n"/>
      <c r="I182" s="106">
        <f>IF($C182="","",IFERROR(INDEX(Sens_Types,MATCH($C182,Liste_Types,0)),""))</f>
        <v/>
      </c>
      <c r="J182" s="107">
        <f>IF($I182="▲ ENTRÉE",$U182,"")</f>
        <v/>
      </c>
      <c r="K182" s="108">
        <f>IF($I182="▼ SORTIE",$U182,"")</f>
        <v/>
      </c>
      <c r="L182" s="109">
        <f>$L181+N($J182)-N($K182)</f>
        <v/>
      </c>
      <c r="M182" s="110" t="n"/>
      <c r="N182" s="54" t="n"/>
      <c r="O182" s="54" t="n"/>
      <c r="P182" s="54" t="n"/>
      <c r="Q182" s="110" t="n"/>
      <c r="R182" s="110" t="n"/>
      <c r="S182" s="54" t="n"/>
      <c r="T182" s="111">
        <f>IF($G182="","",IFERROR(INDEX(Taux_Devises,MATCH(IF($M182="",Devise_Base,$M182),Codes_Devises,0)),1))</f>
        <v/>
      </c>
      <c r="U182" s="112">
        <f>IF($G182="","",ROUND($G182*$T182,2))</f>
        <v/>
      </c>
      <c r="V182" s="113">
        <f>IF($B182="","",MONTH($B182))</f>
        <v/>
      </c>
      <c r="W182" s="113">
        <f>IF($B182="","",YEAR($B182))</f>
        <v/>
      </c>
    </row>
    <row r="183">
      <c r="B183" s="105" t="n"/>
      <c r="C183" s="54" t="n"/>
      <c r="D183" s="54" t="n"/>
      <c r="E183" s="54" t="n"/>
      <c r="F183" s="54" t="n"/>
      <c r="G183" s="65" t="n"/>
      <c r="H183" s="54" t="n"/>
      <c r="I183" s="106">
        <f>IF($C183="","",IFERROR(INDEX(Sens_Types,MATCH($C183,Liste_Types,0)),""))</f>
        <v/>
      </c>
      <c r="J183" s="107">
        <f>IF($I183="▲ ENTRÉE",$U183,"")</f>
        <v/>
      </c>
      <c r="K183" s="108">
        <f>IF($I183="▼ SORTIE",$U183,"")</f>
        <v/>
      </c>
      <c r="L183" s="109">
        <f>$L182+N($J183)-N($K183)</f>
        <v/>
      </c>
      <c r="M183" s="110" t="n"/>
      <c r="N183" s="54" t="n"/>
      <c r="O183" s="54" t="n"/>
      <c r="P183" s="54" t="n"/>
      <c r="Q183" s="110" t="n"/>
      <c r="R183" s="110" t="n"/>
      <c r="S183" s="54" t="n"/>
      <c r="T183" s="111">
        <f>IF($G183="","",IFERROR(INDEX(Taux_Devises,MATCH(IF($M183="",Devise_Base,$M183),Codes_Devises,0)),1))</f>
        <v/>
      </c>
      <c r="U183" s="112">
        <f>IF($G183="","",ROUND($G183*$T183,2))</f>
        <v/>
      </c>
      <c r="V183" s="113">
        <f>IF($B183="","",MONTH($B183))</f>
        <v/>
      </c>
      <c r="W183" s="113">
        <f>IF($B183="","",YEAR($B183))</f>
        <v/>
      </c>
    </row>
    <row r="184">
      <c r="B184" s="105" t="n"/>
      <c r="C184" s="54" t="n"/>
      <c r="D184" s="54" t="n"/>
      <c r="E184" s="54" t="n"/>
      <c r="F184" s="54" t="n"/>
      <c r="G184" s="65" t="n"/>
      <c r="H184" s="54" t="n"/>
      <c r="I184" s="106">
        <f>IF($C184="","",IFERROR(INDEX(Sens_Types,MATCH($C184,Liste_Types,0)),""))</f>
        <v/>
      </c>
      <c r="J184" s="107">
        <f>IF($I184="▲ ENTRÉE",$U184,"")</f>
        <v/>
      </c>
      <c r="K184" s="108">
        <f>IF($I184="▼ SORTIE",$U184,"")</f>
        <v/>
      </c>
      <c r="L184" s="109">
        <f>$L183+N($J184)-N($K184)</f>
        <v/>
      </c>
      <c r="M184" s="110" t="n"/>
      <c r="N184" s="54" t="n"/>
      <c r="O184" s="54" t="n"/>
      <c r="P184" s="54" t="n"/>
      <c r="Q184" s="110" t="n"/>
      <c r="R184" s="110" t="n"/>
      <c r="S184" s="54" t="n"/>
      <c r="T184" s="111">
        <f>IF($G184="","",IFERROR(INDEX(Taux_Devises,MATCH(IF($M184="",Devise_Base,$M184),Codes_Devises,0)),1))</f>
        <v/>
      </c>
      <c r="U184" s="112">
        <f>IF($G184="","",ROUND($G184*$T184,2))</f>
        <v/>
      </c>
      <c r="V184" s="113">
        <f>IF($B184="","",MONTH($B184))</f>
        <v/>
      </c>
      <c r="W184" s="113">
        <f>IF($B184="","",YEAR($B184))</f>
        <v/>
      </c>
    </row>
    <row r="185">
      <c r="B185" s="105" t="n"/>
      <c r="C185" s="54" t="n"/>
      <c r="D185" s="54" t="n"/>
      <c r="E185" s="54" t="n"/>
      <c r="F185" s="54" t="n"/>
      <c r="G185" s="65" t="n"/>
      <c r="H185" s="54" t="n"/>
      <c r="I185" s="106">
        <f>IF($C185="","",IFERROR(INDEX(Sens_Types,MATCH($C185,Liste_Types,0)),""))</f>
        <v/>
      </c>
      <c r="J185" s="107">
        <f>IF($I185="▲ ENTRÉE",$U185,"")</f>
        <v/>
      </c>
      <c r="K185" s="108">
        <f>IF($I185="▼ SORTIE",$U185,"")</f>
        <v/>
      </c>
      <c r="L185" s="109">
        <f>$L184+N($J185)-N($K185)</f>
        <v/>
      </c>
      <c r="M185" s="110" t="n"/>
      <c r="N185" s="54" t="n"/>
      <c r="O185" s="54" t="n"/>
      <c r="P185" s="54" t="n"/>
      <c r="Q185" s="110" t="n"/>
      <c r="R185" s="110" t="n"/>
      <c r="S185" s="54" t="n"/>
      <c r="T185" s="111">
        <f>IF($G185="","",IFERROR(INDEX(Taux_Devises,MATCH(IF($M185="",Devise_Base,$M185),Codes_Devises,0)),1))</f>
        <v/>
      </c>
      <c r="U185" s="112">
        <f>IF($G185="","",ROUND($G185*$T185,2))</f>
        <v/>
      </c>
      <c r="V185" s="113">
        <f>IF($B185="","",MONTH($B185))</f>
        <v/>
      </c>
      <c r="W185" s="113">
        <f>IF($B185="","",YEAR($B185))</f>
        <v/>
      </c>
    </row>
    <row r="186">
      <c r="B186" s="105" t="n"/>
      <c r="C186" s="54" t="n"/>
      <c r="D186" s="54" t="n"/>
      <c r="E186" s="54" t="n"/>
      <c r="F186" s="54" t="n"/>
      <c r="G186" s="65" t="n"/>
      <c r="H186" s="54" t="n"/>
      <c r="I186" s="106">
        <f>IF($C186="","",IFERROR(INDEX(Sens_Types,MATCH($C186,Liste_Types,0)),""))</f>
        <v/>
      </c>
      <c r="J186" s="107">
        <f>IF($I186="▲ ENTRÉE",$U186,"")</f>
        <v/>
      </c>
      <c r="K186" s="108">
        <f>IF($I186="▼ SORTIE",$U186,"")</f>
        <v/>
      </c>
      <c r="L186" s="109">
        <f>$L185+N($J186)-N($K186)</f>
        <v/>
      </c>
      <c r="M186" s="110" t="n"/>
      <c r="N186" s="54" t="n"/>
      <c r="O186" s="54" t="n"/>
      <c r="P186" s="54" t="n"/>
      <c r="Q186" s="110" t="n"/>
      <c r="R186" s="110" t="n"/>
      <c r="S186" s="54" t="n"/>
      <c r="T186" s="111">
        <f>IF($G186="","",IFERROR(INDEX(Taux_Devises,MATCH(IF($M186="",Devise_Base,$M186),Codes_Devises,0)),1))</f>
        <v/>
      </c>
      <c r="U186" s="112">
        <f>IF($G186="","",ROUND($G186*$T186,2))</f>
        <v/>
      </c>
      <c r="V186" s="113">
        <f>IF($B186="","",MONTH($B186))</f>
        <v/>
      </c>
      <c r="W186" s="113">
        <f>IF($B186="","",YEAR($B186))</f>
        <v/>
      </c>
    </row>
    <row r="187">
      <c r="B187" s="105" t="n"/>
      <c r="C187" s="54" t="n"/>
      <c r="D187" s="54" t="n"/>
      <c r="E187" s="54" t="n"/>
      <c r="F187" s="54" t="n"/>
      <c r="G187" s="65" t="n"/>
      <c r="H187" s="54" t="n"/>
      <c r="I187" s="106">
        <f>IF($C187="","",IFERROR(INDEX(Sens_Types,MATCH($C187,Liste_Types,0)),""))</f>
        <v/>
      </c>
      <c r="J187" s="107">
        <f>IF($I187="▲ ENTRÉE",$U187,"")</f>
        <v/>
      </c>
      <c r="K187" s="108">
        <f>IF($I187="▼ SORTIE",$U187,"")</f>
        <v/>
      </c>
      <c r="L187" s="109">
        <f>$L186+N($J187)-N($K187)</f>
        <v/>
      </c>
      <c r="M187" s="110" t="n"/>
      <c r="N187" s="54" t="n"/>
      <c r="O187" s="54" t="n"/>
      <c r="P187" s="54" t="n"/>
      <c r="Q187" s="110" t="n"/>
      <c r="R187" s="110" t="n"/>
      <c r="S187" s="54" t="n"/>
      <c r="T187" s="111">
        <f>IF($G187="","",IFERROR(INDEX(Taux_Devises,MATCH(IF($M187="",Devise_Base,$M187),Codes_Devises,0)),1))</f>
        <v/>
      </c>
      <c r="U187" s="112">
        <f>IF($G187="","",ROUND($G187*$T187,2))</f>
        <v/>
      </c>
      <c r="V187" s="113">
        <f>IF($B187="","",MONTH($B187))</f>
        <v/>
      </c>
      <c r="W187" s="113">
        <f>IF($B187="","",YEAR($B187))</f>
        <v/>
      </c>
    </row>
    <row r="188">
      <c r="B188" s="105" t="n"/>
      <c r="C188" s="54" t="n"/>
      <c r="D188" s="54" t="n"/>
      <c r="E188" s="54" t="n"/>
      <c r="F188" s="54" t="n"/>
      <c r="G188" s="65" t="n"/>
      <c r="H188" s="54" t="n"/>
      <c r="I188" s="106">
        <f>IF($C188="","",IFERROR(INDEX(Sens_Types,MATCH($C188,Liste_Types,0)),""))</f>
        <v/>
      </c>
      <c r="J188" s="107">
        <f>IF($I188="▲ ENTRÉE",$U188,"")</f>
        <v/>
      </c>
      <c r="K188" s="108">
        <f>IF($I188="▼ SORTIE",$U188,"")</f>
        <v/>
      </c>
      <c r="L188" s="109">
        <f>$L187+N($J188)-N($K188)</f>
        <v/>
      </c>
      <c r="M188" s="110" t="n"/>
      <c r="N188" s="54" t="n"/>
      <c r="O188" s="54" t="n"/>
      <c r="P188" s="54" t="n"/>
      <c r="Q188" s="110" t="n"/>
      <c r="R188" s="110" t="n"/>
      <c r="S188" s="54" t="n"/>
      <c r="T188" s="111">
        <f>IF($G188="","",IFERROR(INDEX(Taux_Devises,MATCH(IF($M188="",Devise_Base,$M188),Codes_Devises,0)),1))</f>
        <v/>
      </c>
      <c r="U188" s="112">
        <f>IF($G188="","",ROUND($G188*$T188,2))</f>
        <v/>
      </c>
      <c r="V188" s="113">
        <f>IF($B188="","",MONTH($B188))</f>
        <v/>
      </c>
      <c r="W188" s="113">
        <f>IF($B188="","",YEAR($B188))</f>
        <v/>
      </c>
    </row>
    <row r="189">
      <c r="B189" s="105" t="n"/>
      <c r="C189" s="54" t="n"/>
      <c r="D189" s="54" t="n"/>
      <c r="E189" s="54" t="n"/>
      <c r="F189" s="54" t="n"/>
      <c r="G189" s="65" t="n"/>
      <c r="H189" s="54" t="n"/>
      <c r="I189" s="106">
        <f>IF($C189="","",IFERROR(INDEX(Sens_Types,MATCH($C189,Liste_Types,0)),""))</f>
        <v/>
      </c>
      <c r="J189" s="107">
        <f>IF($I189="▲ ENTRÉE",$U189,"")</f>
        <v/>
      </c>
      <c r="K189" s="108">
        <f>IF($I189="▼ SORTIE",$U189,"")</f>
        <v/>
      </c>
      <c r="L189" s="109">
        <f>$L188+N($J189)-N($K189)</f>
        <v/>
      </c>
      <c r="M189" s="110" t="n"/>
      <c r="N189" s="54" t="n"/>
      <c r="O189" s="54" t="n"/>
      <c r="P189" s="54" t="n"/>
      <c r="Q189" s="110" t="n"/>
      <c r="R189" s="110" t="n"/>
      <c r="S189" s="54" t="n"/>
      <c r="T189" s="111">
        <f>IF($G189="","",IFERROR(INDEX(Taux_Devises,MATCH(IF($M189="",Devise_Base,$M189),Codes_Devises,0)),1))</f>
        <v/>
      </c>
      <c r="U189" s="112">
        <f>IF($G189="","",ROUND($G189*$T189,2))</f>
        <v/>
      </c>
      <c r="V189" s="113">
        <f>IF($B189="","",MONTH($B189))</f>
        <v/>
      </c>
      <c r="W189" s="113">
        <f>IF($B189="","",YEAR($B189))</f>
        <v/>
      </c>
    </row>
    <row r="190">
      <c r="B190" s="105" t="n"/>
      <c r="C190" s="54" t="n"/>
      <c r="D190" s="54" t="n"/>
      <c r="E190" s="54" t="n"/>
      <c r="F190" s="54" t="n"/>
      <c r="G190" s="65" t="n"/>
      <c r="H190" s="54" t="n"/>
      <c r="I190" s="106">
        <f>IF($C190="","",IFERROR(INDEX(Sens_Types,MATCH($C190,Liste_Types,0)),""))</f>
        <v/>
      </c>
      <c r="J190" s="107">
        <f>IF($I190="▲ ENTRÉE",$U190,"")</f>
        <v/>
      </c>
      <c r="K190" s="108">
        <f>IF($I190="▼ SORTIE",$U190,"")</f>
        <v/>
      </c>
      <c r="L190" s="109">
        <f>$L189+N($J190)-N($K190)</f>
        <v/>
      </c>
      <c r="M190" s="110" t="n"/>
      <c r="N190" s="54" t="n"/>
      <c r="O190" s="54" t="n"/>
      <c r="P190" s="54" t="n"/>
      <c r="Q190" s="110" t="n"/>
      <c r="R190" s="110" t="n"/>
      <c r="S190" s="54" t="n"/>
      <c r="T190" s="111">
        <f>IF($G190="","",IFERROR(INDEX(Taux_Devises,MATCH(IF($M190="",Devise_Base,$M190),Codes_Devises,0)),1))</f>
        <v/>
      </c>
      <c r="U190" s="112">
        <f>IF($G190="","",ROUND($G190*$T190,2))</f>
        <v/>
      </c>
      <c r="V190" s="113">
        <f>IF($B190="","",MONTH($B190))</f>
        <v/>
      </c>
      <c r="W190" s="113">
        <f>IF($B190="","",YEAR($B190))</f>
        <v/>
      </c>
    </row>
    <row r="191">
      <c r="B191" s="105" t="n"/>
      <c r="C191" s="54" t="n"/>
      <c r="D191" s="54" t="n"/>
      <c r="E191" s="54" t="n"/>
      <c r="F191" s="54" t="n"/>
      <c r="G191" s="65" t="n"/>
      <c r="H191" s="54" t="n"/>
      <c r="I191" s="106">
        <f>IF($C191="","",IFERROR(INDEX(Sens_Types,MATCH($C191,Liste_Types,0)),""))</f>
        <v/>
      </c>
      <c r="J191" s="107">
        <f>IF($I191="▲ ENTRÉE",$U191,"")</f>
        <v/>
      </c>
      <c r="K191" s="108">
        <f>IF($I191="▼ SORTIE",$U191,"")</f>
        <v/>
      </c>
      <c r="L191" s="109">
        <f>$L190+N($J191)-N($K191)</f>
        <v/>
      </c>
      <c r="M191" s="110" t="n"/>
      <c r="N191" s="54" t="n"/>
      <c r="O191" s="54" t="n"/>
      <c r="P191" s="54" t="n"/>
      <c r="Q191" s="110" t="n"/>
      <c r="R191" s="110" t="n"/>
      <c r="S191" s="54" t="n"/>
      <c r="T191" s="111">
        <f>IF($G191="","",IFERROR(INDEX(Taux_Devises,MATCH(IF($M191="",Devise_Base,$M191),Codes_Devises,0)),1))</f>
        <v/>
      </c>
      <c r="U191" s="112">
        <f>IF($G191="","",ROUND($G191*$T191,2))</f>
        <v/>
      </c>
      <c r="V191" s="113">
        <f>IF($B191="","",MONTH($B191))</f>
        <v/>
      </c>
      <c r="W191" s="113">
        <f>IF($B191="","",YEAR($B191))</f>
        <v/>
      </c>
    </row>
    <row r="192">
      <c r="B192" s="105" t="n"/>
      <c r="C192" s="54" t="n"/>
      <c r="D192" s="54" t="n"/>
      <c r="E192" s="54" t="n"/>
      <c r="F192" s="54" t="n"/>
      <c r="G192" s="65" t="n"/>
      <c r="H192" s="54" t="n"/>
      <c r="I192" s="106">
        <f>IF($C192="","",IFERROR(INDEX(Sens_Types,MATCH($C192,Liste_Types,0)),""))</f>
        <v/>
      </c>
      <c r="J192" s="107">
        <f>IF($I192="▲ ENTRÉE",$U192,"")</f>
        <v/>
      </c>
      <c r="K192" s="108">
        <f>IF($I192="▼ SORTIE",$U192,"")</f>
        <v/>
      </c>
      <c r="L192" s="109">
        <f>$L191+N($J192)-N($K192)</f>
        <v/>
      </c>
      <c r="M192" s="110" t="n"/>
      <c r="N192" s="54" t="n"/>
      <c r="O192" s="54" t="n"/>
      <c r="P192" s="54" t="n"/>
      <c r="Q192" s="110" t="n"/>
      <c r="R192" s="110" t="n"/>
      <c r="S192" s="54" t="n"/>
      <c r="T192" s="111">
        <f>IF($G192="","",IFERROR(INDEX(Taux_Devises,MATCH(IF($M192="",Devise_Base,$M192),Codes_Devises,0)),1))</f>
        <v/>
      </c>
      <c r="U192" s="112">
        <f>IF($G192="","",ROUND($G192*$T192,2))</f>
        <v/>
      </c>
      <c r="V192" s="113">
        <f>IF($B192="","",MONTH($B192))</f>
        <v/>
      </c>
      <c r="W192" s="113">
        <f>IF($B192="","",YEAR($B192))</f>
        <v/>
      </c>
    </row>
    <row r="193">
      <c r="B193" s="105" t="n"/>
      <c r="C193" s="54" t="n"/>
      <c r="D193" s="54" t="n"/>
      <c r="E193" s="54" t="n"/>
      <c r="F193" s="54" t="n"/>
      <c r="G193" s="65" t="n"/>
      <c r="H193" s="54" t="n"/>
      <c r="I193" s="106">
        <f>IF($C193="","",IFERROR(INDEX(Sens_Types,MATCH($C193,Liste_Types,0)),""))</f>
        <v/>
      </c>
      <c r="J193" s="107">
        <f>IF($I193="▲ ENTRÉE",$U193,"")</f>
        <v/>
      </c>
      <c r="K193" s="108">
        <f>IF($I193="▼ SORTIE",$U193,"")</f>
        <v/>
      </c>
      <c r="L193" s="109">
        <f>$L192+N($J193)-N($K193)</f>
        <v/>
      </c>
      <c r="M193" s="110" t="n"/>
      <c r="N193" s="54" t="n"/>
      <c r="O193" s="54" t="n"/>
      <c r="P193" s="54" t="n"/>
      <c r="Q193" s="110" t="n"/>
      <c r="R193" s="110" t="n"/>
      <c r="S193" s="54" t="n"/>
      <c r="T193" s="111">
        <f>IF($G193="","",IFERROR(INDEX(Taux_Devises,MATCH(IF($M193="",Devise_Base,$M193),Codes_Devises,0)),1))</f>
        <v/>
      </c>
      <c r="U193" s="112">
        <f>IF($G193="","",ROUND($G193*$T193,2))</f>
        <v/>
      </c>
      <c r="V193" s="113">
        <f>IF($B193="","",MONTH($B193))</f>
        <v/>
      </c>
      <c r="W193" s="113">
        <f>IF($B193="","",YEAR($B193))</f>
        <v/>
      </c>
    </row>
    <row r="194">
      <c r="B194" s="105" t="n"/>
      <c r="C194" s="54" t="n"/>
      <c r="D194" s="54" t="n"/>
      <c r="E194" s="54" t="n"/>
      <c r="F194" s="54" t="n"/>
      <c r="G194" s="65" t="n"/>
      <c r="H194" s="54" t="n"/>
      <c r="I194" s="106">
        <f>IF($C194="","",IFERROR(INDEX(Sens_Types,MATCH($C194,Liste_Types,0)),""))</f>
        <v/>
      </c>
      <c r="J194" s="107">
        <f>IF($I194="▲ ENTRÉE",$U194,"")</f>
        <v/>
      </c>
      <c r="K194" s="108">
        <f>IF($I194="▼ SORTIE",$U194,"")</f>
        <v/>
      </c>
      <c r="L194" s="109">
        <f>$L193+N($J194)-N($K194)</f>
        <v/>
      </c>
      <c r="M194" s="110" t="n"/>
      <c r="N194" s="54" t="n"/>
      <c r="O194" s="54" t="n"/>
      <c r="P194" s="54" t="n"/>
      <c r="Q194" s="110" t="n"/>
      <c r="R194" s="110" t="n"/>
      <c r="S194" s="54" t="n"/>
      <c r="T194" s="111">
        <f>IF($G194="","",IFERROR(INDEX(Taux_Devises,MATCH(IF($M194="",Devise_Base,$M194),Codes_Devises,0)),1))</f>
        <v/>
      </c>
      <c r="U194" s="112">
        <f>IF($G194="","",ROUND($G194*$T194,2))</f>
        <v/>
      </c>
      <c r="V194" s="113">
        <f>IF($B194="","",MONTH($B194))</f>
        <v/>
      </c>
      <c r="W194" s="113">
        <f>IF($B194="","",YEAR($B194))</f>
        <v/>
      </c>
    </row>
    <row r="195">
      <c r="B195" s="105" t="n"/>
      <c r="C195" s="54" t="n"/>
      <c r="D195" s="54" t="n"/>
      <c r="E195" s="54" t="n"/>
      <c r="F195" s="54" t="n"/>
      <c r="G195" s="65" t="n"/>
      <c r="H195" s="54" t="n"/>
      <c r="I195" s="106">
        <f>IF($C195="","",IFERROR(INDEX(Sens_Types,MATCH($C195,Liste_Types,0)),""))</f>
        <v/>
      </c>
      <c r="J195" s="107">
        <f>IF($I195="▲ ENTRÉE",$U195,"")</f>
        <v/>
      </c>
      <c r="K195" s="108">
        <f>IF($I195="▼ SORTIE",$U195,"")</f>
        <v/>
      </c>
      <c r="L195" s="109">
        <f>$L194+N($J195)-N($K195)</f>
        <v/>
      </c>
      <c r="M195" s="110" t="n"/>
      <c r="N195" s="54" t="n"/>
      <c r="O195" s="54" t="n"/>
      <c r="P195" s="54" t="n"/>
      <c r="Q195" s="110" t="n"/>
      <c r="R195" s="110" t="n"/>
      <c r="S195" s="54" t="n"/>
      <c r="T195" s="111">
        <f>IF($G195="","",IFERROR(INDEX(Taux_Devises,MATCH(IF($M195="",Devise_Base,$M195),Codes_Devises,0)),1))</f>
        <v/>
      </c>
      <c r="U195" s="112">
        <f>IF($G195="","",ROUND($G195*$T195,2))</f>
        <v/>
      </c>
      <c r="V195" s="113">
        <f>IF($B195="","",MONTH($B195))</f>
        <v/>
      </c>
      <c r="W195" s="113">
        <f>IF($B195="","",YEAR($B195))</f>
        <v/>
      </c>
    </row>
    <row r="196">
      <c r="B196" s="105" t="n"/>
      <c r="C196" s="54" t="n"/>
      <c r="D196" s="54" t="n"/>
      <c r="E196" s="54" t="n"/>
      <c r="F196" s="54" t="n"/>
      <c r="G196" s="65" t="n"/>
      <c r="H196" s="54" t="n"/>
      <c r="I196" s="106">
        <f>IF($C196="","",IFERROR(INDEX(Sens_Types,MATCH($C196,Liste_Types,0)),""))</f>
        <v/>
      </c>
      <c r="J196" s="107">
        <f>IF($I196="▲ ENTRÉE",$U196,"")</f>
        <v/>
      </c>
      <c r="K196" s="108">
        <f>IF($I196="▼ SORTIE",$U196,"")</f>
        <v/>
      </c>
      <c r="L196" s="109">
        <f>$L195+N($J196)-N($K196)</f>
        <v/>
      </c>
      <c r="M196" s="110" t="n"/>
      <c r="N196" s="54" t="n"/>
      <c r="O196" s="54" t="n"/>
      <c r="P196" s="54" t="n"/>
      <c r="Q196" s="110" t="n"/>
      <c r="R196" s="110" t="n"/>
      <c r="S196" s="54" t="n"/>
      <c r="T196" s="111">
        <f>IF($G196="","",IFERROR(INDEX(Taux_Devises,MATCH(IF($M196="",Devise_Base,$M196),Codes_Devises,0)),1))</f>
        <v/>
      </c>
      <c r="U196" s="112">
        <f>IF($G196="","",ROUND($G196*$T196,2))</f>
        <v/>
      </c>
      <c r="V196" s="113">
        <f>IF($B196="","",MONTH($B196))</f>
        <v/>
      </c>
      <c r="W196" s="113">
        <f>IF($B196="","",YEAR($B196))</f>
        <v/>
      </c>
    </row>
    <row r="197">
      <c r="B197" s="105" t="n"/>
      <c r="C197" s="54" t="n"/>
      <c r="D197" s="54" t="n"/>
      <c r="E197" s="54" t="n"/>
      <c r="F197" s="54" t="n"/>
      <c r="G197" s="65" t="n"/>
      <c r="H197" s="54" t="n"/>
      <c r="I197" s="106">
        <f>IF($C197="","",IFERROR(INDEX(Sens_Types,MATCH($C197,Liste_Types,0)),""))</f>
        <v/>
      </c>
      <c r="J197" s="107">
        <f>IF($I197="▲ ENTRÉE",$U197,"")</f>
        <v/>
      </c>
      <c r="K197" s="108">
        <f>IF($I197="▼ SORTIE",$U197,"")</f>
        <v/>
      </c>
      <c r="L197" s="109">
        <f>$L196+N($J197)-N($K197)</f>
        <v/>
      </c>
      <c r="M197" s="110" t="n"/>
      <c r="N197" s="54" t="n"/>
      <c r="O197" s="54" t="n"/>
      <c r="P197" s="54" t="n"/>
      <c r="Q197" s="110" t="n"/>
      <c r="R197" s="110" t="n"/>
      <c r="S197" s="54" t="n"/>
      <c r="T197" s="111">
        <f>IF($G197="","",IFERROR(INDEX(Taux_Devises,MATCH(IF($M197="",Devise_Base,$M197),Codes_Devises,0)),1))</f>
        <v/>
      </c>
      <c r="U197" s="112">
        <f>IF($G197="","",ROUND($G197*$T197,2))</f>
        <v/>
      </c>
      <c r="V197" s="113">
        <f>IF($B197="","",MONTH($B197))</f>
        <v/>
      </c>
      <c r="W197" s="113">
        <f>IF($B197="","",YEAR($B197))</f>
        <v/>
      </c>
    </row>
    <row r="198">
      <c r="B198" s="105" t="n"/>
      <c r="C198" s="54" t="n"/>
      <c r="D198" s="54" t="n"/>
      <c r="E198" s="54" t="n"/>
      <c r="F198" s="54" t="n"/>
      <c r="G198" s="65" t="n"/>
      <c r="H198" s="54" t="n"/>
      <c r="I198" s="106">
        <f>IF($C198="","",IFERROR(INDEX(Sens_Types,MATCH($C198,Liste_Types,0)),""))</f>
        <v/>
      </c>
      <c r="J198" s="107">
        <f>IF($I198="▲ ENTRÉE",$U198,"")</f>
        <v/>
      </c>
      <c r="K198" s="108">
        <f>IF($I198="▼ SORTIE",$U198,"")</f>
        <v/>
      </c>
      <c r="L198" s="109">
        <f>$L197+N($J198)-N($K198)</f>
        <v/>
      </c>
      <c r="M198" s="110" t="n"/>
      <c r="N198" s="54" t="n"/>
      <c r="O198" s="54" t="n"/>
      <c r="P198" s="54" t="n"/>
      <c r="Q198" s="110" t="n"/>
      <c r="R198" s="110" t="n"/>
      <c r="S198" s="54" t="n"/>
      <c r="T198" s="111">
        <f>IF($G198="","",IFERROR(INDEX(Taux_Devises,MATCH(IF($M198="",Devise_Base,$M198),Codes_Devises,0)),1))</f>
        <v/>
      </c>
      <c r="U198" s="112">
        <f>IF($G198="","",ROUND($G198*$T198,2))</f>
        <v/>
      </c>
      <c r="V198" s="113">
        <f>IF($B198="","",MONTH($B198))</f>
        <v/>
      </c>
      <c r="W198" s="113">
        <f>IF($B198="","",YEAR($B198))</f>
        <v/>
      </c>
    </row>
    <row r="199">
      <c r="B199" s="105" t="n"/>
      <c r="C199" s="54" t="n"/>
      <c r="D199" s="54" t="n"/>
      <c r="E199" s="54" t="n"/>
      <c r="F199" s="54" t="n"/>
      <c r="G199" s="65" t="n"/>
      <c r="H199" s="54" t="n"/>
      <c r="I199" s="106">
        <f>IF($C199="","",IFERROR(INDEX(Sens_Types,MATCH($C199,Liste_Types,0)),""))</f>
        <v/>
      </c>
      <c r="J199" s="107">
        <f>IF($I199="▲ ENTRÉE",$U199,"")</f>
        <v/>
      </c>
      <c r="K199" s="108">
        <f>IF($I199="▼ SORTIE",$U199,"")</f>
        <v/>
      </c>
      <c r="L199" s="109">
        <f>$L198+N($J199)-N($K199)</f>
        <v/>
      </c>
      <c r="M199" s="110" t="n"/>
      <c r="N199" s="54" t="n"/>
      <c r="O199" s="54" t="n"/>
      <c r="P199" s="54" t="n"/>
      <c r="Q199" s="110" t="n"/>
      <c r="R199" s="110" t="n"/>
      <c r="S199" s="54" t="n"/>
      <c r="T199" s="111">
        <f>IF($G199="","",IFERROR(INDEX(Taux_Devises,MATCH(IF($M199="",Devise_Base,$M199),Codes_Devises,0)),1))</f>
        <v/>
      </c>
      <c r="U199" s="112">
        <f>IF($G199="","",ROUND($G199*$T199,2))</f>
        <v/>
      </c>
      <c r="V199" s="113">
        <f>IF($B199="","",MONTH($B199))</f>
        <v/>
      </c>
      <c r="W199" s="113">
        <f>IF($B199="","",YEAR($B199))</f>
        <v/>
      </c>
    </row>
    <row r="200">
      <c r="B200" s="105" t="n"/>
      <c r="C200" s="54" t="n"/>
      <c r="D200" s="54" t="n"/>
      <c r="E200" s="54" t="n"/>
      <c r="F200" s="54" t="n"/>
      <c r="G200" s="65" t="n"/>
      <c r="H200" s="54" t="n"/>
      <c r="I200" s="106">
        <f>IF($C200="","",IFERROR(INDEX(Sens_Types,MATCH($C200,Liste_Types,0)),""))</f>
        <v/>
      </c>
      <c r="J200" s="107">
        <f>IF($I200="▲ ENTRÉE",$U200,"")</f>
        <v/>
      </c>
      <c r="K200" s="108">
        <f>IF($I200="▼ SORTIE",$U200,"")</f>
        <v/>
      </c>
      <c r="L200" s="109">
        <f>$L199+N($J200)-N($K200)</f>
        <v/>
      </c>
      <c r="M200" s="110" t="n"/>
      <c r="N200" s="54" t="n"/>
      <c r="O200" s="54" t="n"/>
      <c r="P200" s="54" t="n"/>
      <c r="Q200" s="110" t="n"/>
      <c r="R200" s="110" t="n"/>
      <c r="S200" s="54" t="n"/>
      <c r="T200" s="111">
        <f>IF($G200="","",IFERROR(INDEX(Taux_Devises,MATCH(IF($M200="",Devise_Base,$M200),Codes_Devises,0)),1))</f>
        <v/>
      </c>
      <c r="U200" s="112">
        <f>IF($G200="","",ROUND($G200*$T200,2))</f>
        <v/>
      </c>
      <c r="V200" s="113">
        <f>IF($B200="","",MONTH($B200))</f>
        <v/>
      </c>
      <c r="W200" s="113">
        <f>IF($B200="","",YEAR($B200))</f>
        <v/>
      </c>
    </row>
    <row r="201">
      <c r="B201" s="105" t="n"/>
      <c r="C201" s="54" t="n"/>
      <c r="D201" s="54" t="n"/>
      <c r="E201" s="54" t="n"/>
      <c r="F201" s="54" t="n"/>
      <c r="G201" s="65" t="n"/>
      <c r="H201" s="54" t="n"/>
      <c r="I201" s="106">
        <f>IF($C201="","",IFERROR(INDEX(Sens_Types,MATCH($C201,Liste_Types,0)),""))</f>
        <v/>
      </c>
      <c r="J201" s="107">
        <f>IF($I201="▲ ENTRÉE",$U201,"")</f>
        <v/>
      </c>
      <c r="K201" s="108">
        <f>IF($I201="▼ SORTIE",$U201,"")</f>
        <v/>
      </c>
      <c r="L201" s="109">
        <f>$L200+N($J201)-N($K201)</f>
        <v/>
      </c>
      <c r="M201" s="110" t="n"/>
      <c r="N201" s="54" t="n"/>
      <c r="O201" s="54" t="n"/>
      <c r="P201" s="54" t="n"/>
      <c r="Q201" s="110" t="n"/>
      <c r="R201" s="110" t="n"/>
      <c r="S201" s="54" t="n"/>
      <c r="T201" s="111">
        <f>IF($G201="","",IFERROR(INDEX(Taux_Devises,MATCH(IF($M201="",Devise_Base,$M201),Codes_Devises,0)),1))</f>
        <v/>
      </c>
      <c r="U201" s="112">
        <f>IF($G201="","",ROUND($G201*$T201,2))</f>
        <v/>
      </c>
      <c r="V201" s="113">
        <f>IF($B201="","",MONTH($B201))</f>
        <v/>
      </c>
      <c r="W201" s="113">
        <f>IF($B201="","",YEAR($B201))</f>
        <v/>
      </c>
    </row>
    <row r="202">
      <c r="B202" s="105" t="n"/>
      <c r="C202" s="54" t="n"/>
      <c r="D202" s="54" t="n"/>
      <c r="E202" s="54" t="n"/>
      <c r="F202" s="54" t="n"/>
      <c r="G202" s="65" t="n"/>
      <c r="H202" s="54" t="n"/>
      <c r="I202" s="106">
        <f>IF($C202="","",IFERROR(INDEX(Sens_Types,MATCH($C202,Liste_Types,0)),""))</f>
        <v/>
      </c>
      <c r="J202" s="107">
        <f>IF($I202="▲ ENTRÉE",$U202,"")</f>
        <v/>
      </c>
      <c r="K202" s="108">
        <f>IF($I202="▼ SORTIE",$U202,"")</f>
        <v/>
      </c>
      <c r="L202" s="109">
        <f>$L201+N($J202)-N($K202)</f>
        <v/>
      </c>
      <c r="M202" s="110" t="n"/>
      <c r="N202" s="54" t="n"/>
      <c r="O202" s="54" t="n"/>
      <c r="P202" s="54" t="n"/>
      <c r="Q202" s="110" t="n"/>
      <c r="R202" s="110" t="n"/>
      <c r="S202" s="54" t="n"/>
      <c r="T202" s="111">
        <f>IF($G202="","",IFERROR(INDEX(Taux_Devises,MATCH(IF($M202="",Devise_Base,$M202),Codes_Devises,0)),1))</f>
        <v/>
      </c>
      <c r="U202" s="112">
        <f>IF($G202="","",ROUND($G202*$T202,2))</f>
        <v/>
      </c>
      <c r="V202" s="113">
        <f>IF($B202="","",MONTH($B202))</f>
        <v/>
      </c>
      <c r="W202" s="113">
        <f>IF($B202="","",YEAR($B202))</f>
        <v/>
      </c>
    </row>
    <row r="203">
      <c r="B203" s="105" t="n"/>
      <c r="C203" s="54" t="n"/>
      <c r="D203" s="54" t="n"/>
      <c r="E203" s="54" t="n"/>
      <c r="F203" s="54" t="n"/>
      <c r="G203" s="65" t="n"/>
      <c r="H203" s="54" t="n"/>
      <c r="I203" s="106">
        <f>IF($C203="","",IFERROR(INDEX(Sens_Types,MATCH($C203,Liste_Types,0)),""))</f>
        <v/>
      </c>
      <c r="J203" s="107">
        <f>IF($I203="▲ ENTRÉE",$U203,"")</f>
        <v/>
      </c>
      <c r="K203" s="108">
        <f>IF($I203="▼ SORTIE",$U203,"")</f>
        <v/>
      </c>
      <c r="L203" s="109">
        <f>$L202+N($J203)-N($K203)</f>
        <v/>
      </c>
      <c r="M203" s="110" t="n"/>
      <c r="N203" s="54" t="n"/>
      <c r="O203" s="54" t="n"/>
      <c r="P203" s="54" t="n"/>
      <c r="Q203" s="110" t="n"/>
      <c r="R203" s="110" t="n"/>
      <c r="S203" s="54" t="n"/>
      <c r="T203" s="111">
        <f>IF($G203="","",IFERROR(INDEX(Taux_Devises,MATCH(IF($M203="",Devise_Base,$M203),Codes_Devises,0)),1))</f>
        <v/>
      </c>
      <c r="U203" s="112">
        <f>IF($G203="","",ROUND($G203*$T203,2))</f>
        <v/>
      </c>
      <c r="V203" s="113">
        <f>IF($B203="","",MONTH($B203))</f>
        <v/>
      </c>
      <c r="W203" s="113">
        <f>IF($B203="","",YEAR($B203))</f>
        <v/>
      </c>
    </row>
    <row r="204">
      <c r="B204" s="105" t="n"/>
      <c r="C204" s="54" t="n"/>
      <c r="D204" s="54" t="n"/>
      <c r="E204" s="54" t="n"/>
      <c r="F204" s="54" t="n"/>
      <c r="G204" s="65" t="n"/>
      <c r="H204" s="54" t="n"/>
      <c r="I204" s="106">
        <f>IF($C204="","",IFERROR(INDEX(Sens_Types,MATCH($C204,Liste_Types,0)),""))</f>
        <v/>
      </c>
      <c r="J204" s="107">
        <f>IF($I204="▲ ENTRÉE",$U204,"")</f>
        <v/>
      </c>
      <c r="K204" s="108">
        <f>IF($I204="▼ SORTIE",$U204,"")</f>
        <v/>
      </c>
      <c r="L204" s="109">
        <f>$L203+N($J204)-N($K204)</f>
        <v/>
      </c>
      <c r="M204" s="110" t="n"/>
      <c r="N204" s="54" t="n"/>
      <c r="O204" s="54" t="n"/>
      <c r="P204" s="54" t="n"/>
      <c r="Q204" s="110" t="n"/>
      <c r="R204" s="110" t="n"/>
      <c r="S204" s="54" t="n"/>
      <c r="T204" s="111">
        <f>IF($G204="","",IFERROR(INDEX(Taux_Devises,MATCH(IF($M204="",Devise_Base,$M204),Codes_Devises,0)),1))</f>
        <v/>
      </c>
      <c r="U204" s="112">
        <f>IF($G204="","",ROUND($G204*$T204,2))</f>
        <v/>
      </c>
      <c r="V204" s="113">
        <f>IF($B204="","",MONTH($B204))</f>
        <v/>
      </c>
      <c r="W204" s="113">
        <f>IF($B204="","",YEAR($B204))</f>
        <v/>
      </c>
    </row>
    <row r="205">
      <c r="B205" s="105" t="n"/>
      <c r="C205" s="54" t="n"/>
      <c r="D205" s="54" t="n"/>
      <c r="E205" s="54" t="n"/>
      <c r="F205" s="54" t="n"/>
      <c r="G205" s="65" t="n"/>
      <c r="H205" s="54" t="n"/>
      <c r="I205" s="106">
        <f>IF($C205="","",IFERROR(INDEX(Sens_Types,MATCH($C205,Liste_Types,0)),""))</f>
        <v/>
      </c>
      <c r="J205" s="107">
        <f>IF($I205="▲ ENTRÉE",$U205,"")</f>
        <v/>
      </c>
      <c r="K205" s="108">
        <f>IF($I205="▼ SORTIE",$U205,"")</f>
        <v/>
      </c>
      <c r="L205" s="109">
        <f>$L204+N($J205)-N($K205)</f>
        <v/>
      </c>
      <c r="M205" s="110" t="n"/>
      <c r="N205" s="54" t="n"/>
      <c r="O205" s="54" t="n"/>
      <c r="P205" s="54" t="n"/>
      <c r="Q205" s="110" t="n"/>
      <c r="R205" s="110" t="n"/>
      <c r="S205" s="54" t="n"/>
      <c r="T205" s="111">
        <f>IF($G205="","",IFERROR(INDEX(Taux_Devises,MATCH(IF($M205="",Devise_Base,$M205),Codes_Devises,0)),1))</f>
        <v/>
      </c>
      <c r="U205" s="112">
        <f>IF($G205="","",ROUND($G205*$T205,2))</f>
        <v/>
      </c>
      <c r="V205" s="113">
        <f>IF($B205="","",MONTH($B205))</f>
        <v/>
      </c>
      <c r="W205" s="113">
        <f>IF($B205="","",YEAR($B205))</f>
        <v/>
      </c>
    </row>
    <row r="206">
      <c r="B206" s="105" t="n"/>
      <c r="C206" s="54" t="n"/>
      <c r="D206" s="54" t="n"/>
      <c r="E206" s="54" t="n"/>
      <c r="F206" s="54" t="n"/>
      <c r="G206" s="65" t="n"/>
      <c r="H206" s="54" t="n"/>
      <c r="I206" s="106">
        <f>IF($C206="","",IFERROR(INDEX(Sens_Types,MATCH($C206,Liste_Types,0)),""))</f>
        <v/>
      </c>
      <c r="J206" s="107">
        <f>IF($I206="▲ ENTRÉE",$U206,"")</f>
        <v/>
      </c>
      <c r="K206" s="108">
        <f>IF($I206="▼ SORTIE",$U206,"")</f>
        <v/>
      </c>
      <c r="L206" s="109">
        <f>$L205+N($J206)-N($K206)</f>
        <v/>
      </c>
      <c r="M206" s="110" t="n"/>
      <c r="N206" s="54" t="n"/>
      <c r="O206" s="54" t="n"/>
      <c r="P206" s="54" t="n"/>
      <c r="Q206" s="110" t="n"/>
      <c r="R206" s="110" t="n"/>
      <c r="S206" s="54" t="n"/>
      <c r="T206" s="111">
        <f>IF($G206="","",IFERROR(INDEX(Taux_Devises,MATCH(IF($M206="",Devise_Base,$M206),Codes_Devises,0)),1))</f>
        <v/>
      </c>
      <c r="U206" s="112">
        <f>IF($G206="","",ROUND($G206*$T206,2))</f>
        <v/>
      </c>
      <c r="V206" s="113">
        <f>IF($B206="","",MONTH($B206))</f>
        <v/>
      </c>
      <c r="W206" s="113">
        <f>IF($B206="","",YEAR($B206))</f>
        <v/>
      </c>
    </row>
    <row r="207">
      <c r="B207" s="105" t="n"/>
      <c r="C207" s="54" t="n"/>
      <c r="D207" s="54" t="n"/>
      <c r="E207" s="54" t="n"/>
      <c r="F207" s="54" t="n"/>
      <c r="G207" s="65" t="n"/>
      <c r="H207" s="54" t="n"/>
      <c r="I207" s="106">
        <f>IF($C207="","",IFERROR(INDEX(Sens_Types,MATCH($C207,Liste_Types,0)),""))</f>
        <v/>
      </c>
      <c r="J207" s="107">
        <f>IF($I207="▲ ENTRÉE",$U207,"")</f>
        <v/>
      </c>
      <c r="K207" s="108">
        <f>IF($I207="▼ SORTIE",$U207,"")</f>
        <v/>
      </c>
      <c r="L207" s="109">
        <f>$L206+N($J207)-N($K207)</f>
        <v/>
      </c>
      <c r="M207" s="110" t="n"/>
      <c r="N207" s="54" t="n"/>
      <c r="O207" s="54" t="n"/>
      <c r="P207" s="54" t="n"/>
      <c r="Q207" s="110" t="n"/>
      <c r="R207" s="110" t="n"/>
      <c r="S207" s="54" t="n"/>
      <c r="T207" s="111">
        <f>IF($G207="","",IFERROR(INDEX(Taux_Devises,MATCH(IF($M207="",Devise_Base,$M207),Codes_Devises,0)),1))</f>
        <v/>
      </c>
      <c r="U207" s="112">
        <f>IF($G207="","",ROUND($G207*$T207,2))</f>
        <v/>
      </c>
      <c r="V207" s="113">
        <f>IF($B207="","",MONTH($B207))</f>
        <v/>
      </c>
      <c r="W207" s="113">
        <f>IF($B207="","",YEAR($B207))</f>
        <v/>
      </c>
    </row>
    <row r="208">
      <c r="B208" s="105" t="n"/>
      <c r="C208" s="54" t="n"/>
      <c r="D208" s="54" t="n"/>
      <c r="E208" s="54" t="n"/>
      <c r="F208" s="54" t="n"/>
      <c r="G208" s="65" t="n"/>
      <c r="H208" s="54" t="n"/>
      <c r="I208" s="106">
        <f>IF($C208="","",IFERROR(INDEX(Sens_Types,MATCH($C208,Liste_Types,0)),""))</f>
        <v/>
      </c>
      <c r="J208" s="107">
        <f>IF($I208="▲ ENTRÉE",$U208,"")</f>
        <v/>
      </c>
      <c r="K208" s="108">
        <f>IF($I208="▼ SORTIE",$U208,"")</f>
        <v/>
      </c>
      <c r="L208" s="109">
        <f>$L207+N($J208)-N($K208)</f>
        <v/>
      </c>
      <c r="M208" s="110" t="n"/>
      <c r="N208" s="54" t="n"/>
      <c r="O208" s="54" t="n"/>
      <c r="P208" s="54" t="n"/>
      <c r="Q208" s="110" t="n"/>
      <c r="R208" s="110" t="n"/>
      <c r="S208" s="54" t="n"/>
      <c r="T208" s="111">
        <f>IF($G208="","",IFERROR(INDEX(Taux_Devises,MATCH(IF($M208="",Devise_Base,$M208),Codes_Devises,0)),1))</f>
        <v/>
      </c>
      <c r="U208" s="112">
        <f>IF($G208="","",ROUND($G208*$T208,2))</f>
        <v/>
      </c>
      <c r="V208" s="113">
        <f>IF($B208="","",MONTH($B208))</f>
        <v/>
      </c>
      <c r="W208" s="113">
        <f>IF($B208="","",YEAR($B208))</f>
        <v/>
      </c>
    </row>
    <row r="209">
      <c r="B209" s="105" t="n"/>
      <c r="C209" s="54" t="n"/>
      <c r="D209" s="54" t="n"/>
      <c r="E209" s="54" t="n"/>
      <c r="F209" s="54" t="n"/>
      <c r="G209" s="65" t="n"/>
      <c r="H209" s="54" t="n"/>
      <c r="I209" s="106">
        <f>IF($C209="","",IFERROR(INDEX(Sens_Types,MATCH($C209,Liste_Types,0)),""))</f>
        <v/>
      </c>
      <c r="J209" s="107">
        <f>IF($I209="▲ ENTRÉE",$U209,"")</f>
        <v/>
      </c>
      <c r="K209" s="108">
        <f>IF($I209="▼ SORTIE",$U209,"")</f>
        <v/>
      </c>
      <c r="L209" s="109">
        <f>$L208+N($J209)-N($K209)</f>
        <v/>
      </c>
      <c r="M209" s="110" t="n"/>
      <c r="N209" s="54" t="n"/>
      <c r="O209" s="54" t="n"/>
      <c r="P209" s="54" t="n"/>
      <c r="Q209" s="110" t="n"/>
      <c r="R209" s="110" t="n"/>
      <c r="S209" s="54" t="n"/>
      <c r="T209" s="111">
        <f>IF($G209="","",IFERROR(INDEX(Taux_Devises,MATCH(IF($M209="",Devise_Base,$M209),Codes_Devises,0)),1))</f>
        <v/>
      </c>
      <c r="U209" s="112">
        <f>IF($G209="","",ROUND($G209*$T209,2))</f>
        <v/>
      </c>
      <c r="V209" s="113">
        <f>IF($B209="","",MONTH($B209))</f>
        <v/>
      </c>
      <c r="W209" s="113">
        <f>IF($B209="","",YEAR($B209))</f>
        <v/>
      </c>
    </row>
    <row r="210">
      <c r="B210" s="105" t="n"/>
      <c r="C210" s="54" t="n"/>
      <c r="D210" s="54" t="n"/>
      <c r="E210" s="54" t="n"/>
      <c r="F210" s="54" t="n"/>
      <c r="G210" s="65" t="n"/>
      <c r="H210" s="54" t="n"/>
      <c r="I210" s="106">
        <f>IF($C210="","",IFERROR(INDEX(Sens_Types,MATCH($C210,Liste_Types,0)),""))</f>
        <v/>
      </c>
      <c r="J210" s="107">
        <f>IF($I210="▲ ENTRÉE",$U210,"")</f>
        <v/>
      </c>
      <c r="K210" s="108">
        <f>IF($I210="▼ SORTIE",$U210,"")</f>
        <v/>
      </c>
      <c r="L210" s="109">
        <f>$L209+N($J210)-N($K210)</f>
        <v/>
      </c>
      <c r="M210" s="110" t="n"/>
      <c r="N210" s="54" t="n"/>
      <c r="O210" s="54" t="n"/>
      <c r="P210" s="54" t="n"/>
      <c r="Q210" s="110" t="n"/>
      <c r="R210" s="110" t="n"/>
      <c r="S210" s="54" t="n"/>
      <c r="T210" s="111">
        <f>IF($G210="","",IFERROR(INDEX(Taux_Devises,MATCH(IF($M210="",Devise_Base,$M210),Codes_Devises,0)),1))</f>
        <v/>
      </c>
      <c r="U210" s="112">
        <f>IF($G210="","",ROUND($G210*$T210,2))</f>
        <v/>
      </c>
      <c r="V210" s="113">
        <f>IF($B210="","",MONTH($B210))</f>
        <v/>
      </c>
      <c r="W210" s="113">
        <f>IF($B210="","",YEAR($B210))</f>
        <v/>
      </c>
    </row>
    <row r="211">
      <c r="B211" s="105" t="n"/>
      <c r="C211" s="54" t="n"/>
      <c r="D211" s="54" t="n"/>
      <c r="E211" s="54" t="n"/>
      <c r="F211" s="54" t="n"/>
      <c r="G211" s="65" t="n"/>
      <c r="H211" s="54" t="n"/>
      <c r="I211" s="106">
        <f>IF($C211="","",IFERROR(INDEX(Sens_Types,MATCH($C211,Liste_Types,0)),""))</f>
        <v/>
      </c>
      <c r="J211" s="107">
        <f>IF($I211="▲ ENTRÉE",$U211,"")</f>
        <v/>
      </c>
      <c r="K211" s="108">
        <f>IF($I211="▼ SORTIE",$U211,"")</f>
        <v/>
      </c>
      <c r="L211" s="109">
        <f>$L210+N($J211)-N($K211)</f>
        <v/>
      </c>
      <c r="M211" s="110" t="n"/>
      <c r="N211" s="54" t="n"/>
      <c r="O211" s="54" t="n"/>
      <c r="P211" s="54" t="n"/>
      <c r="Q211" s="110" t="n"/>
      <c r="R211" s="110" t="n"/>
      <c r="S211" s="54" t="n"/>
      <c r="T211" s="111">
        <f>IF($G211="","",IFERROR(INDEX(Taux_Devises,MATCH(IF($M211="",Devise_Base,$M211),Codes_Devises,0)),1))</f>
        <v/>
      </c>
      <c r="U211" s="112">
        <f>IF($G211="","",ROUND($G211*$T211,2))</f>
        <v/>
      </c>
      <c r="V211" s="113">
        <f>IF($B211="","",MONTH($B211))</f>
        <v/>
      </c>
      <c r="W211" s="113">
        <f>IF($B211="","",YEAR($B211))</f>
        <v/>
      </c>
    </row>
    <row r="212">
      <c r="B212" s="105" t="n"/>
      <c r="C212" s="54" t="n"/>
      <c r="D212" s="54" t="n"/>
      <c r="E212" s="54" t="n"/>
      <c r="F212" s="54" t="n"/>
      <c r="G212" s="65" t="n"/>
      <c r="H212" s="54" t="n"/>
      <c r="I212" s="106">
        <f>IF($C212="","",IFERROR(INDEX(Sens_Types,MATCH($C212,Liste_Types,0)),""))</f>
        <v/>
      </c>
      <c r="J212" s="107">
        <f>IF($I212="▲ ENTRÉE",$U212,"")</f>
        <v/>
      </c>
      <c r="K212" s="108">
        <f>IF($I212="▼ SORTIE",$U212,"")</f>
        <v/>
      </c>
      <c r="L212" s="109">
        <f>$L211+N($J212)-N($K212)</f>
        <v/>
      </c>
      <c r="M212" s="110" t="n"/>
      <c r="N212" s="54" t="n"/>
      <c r="O212" s="54" t="n"/>
      <c r="P212" s="54" t="n"/>
      <c r="Q212" s="110" t="n"/>
      <c r="R212" s="110" t="n"/>
      <c r="S212" s="54" t="n"/>
      <c r="T212" s="111">
        <f>IF($G212="","",IFERROR(INDEX(Taux_Devises,MATCH(IF($M212="",Devise_Base,$M212),Codes_Devises,0)),1))</f>
        <v/>
      </c>
      <c r="U212" s="112">
        <f>IF($G212="","",ROUND($G212*$T212,2))</f>
        <v/>
      </c>
      <c r="V212" s="113">
        <f>IF($B212="","",MONTH($B212))</f>
        <v/>
      </c>
      <c r="W212" s="113">
        <f>IF($B212="","",YEAR($B212))</f>
        <v/>
      </c>
    </row>
    <row r="213">
      <c r="B213" s="105" t="n"/>
      <c r="C213" s="54" t="n"/>
      <c r="D213" s="54" t="n"/>
      <c r="E213" s="54" t="n"/>
      <c r="F213" s="54" t="n"/>
      <c r="G213" s="65" t="n"/>
      <c r="H213" s="54" t="n"/>
      <c r="I213" s="106">
        <f>IF($C213="","",IFERROR(INDEX(Sens_Types,MATCH($C213,Liste_Types,0)),""))</f>
        <v/>
      </c>
      <c r="J213" s="107">
        <f>IF($I213="▲ ENTRÉE",$U213,"")</f>
        <v/>
      </c>
      <c r="K213" s="108">
        <f>IF($I213="▼ SORTIE",$U213,"")</f>
        <v/>
      </c>
      <c r="L213" s="109">
        <f>$L212+N($J213)-N($K213)</f>
        <v/>
      </c>
      <c r="M213" s="110" t="n"/>
      <c r="N213" s="54" t="n"/>
      <c r="O213" s="54" t="n"/>
      <c r="P213" s="54" t="n"/>
      <c r="Q213" s="110" t="n"/>
      <c r="R213" s="110" t="n"/>
      <c r="S213" s="54" t="n"/>
      <c r="T213" s="111">
        <f>IF($G213="","",IFERROR(INDEX(Taux_Devises,MATCH(IF($M213="",Devise_Base,$M213),Codes_Devises,0)),1))</f>
        <v/>
      </c>
      <c r="U213" s="112">
        <f>IF($G213="","",ROUND($G213*$T213,2))</f>
        <v/>
      </c>
      <c r="V213" s="113">
        <f>IF($B213="","",MONTH($B213))</f>
        <v/>
      </c>
      <c r="W213" s="113">
        <f>IF($B213="","",YEAR($B213))</f>
        <v/>
      </c>
    </row>
    <row r="214">
      <c r="B214" s="105" t="n"/>
      <c r="C214" s="54" t="n"/>
      <c r="D214" s="54" t="n"/>
      <c r="E214" s="54" t="n"/>
      <c r="F214" s="54" t="n"/>
      <c r="G214" s="65" t="n"/>
      <c r="H214" s="54" t="n"/>
      <c r="I214" s="106">
        <f>IF($C214="","",IFERROR(INDEX(Sens_Types,MATCH($C214,Liste_Types,0)),""))</f>
        <v/>
      </c>
      <c r="J214" s="107">
        <f>IF($I214="▲ ENTRÉE",$U214,"")</f>
        <v/>
      </c>
      <c r="K214" s="108">
        <f>IF($I214="▼ SORTIE",$U214,"")</f>
        <v/>
      </c>
      <c r="L214" s="109">
        <f>$L213+N($J214)-N($K214)</f>
        <v/>
      </c>
      <c r="M214" s="110" t="n"/>
      <c r="N214" s="54" t="n"/>
      <c r="O214" s="54" t="n"/>
      <c r="P214" s="54" t="n"/>
      <c r="Q214" s="110" t="n"/>
      <c r="R214" s="110" t="n"/>
      <c r="S214" s="54" t="n"/>
      <c r="T214" s="111">
        <f>IF($G214="","",IFERROR(INDEX(Taux_Devises,MATCH(IF($M214="",Devise_Base,$M214),Codes_Devises,0)),1))</f>
        <v/>
      </c>
      <c r="U214" s="112">
        <f>IF($G214="","",ROUND($G214*$T214,2))</f>
        <v/>
      </c>
      <c r="V214" s="113">
        <f>IF($B214="","",MONTH($B214))</f>
        <v/>
      </c>
      <c r="W214" s="113">
        <f>IF($B214="","",YEAR($B214))</f>
        <v/>
      </c>
    </row>
    <row r="215">
      <c r="B215" s="105" t="n"/>
      <c r="C215" s="54" t="n"/>
      <c r="D215" s="54" t="n"/>
      <c r="E215" s="54" t="n"/>
      <c r="F215" s="54" t="n"/>
      <c r="G215" s="65" t="n"/>
      <c r="H215" s="54" t="n"/>
      <c r="I215" s="106">
        <f>IF($C215="","",IFERROR(INDEX(Sens_Types,MATCH($C215,Liste_Types,0)),""))</f>
        <v/>
      </c>
      <c r="J215" s="107">
        <f>IF($I215="▲ ENTRÉE",$U215,"")</f>
        <v/>
      </c>
      <c r="K215" s="108">
        <f>IF($I215="▼ SORTIE",$U215,"")</f>
        <v/>
      </c>
      <c r="L215" s="109">
        <f>$L214+N($J215)-N($K215)</f>
        <v/>
      </c>
      <c r="M215" s="110" t="n"/>
      <c r="N215" s="54" t="n"/>
      <c r="O215" s="54" t="n"/>
      <c r="P215" s="54" t="n"/>
      <c r="Q215" s="110" t="n"/>
      <c r="R215" s="110" t="n"/>
      <c r="S215" s="54" t="n"/>
      <c r="T215" s="111">
        <f>IF($G215="","",IFERROR(INDEX(Taux_Devises,MATCH(IF($M215="",Devise_Base,$M215),Codes_Devises,0)),1))</f>
        <v/>
      </c>
      <c r="U215" s="112">
        <f>IF($G215="","",ROUND($G215*$T215,2))</f>
        <v/>
      </c>
      <c r="V215" s="113">
        <f>IF($B215="","",MONTH($B215))</f>
        <v/>
      </c>
      <c r="W215" s="113">
        <f>IF($B215="","",YEAR($B215))</f>
        <v/>
      </c>
    </row>
    <row r="216">
      <c r="B216" s="105" t="n"/>
      <c r="C216" s="54" t="n"/>
      <c r="D216" s="54" t="n"/>
      <c r="E216" s="54" t="n"/>
      <c r="F216" s="54" t="n"/>
      <c r="G216" s="65" t="n"/>
      <c r="H216" s="54" t="n"/>
      <c r="I216" s="106">
        <f>IF($C216="","",IFERROR(INDEX(Sens_Types,MATCH($C216,Liste_Types,0)),""))</f>
        <v/>
      </c>
      <c r="J216" s="107">
        <f>IF($I216="▲ ENTRÉE",$U216,"")</f>
        <v/>
      </c>
      <c r="K216" s="108">
        <f>IF($I216="▼ SORTIE",$U216,"")</f>
        <v/>
      </c>
      <c r="L216" s="109">
        <f>$L215+N($J216)-N($K216)</f>
        <v/>
      </c>
      <c r="M216" s="110" t="n"/>
      <c r="N216" s="54" t="n"/>
      <c r="O216" s="54" t="n"/>
      <c r="P216" s="54" t="n"/>
      <c r="Q216" s="110" t="n"/>
      <c r="R216" s="110" t="n"/>
      <c r="S216" s="54" t="n"/>
      <c r="T216" s="111">
        <f>IF($G216="","",IFERROR(INDEX(Taux_Devises,MATCH(IF($M216="",Devise_Base,$M216),Codes_Devises,0)),1))</f>
        <v/>
      </c>
      <c r="U216" s="112">
        <f>IF($G216="","",ROUND($G216*$T216,2))</f>
        <v/>
      </c>
      <c r="V216" s="113">
        <f>IF($B216="","",MONTH($B216))</f>
        <v/>
      </c>
      <c r="W216" s="113">
        <f>IF($B216="","",YEAR($B216))</f>
        <v/>
      </c>
    </row>
    <row r="217">
      <c r="B217" s="105" t="n"/>
      <c r="C217" s="54" t="n"/>
      <c r="D217" s="54" t="n"/>
      <c r="E217" s="54" t="n"/>
      <c r="F217" s="54" t="n"/>
      <c r="G217" s="65" t="n"/>
      <c r="H217" s="54" t="n"/>
      <c r="I217" s="106">
        <f>IF($C217="","",IFERROR(INDEX(Sens_Types,MATCH($C217,Liste_Types,0)),""))</f>
        <v/>
      </c>
      <c r="J217" s="107">
        <f>IF($I217="▲ ENTRÉE",$U217,"")</f>
        <v/>
      </c>
      <c r="K217" s="108">
        <f>IF($I217="▼ SORTIE",$U217,"")</f>
        <v/>
      </c>
      <c r="L217" s="109">
        <f>$L216+N($J217)-N($K217)</f>
        <v/>
      </c>
      <c r="M217" s="110" t="n"/>
      <c r="N217" s="54" t="n"/>
      <c r="O217" s="54" t="n"/>
      <c r="P217" s="54" t="n"/>
      <c r="Q217" s="110" t="n"/>
      <c r="R217" s="110" t="n"/>
      <c r="S217" s="54" t="n"/>
      <c r="T217" s="111">
        <f>IF($G217="","",IFERROR(INDEX(Taux_Devises,MATCH(IF($M217="",Devise_Base,$M217),Codes_Devises,0)),1))</f>
        <v/>
      </c>
      <c r="U217" s="112">
        <f>IF($G217="","",ROUND($G217*$T217,2))</f>
        <v/>
      </c>
      <c r="V217" s="113">
        <f>IF($B217="","",MONTH($B217))</f>
        <v/>
      </c>
      <c r="W217" s="113">
        <f>IF($B217="","",YEAR($B217))</f>
        <v/>
      </c>
    </row>
    <row r="218">
      <c r="B218" s="105" t="n"/>
      <c r="C218" s="54" t="n"/>
      <c r="D218" s="54" t="n"/>
      <c r="E218" s="54" t="n"/>
      <c r="F218" s="54" t="n"/>
      <c r="G218" s="65" t="n"/>
      <c r="H218" s="54" t="n"/>
      <c r="I218" s="106">
        <f>IF($C218="","",IFERROR(INDEX(Sens_Types,MATCH($C218,Liste_Types,0)),""))</f>
        <v/>
      </c>
      <c r="J218" s="107">
        <f>IF($I218="▲ ENTRÉE",$U218,"")</f>
        <v/>
      </c>
      <c r="K218" s="108">
        <f>IF($I218="▼ SORTIE",$U218,"")</f>
        <v/>
      </c>
      <c r="L218" s="109">
        <f>$L217+N($J218)-N($K218)</f>
        <v/>
      </c>
      <c r="M218" s="110" t="n"/>
      <c r="N218" s="54" t="n"/>
      <c r="O218" s="54" t="n"/>
      <c r="P218" s="54" t="n"/>
      <c r="Q218" s="110" t="n"/>
      <c r="R218" s="110" t="n"/>
      <c r="S218" s="54" t="n"/>
      <c r="T218" s="111">
        <f>IF($G218="","",IFERROR(INDEX(Taux_Devises,MATCH(IF($M218="",Devise_Base,$M218),Codes_Devises,0)),1))</f>
        <v/>
      </c>
      <c r="U218" s="112">
        <f>IF($G218="","",ROUND($G218*$T218,2))</f>
        <v/>
      </c>
      <c r="V218" s="113">
        <f>IF($B218="","",MONTH($B218))</f>
        <v/>
      </c>
      <c r="W218" s="113">
        <f>IF($B218="","",YEAR($B218))</f>
        <v/>
      </c>
    </row>
    <row r="219">
      <c r="B219" s="105" t="n"/>
      <c r="C219" s="54" t="n"/>
      <c r="D219" s="54" t="n"/>
      <c r="E219" s="54" t="n"/>
      <c r="F219" s="54" t="n"/>
      <c r="G219" s="65" t="n"/>
      <c r="H219" s="54" t="n"/>
      <c r="I219" s="106">
        <f>IF($C219="","",IFERROR(INDEX(Sens_Types,MATCH($C219,Liste_Types,0)),""))</f>
        <v/>
      </c>
      <c r="J219" s="107">
        <f>IF($I219="▲ ENTRÉE",$U219,"")</f>
        <v/>
      </c>
      <c r="K219" s="108">
        <f>IF($I219="▼ SORTIE",$U219,"")</f>
        <v/>
      </c>
      <c r="L219" s="109">
        <f>$L218+N($J219)-N($K219)</f>
        <v/>
      </c>
      <c r="M219" s="110" t="n"/>
      <c r="N219" s="54" t="n"/>
      <c r="O219" s="54" t="n"/>
      <c r="P219" s="54" t="n"/>
      <c r="Q219" s="110" t="n"/>
      <c r="R219" s="110" t="n"/>
      <c r="S219" s="54" t="n"/>
      <c r="T219" s="111">
        <f>IF($G219="","",IFERROR(INDEX(Taux_Devises,MATCH(IF($M219="",Devise_Base,$M219),Codes_Devises,0)),1))</f>
        <v/>
      </c>
      <c r="U219" s="112">
        <f>IF($G219="","",ROUND($G219*$T219,2))</f>
        <v/>
      </c>
      <c r="V219" s="113">
        <f>IF($B219="","",MONTH($B219))</f>
        <v/>
      </c>
      <c r="W219" s="113">
        <f>IF($B219="","",YEAR($B219))</f>
        <v/>
      </c>
    </row>
    <row r="220">
      <c r="B220" s="105" t="n"/>
      <c r="C220" s="54" t="n"/>
      <c r="D220" s="54" t="n"/>
      <c r="E220" s="54" t="n"/>
      <c r="F220" s="54" t="n"/>
      <c r="G220" s="65" t="n"/>
      <c r="H220" s="54" t="n"/>
      <c r="I220" s="106">
        <f>IF($C220="","",IFERROR(INDEX(Sens_Types,MATCH($C220,Liste_Types,0)),""))</f>
        <v/>
      </c>
      <c r="J220" s="107">
        <f>IF($I220="▲ ENTRÉE",$U220,"")</f>
        <v/>
      </c>
      <c r="K220" s="108">
        <f>IF($I220="▼ SORTIE",$U220,"")</f>
        <v/>
      </c>
      <c r="L220" s="109">
        <f>$L219+N($J220)-N($K220)</f>
        <v/>
      </c>
      <c r="M220" s="110" t="n"/>
      <c r="N220" s="54" t="n"/>
      <c r="O220" s="54" t="n"/>
      <c r="P220" s="54" t="n"/>
      <c r="Q220" s="110" t="n"/>
      <c r="R220" s="110" t="n"/>
      <c r="S220" s="54" t="n"/>
      <c r="T220" s="111">
        <f>IF($G220="","",IFERROR(INDEX(Taux_Devises,MATCH(IF($M220="",Devise_Base,$M220),Codes_Devises,0)),1))</f>
        <v/>
      </c>
      <c r="U220" s="112">
        <f>IF($G220="","",ROUND($G220*$T220,2))</f>
        <v/>
      </c>
      <c r="V220" s="113">
        <f>IF($B220="","",MONTH($B220))</f>
        <v/>
      </c>
      <c r="W220" s="113">
        <f>IF($B220="","",YEAR($B220))</f>
        <v/>
      </c>
    </row>
    <row r="221">
      <c r="B221" s="105" t="n"/>
      <c r="C221" s="54" t="n"/>
      <c r="D221" s="54" t="n"/>
      <c r="E221" s="54" t="n"/>
      <c r="F221" s="54" t="n"/>
      <c r="G221" s="65" t="n"/>
      <c r="H221" s="54" t="n"/>
      <c r="I221" s="106">
        <f>IF($C221="","",IFERROR(INDEX(Sens_Types,MATCH($C221,Liste_Types,0)),""))</f>
        <v/>
      </c>
      <c r="J221" s="107">
        <f>IF($I221="▲ ENTRÉE",$U221,"")</f>
        <v/>
      </c>
      <c r="K221" s="108">
        <f>IF($I221="▼ SORTIE",$U221,"")</f>
        <v/>
      </c>
      <c r="L221" s="109">
        <f>$L220+N($J221)-N($K221)</f>
        <v/>
      </c>
      <c r="M221" s="110" t="n"/>
      <c r="N221" s="54" t="n"/>
      <c r="O221" s="54" t="n"/>
      <c r="P221" s="54" t="n"/>
      <c r="Q221" s="110" t="n"/>
      <c r="R221" s="110" t="n"/>
      <c r="S221" s="54" t="n"/>
      <c r="T221" s="111">
        <f>IF($G221="","",IFERROR(INDEX(Taux_Devises,MATCH(IF($M221="",Devise_Base,$M221),Codes_Devises,0)),1))</f>
        <v/>
      </c>
      <c r="U221" s="112">
        <f>IF($G221="","",ROUND($G221*$T221,2))</f>
        <v/>
      </c>
      <c r="V221" s="113">
        <f>IF($B221="","",MONTH($B221))</f>
        <v/>
      </c>
      <c r="W221" s="113">
        <f>IF($B221="","",YEAR($B221))</f>
        <v/>
      </c>
    </row>
    <row r="222">
      <c r="B222" s="105" t="n"/>
      <c r="C222" s="54" t="n"/>
      <c r="D222" s="54" t="n"/>
      <c r="E222" s="54" t="n"/>
      <c r="F222" s="54" t="n"/>
      <c r="G222" s="65" t="n"/>
      <c r="H222" s="54" t="n"/>
      <c r="I222" s="106">
        <f>IF($C222="","",IFERROR(INDEX(Sens_Types,MATCH($C222,Liste_Types,0)),""))</f>
        <v/>
      </c>
      <c r="J222" s="107">
        <f>IF($I222="▲ ENTRÉE",$U222,"")</f>
        <v/>
      </c>
      <c r="K222" s="108">
        <f>IF($I222="▼ SORTIE",$U222,"")</f>
        <v/>
      </c>
      <c r="L222" s="109">
        <f>$L221+N($J222)-N($K222)</f>
        <v/>
      </c>
      <c r="M222" s="110" t="n"/>
      <c r="N222" s="54" t="n"/>
      <c r="O222" s="54" t="n"/>
      <c r="P222" s="54" t="n"/>
      <c r="Q222" s="110" t="n"/>
      <c r="R222" s="110" t="n"/>
      <c r="S222" s="54" t="n"/>
      <c r="T222" s="111">
        <f>IF($G222="","",IFERROR(INDEX(Taux_Devises,MATCH(IF($M222="",Devise_Base,$M222),Codes_Devises,0)),1))</f>
        <v/>
      </c>
      <c r="U222" s="112">
        <f>IF($G222="","",ROUND($G222*$T222,2))</f>
        <v/>
      </c>
      <c r="V222" s="113">
        <f>IF($B222="","",MONTH($B222))</f>
        <v/>
      </c>
      <c r="W222" s="113">
        <f>IF($B222="","",YEAR($B222))</f>
        <v/>
      </c>
    </row>
    <row r="223">
      <c r="B223" s="105" t="n"/>
      <c r="C223" s="54" t="n"/>
      <c r="D223" s="54" t="n"/>
      <c r="E223" s="54" t="n"/>
      <c r="F223" s="54" t="n"/>
      <c r="G223" s="65" t="n"/>
      <c r="H223" s="54" t="n"/>
      <c r="I223" s="106">
        <f>IF($C223="","",IFERROR(INDEX(Sens_Types,MATCH($C223,Liste_Types,0)),""))</f>
        <v/>
      </c>
      <c r="J223" s="107">
        <f>IF($I223="▲ ENTRÉE",$U223,"")</f>
        <v/>
      </c>
      <c r="K223" s="108">
        <f>IF($I223="▼ SORTIE",$U223,"")</f>
        <v/>
      </c>
      <c r="L223" s="109">
        <f>$L222+N($J223)-N($K223)</f>
        <v/>
      </c>
      <c r="M223" s="110" t="n"/>
      <c r="N223" s="54" t="n"/>
      <c r="O223" s="54" t="n"/>
      <c r="P223" s="54" t="n"/>
      <c r="Q223" s="110" t="n"/>
      <c r="R223" s="110" t="n"/>
      <c r="S223" s="54" t="n"/>
      <c r="T223" s="111">
        <f>IF($G223="","",IFERROR(INDEX(Taux_Devises,MATCH(IF($M223="",Devise_Base,$M223),Codes_Devises,0)),1))</f>
        <v/>
      </c>
      <c r="U223" s="112">
        <f>IF($G223="","",ROUND($G223*$T223,2))</f>
        <v/>
      </c>
      <c r="V223" s="113">
        <f>IF($B223="","",MONTH($B223))</f>
        <v/>
      </c>
      <c r="W223" s="113">
        <f>IF($B223="","",YEAR($B223))</f>
        <v/>
      </c>
    </row>
    <row r="224">
      <c r="B224" s="105" t="n"/>
      <c r="C224" s="54" t="n"/>
      <c r="D224" s="54" t="n"/>
      <c r="E224" s="54" t="n"/>
      <c r="F224" s="54" t="n"/>
      <c r="G224" s="65" t="n"/>
      <c r="H224" s="54" t="n"/>
      <c r="I224" s="106">
        <f>IF($C224="","",IFERROR(INDEX(Sens_Types,MATCH($C224,Liste_Types,0)),""))</f>
        <v/>
      </c>
      <c r="J224" s="107">
        <f>IF($I224="▲ ENTRÉE",$U224,"")</f>
        <v/>
      </c>
      <c r="K224" s="108">
        <f>IF($I224="▼ SORTIE",$U224,"")</f>
        <v/>
      </c>
      <c r="L224" s="109">
        <f>$L223+N($J224)-N($K224)</f>
        <v/>
      </c>
      <c r="M224" s="110" t="n"/>
      <c r="N224" s="54" t="n"/>
      <c r="O224" s="54" t="n"/>
      <c r="P224" s="54" t="n"/>
      <c r="Q224" s="110" t="n"/>
      <c r="R224" s="110" t="n"/>
      <c r="S224" s="54" t="n"/>
      <c r="T224" s="111">
        <f>IF($G224="","",IFERROR(INDEX(Taux_Devises,MATCH(IF($M224="",Devise_Base,$M224),Codes_Devises,0)),1))</f>
        <v/>
      </c>
      <c r="U224" s="112">
        <f>IF($G224="","",ROUND($G224*$T224,2))</f>
        <v/>
      </c>
      <c r="V224" s="113">
        <f>IF($B224="","",MONTH($B224))</f>
        <v/>
      </c>
      <c r="W224" s="113">
        <f>IF($B224="","",YEAR($B224))</f>
        <v/>
      </c>
    </row>
    <row r="225">
      <c r="B225" s="105" t="n"/>
      <c r="C225" s="54" t="n"/>
      <c r="D225" s="54" t="n"/>
      <c r="E225" s="54" t="n"/>
      <c r="F225" s="54" t="n"/>
      <c r="G225" s="65" t="n"/>
      <c r="H225" s="54" t="n"/>
      <c r="I225" s="106">
        <f>IF($C225="","",IFERROR(INDEX(Sens_Types,MATCH($C225,Liste_Types,0)),""))</f>
        <v/>
      </c>
      <c r="J225" s="107">
        <f>IF($I225="▲ ENTRÉE",$U225,"")</f>
        <v/>
      </c>
      <c r="K225" s="108">
        <f>IF($I225="▼ SORTIE",$U225,"")</f>
        <v/>
      </c>
      <c r="L225" s="109">
        <f>$L224+N($J225)-N($K225)</f>
        <v/>
      </c>
      <c r="M225" s="110" t="n"/>
      <c r="N225" s="54" t="n"/>
      <c r="O225" s="54" t="n"/>
      <c r="P225" s="54" t="n"/>
      <c r="Q225" s="110" t="n"/>
      <c r="R225" s="110" t="n"/>
      <c r="S225" s="54" t="n"/>
      <c r="T225" s="111">
        <f>IF($G225="","",IFERROR(INDEX(Taux_Devises,MATCH(IF($M225="",Devise_Base,$M225),Codes_Devises,0)),1))</f>
        <v/>
      </c>
      <c r="U225" s="112">
        <f>IF($G225="","",ROUND($G225*$T225,2))</f>
        <v/>
      </c>
      <c r="V225" s="113">
        <f>IF($B225="","",MONTH($B225))</f>
        <v/>
      </c>
      <c r="W225" s="113">
        <f>IF($B225="","",YEAR($B225))</f>
        <v/>
      </c>
    </row>
    <row r="226">
      <c r="B226" s="105" t="n"/>
      <c r="C226" s="54" t="n"/>
      <c r="D226" s="54" t="n"/>
      <c r="E226" s="54" t="n"/>
      <c r="F226" s="54" t="n"/>
      <c r="G226" s="65" t="n"/>
      <c r="H226" s="54" t="n"/>
      <c r="I226" s="106">
        <f>IF($C226="","",IFERROR(INDEX(Sens_Types,MATCH($C226,Liste_Types,0)),""))</f>
        <v/>
      </c>
      <c r="J226" s="107">
        <f>IF($I226="▲ ENTRÉE",$U226,"")</f>
        <v/>
      </c>
      <c r="K226" s="108">
        <f>IF($I226="▼ SORTIE",$U226,"")</f>
        <v/>
      </c>
      <c r="L226" s="109">
        <f>$L225+N($J226)-N($K226)</f>
        <v/>
      </c>
      <c r="M226" s="110" t="n"/>
      <c r="N226" s="54" t="n"/>
      <c r="O226" s="54" t="n"/>
      <c r="P226" s="54" t="n"/>
      <c r="Q226" s="110" t="n"/>
      <c r="R226" s="110" t="n"/>
      <c r="S226" s="54" t="n"/>
      <c r="T226" s="111">
        <f>IF($G226="","",IFERROR(INDEX(Taux_Devises,MATCH(IF($M226="",Devise_Base,$M226),Codes_Devises,0)),1))</f>
        <v/>
      </c>
      <c r="U226" s="112">
        <f>IF($G226="","",ROUND($G226*$T226,2))</f>
        <v/>
      </c>
      <c r="V226" s="113">
        <f>IF($B226="","",MONTH($B226))</f>
        <v/>
      </c>
      <c r="W226" s="113">
        <f>IF($B226="","",YEAR($B226))</f>
        <v/>
      </c>
    </row>
    <row r="227">
      <c r="B227" s="105" t="n"/>
      <c r="C227" s="54" t="n"/>
      <c r="D227" s="54" t="n"/>
      <c r="E227" s="54" t="n"/>
      <c r="F227" s="54" t="n"/>
      <c r="G227" s="65" t="n"/>
      <c r="H227" s="54" t="n"/>
      <c r="I227" s="106">
        <f>IF($C227="","",IFERROR(INDEX(Sens_Types,MATCH($C227,Liste_Types,0)),""))</f>
        <v/>
      </c>
      <c r="J227" s="107">
        <f>IF($I227="▲ ENTRÉE",$U227,"")</f>
        <v/>
      </c>
      <c r="K227" s="108">
        <f>IF($I227="▼ SORTIE",$U227,"")</f>
        <v/>
      </c>
      <c r="L227" s="109">
        <f>$L226+N($J227)-N($K227)</f>
        <v/>
      </c>
      <c r="M227" s="110" t="n"/>
      <c r="N227" s="54" t="n"/>
      <c r="O227" s="54" t="n"/>
      <c r="P227" s="54" t="n"/>
      <c r="Q227" s="110" t="n"/>
      <c r="R227" s="110" t="n"/>
      <c r="S227" s="54" t="n"/>
      <c r="T227" s="111">
        <f>IF($G227="","",IFERROR(INDEX(Taux_Devises,MATCH(IF($M227="",Devise_Base,$M227),Codes_Devises,0)),1))</f>
        <v/>
      </c>
      <c r="U227" s="112">
        <f>IF($G227="","",ROUND($G227*$T227,2))</f>
        <v/>
      </c>
      <c r="V227" s="113">
        <f>IF($B227="","",MONTH($B227))</f>
        <v/>
      </c>
      <c r="W227" s="113">
        <f>IF($B227="","",YEAR($B227))</f>
        <v/>
      </c>
    </row>
    <row r="228">
      <c r="B228" s="105" t="n"/>
      <c r="C228" s="54" t="n"/>
      <c r="D228" s="54" t="n"/>
      <c r="E228" s="54" t="n"/>
      <c r="F228" s="54" t="n"/>
      <c r="G228" s="65" t="n"/>
      <c r="H228" s="54" t="n"/>
      <c r="I228" s="106">
        <f>IF($C228="","",IFERROR(INDEX(Sens_Types,MATCH($C228,Liste_Types,0)),""))</f>
        <v/>
      </c>
      <c r="J228" s="107">
        <f>IF($I228="▲ ENTRÉE",$U228,"")</f>
        <v/>
      </c>
      <c r="K228" s="108">
        <f>IF($I228="▼ SORTIE",$U228,"")</f>
        <v/>
      </c>
      <c r="L228" s="109">
        <f>$L227+N($J228)-N($K228)</f>
        <v/>
      </c>
      <c r="M228" s="110" t="n"/>
      <c r="N228" s="54" t="n"/>
      <c r="O228" s="54" t="n"/>
      <c r="P228" s="54" t="n"/>
      <c r="Q228" s="110" t="n"/>
      <c r="R228" s="110" t="n"/>
      <c r="S228" s="54" t="n"/>
      <c r="T228" s="111">
        <f>IF($G228="","",IFERROR(INDEX(Taux_Devises,MATCH(IF($M228="",Devise_Base,$M228),Codes_Devises,0)),1))</f>
        <v/>
      </c>
      <c r="U228" s="112">
        <f>IF($G228="","",ROUND($G228*$T228,2))</f>
        <v/>
      </c>
      <c r="V228" s="113">
        <f>IF($B228="","",MONTH($B228))</f>
        <v/>
      </c>
      <c r="W228" s="113">
        <f>IF($B228="","",YEAR($B228))</f>
        <v/>
      </c>
    </row>
    <row r="229">
      <c r="B229" s="105" t="n"/>
      <c r="C229" s="54" t="n"/>
      <c r="D229" s="54" t="n"/>
      <c r="E229" s="54" t="n"/>
      <c r="F229" s="54" t="n"/>
      <c r="G229" s="65" t="n"/>
      <c r="H229" s="54" t="n"/>
      <c r="I229" s="106">
        <f>IF($C229="","",IFERROR(INDEX(Sens_Types,MATCH($C229,Liste_Types,0)),""))</f>
        <v/>
      </c>
      <c r="J229" s="107">
        <f>IF($I229="▲ ENTRÉE",$U229,"")</f>
        <v/>
      </c>
      <c r="K229" s="108">
        <f>IF($I229="▼ SORTIE",$U229,"")</f>
        <v/>
      </c>
      <c r="L229" s="109">
        <f>$L228+N($J229)-N($K229)</f>
        <v/>
      </c>
      <c r="M229" s="110" t="n"/>
      <c r="N229" s="54" t="n"/>
      <c r="O229" s="54" t="n"/>
      <c r="P229" s="54" t="n"/>
      <c r="Q229" s="110" t="n"/>
      <c r="R229" s="110" t="n"/>
      <c r="S229" s="54" t="n"/>
      <c r="T229" s="111">
        <f>IF($G229="","",IFERROR(INDEX(Taux_Devises,MATCH(IF($M229="",Devise_Base,$M229),Codes_Devises,0)),1))</f>
        <v/>
      </c>
      <c r="U229" s="112">
        <f>IF($G229="","",ROUND($G229*$T229,2))</f>
        <v/>
      </c>
      <c r="V229" s="113">
        <f>IF($B229="","",MONTH($B229))</f>
        <v/>
      </c>
      <c r="W229" s="113">
        <f>IF($B229="","",YEAR($B229))</f>
        <v/>
      </c>
    </row>
    <row r="230">
      <c r="B230" s="105" t="n"/>
      <c r="C230" s="54" t="n"/>
      <c r="D230" s="54" t="n"/>
      <c r="E230" s="54" t="n"/>
      <c r="F230" s="54" t="n"/>
      <c r="G230" s="65" t="n"/>
      <c r="H230" s="54" t="n"/>
      <c r="I230" s="106">
        <f>IF($C230="","",IFERROR(INDEX(Sens_Types,MATCH($C230,Liste_Types,0)),""))</f>
        <v/>
      </c>
      <c r="J230" s="107">
        <f>IF($I230="▲ ENTRÉE",$U230,"")</f>
        <v/>
      </c>
      <c r="K230" s="108">
        <f>IF($I230="▼ SORTIE",$U230,"")</f>
        <v/>
      </c>
      <c r="L230" s="109">
        <f>$L229+N($J230)-N($K230)</f>
        <v/>
      </c>
      <c r="M230" s="110" t="n"/>
      <c r="N230" s="54" t="n"/>
      <c r="O230" s="54" t="n"/>
      <c r="P230" s="54" t="n"/>
      <c r="Q230" s="110" t="n"/>
      <c r="R230" s="110" t="n"/>
      <c r="S230" s="54" t="n"/>
      <c r="T230" s="111">
        <f>IF($G230="","",IFERROR(INDEX(Taux_Devises,MATCH(IF($M230="",Devise_Base,$M230),Codes_Devises,0)),1))</f>
        <v/>
      </c>
      <c r="U230" s="112">
        <f>IF($G230="","",ROUND($G230*$T230,2))</f>
        <v/>
      </c>
      <c r="V230" s="113">
        <f>IF($B230="","",MONTH($B230))</f>
        <v/>
      </c>
      <c r="W230" s="113">
        <f>IF($B230="","",YEAR($B230))</f>
        <v/>
      </c>
    </row>
    <row r="231">
      <c r="B231" s="105" t="n"/>
      <c r="C231" s="54" t="n"/>
      <c r="D231" s="54" t="n"/>
      <c r="E231" s="54" t="n"/>
      <c r="F231" s="54" t="n"/>
      <c r="G231" s="65" t="n"/>
      <c r="H231" s="54" t="n"/>
      <c r="I231" s="106">
        <f>IF($C231="","",IFERROR(INDEX(Sens_Types,MATCH($C231,Liste_Types,0)),""))</f>
        <v/>
      </c>
      <c r="J231" s="107">
        <f>IF($I231="▲ ENTRÉE",$U231,"")</f>
        <v/>
      </c>
      <c r="K231" s="108">
        <f>IF($I231="▼ SORTIE",$U231,"")</f>
        <v/>
      </c>
      <c r="L231" s="109">
        <f>$L230+N($J231)-N($K231)</f>
        <v/>
      </c>
      <c r="M231" s="110" t="n"/>
      <c r="N231" s="54" t="n"/>
      <c r="O231" s="54" t="n"/>
      <c r="P231" s="54" t="n"/>
      <c r="Q231" s="110" t="n"/>
      <c r="R231" s="110" t="n"/>
      <c r="S231" s="54" t="n"/>
      <c r="T231" s="111">
        <f>IF($G231="","",IFERROR(INDEX(Taux_Devises,MATCH(IF($M231="",Devise_Base,$M231),Codes_Devises,0)),1))</f>
        <v/>
      </c>
      <c r="U231" s="112">
        <f>IF($G231="","",ROUND($G231*$T231,2))</f>
        <v/>
      </c>
      <c r="V231" s="113">
        <f>IF($B231="","",MONTH($B231))</f>
        <v/>
      </c>
      <c r="W231" s="113">
        <f>IF($B231="","",YEAR($B231))</f>
        <v/>
      </c>
    </row>
    <row r="232">
      <c r="B232" s="105" t="n"/>
      <c r="C232" s="54" t="n"/>
      <c r="D232" s="54" t="n"/>
      <c r="E232" s="54" t="n"/>
      <c r="F232" s="54" t="n"/>
      <c r="G232" s="65" t="n"/>
      <c r="H232" s="54" t="n"/>
      <c r="I232" s="106">
        <f>IF($C232="","",IFERROR(INDEX(Sens_Types,MATCH($C232,Liste_Types,0)),""))</f>
        <v/>
      </c>
      <c r="J232" s="107">
        <f>IF($I232="▲ ENTRÉE",$U232,"")</f>
        <v/>
      </c>
      <c r="K232" s="108">
        <f>IF($I232="▼ SORTIE",$U232,"")</f>
        <v/>
      </c>
      <c r="L232" s="109">
        <f>$L231+N($J232)-N($K232)</f>
        <v/>
      </c>
      <c r="M232" s="110" t="n"/>
      <c r="N232" s="54" t="n"/>
      <c r="O232" s="54" t="n"/>
      <c r="P232" s="54" t="n"/>
      <c r="Q232" s="110" t="n"/>
      <c r="R232" s="110" t="n"/>
      <c r="S232" s="54" t="n"/>
      <c r="T232" s="111">
        <f>IF($G232="","",IFERROR(INDEX(Taux_Devises,MATCH(IF($M232="",Devise_Base,$M232),Codes_Devises,0)),1))</f>
        <v/>
      </c>
      <c r="U232" s="112">
        <f>IF($G232="","",ROUND($G232*$T232,2))</f>
        <v/>
      </c>
      <c r="V232" s="113">
        <f>IF($B232="","",MONTH($B232))</f>
        <v/>
      </c>
      <c r="W232" s="113">
        <f>IF($B232="","",YEAR($B232))</f>
        <v/>
      </c>
    </row>
    <row r="233">
      <c r="B233" s="105" t="n"/>
      <c r="C233" s="54" t="n"/>
      <c r="D233" s="54" t="n"/>
      <c r="E233" s="54" t="n"/>
      <c r="F233" s="54" t="n"/>
      <c r="G233" s="65" t="n"/>
      <c r="H233" s="54" t="n"/>
      <c r="I233" s="106">
        <f>IF($C233="","",IFERROR(INDEX(Sens_Types,MATCH($C233,Liste_Types,0)),""))</f>
        <v/>
      </c>
      <c r="J233" s="107">
        <f>IF($I233="▲ ENTRÉE",$U233,"")</f>
        <v/>
      </c>
      <c r="K233" s="108">
        <f>IF($I233="▼ SORTIE",$U233,"")</f>
        <v/>
      </c>
      <c r="L233" s="109">
        <f>$L232+N($J233)-N($K233)</f>
        <v/>
      </c>
      <c r="M233" s="110" t="n"/>
      <c r="N233" s="54" t="n"/>
      <c r="O233" s="54" t="n"/>
      <c r="P233" s="54" t="n"/>
      <c r="Q233" s="110" t="n"/>
      <c r="R233" s="110" t="n"/>
      <c r="S233" s="54" t="n"/>
      <c r="T233" s="111">
        <f>IF($G233="","",IFERROR(INDEX(Taux_Devises,MATCH(IF($M233="",Devise_Base,$M233),Codes_Devises,0)),1))</f>
        <v/>
      </c>
      <c r="U233" s="112">
        <f>IF($G233="","",ROUND($G233*$T233,2))</f>
        <v/>
      </c>
      <c r="V233" s="113">
        <f>IF($B233="","",MONTH($B233))</f>
        <v/>
      </c>
      <c r="W233" s="113">
        <f>IF($B233="","",YEAR($B233))</f>
        <v/>
      </c>
    </row>
    <row r="234">
      <c r="B234" s="105" t="n"/>
      <c r="C234" s="54" t="n"/>
      <c r="D234" s="54" t="n"/>
      <c r="E234" s="54" t="n"/>
      <c r="F234" s="54" t="n"/>
      <c r="G234" s="65" t="n"/>
      <c r="H234" s="54" t="n"/>
      <c r="I234" s="106">
        <f>IF($C234="","",IFERROR(INDEX(Sens_Types,MATCH($C234,Liste_Types,0)),""))</f>
        <v/>
      </c>
      <c r="J234" s="107">
        <f>IF($I234="▲ ENTRÉE",$U234,"")</f>
        <v/>
      </c>
      <c r="K234" s="108">
        <f>IF($I234="▼ SORTIE",$U234,"")</f>
        <v/>
      </c>
      <c r="L234" s="109">
        <f>$L233+N($J234)-N($K234)</f>
        <v/>
      </c>
      <c r="M234" s="110" t="n"/>
      <c r="N234" s="54" t="n"/>
      <c r="O234" s="54" t="n"/>
      <c r="P234" s="54" t="n"/>
      <c r="Q234" s="110" t="n"/>
      <c r="R234" s="110" t="n"/>
      <c r="S234" s="54" t="n"/>
      <c r="T234" s="111">
        <f>IF($G234="","",IFERROR(INDEX(Taux_Devises,MATCH(IF($M234="",Devise_Base,$M234),Codes_Devises,0)),1))</f>
        <v/>
      </c>
      <c r="U234" s="112">
        <f>IF($G234="","",ROUND($G234*$T234,2))</f>
        <v/>
      </c>
      <c r="V234" s="113">
        <f>IF($B234="","",MONTH($B234))</f>
        <v/>
      </c>
      <c r="W234" s="113">
        <f>IF($B234="","",YEAR($B234))</f>
        <v/>
      </c>
    </row>
    <row r="235">
      <c r="B235" s="105" t="n"/>
      <c r="C235" s="54" t="n"/>
      <c r="D235" s="54" t="n"/>
      <c r="E235" s="54" t="n"/>
      <c r="F235" s="54" t="n"/>
      <c r="G235" s="65" t="n"/>
      <c r="H235" s="54" t="n"/>
      <c r="I235" s="106">
        <f>IF($C235="","",IFERROR(INDEX(Sens_Types,MATCH($C235,Liste_Types,0)),""))</f>
        <v/>
      </c>
      <c r="J235" s="107">
        <f>IF($I235="▲ ENTRÉE",$U235,"")</f>
        <v/>
      </c>
      <c r="K235" s="108">
        <f>IF($I235="▼ SORTIE",$U235,"")</f>
        <v/>
      </c>
      <c r="L235" s="109">
        <f>$L234+N($J235)-N($K235)</f>
        <v/>
      </c>
      <c r="M235" s="110" t="n"/>
      <c r="N235" s="54" t="n"/>
      <c r="O235" s="54" t="n"/>
      <c r="P235" s="54" t="n"/>
      <c r="Q235" s="110" t="n"/>
      <c r="R235" s="110" t="n"/>
      <c r="S235" s="54" t="n"/>
      <c r="T235" s="111">
        <f>IF($G235="","",IFERROR(INDEX(Taux_Devises,MATCH(IF($M235="",Devise_Base,$M235),Codes_Devises,0)),1))</f>
        <v/>
      </c>
      <c r="U235" s="112">
        <f>IF($G235="","",ROUND($G235*$T235,2))</f>
        <v/>
      </c>
      <c r="V235" s="113">
        <f>IF($B235="","",MONTH($B235))</f>
        <v/>
      </c>
      <c r="W235" s="113">
        <f>IF($B235="","",YEAR($B235))</f>
        <v/>
      </c>
    </row>
    <row r="236">
      <c r="B236" s="105" t="n"/>
      <c r="C236" s="54" t="n"/>
      <c r="D236" s="54" t="n"/>
      <c r="E236" s="54" t="n"/>
      <c r="F236" s="54" t="n"/>
      <c r="G236" s="65" t="n"/>
      <c r="H236" s="54" t="n"/>
      <c r="I236" s="106">
        <f>IF($C236="","",IFERROR(INDEX(Sens_Types,MATCH($C236,Liste_Types,0)),""))</f>
        <v/>
      </c>
      <c r="J236" s="107">
        <f>IF($I236="▲ ENTRÉE",$U236,"")</f>
        <v/>
      </c>
      <c r="K236" s="108">
        <f>IF($I236="▼ SORTIE",$U236,"")</f>
        <v/>
      </c>
      <c r="L236" s="109">
        <f>$L235+N($J236)-N($K236)</f>
        <v/>
      </c>
      <c r="M236" s="110" t="n"/>
      <c r="N236" s="54" t="n"/>
      <c r="O236" s="54" t="n"/>
      <c r="P236" s="54" t="n"/>
      <c r="Q236" s="110" t="n"/>
      <c r="R236" s="110" t="n"/>
      <c r="S236" s="54" t="n"/>
      <c r="T236" s="111">
        <f>IF($G236="","",IFERROR(INDEX(Taux_Devises,MATCH(IF($M236="",Devise_Base,$M236),Codes_Devises,0)),1))</f>
        <v/>
      </c>
      <c r="U236" s="112">
        <f>IF($G236="","",ROUND($G236*$T236,2))</f>
        <v/>
      </c>
      <c r="V236" s="113">
        <f>IF($B236="","",MONTH($B236))</f>
        <v/>
      </c>
      <c r="W236" s="113">
        <f>IF($B236="","",YEAR($B236))</f>
        <v/>
      </c>
    </row>
    <row r="237">
      <c r="B237" s="105" t="n"/>
      <c r="C237" s="54" t="n"/>
      <c r="D237" s="54" t="n"/>
      <c r="E237" s="54" t="n"/>
      <c r="F237" s="54" t="n"/>
      <c r="G237" s="65" t="n"/>
      <c r="H237" s="54" t="n"/>
      <c r="I237" s="106">
        <f>IF($C237="","",IFERROR(INDEX(Sens_Types,MATCH($C237,Liste_Types,0)),""))</f>
        <v/>
      </c>
      <c r="J237" s="107">
        <f>IF($I237="▲ ENTRÉE",$U237,"")</f>
        <v/>
      </c>
      <c r="K237" s="108">
        <f>IF($I237="▼ SORTIE",$U237,"")</f>
        <v/>
      </c>
      <c r="L237" s="109">
        <f>$L236+N($J237)-N($K237)</f>
        <v/>
      </c>
      <c r="M237" s="110" t="n"/>
      <c r="N237" s="54" t="n"/>
      <c r="O237" s="54" t="n"/>
      <c r="P237" s="54" t="n"/>
      <c r="Q237" s="110" t="n"/>
      <c r="R237" s="110" t="n"/>
      <c r="S237" s="54" t="n"/>
      <c r="T237" s="111">
        <f>IF($G237="","",IFERROR(INDEX(Taux_Devises,MATCH(IF($M237="",Devise_Base,$M237),Codes_Devises,0)),1))</f>
        <v/>
      </c>
      <c r="U237" s="112">
        <f>IF($G237="","",ROUND($G237*$T237,2))</f>
        <v/>
      </c>
      <c r="V237" s="113">
        <f>IF($B237="","",MONTH($B237))</f>
        <v/>
      </c>
      <c r="W237" s="113">
        <f>IF($B237="","",YEAR($B237))</f>
        <v/>
      </c>
    </row>
    <row r="238">
      <c r="B238" s="105" t="n"/>
      <c r="C238" s="54" t="n"/>
      <c r="D238" s="54" t="n"/>
      <c r="E238" s="54" t="n"/>
      <c r="F238" s="54" t="n"/>
      <c r="G238" s="65" t="n"/>
      <c r="H238" s="54" t="n"/>
      <c r="I238" s="106">
        <f>IF($C238="","",IFERROR(INDEX(Sens_Types,MATCH($C238,Liste_Types,0)),""))</f>
        <v/>
      </c>
      <c r="J238" s="107">
        <f>IF($I238="▲ ENTRÉE",$U238,"")</f>
        <v/>
      </c>
      <c r="K238" s="108">
        <f>IF($I238="▼ SORTIE",$U238,"")</f>
        <v/>
      </c>
      <c r="L238" s="109">
        <f>$L237+N($J238)-N($K238)</f>
        <v/>
      </c>
      <c r="M238" s="110" t="n"/>
      <c r="N238" s="54" t="n"/>
      <c r="O238" s="54" t="n"/>
      <c r="P238" s="54" t="n"/>
      <c r="Q238" s="110" t="n"/>
      <c r="R238" s="110" t="n"/>
      <c r="S238" s="54" t="n"/>
      <c r="T238" s="111">
        <f>IF($G238="","",IFERROR(INDEX(Taux_Devises,MATCH(IF($M238="",Devise_Base,$M238),Codes_Devises,0)),1))</f>
        <v/>
      </c>
      <c r="U238" s="112">
        <f>IF($G238="","",ROUND($G238*$T238,2))</f>
        <v/>
      </c>
      <c r="V238" s="113">
        <f>IF($B238="","",MONTH($B238))</f>
        <v/>
      </c>
      <c r="W238" s="113">
        <f>IF($B238="","",YEAR($B238))</f>
        <v/>
      </c>
    </row>
    <row r="239">
      <c r="B239" s="105" t="n"/>
      <c r="C239" s="54" t="n"/>
      <c r="D239" s="54" t="n"/>
      <c r="E239" s="54" t="n"/>
      <c r="F239" s="54" t="n"/>
      <c r="G239" s="65" t="n"/>
      <c r="H239" s="54" t="n"/>
      <c r="I239" s="106">
        <f>IF($C239="","",IFERROR(INDEX(Sens_Types,MATCH($C239,Liste_Types,0)),""))</f>
        <v/>
      </c>
      <c r="J239" s="107">
        <f>IF($I239="▲ ENTRÉE",$U239,"")</f>
        <v/>
      </c>
      <c r="K239" s="108">
        <f>IF($I239="▼ SORTIE",$U239,"")</f>
        <v/>
      </c>
      <c r="L239" s="109">
        <f>$L238+N($J239)-N($K239)</f>
        <v/>
      </c>
      <c r="M239" s="110" t="n"/>
      <c r="N239" s="54" t="n"/>
      <c r="O239" s="54" t="n"/>
      <c r="P239" s="54" t="n"/>
      <c r="Q239" s="110" t="n"/>
      <c r="R239" s="110" t="n"/>
      <c r="S239" s="54" t="n"/>
      <c r="T239" s="111">
        <f>IF($G239="","",IFERROR(INDEX(Taux_Devises,MATCH(IF($M239="",Devise_Base,$M239),Codes_Devises,0)),1))</f>
        <v/>
      </c>
      <c r="U239" s="112">
        <f>IF($G239="","",ROUND($G239*$T239,2))</f>
        <v/>
      </c>
      <c r="V239" s="113">
        <f>IF($B239="","",MONTH($B239))</f>
        <v/>
      </c>
      <c r="W239" s="113">
        <f>IF($B239="","",YEAR($B239))</f>
        <v/>
      </c>
    </row>
    <row r="240">
      <c r="B240" s="105" t="n"/>
      <c r="C240" s="54" t="n"/>
      <c r="D240" s="54" t="n"/>
      <c r="E240" s="54" t="n"/>
      <c r="F240" s="54" t="n"/>
      <c r="G240" s="65" t="n"/>
      <c r="H240" s="54" t="n"/>
      <c r="I240" s="106">
        <f>IF($C240="","",IFERROR(INDEX(Sens_Types,MATCH($C240,Liste_Types,0)),""))</f>
        <v/>
      </c>
      <c r="J240" s="107">
        <f>IF($I240="▲ ENTRÉE",$U240,"")</f>
        <v/>
      </c>
      <c r="K240" s="108">
        <f>IF($I240="▼ SORTIE",$U240,"")</f>
        <v/>
      </c>
      <c r="L240" s="109">
        <f>$L239+N($J240)-N($K240)</f>
        <v/>
      </c>
      <c r="M240" s="110" t="n"/>
      <c r="N240" s="54" t="n"/>
      <c r="O240" s="54" t="n"/>
      <c r="P240" s="54" t="n"/>
      <c r="Q240" s="110" t="n"/>
      <c r="R240" s="110" t="n"/>
      <c r="S240" s="54" t="n"/>
      <c r="T240" s="111">
        <f>IF($G240="","",IFERROR(INDEX(Taux_Devises,MATCH(IF($M240="",Devise_Base,$M240),Codes_Devises,0)),1))</f>
        <v/>
      </c>
      <c r="U240" s="112">
        <f>IF($G240="","",ROUND($G240*$T240,2))</f>
        <v/>
      </c>
      <c r="V240" s="113">
        <f>IF($B240="","",MONTH($B240))</f>
        <v/>
      </c>
      <c r="W240" s="113">
        <f>IF($B240="","",YEAR($B240))</f>
        <v/>
      </c>
    </row>
    <row r="241">
      <c r="B241" s="105" t="n"/>
      <c r="C241" s="54" t="n"/>
      <c r="D241" s="54" t="n"/>
      <c r="E241" s="54" t="n"/>
      <c r="F241" s="54" t="n"/>
      <c r="G241" s="65" t="n"/>
      <c r="H241" s="54" t="n"/>
      <c r="I241" s="106">
        <f>IF($C241="","",IFERROR(INDEX(Sens_Types,MATCH($C241,Liste_Types,0)),""))</f>
        <v/>
      </c>
      <c r="J241" s="107">
        <f>IF($I241="▲ ENTRÉE",$U241,"")</f>
        <v/>
      </c>
      <c r="K241" s="108">
        <f>IF($I241="▼ SORTIE",$U241,"")</f>
        <v/>
      </c>
      <c r="L241" s="109">
        <f>$L240+N($J241)-N($K241)</f>
        <v/>
      </c>
      <c r="M241" s="110" t="n"/>
      <c r="N241" s="54" t="n"/>
      <c r="O241" s="54" t="n"/>
      <c r="P241" s="54" t="n"/>
      <c r="Q241" s="110" t="n"/>
      <c r="R241" s="110" t="n"/>
      <c r="S241" s="54" t="n"/>
      <c r="T241" s="111">
        <f>IF($G241="","",IFERROR(INDEX(Taux_Devises,MATCH(IF($M241="",Devise_Base,$M241),Codes_Devises,0)),1))</f>
        <v/>
      </c>
      <c r="U241" s="112">
        <f>IF($G241="","",ROUND($G241*$T241,2))</f>
        <v/>
      </c>
      <c r="V241" s="113">
        <f>IF($B241="","",MONTH($B241))</f>
        <v/>
      </c>
      <c r="W241" s="113">
        <f>IF($B241="","",YEAR($B241))</f>
        <v/>
      </c>
    </row>
    <row r="242">
      <c r="B242" s="105" t="n"/>
      <c r="C242" s="54" t="n"/>
      <c r="D242" s="54" t="n"/>
      <c r="E242" s="54" t="n"/>
      <c r="F242" s="54" t="n"/>
      <c r="G242" s="65" t="n"/>
      <c r="H242" s="54" t="n"/>
      <c r="I242" s="106">
        <f>IF($C242="","",IFERROR(INDEX(Sens_Types,MATCH($C242,Liste_Types,0)),""))</f>
        <v/>
      </c>
      <c r="J242" s="107">
        <f>IF($I242="▲ ENTRÉE",$U242,"")</f>
        <v/>
      </c>
      <c r="K242" s="108">
        <f>IF($I242="▼ SORTIE",$U242,"")</f>
        <v/>
      </c>
      <c r="L242" s="109">
        <f>$L241+N($J242)-N($K242)</f>
        <v/>
      </c>
      <c r="M242" s="110" t="n"/>
      <c r="N242" s="54" t="n"/>
      <c r="O242" s="54" t="n"/>
      <c r="P242" s="54" t="n"/>
      <c r="Q242" s="110" t="n"/>
      <c r="R242" s="110" t="n"/>
      <c r="S242" s="54" t="n"/>
      <c r="T242" s="111">
        <f>IF($G242="","",IFERROR(INDEX(Taux_Devises,MATCH(IF($M242="",Devise_Base,$M242),Codes_Devises,0)),1))</f>
        <v/>
      </c>
      <c r="U242" s="112">
        <f>IF($G242="","",ROUND($G242*$T242,2))</f>
        <v/>
      </c>
      <c r="V242" s="113">
        <f>IF($B242="","",MONTH($B242))</f>
        <v/>
      </c>
      <c r="W242" s="113">
        <f>IF($B242="","",YEAR($B242))</f>
        <v/>
      </c>
    </row>
    <row r="243">
      <c r="B243" s="105" t="n"/>
      <c r="C243" s="54" t="n"/>
      <c r="D243" s="54" t="n"/>
      <c r="E243" s="54" t="n"/>
      <c r="F243" s="54" t="n"/>
      <c r="G243" s="65" t="n"/>
      <c r="H243" s="54" t="n"/>
      <c r="I243" s="106">
        <f>IF($C243="","",IFERROR(INDEX(Sens_Types,MATCH($C243,Liste_Types,0)),""))</f>
        <v/>
      </c>
      <c r="J243" s="107">
        <f>IF($I243="▲ ENTRÉE",$U243,"")</f>
        <v/>
      </c>
      <c r="K243" s="108">
        <f>IF($I243="▼ SORTIE",$U243,"")</f>
        <v/>
      </c>
      <c r="L243" s="109">
        <f>$L242+N($J243)-N($K243)</f>
        <v/>
      </c>
      <c r="M243" s="110" t="n"/>
      <c r="N243" s="54" t="n"/>
      <c r="O243" s="54" t="n"/>
      <c r="P243" s="54" t="n"/>
      <c r="Q243" s="110" t="n"/>
      <c r="R243" s="110" t="n"/>
      <c r="S243" s="54" t="n"/>
      <c r="T243" s="111">
        <f>IF($G243="","",IFERROR(INDEX(Taux_Devises,MATCH(IF($M243="",Devise_Base,$M243),Codes_Devises,0)),1))</f>
        <v/>
      </c>
      <c r="U243" s="112">
        <f>IF($G243="","",ROUND($G243*$T243,2))</f>
        <v/>
      </c>
      <c r="V243" s="113">
        <f>IF($B243="","",MONTH($B243))</f>
        <v/>
      </c>
      <c r="W243" s="113">
        <f>IF($B243="","",YEAR($B243))</f>
        <v/>
      </c>
    </row>
    <row r="244">
      <c r="B244" s="105" t="n"/>
      <c r="C244" s="54" t="n"/>
      <c r="D244" s="54" t="n"/>
      <c r="E244" s="54" t="n"/>
      <c r="F244" s="54" t="n"/>
      <c r="G244" s="65" t="n"/>
      <c r="H244" s="54" t="n"/>
      <c r="I244" s="106">
        <f>IF($C244="","",IFERROR(INDEX(Sens_Types,MATCH($C244,Liste_Types,0)),""))</f>
        <v/>
      </c>
      <c r="J244" s="107">
        <f>IF($I244="▲ ENTRÉE",$U244,"")</f>
        <v/>
      </c>
      <c r="K244" s="108">
        <f>IF($I244="▼ SORTIE",$U244,"")</f>
        <v/>
      </c>
      <c r="L244" s="109">
        <f>$L243+N($J244)-N($K244)</f>
        <v/>
      </c>
      <c r="M244" s="110" t="n"/>
      <c r="N244" s="54" t="n"/>
      <c r="O244" s="54" t="n"/>
      <c r="P244" s="54" t="n"/>
      <c r="Q244" s="110" t="n"/>
      <c r="R244" s="110" t="n"/>
      <c r="S244" s="54" t="n"/>
      <c r="T244" s="111">
        <f>IF($G244="","",IFERROR(INDEX(Taux_Devises,MATCH(IF($M244="",Devise_Base,$M244),Codes_Devises,0)),1))</f>
        <v/>
      </c>
      <c r="U244" s="112">
        <f>IF($G244="","",ROUND($G244*$T244,2))</f>
        <v/>
      </c>
      <c r="V244" s="113">
        <f>IF($B244="","",MONTH($B244))</f>
        <v/>
      </c>
      <c r="W244" s="113">
        <f>IF($B244="","",YEAR($B244))</f>
        <v/>
      </c>
    </row>
    <row r="245">
      <c r="B245" s="105" t="n"/>
      <c r="C245" s="54" t="n"/>
      <c r="D245" s="54" t="n"/>
      <c r="E245" s="54" t="n"/>
      <c r="F245" s="54" t="n"/>
      <c r="G245" s="65" t="n"/>
      <c r="H245" s="54" t="n"/>
      <c r="I245" s="106">
        <f>IF($C245="","",IFERROR(INDEX(Sens_Types,MATCH($C245,Liste_Types,0)),""))</f>
        <v/>
      </c>
      <c r="J245" s="107">
        <f>IF($I245="▲ ENTRÉE",$U245,"")</f>
        <v/>
      </c>
      <c r="K245" s="108">
        <f>IF($I245="▼ SORTIE",$U245,"")</f>
        <v/>
      </c>
      <c r="L245" s="109">
        <f>$L244+N($J245)-N($K245)</f>
        <v/>
      </c>
      <c r="M245" s="110" t="n"/>
      <c r="N245" s="54" t="n"/>
      <c r="O245" s="54" t="n"/>
      <c r="P245" s="54" t="n"/>
      <c r="Q245" s="110" t="n"/>
      <c r="R245" s="110" t="n"/>
      <c r="S245" s="54" t="n"/>
      <c r="T245" s="111">
        <f>IF($G245="","",IFERROR(INDEX(Taux_Devises,MATCH(IF($M245="",Devise_Base,$M245),Codes_Devises,0)),1))</f>
        <v/>
      </c>
      <c r="U245" s="112">
        <f>IF($G245="","",ROUND($G245*$T245,2))</f>
        <v/>
      </c>
      <c r="V245" s="113">
        <f>IF($B245="","",MONTH($B245))</f>
        <v/>
      </c>
      <c r="W245" s="113">
        <f>IF($B245="","",YEAR($B245))</f>
        <v/>
      </c>
    </row>
    <row r="246">
      <c r="B246" s="105" t="n"/>
      <c r="C246" s="54" t="n"/>
      <c r="D246" s="54" t="n"/>
      <c r="E246" s="54" t="n"/>
      <c r="F246" s="54" t="n"/>
      <c r="G246" s="65" t="n"/>
      <c r="H246" s="54" t="n"/>
      <c r="I246" s="106">
        <f>IF($C246="","",IFERROR(INDEX(Sens_Types,MATCH($C246,Liste_Types,0)),""))</f>
        <v/>
      </c>
      <c r="J246" s="107">
        <f>IF($I246="▲ ENTRÉE",$U246,"")</f>
        <v/>
      </c>
      <c r="K246" s="108">
        <f>IF($I246="▼ SORTIE",$U246,"")</f>
        <v/>
      </c>
      <c r="L246" s="109">
        <f>$L245+N($J246)-N($K246)</f>
        <v/>
      </c>
      <c r="M246" s="110" t="n"/>
      <c r="N246" s="54" t="n"/>
      <c r="O246" s="54" t="n"/>
      <c r="P246" s="54" t="n"/>
      <c r="Q246" s="110" t="n"/>
      <c r="R246" s="110" t="n"/>
      <c r="S246" s="54" t="n"/>
      <c r="T246" s="111">
        <f>IF($G246="","",IFERROR(INDEX(Taux_Devises,MATCH(IF($M246="",Devise_Base,$M246),Codes_Devises,0)),1))</f>
        <v/>
      </c>
      <c r="U246" s="112">
        <f>IF($G246="","",ROUND($G246*$T246,2))</f>
        <v/>
      </c>
      <c r="V246" s="113">
        <f>IF($B246="","",MONTH($B246))</f>
        <v/>
      </c>
      <c r="W246" s="113">
        <f>IF($B246="","",YEAR($B246))</f>
        <v/>
      </c>
    </row>
    <row r="247">
      <c r="B247" s="105" t="n"/>
      <c r="C247" s="54" t="n"/>
      <c r="D247" s="54" t="n"/>
      <c r="E247" s="54" t="n"/>
      <c r="F247" s="54" t="n"/>
      <c r="G247" s="65" t="n"/>
      <c r="H247" s="54" t="n"/>
      <c r="I247" s="106">
        <f>IF($C247="","",IFERROR(INDEX(Sens_Types,MATCH($C247,Liste_Types,0)),""))</f>
        <v/>
      </c>
      <c r="J247" s="107">
        <f>IF($I247="▲ ENTRÉE",$U247,"")</f>
        <v/>
      </c>
      <c r="K247" s="108">
        <f>IF($I247="▼ SORTIE",$U247,"")</f>
        <v/>
      </c>
      <c r="L247" s="109">
        <f>$L246+N($J247)-N($K247)</f>
        <v/>
      </c>
      <c r="M247" s="110" t="n"/>
      <c r="N247" s="54" t="n"/>
      <c r="O247" s="54" t="n"/>
      <c r="P247" s="54" t="n"/>
      <c r="Q247" s="110" t="n"/>
      <c r="R247" s="110" t="n"/>
      <c r="S247" s="54" t="n"/>
      <c r="T247" s="111">
        <f>IF($G247="","",IFERROR(INDEX(Taux_Devises,MATCH(IF($M247="",Devise_Base,$M247),Codes_Devises,0)),1))</f>
        <v/>
      </c>
      <c r="U247" s="112">
        <f>IF($G247="","",ROUND($G247*$T247,2))</f>
        <v/>
      </c>
      <c r="V247" s="113">
        <f>IF($B247="","",MONTH($B247))</f>
        <v/>
      </c>
      <c r="W247" s="113">
        <f>IF($B247="","",YEAR($B247))</f>
        <v/>
      </c>
    </row>
    <row r="248">
      <c r="B248" s="105" t="n"/>
      <c r="C248" s="54" t="n"/>
      <c r="D248" s="54" t="n"/>
      <c r="E248" s="54" t="n"/>
      <c r="F248" s="54" t="n"/>
      <c r="G248" s="65" t="n"/>
      <c r="H248" s="54" t="n"/>
      <c r="I248" s="106">
        <f>IF($C248="","",IFERROR(INDEX(Sens_Types,MATCH($C248,Liste_Types,0)),""))</f>
        <v/>
      </c>
      <c r="J248" s="107">
        <f>IF($I248="▲ ENTRÉE",$U248,"")</f>
        <v/>
      </c>
      <c r="K248" s="108">
        <f>IF($I248="▼ SORTIE",$U248,"")</f>
        <v/>
      </c>
      <c r="L248" s="109">
        <f>$L247+N($J248)-N($K248)</f>
        <v/>
      </c>
      <c r="M248" s="110" t="n"/>
      <c r="N248" s="54" t="n"/>
      <c r="O248" s="54" t="n"/>
      <c r="P248" s="54" t="n"/>
      <c r="Q248" s="110" t="n"/>
      <c r="R248" s="110" t="n"/>
      <c r="S248" s="54" t="n"/>
      <c r="T248" s="111">
        <f>IF($G248="","",IFERROR(INDEX(Taux_Devises,MATCH(IF($M248="",Devise_Base,$M248),Codes_Devises,0)),1))</f>
        <v/>
      </c>
      <c r="U248" s="112">
        <f>IF($G248="","",ROUND($G248*$T248,2))</f>
        <v/>
      </c>
      <c r="V248" s="113">
        <f>IF($B248="","",MONTH($B248))</f>
        <v/>
      </c>
      <c r="W248" s="113">
        <f>IF($B248="","",YEAR($B248))</f>
        <v/>
      </c>
    </row>
    <row r="249">
      <c r="B249" s="105" t="n"/>
      <c r="C249" s="54" t="n"/>
      <c r="D249" s="54" t="n"/>
      <c r="E249" s="54" t="n"/>
      <c r="F249" s="54" t="n"/>
      <c r="G249" s="65" t="n"/>
      <c r="H249" s="54" t="n"/>
      <c r="I249" s="106">
        <f>IF($C249="","",IFERROR(INDEX(Sens_Types,MATCH($C249,Liste_Types,0)),""))</f>
        <v/>
      </c>
      <c r="J249" s="107">
        <f>IF($I249="▲ ENTRÉE",$U249,"")</f>
        <v/>
      </c>
      <c r="K249" s="108">
        <f>IF($I249="▼ SORTIE",$U249,"")</f>
        <v/>
      </c>
      <c r="L249" s="109">
        <f>$L248+N($J249)-N($K249)</f>
        <v/>
      </c>
      <c r="M249" s="110" t="n"/>
      <c r="N249" s="54" t="n"/>
      <c r="O249" s="54" t="n"/>
      <c r="P249" s="54" t="n"/>
      <c r="Q249" s="110" t="n"/>
      <c r="R249" s="110" t="n"/>
      <c r="S249" s="54" t="n"/>
      <c r="T249" s="111">
        <f>IF($G249="","",IFERROR(INDEX(Taux_Devises,MATCH(IF($M249="",Devise_Base,$M249),Codes_Devises,0)),1))</f>
        <v/>
      </c>
      <c r="U249" s="112">
        <f>IF($G249="","",ROUND($G249*$T249,2))</f>
        <v/>
      </c>
      <c r="V249" s="113">
        <f>IF($B249="","",MONTH($B249))</f>
        <v/>
      </c>
      <c r="W249" s="113">
        <f>IF($B249="","",YEAR($B249))</f>
        <v/>
      </c>
    </row>
    <row r="250">
      <c r="B250" s="105" t="n"/>
      <c r="C250" s="54" t="n"/>
      <c r="D250" s="54" t="n"/>
      <c r="E250" s="54" t="n"/>
      <c r="F250" s="54" t="n"/>
      <c r="G250" s="65" t="n"/>
      <c r="H250" s="54" t="n"/>
      <c r="I250" s="106">
        <f>IF($C250="","",IFERROR(INDEX(Sens_Types,MATCH($C250,Liste_Types,0)),""))</f>
        <v/>
      </c>
      <c r="J250" s="107">
        <f>IF($I250="▲ ENTRÉE",$U250,"")</f>
        <v/>
      </c>
      <c r="K250" s="108">
        <f>IF($I250="▼ SORTIE",$U250,"")</f>
        <v/>
      </c>
      <c r="L250" s="109">
        <f>$L249+N($J250)-N($K250)</f>
        <v/>
      </c>
      <c r="M250" s="110" t="n"/>
      <c r="N250" s="54" t="n"/>
      <c r="O250" s="54" t="n"/>
      <c r="P250" s="54" t="n"/>
      <c r="Q250" s="110" t="n"/>
      <c r="R250" s="110" t="n"/>
      <c r="S250" s="54" t="n"/>
      <c r="T250" s="111">
        <f>IF($G250="","",IFERROR(INDEX(Taux_Devises,MATCH(IF($M250="",Devise_Base,$M250),Codes_Devises,0)),1))</f>
        <v/>
      </c>
      <c r="U250" s="112">
        <f>IF($G250="","",ROUND($G250*$T250,2))</f>
        <v/>
      </c>
      <c r="V250" s="113">
        <f>IF($B250="","",MONTH($B250))</f>
        <v/>
      </c>
      <c r="W250" s="113">
        <f>IF($B250="","",YEAR($B250))</f>
        <v/>
      </c>
    </row>
    <row r="251">
      <c r="B251" s="105" t="n"/>
      <c r="C251" s="54" t="n"/>
      <c r="D251" s="54" t="n"/>
      <c r="E251" s="54" t="n"/>
      <c r="F251" s="54" t="n"/>
      <c r="G251" s="65" t="n"/>
      <c r="H251" s="54" t="n"/>
      <c r="I251" s="106">
        <f>IF($C251="","",IFERROR(INDEX(Sens_Types,MATCH($C251,Liste_Types,0)),""))</f>
        <v/>
      </c>
      <c r="J251" s="107">
        <f>IF($I251="▲ ENTRÉE",$U251,"")</f>
        <v/>
      </c>
      <c r="K251" s="108">
        <f>IF($I251="▼ SORTIE",$U251,"")</f>
        <v/>
      </c>
      <c r="L251" s="109">
        <f>$L250+N($J251)-N($K251)</f>
        <v/>
      </c>
      <c r="M251" s="110" t="n"/>
      <c r="N251" s="54" t="n"/>
      <c r="O251" s="54" t="n"/>
      <c r="P251" s="54" t="n"/>
      <c r="Q251" s="110" t="n"/>
      <c r="R251" s="110" t="n"/>
      <c r="S251" s="54" t="n"/>
      <c r="T251" s="111">
        <f>IF($G251="","",IFERROR(INDEX(Taux_Devises,MATCH(IF($M251="",Devise_Base,$M251),Codes_Devises,0)),1))</f>
        <v/>
      </c>
      <c r="U251" s="112">
        <f>IF($G251="","",ROUND($G251*$T251,2))</f>
        <v/>
      </c>
      <c r="V251" s="113">
        <f>IF($B251="","",MONTH($B251))</f>
        <v/>
      </c>
      <c r="W251" s="113">
        <f>IF($B251="","",YEAR($B251))</f>
        <v/>
      </c>
    </row>
    <row r="252">
      <c r="B252" s="105" t="n"/>
      <c r="C252" s="54" t="n"/>
      <c r="D252" s="54" t="n"/>
      <c r="E252" s="54" t="n"/>
      <c r="F252" s="54" t="n"/>
      <c r="G252" s="65" t="n"/>
      <c r="H252" s="54" t="n"/>
      <c r="I252" s="106">
        <f>IF($C252="","",IFERROR(INDEX(Sens_Types,MATCH($C252,Liste_Types,0)),""))</f>
        <v/>
      </c>
      <c r="J252" s="107">
        <f>IF($I252="▲ ENTRÉE",$U252,"")</f>
        <v/>
      </c>
      <c r="K252" s="108">
        <f>IF($I252="▼ SORTIE",$U252,"")</f>
        <v/>
      </c>
      <c r="L252" s="109">
        <f>$L251+N($J252)-N($K252)</f>
        <v/>
      </c>
      <c r="M252" s="110" t="n"/>
      <c r="N252" s="54" t="n"/>
      <c r="O252" s="54" t="n"/>
      <c r="P252" s="54" t="n"/>
      <c r="Q252" s="110" t="n"/>
      <c r="R252" s="110" t="n"/>
      <c r="S252" s="54" t="n"/>
      <c r="T252" s="111">
        <f>IF($G252="","",IFERROR(INDEX(Taux_Devises,MATCH(IF($M252="",Devise_Base,$M252),Codes_Devises,0)),1))</f>
        <v/>
      </c>
      <c r="U252" s="112">
        <f>IF($G252="","",ROUND($G252*$T252,2))</f>
        <v/>
      </c>
      <c r="V252" s="113">
        <f>IF($B252="","",MONTH($B252))</f>
        <v/>
      </c>
      <c r="W252" s="113">
        <f>IF($B252="","",YEAR($B252))</f>
        <v/>
      </c>
    </row>
    <row r="253">
      <c r="B253" s="105" t="n"/>
      <c r="C253" s="54" t="n"/>
      <c r="D253" s="54" t="n"/>
      <c r="E253" s="54" t="n"/>
      <c r="F253" s="54" t="n"/>
      <c r="G253" s="65" t="n"/>
      <c r="H253" s="54" t="n"/>
      <c r="I253" s="106">
        <f>IF($C253="","",IFERROR(INDEX(Sens_Types,MATCH($C253,Liste_Types,0)),""))</f>
        <v/>
      </c>
      <c r="J253" s="107">
        <f>IF($I253="▲ ENTRÉE",$U253,"")</f>
        <v/>
      </c>
      <c r="K253" s="108">
        <f>IF($I253="▼ SORTIE",$U253,"")</f>
        <v/>
      </c>
      <c r="L253" s="109">
        <f>$L252+N($J253)-N($K253)</f>
        <v/>
      </c>
      <c r="M253" s="110" t="n"/>
      <c r="N253" s="54" t="n"/>
      <c r="O253" s="54" t="n"/>
      <c r="P253" s="54" t="n"/>
      <c r="Q253" s="110" t="n"/>
      <c r="R253" s="110" t="n"/>
      <c r="S253" s="54" t="n"/>
      <c r="T253" s="111">
        <f>IF($G253="","",IFERROR(INDEX(Taux_Devises,MATCH(IF($M253="",Devise_Base,$M253),Codes_Devises,0)),1))</f>
        <v/>
      </c>
      <c r="U253" s="112">
        <f>IF($G253="","",ROUND($G253*$T253,2))</f>
        <v/>
      </c>
      <c r="V253" s="113">
        <f>IF($B253="","",MONTH($B253))</f>
        <v/>
      </c>
      <c r="W253" s="113">
        <f>IF($B253="","",YEAR($B253))</f>
        <v/>
      </c>
    </row>
    <row r="254">
      <c r="B254" s="105" t="n"/>
      <c r="C254" s="54" t="n"/>
      <c r="D254" s="54" t="n"/>
      <c r="E254" s="54" t="n"/>
      <c r="F254" s="54" t="n"/>
      <c r="G254" s="65" t="n"/>
      <c r="H254" s="54" t="n"/>
      <c r="I254" s="106">
        <f>IF($C254="","",IFERROR(INDEX(Sens_Types,MATCH($C254,Liste_Types,0)),""))</f>
        <v/>
      </c>
      <c r="J254" s="107">
        <f>IF($I254="▲ ENTRÉE",$U254,"")</f>
        <v/>
      </c>
      <c r="K254" s="108">
        <f>IF($I254="▼ SORTIE",$U254,"")</f>
        <v/>
      </c>
      <c r="L254" s="109">
        <f>$L253+N($J254)-N($K254)</f>
        <v/>
      </c>
      <c r="M254" s="110" t="n"/>
      <c r="N254" s="54" t="n"/>
      <c r="O254" s="54" t="n"/>
      <c r="P254" s="54" t="n"/>
      <c r="Q254" s="110" t="n"/>
      <c r="R254" s="110" t="n"/>
      <c r="S254" s="54" t="n"/>
      <c r="T254" s="111">
        <f>IF($G254="","",IFERROR(INDEX(Taux_Devises,MATCH(IF($M254="",Devise_Base,$M254),Codes_Devises,0)),1))</f>
        <v/>
      </c>
      <c r="U254" s="112">
        <f>IF($G254="","",ROUND($G254*$T254,2))</f>
        <v/>
      </c>
      <c r="V254" s="113">
        <f>IF($B254="","",MONTH($B254))</f>
        <v/>
      </c>
      <c r="W254" s="113">
        <f>IF($B254="","",YEAR($B254))</f>
        <v/>
      </c>
    </row>
    <row r="255">
      <c r="B255" s="105" t="n"/>
      <c r="C255" s="54" t="n"/>
      <c r="D255" s="54" t="n"/>
      <c r="E255" s="54" t="n"/>
      <c r="F255" s="54" t="n"/>
      <c r="G255" s="65" t="n"/>
      <c r="H255" s="54" t="n"/>
      <c r="I255" s="106">
        <f>IF($C255="","",IFERROR(INDEX(Sens_Types,MATCH($C255,Liste_Types,0)),""))</f>
        <v/>
      </c>
      <c r="J255" s="107">
        <f>IF($I255="▲ ENTRÉE",$U255,"")</f>
        <v/>
      </c>
      <c r="K255" s="108">
        <f>IF($I255="▼ SORTIE",$U255,"")</f>
        <v/>
      </c>
      <c r="L255" s="109">
        <f>$L254+N($J255)-N($K255)</f>
        <v/>
      </c>
      <c r="M255" s="110" t="n"/>
      <c r="N255" s="54" t="n"/>
      <c r="O255" s="54" t="n"/>
      <c r="P255" s="54" t="n"/>
      <c r="Q255" s="110" t="n"/>
      <c r="R255" s="110" t="n"/>
      <c r="S255" s="54" t="n"/>
      <c r="T255" s="111">
        <f>IF($G255="","",IFERROR(INDEX(Taux_Devises,MATCH(IF($M255="",Devise_Base,$M255),Codes_Devises,0)),1))</f>
        <v/>
      </c>
      <c r="U255" s="112">
        <f>IF($G255="","",ROUND($G255*$T255,2))</f>
        <v/>
      </c>
      <c r="V255" s="113">
        <f>IF($B255="","",MONTH($B255))</f>
        <v/>
      </c>
      <c r="W255" s="113">
        <f>IF($B255="","",YEAR($B255))</f>
        <v/>
      </c>
    </row>
    <row r="256">
      <c r="B256" s="105" t="n"/>
      <c r="C256" s="54" t="n"/>
      <c r="D256" s="54" t="n"/>
      <c r="E256" s="54" t="n"/>
      <c r="F256" s="54" t="n"/>
      <c r="G256" s="65" t="n"/>
      <c r="H256" s="54" t="n"/>
      <c r="I256" s="106">
        <f>IF($C256="","",IFERROR(INDEX(Sens_Types,MATCH($C256,Liste_Types,0)),""))</f>
        <v/>
      </c>
      <c r="J256" s="107">
        <f>IF($I256="▲ ENTRÉE",$U256,"")</f>
        <v/>
      </c>
      <c r="K256" s="108">
        <f>IF($I256="▼ SORTIE",$U256,"")</f>
        <v/>
      </c>
      <c r="L256" s="109">
        <f>$L255+N($J256)-N($K256)</f>
        <v/>
      </c>
      <c r="M256" s="110" t="n"/>
      <c r="N256" s="54" t="n"/>
      <c r="O256" s="54" t="n"/>
      <c r="P256" s="54" t="n"/>
      <c r="Q256" s="110" t="n"/>
      <c r="R256" s="110" t="n"/>
      <c r="S256" s="54" t="n"/>
      <c r="T256" s="111">
        <f>IF($G256="","",IFERROR(INDEX(Taux_Devises,MATCH(IF($M256="",Devise_Base,$M256),Codes_Devises,0)),1))</f>
        <v/>
      </c>
      <c r="U256" s="112">
        <f>IF($G256="","",ROUND($G256*$T256,2))</f>
        <v/>
      </c>
      <c r="V256" s="113">
        <f>IF($B256="","",MONTH($B256))</f>
        <v/>
      </c>
      <c r="W256" s="113">
        <f>IF($B256="","",YEAR($B256))</f>
        <v/>
      </c>
    </row>
    <row r="257">
      <c r="B257" s="105" t="n"/>
      <c r="C257" s="54" t="n"/>
      <c r="D257" s="54" t="n"/>
      <c r="E257" s="54" t="n"/>
      <c r="F257" s="54" t="n"/>
      <c r="G257" s="65" t="n"/>
      <c r="H257" s="54" t="n"/>
      <c r="I257" s="106">
        <f>IF($C257="","",IFERROR(INDEX(Sens_Types,MATCH($C257,Liste_Types,0)),""))</f>
        <v/>
      </c>
      <c r="J257" s="107">
        <f>IF($I257="▲ ENTRÉE",$U257,"")</f>
        <v/>
      </c>
      <c r="K257" s="108">
        <f>IF($I257="▼ SORTIE",$U257,"")</f>
        <v/>
      </c>
      <c r="L257" s="109">
        <f>$L256+N($J257)-N($K257)</f>
        <v/>
      </c>
      <c r="M257" s="110" t="n"/>
      <c r="N257" s="54" t="n"/>
      <c r="O257" s="54" t="n"/>
      <c r="P257" s="54" t="n"/>
      <c r="Q257" s="110" t="n"/>
      <c r="R257" s="110" t="n"/>
      <c r="S257" s="54" t="n"/>
      <c r="T257" s="111">
        <f>IF($G257="","",IFERROR(INDEX(Taux_Devises,MATCH(IF($M257="",Devise_Base,$M257),Codes_Devises,0)),1))</f>
        <v/>
      </c>
      <c r="U257" s="112">
        <f>IF($G257="","",ROUND($G257*$T257,2))</f>
        <v/>
      </c>
      <c r="V257" s="113">
        <f>IF($B257="","",MONTH($B257))</f>
        <v/>
      </c>
      <c r="W257" s="113">
        <f>IF($B257="","",YEAR($B257))</f>
        <v/>
      </c>
    </row>
    <row r="258">
      <c r="B258" s="105" t="n"/>
      <c r="C258" s="54" t="n"/>
      <c r="D258" s="54" t="n"/>
      <c r="E258" s="54" t="n"/>
      <c r="F258" s="54" t="n"/>
      <c r="G258" s="65" t="n"/>
      <c r="H258" s="54" t="n"/>
      <c r="I258" s="106">
        <f>IF($C258="","",IFERROR(INDEX(Sens_Types,MATCH($C258,Liste_Types,0)),""))</f>
        <v/>
      </c>
      <c r="J258" s="107">
        <f>IF($I258="▲ ENTRÉE",$U258,"")</f>
        <v/>
      </c>
      <c r="K258" s="108">
        <f>IF($I258="▼ SORTIE",$U258,"")</f>
        <v/>
      </c>
      <c r="L258" s="109">
        <f>$L257+N($J258)-N($K258)</f>
        <v/>
      </c>
      <c r="M258" s="110" t="n"/>
      <c r="N258" s="54" t="n"/>
      <c r="O258" s="54" t="n"/>
      <c r="P258" s="54" t="n"/>
      <c r="Q258" s="110" t="n"/>
      <c r="R258" s="110" t="n"/>
      <c r="S258" s="54" t="n"/>
      <c r="T258" s="111">
        <f>IF($G258="","",IFERROR(INDEX(Taux_Devises,MATCH(IF($M258="",Devise_Base,$M258),Codes_Devises,0)),1))</f>
        <v/>
      </c>
      <c r="U258" s="112">
        <f>IF($G258="","",ROUND($G258*$T258,2))</f>
        <v/>
      </c>
      <c r="V258" s="113">
        <f>IF($B258="","",MONTH($B258))</f>
        <v/>
      </c>
      <c r="W258" s="113">
        <f>IF($B258="","",YEAR($B258))</f>
        <v/>
      </c>
    </row>
    <row r="259">
      <c r="B259" s="105" t="n"/>
      <c r="C259" s="54" t="n"/>
      <c r="D259" s="54" t="n"/>
      <c r="E259" s="54" t="n"/>
      <c r="F259" s="54" t="n"/>
      <c r="G259" s="65" t="n"/>
      <c r="H259" s="54" t="n"/>
      <c r="I259" s="106">
        <f>IF($C259="","",IFERROR(INDEX(Sens_Types,MATCH($C259,Liste_Types,0)),""))</f>
        <v/>
      </c>
      <c r="J259" s="107">
        <f>IF($I259="▲ ENTRÉE",$U259,"")</f>
        <v/>
      </c>
      <c r="K259" s="108">
        <f>IF($I259="▼ SORTIE",$U259,"")</f>
        <v/>
      </c>
      <c r="L259" s="109">
        <f>$L258+N($J259)-N($K259)</f>
        <v/>
      </c>
      <c r="M259" s="110" t="n"/>
      <c r="N259" s="54" t="n"/>
      <c r="O259" s="54" t="n"/>
      <c r="P259" s="54" t="n"/>
      <c r="Q259" s="110" t="n"/>
      <c r="R259" s="110" t="n"/>
      <c r="S259" s="54" t="n"/>
      <c r="T259" s="111">
        <f>IF($G259="","",IFERROR(INDEX(Taux_Devises,MATCH(IF($M259="",Devise_Base,$M259),Codes_Devises,0)),1))</f>
        <v/>
      </c>
      <c r="U259" s="112">
        <f>IF($G259="","",ROUND($G259*$T259,2))</f>
        <v/>
      </c>
      <c r="V259" s="113">
        <f>IF($B259="","",MONTH($B259))</f>
        <v/>
      </c>
      <c r="W259" s="113">
        <f>IF($B259="","",YEAR($B259))</f>
        <v/>
      </c>
    </row>
    <row r="260">
      <c r="B260" s="105" t="n"/>
      <c r="C260" s="54" t="n"/>
      <c r="D260" s="54" t="n"/>
      <c r="E260" s="54" t="n"/>
      <c r="F260" s="54" t="n"/>
      <c r="G260" s="65" t="n"/>
      <c r="H260" s="54" t="n"/>
      <c r="I260" s="106">
        <f>IF($C260="","",IFERROR(INDEX(Sens_Types,MATCH($C260,Liste_Types,0)),""))</f>
        <v/>
      </c>
      <c r="J260" s="107">
        <f>IF($I260="▲ ENTRÉE",$U260,"")</f>
        <v/>
      </c>
      <c r="K260" s="108">
        <f>IF($I260="▼ SORTIE",$U260,"")</f>
        <v/>
      </c>
      <c r="L260" s="109">
        <f>$L259+N($J260)-N($K260)</f>
        <v/>
      </c>
      <c r="M260" s="110" t="n"/>
      <c r="N260" s="54" t="n"/>
      <c r="O260" s="54" t="n"/>
      <c r="P260" s="54" t="n"/>
      <c r="Q260" s="110" t="n"/>
      <c r="R260" s="110" t="n"/>
      <c r="S260" s="54" t="n"/>
      <c r="T260" s="111">
        <f>IF($G260="","",IFERROR(INDEX(Taux_Devises,MATCH(IF($M260="",Devise_Base,$M260),Codes_Devises,0)),1))</f>
        <v/>
      </c>
      <c r="U260" s="112">
        <f>IF($G260="","",ROUND($G260*$T260,2))</f>
        <v/>
      </c>
      <c r="V260" s="113">
        <f>IF($B260="","",MONTH($B260))</f>
        <v/>
      </c>
      <c r="W260" s="113">
        <f>IF($B260="","",YEAR($B260))</f>
        <v/>
      </c>
    </row>
    <row r="261">
      <c r="B261" s="105" t="n"/>
      <c r="C261" s="54" t="n"/>
      <c r="D261" s="54" t="n"/>
      <c r="E261" s="54" t="n"/>
      <c r="F261" s="54" t="n"/>
      <c r="G261" s="65" t="n"/>
      <c r="H261" s="54" t="n"/>
      <c r="I261" s="106">
        <f>IF($C261="","",IFERROR(INDEX(Sens_Types,MATCH($C261,Liste_Types,0)),""))</f>
        <v/>
      </c>
      <c r="J261" s="107">
        <f>IF($I261="▲ ENTRÉE",$U261,"")</f>
        <v/>
      </c>
      <c r="K261" s="108">
        <f>IF($I261="▼ SORTIE",$U261,"")</f>
        <v/>
      </c>
      <c r="L261" s="109">
        <f>$L260+N($J261)-N($K261)</f>
        <v/>
      </c>
      <c r="M261" s="110" t="n"/>
      <c r="N261" s="54" t="n"/>
      <c r="O261" s="54" t="n"/>
      <c r="P261" s="54" t="n"/>
      <c r="Q261" s="110" t="n"/>
      <c r="R261" s="110" t="n"/>
      <c r="S261" s="54" t="n"/>
      <c r="T261" s="111">
        <f>IF($G261="","",IFERROR(INDEX(Taux_Devises,MATCH(IF($M261="",Devise_Base,$M261),Codes_Devises,0)),1))</f>
        <v/>
      </c>
      <c r="U261" s="112">
        <f>IF($G261="","",ROUND($G261*$T261,2))</f>
        <v/>
      </c>
      <c r="V261" s="113">
        <f>IF($B261="","",MONTH($B261))</f>
        <v/>
      </c>
      <c r="W261" s="113">
        <f>IF($B261="","",YEAR($B261))</f>
        <v/>
      </c>
    </row>
    <row r="262">
      <c r="B262" s="105" t="n"/>
      <c r="C262" s="54" t="n"/>
      <c r="D262" s="54" t="n"/>
      <c r="E262" s="54" t="n"/>
      <c r="F262" s="54" t="n"/>
      <c r="G262" s="65" t="n"/>
      <c r="H262" s="54" t="n"/>
      <c r="I262" s="106">
        <f>IF($C262="","",IFERROR(INDEX(Sens_Types,MATCH($C262,Liste_Types,0)),""))</f>
        <v/>
      </c>
      <c r="J262" s="107">
        <f>IF($I262="▲ ENTRÉE",$U262,"")</f>
        <v/>
      </c>
      <c r="K262" s="108">
        <f>IF($I262="▼ SORTIE",$U262,"")</f>
        <v/>
      </c>
      <c r="L262" s="109">
        <f>$L261+N($J262)-N($K262)</f>
        <v/>
      </c>
      <c r="M262" s="110" t="n"/>
      <c r="N262" s="54" t="n"/>
      <c r="O262" s="54" t="n"/>
      <c r="P262" s="54" t="n"/>
      <c r="Q262" s="110" t="n"/>
      <c r="R262" s="110" t="n"/>
      <c r="S262" s="54" t="n"/>
      <c r="T262" s="111">
        <f>IF($G262="","",IFERROR(INDEX(Taux_Devises,MATCH(IF($M262="",Devise_Base,$M262),Codes_Devises,0)),1))</f>
        <v/>
      </c>
      <c r="U262" s="112">
        <f>IF($G262="","",ROUND($G262*$T262,2))</f>
        <v/>
      </c>
      <c r="V262" s="113">
        <f>IF($B262="","",MONTH($B262))</f>
        <v/>
      </c>
      <c r="W262" s="113">
        <f>IF($B262="","",YEAR($B262))</f>
        <v/>
      </c>
    </row>
    <row r="263">
      <c r="B263" s="105" t="n"/>
      <c r="C263" s="54" t="n"/>
      <c r="D263" s="54" t="n"/>
      <c r="E263" s="54" t="n"/>
      <c r="F263" s="54" t="n"/>
      <c r="G263" s="65" t="n"/>
      <c r="H263" s="54" t="n"/>
      <c r="I263" s="106">
        <f>IF($C263="","",IFERROR(INDEX(Sens_Types,MATCH($C263,Liste_Types,0)),""))</f>
        <v/>
      </c>
      <c r="J263" s="107">
        <f>IF($I263="▲ ENTRÉE",$U263,"")</f>
        <v/>
      </c>
      <c r="K263" s="108">
        <f>IF($I263="▼ SORTIE",$U263,"")</f>
        <v/>
      </c>
      <c r="L263" s="109">
        <f>$L262+N($J263)-N($K263)</f>
        <v/>
      </c>
      <c r="M263" s="110" t="n"/>
      <c r="N263" s="54" t="n"/>
      <c r="O263" s="54" t="n"/>
      <c r="P263" s="54" t="n"/>
      <c r="Q263" s="110" t="n"/>
      <c r="R263" s="110" t="n"/>
      <c r="S263" s="54" t="n"/>
      <c r="T263" s="111">
        <f>IF($G263="","",IFERROR(INDEX(Taux_Devises,MATCH(IF($M263="",Devise_Base,$M263),Codes_Devises,0)),1))</f>
        <v/>
      </c>
      <c r="U263" s="112">
        <f>IF($G263="","",ROUND($G263*$T263,2))</f>
        <v/>
      </c>
      <c r="V263" s="113">
        <f>IF($B263="","",MONTH($B263))</f>
        <v/>
      </c>
      <c r="W263" s="113">
        <f>IF($B263="","",YEAR($B263))</f>
        <v/>
      </c>
    </row>
    <row r="264">
      <c r="B264" s="105" t="n"/>
      <c r="C264" s="54" t="n"/>
      <c r="D264" s="54" t="n"/>
      <c r="E264" s="54" t="n"/>
      <c r="F264" s="54" t="n"/>
      <c r="G264" s="65" t="n"/>
      <c r="H264" s="54" t="n"/>
      <c r="I264" s="106">
        <f>IF($C264="","",IFERROR(INDEX(Sens_Types,MATCH($C264,Liste_Types,0)),""))</f>
        <v/>
      </c>
      <c r="J264" s="107">
        <f>IF($I264="▲ ENTRÉE",$U264,"")</f>
        <v/>
      </c>
      <c r="K264" s="108">
        <f>IF($I264="▼ SORTIE",$U264,"")</f>
        <v/>
      </c>
      <c r="L264" s="109">
        <f>$L263+N($J264)-N($K264)</f>
        <v/>
      </c>
      <c r="M264" s="110" t="n"/>
      <c r="N264" s="54" t="n"/>
      <c r="O264" s="54" t="n"/>
      <c r="P264" s="54" t="n"/>
      <c r="Q264" s="110" t="n"/>
      <c r="R264" s="110" t="n"/>
      <c r="S264" s="54" t="n"/>
      <c r="T264" s="111">
        <f>IF($G264="","",IFERROR(INDEX(Taux_Devises,MATCH(IF($M264="",Devise_Base,$M264),Codes_Devises,0)),1))</f>
        <v/>
      </c>
      <c r="U264" s="112">
        <f>IF($G264="","",ROUND($G264*$T264,2))</f>
        <v/>
      </c>
      <c r="V264" s="113">
        <f>IF($B264="","",MONTH($B264))</f>
        <v/>
      </c>
      <c r="W264" s="113">
        <f>IF($B264="","",YEAR($B264))</f>
        <v/>
      </c>
    </row>
    <row r="265">
      <c r="B265" s="105" t="n"/>
      <c r="C265" s="54" t="n"/>
      <c r="D265" s="54" t="n"/>
      <c r="E265" s="54" t="n"/>
      <c r="F265" s="54" t="n"/>
      <c r="G265" s="65" t="n"/>
      <c r="H265" s="54" t="n"/>
      <c r="I265" s="106">
        <f>IF($C265="","",IFERROR(INDEX(Sens_Types,MATCH($C265,Liste_Types,0)),""))</f>
        <v/>
      </c>
      <c r="J265" s="107">
        <f>IF($I265="▲ ENTRÉE",$U265,"")</f>
        <v/>
      </c>
      <c r="K265" s="108">
        <f>IF($I265="▼ SORTIE",$U265,"")</f>
        <v/>
      </c>
      <c r="L265" s="109">
        <f>$L264+N($J265)-N($K265)</f>
        <v/>
      </c>
      <c r="M265" s="110" t="n"/>
      <c r="N265" s="54" t="n"/>
      <c r="O265" s="54" t="n"/>
      <c r="P265" s="54" t="n"/>
      <c r="Q265" s="110" t="n"/>
      <c r="R265" s="110" t="n"/>
      <c r="S265" s="54" t="n"/>
      <c r="T265" s="111">
        <f>IF($G265="","",IFERROR(INDEX(Taux_Devises,MATCH(IF($M265="",Devise_Base,$M265),Codes_Devises,0)),1))</f>
        <v/>
      </c>
      <c r="U265" s="112">
        <f>IF($G265="","",ROUND($G265*$T265,2))</f>
        <v/>
      </c>
      <c r="V265" s="113">
        <f>IF($B265="","",MONTH($B265))</f>
        <v/>
      </c>
      <c r="W265" s="113">
        <f>IF($B265="","",YEAR($B265))</f>
        <v/>
      </c>
    </row>
    <row r="266">
      <c r="B266" s="105" t="n"/>
      <c r="C266" s="54" t="n"/>
      <c r="D266" s="54" t="n"/>
      <c r="E266" s="54" t="n"/>
      <c r="F266" s="54" t="n"/>
      <c r="G266" s="65" t="n"/>
      <c r="H266" s="54" t="n"/>
      <c r="I266" s="106">
        <f>IF($C266="","",IFERROR(INDEX(Sens_Types,MATCH($C266,Liste_Types,0)),""))</f>
        <v/>
      </c>
      <c r="J266" s="107">
        <f>IF($I266="▲ ENTRÉE",$U266,"")</f>
        <v/>
      </c>
      <c r="K266" s="108">
        <f>IF($I266="▼ SORTIE",$U266,"")</f>
        <v/>
      </c>
      <c r="L266" s="109">
        <f>$L265+N($J266)-N($K266)</f>
        <v/>
      </c>
      <c r="M266" s="110" t="n"/>
      <c r="N266" s="54" t="n"/>
      <c r="O266" s="54" t="n"/>
      <c r="P266" s="54" t="n"/>
      <c r="Q266" s="110" t="n"/>
      <c r="R266" s="110" t="n"/>
      <c r="S266" s="54" t="n"/>
      <c r="T266" s="111">
        <f>IF($G266="","",IFERROR(INDEX(Taux_Devises,MATCH(IF($M266="",Devise_Base,$M266),Codes_Devises,0)),1))</f>
        <v/>
      </c>
      <c r="U266" s="112">
        <f>IF($G266="","",ROUND($G266*$T266,2))</f>
        <v/>
      </c>
      <c r="V266" s="113">
        <f>IF($B266="","",MONTH($B266))</f>
        <v/>
      </c>
      <c r="W266" s="113">
        <f>IF($B266="","",YEAR($B266))</f>
        <v/>
      </c>
    </row>
    <row r="267">
      <c r="B267" s="105" t="n"/>
      <c r="C267" s="54" t="n"/>
      <c r="D267" s="54" t="n"/>
      <c r="E267" s="54" t="n"/>
      <c r="F267" s="54" t="n"/>
      <c r="G267" s="65" t="n"/>
      <c r="H267" s="54" t="n"/>
      <c r="I267" s="106">
        <f>IF($C267="","",IFERROR(INDEX(Sens_Types,MATCH($C267,Liste_Types,0)),""))</f>
        <v/>
      </c>
      <c r="J267" s="107">
        <f>IF($I267="▲ ENTRÉE",$U267,"")</f>
        <v/>
      </c>
      <c r="K267" s="108">
        <f>IF($I267="▼ SORTIE",$U267,"")</f>
        <v/>
      </c>
      <c r="L267" s="109">
        <f>$L266+N($J267)-N($K267)</f>
        <v/>
      </c>
      <c r="M267" s="110" t="n"/>
      <c r="N267" s="54" t="n"/>
      <c r="O267" s="54" t="n"/>
      <c r="P267" s="54" t="n"/>
      <c r="Q267" s="110" t="n"/>
      <c r="R267" s="110" t="n"/>
      <c r="S267" s="54" t="n"/>
      <c r="T267" s="111">
        <f>IF($G267="","",IFERROR(INDEX(Taux_Devises,MATCH(IF($M267="",Devise_Base,$M267),Codes_Devises,0)),1))</f>
        <v/>
      </c>
      <c r="U267" s="112">
        <f>IF($G267="","",ROUND($G267*$T267,2))</f>
        <v/>
      </c>
      <c r="V267" s="113">
        <f>IF($B267="","",MONTH($B267))</f>
        <v/>
      </c>
      <c r="W267" s="113">
        <f>IF($B267="","",YEAR($B267))</f>
        <v/>
      </c>
    </row>
    <row r="268">
      <c r="B268" s="105" t="n"/>
      <c r="C268" s="54" t="n"/>
      <c r="D268" s="54" t="n"/>
      <c r="E268" s="54" t="n"/>
      <c r="F268" s="54" t="n"/>
      <c r="G268" s="65" t="n"/>
      <c r="H268" s="54" t="n"/>
      <c r="I268" s="106">
        <f>IF($C268="","",IFERROR(INDEX(Sens_Types,MATCH($C268,Liste_Types,0)),""))</f>
        <v/>
      </c>
      <c r="J268" s="107">
        <f>IF($I268="▲ ENTRÉE",$U268,"")</f>
        <v/>
      </c>
      <c r="K268" s="108">
        <f>IF($I268="▼ SORTIE",$U268,"")</f>
        <v/>
      </c>
      <c r="L268" s="109">
        <f>$L267+N($J268)-N($K268)</f>
        <v/>
      </c>
      <c r="M268" s="110" t="n"/>
      <c r="N268" s="54" t="n"/>
      <c r="O268" s="54" t="n"/>
      <c r="P268" s="54" t="n"/>
      <c r="Q268" s="110" t="n"/>
      <c r="R268" s="110" t="n"/>
      <c r="S268" s="54" t="n"/>
      <c r="T268" s="111">
        <f>IF($G268="","",IFERROR(INDEX(Taux_Devises,MATCH(IF($M268="",Devise_Base,$M268),Codes_Devises,0)),1))</f>
        <v/>
      </c>
      <c r="U268" s="112">
        <f>IF($G268="","",ROUND($G268*$T268,2))</f>
        <v/>
      </c>
      <c r="V268" s="113">
        <f>IF($B268="","",MONTH($B268))</f>
        <v/>
      </c>
      <c r="W268" s="113">
        <f>IF($B268="","",YEAR($B268))</f>
        <v/>
      </c>
    </row>
    <row r="269">
      <c r="B269" s="105" t="n"/>
      <c r="C269" s="54" t="n"/>
      <c r="D269" s="54" t="n"/>
      <c r="E269" s="54" t="n"/>
      <c r="F269" s="54" t="n"/>
      <c r="G269" s="65" t="n"/>
      <c r="H269" s="54" t="n"/>
      <c r="I269" s="106">
        <f>IF($C269="","",IFERROR(INDEX(Sens_Types,MATCH($C269,Liste_Types,0)),""))</f>
        <v/>
      </c>
      <c r="J269" s="107">
        <f>IF($I269="▲ ENTRÉE",$U269,"")</f>
        <v/>
      </c>
      <c r="K269" s="108">
        <f>IF($I269="▼ SORTIE",$U269,"")</f>
        <v/>
      </c>
      <c r="L269" s="109">
        <f>$L268+N($J269)-N($K269)</f>
        <v/>
      </c>
      <c r="M269" s="110" t="n"/>
      <c r="N269" s="54" t="n"/>
      <c r="O269" s="54" t="n"/>
      <c r="P269" s="54" t="n"/>
      <c r="Q269" s="110" t="n"/>
      <c r="R269" s="110" t="n"/>
      <c r="S269" s="54" t="n"/>
      <c r="T269" s="111">
        <f>IF($G269="","",IFERROR(INDEX(Taux_Devises,MATCH(IF($M269="",Devise_Base,$M269),Codes_Devises,0)),1))</f>
        <v/>
      </c>
      <c r="U269" s="112">
        <f>IF($G269="","",ROUND($G269*$T269,2))</f>
        <v/>
      </c>
      <c r="V269" s="113">
        <f>IF($B269="","",MONTH($B269))</f>
        <v/>
      </c>
      <c r="W269" s="113">
        <f>IF($B269="","",YEAR($B269))</f>
        <v/>
      </c>
    </row>
    <row r="270">
      <c r="B270" s="105" t="n"/>
      <c r="C270" s="54" t="n"/>
      <c r="D270" s="54" t="n"/>
      <c r="E270" s="54" t="n"/>
      <c r="F270" s="54" t="n"/>
      <c r="G270" s="65" t="n"/>
      <c r="H270" s="54" t="n"/>
      <c r="I270" s="106">
        <f>IF($C270="","",IFERROR(INDEX(Sens_Types,MATCH($C270,Liste_Types,0)),""))</f>
        <v/>
      </c>
      <c r="J270" s="107">
        <f>IF($I270="▲ ENTRÉE",$U270,"")</f>
        <v/>
      </c>
      <c r="K270" s="108">
        <f>IF($I270="▼ SORTIE",$U270,"")</f>
        <v/>
      </c>
      <c r="L270" s="109">
        <f>$L269+N($J270)-N($K270)</f>
        <v/>
      </c>
      <c r="M270" s="110" t="n"/>
      <c r="N270" s="54" t="n"/>
      <c r="O270" s="54" t="n"/>
      <c r="P270" s="54" t="n"/>
      <c r="Q270" s="110" t="n"/>
      <c r="R270" s="110" t="n"/>
      <c r="S270" s="54" t="n"/>
      <c r="T270" s="111">
        <f>IF($G270="","",IFERROR(INDEX(Taux_Devises,MATCH(IF($M270="",Devise_Base,$M270),Codes_Devises,0)),1))</f>
        <v/>
      </c>
      <c r="U270" s="112">
        <f>IF($G270="","",ROUND($G270*$T270,2))</f>
        <v/>
      </c>
      <c r="V270" s="113">
        <f>IF($B270="","",MONTH($B270))</f>
        <v/>
      </c>
      <c r="W270" s="113">
        <f>IF($B270="","",YEAR($B270))</f>
        <v/>
      </c>
    </row>
    <row r="271">
      <c r="B271" s="105" t="n"/>
      <c r="C271" s="54" t="n"/>
      <c r="D271" s="54" t="n"/>
      <c r="E271" s="54" t="n"/>
      <c r="F271" s="54" t="n"/>
      <c r="G271" s="65" t="n"/>
      <c r="H271" s="54" t="n"/>
      <c r="I271" s="106">
        <f>IF($C271="","",IFERROR(INDEX(Sens_Types,MATCH($C271,Liste_Types,0)),""))</f>
        <v/>
      </c>
      <c r="J271" s="107">
        <f>IF($I271="▲ ENTRÉE",$U271,"")</f>
        <v/>
      </c>
      <c r="K271" s="108">
        <f>IF($I271="▼ SORTIE",$U271,"")</f>
        <v/>
      </c>
      <c r="L271" s="109">
        <f>$L270+N($J271)-N($K271)</f>
        <v/>
      </c>
      <c r="M271" s="110" t="n"/>
      <c r="N271" s="54" t="n"/>
      <c r="O271" s="54" t="n"/>
      <c r="P271" s="54" t="n"/>
      <c r="Q271" s="110" t="n"/>
      <c r="R271" s="110" t="n"/>
      <c r="S271" s="54" t="n"/>
      <c r="T271" s="111">
        <f>IF($G271="","",IFERROR(INDEX(Taux_Devises,MATCH(IF($M271="",Devise_Base,$M271),Codes_Devises,0)),1))</f>
        <v/>
      </c>
      <c r="U271" s="112">
        <f>IF($G271="","",ROUND($G271*$T271,2))</f>
        <v/>
      </c>
      <c r="V271" s="113">
        <f>IF($B271="","",MONTH($B271))</f>
        <v/>
      </c>
      <c r="W271" s="113">
        <f>IF($B271="","",YEAR($B271))</f>
        <v/>
      </c>
    </row>
    <row r="272">
      <c r="B272" s="105" t="n"/>
      <c r="C272" s="54" t="n"/>
      <c r="D272" s="54" t="n"/>
      <c r="E272" s="54" t="n"/>
      <c r="F272" s="54" t="n"/>
      <c r="G272" s="65" t="n"/>
      <c r="H272" s="54" t="n"/>
      <c r="I272" s="106">
        <f>IF($C272="","",IFERROR(INDEX(Sens_Types,MATCH($C272,Liste_Types,0)),""))</f>
        <v/>
      </c>
      <c r="J272" s="107">
        <f>IF($I272="▲ ENTRÉE",$U272,"")</f>
        <v/>
      </c>
      <c r="K272" s="108">
        <f>IF($I272="▼ SORTIE",$U272,"")</f>
        <v/>
      </c>
      <c r="L272" s="109">
        <f>$L271+N($J272)-N($K272)</f>
        <v/>
      </c>
      <c r="M272" s="110" t="n"/>
      <c r="N272" s="54" t="n"/>
      <c r="O272" s="54" t="n"/>
      <c r="P272" s="54" t="n"/>
      <c r="Q272" s="110" t="n"/>
      <c r="R272" s="110" t="n"/>
      <c r="S272" s="54" t="n"/>
      <c r="T272" s="111">
        <f>IF($G272="","",IFERROR(INDEX(Taux_Devises,MATCH(IF($M272="",Devise_Base,$M272),Codes_Devises,0)),1))</f>
        <v/>
      </c>
      <c r="U272" s="112">
        <f>IF($G272="","",ROUND($G272*$T272,2))</f>
        <v/>
      </c>
      <c r="V272" s="113">
        <f>IF($B272="","",MONTH($B272))</f>
        <v/>
      </c>
      <c r="W272" s="113">
        <f>IF($B272="","",YEAR($B272))</f>
        <v/>
      </c>
    </row>
    <row r="273">
      <c r="B273" s="105" t="n"/>
      <c r="C273" s="54" t="n"/>
      <c r="D273" s="54" t="n"/>
      <c r="E273" s="54" t="n"/>
      <c r="F273" s="54" t="n"/>
      <c r="G273" s="65" t="n"/>
      <c r="H273" s="54" t="n"/>
      <c r="I273" s="106">
        <f>IF($C273="","",IFERROR(INDEX(Sens_Types,MATCH($C273,Liste_Types,0)),""))</f>
        <v/>
      </c>
      <c r="J273" s="107">
        <f>IF($I273="▲ ENTRÉE",$U273,"")</f>
        <v/>
      </c>
      <c r="K273" s="108">
        <f>IF($I273="▼ SORTIE",$U273,"")</f>
        <v/>
      </c>
      <c r="L273" s="109">
        <f>$L272+N($J273)-N($K273)</f>
        <v/>
      </c>
      <c r="M273" s="110" t="n"/>
      <c r="N273" s="54" t="n"/>
      <c r="O273" s="54" t="n"/>
      <c r="P273" s="54" t="n"/>
      <c r="Q273" s="110" t="n"/>
      <c r="R273" s="110" t="n"/>
      <c r="S273" s="54" t="n"/>
      <c r="T273" s="111">
        <f>IF($G273="","",IFERROR(INDEX(Taux_Devises,MATCH(IF($M273="",Devise_Base,$M273),Codes_Devises,0)),1))</f>
        <v/>
      </c>
      <c r="U273" s="112">
        <f>IF($G273="","",ROUND($G273*$T273,2))</f>
        <v/>
      </c>
      <c r="V273" s="113">
        <f>IF($B273="","",MONTH($B273))</f>
        <v/>
      </c>
      <c r="W273" s="113">
        <f>IF($B273="","",YEAR($B273))</f>
        <v/>
      </c>
    </row>
    <row r="274">
      <c r="B274" s="105" t="n"/>
      <c r="C274" s="54" t="n"/>
      <c r="D274" s="54" t="n"/>
      <c r="E274" s="54" t="n"/>
      <c r="F274" s="54" t="n"/>
      <c r="G274" s="65" t="n"/>
      <c r="H274" s="54" t="n"/>
      <c r="I274" s="106">
        <f>IF($C274="","",IFERROR(INDEX(Sens_Types,MATCH($C274,Liste_Types,0)),""))</f>
        <v/>
      </c>
      <c r="J274" s="107">
        <f>IF($I274="▲ ENTRÉE",$U274,"")</f>
        <v/>
      </c>
      <c r="K274" s="108">
        <f>IF($I274="▼ SORTIE",$U274,"")</f>
        <v/>
      </c>
      <c r="L274" s="109">
        <f>$L273+N($J274)-N($K274)</f>
        <v/>
      </c>
      <c r="M274" s="110" t="n"/>
      <c r="N274" s="54" t="n"/>
      <c r="O274" s="54" t="n"/>
      <c r="P274" s="54" t="n"/>
      <c r="Q274" s="110" t="n"/>
      <c r="R274" s="110" t="n"/>
      <c r="S274" s="54" t="n"/>
      <c r="T274" s="111">
        <f>IF($G274="","",IFERROR(INDEX(Taux_Devises,MATCH(IF($M274="",Devise_Base,$M274),Codes_Devises,0)),1))</f>
        <v/>
      </c>
      <c r="U274" s="112">
        <f>IF($G274="","",ROUND($G274*$T274,2))</f>
        <v/>
      </c>
      <c r="V274" s="113">
        <f>IF($B274="","",MONTH($B274))</f>
        <v/>
      </c>
      <c r="W274" s="113">
        <f>IF($B274="","",YEAR($B274))</f>
        <v/>
      </c>
    </row>
    <row r="275">
      <c r="B275" s="105" t="n"/>
      <c r="C275" s="54" t="n"/>
      <c r="D275" s="54" t="n"/>
      <c r="E275" s="54" t="n"/>
      <c r="F275" s="54" t="n"/>
      <c r="G275" s="65" t="n"/>
      <c r="H275" s="54" t="n"/>
      <c r="I275" s="106">
        <f>IF($C275="","",IFERROR(INDEX(Sens_Types,MATCH($C275,Liste_Types,0)),""))</f>
        <v/>
      </c>
      <c r="J275" s="107">
        <f>IF($I275="▲ ENTRÉE",$U275,"")</f>
        <v/>
      </c>
      <c r="K275" s="108">
        <f>IF($I275="▼ SORTIE",$U275,"")</f>
        <v/>
      </c>
      <c r="L275" s="109">
        <f>$L274+N($J275)-N($K275)</f>
        <v/>
      </c>
      <c r="M275" s="110" t="n"/>
      <c r="N275" s="54" t="n"/>
      <c r="O275" s="54" t="n"/>
      <c r="P275" s="54" t="n"/>
      <c r="Q275" s="110" t="n"/>
      <c r="R275" s="110" t="n"/>
      <c r="S275" s="54" t="n"/>
      <c r="T275" s="111">
        <f>IF($G275="","",IFERROR(INDEX(Taux_Devises,MATCH(IF($M275="",Devise_Base,$M275),Codes_Devises,0)),1))</f>
        <v/>
      </c>
      <c r="U275" s="112">
        <f>IF($G275="","",ROUND($G275*$T275,2))</f>
        <v/>
      </c>
      <c r="V275" s="113">
        <f>IF($B275="","",MONTH($B275))</f>
        <v/>
      </c>
      <c r="W275" s="113">
        <f>IF($B275="","",YEAR($B275))</f>
        <v/>
      </c>
    </row>
    <row r="276">
      <c r="B276" s="105" t="n"/>
      <c r="C276" s="54" t="n"/>
      <c r="D276" s="54" t="n"/>
      <c r="E276" s="54" t="n"/>
      <c r="F276" s="54" t="n"/>
      <c r="G276" s="65" t="n"/>
      <c r="H276" s="54" t="n"/>
      <c r="I276" s="106">
        <f>IF($C276="","",IFERROR(INDEX(Sens_Types,MATCH($C276,Liste_Types,0)),""))</f>
        <v/>
      </c>
      <c r="J276" s="107">
        <f>IF($I276="▲ ENTRÉE",$U276,"")</f>
        <v/>
      </c>
      <c r="K276" s="108">
        <f>IF($I276="▼ SORTIE",$U276,"")</f>
        <v/>
      </c>
      <c r="L276" s="109">
        <f>$L275+N($J276)-N($K276)</f>
        <v/>
      </c>
      <c r="M276" s="110" t="n"/>
      <c r="N276" s="54" t="n"/>
      <c r="O276" s="54" t="n"/>
      <c r="P276" s="54" t="n"/>
      <c r="Q276" s="110" t="n"/>
      <c r="R276" s="110" t="n"/>
      <c r="S276" s="54" t="n"/>
      <c r="T276" s="111">
        <f>IF($G276="","",IFERROR(INDEX(Taux_Devises,MATCH(IF($M276="",Devise_Base,$M276),Codes_Devises,0)),1))</f>
        <v/>
      </c>
      <c r="U276" s="112">
        <f>IF($G276="","",ROUND($G276*$T276,2))</f>
        <v/>
      </c>
      <c r="V276" s="113">
        <f>IF($B276="","",MONTH($B276))</f>
        <v/>
      </c>
      <c r="W276" s="113">
        <f>IF($B276="","",YEAR($B276))</f>
        <v/>
      </c>
    </row>
    <row r="277">
      <c r="B277" s="105" t="n"/>
      <c r="C277" s="54" t="n"/>
      <c r="D277" s="54" t="n"/>
      <c r="E277" s="54" t="n"/>
      <c r="F277" s="54" t="n"/>
      <c r="G277" s="65" t="n"/>
      <c r="H277" s="54" t="n"/>
      <c r="I277" s="106">
        <f>IF($C277="","",IFERROR(INDEX(Sens_Types,MATCH($C277,Liste_Types,0)),""))</f>
        <v/>
      </c>
      <c r="J277" s="107">
        <f>IF($I277="▲ ENTRÉE",$U277,"")</f>
        <v/>
      </c>
      <c r="K277" s="108">
        <f>IF($I277="▼ SORTIE",$U277,"")</f>
        <v/>
      </c>
      <c r="L277" s="109">
        <f>$L276+N($J277)-N($K277)</f>
        <v/>
      </c>
      <c r="M277" s="110" t="n"/>
      <c r="N277" s="54" t="n"/>
      <c r="O277" s="54" t="n"/>
      <c r="P277" s="54" t="n"/>
      <c r="Q277" s="110" t="n"/>
      <c r="R277" s="110" t="n"/>
      <c r="S277" s="54" t="n"/>
      <c r="T277" s="111">
        <f>IF($G277="","",IFERROR(INDEX(Taux_Devises,MATCH(IF($M277="",Devise_Base,$M277),Codes_Devises,0)),1))</f>
        <v/>
      </c>
      <c r="U277" s="112">
        <f>IF($G277="","",ROUND($G277*$T277,2))</f>
        <v/>
      </c>
      <c r="V277" s="113">
        <f>IF($B277="","",MONTH($B277))</f>
        <v/>
      </c>
      <c r="W277" s="113">
        <f>IF($B277="","",YEAR($B277))</f>
        <v/>
      </c>
    </row>
    <row r="278">
      <c r="B278" s="105" t="n"/>
      <c r="C278" s="54" t="n"/>
      <c r="D278" s="54" t="n"/>
      <c r="E278" s="54" t="n"/>
      <c r="F278" s="54" t="n"/>
      <c r="G278" s="65" t="n"/>
      <c r="H278" s="54" t="n"/>
      <c r="I278" s="106">
        <f>IF($C278="","",IFERROR(INDEX(Sens_Types,MATCH($C278,Liste_Types,0)),""))</f>
        <v/>
      </c>
      <c r="J278" s="107">
        <f>IF($I278="▲ ENTRÉE",$U278,"")</f>
        <v/>
      </c>
      <c r="K278" s="108">
        <f>IF($I278="▼ SORTIE",$U278,"")</f>
        <v/>
      </c>
      <c r="L278" s="109">
        <f>$L277+N($J278)-N($K278)</f>
        <v/>
      </c>
      <c r="M278" s="110" t="n"/>
      <c r="N278" s="54" t="n"/>
      <c r="O278" s="54" t="n"/>
      <c r="P278" s="54" t="n"/>
      <c r="Q278" s="110" t="n"/>
      <c r="R278" s="110" t="n"/>
      <c r="S278" s="54" t="n"/>
      <c r="T278" s="111">
        <f>IF($G278="","",IFERROR(INDEX(Taux_Devises,MATCH(IF($M278="",Devise_Base,$M278),Codes_Devises,0)),1))</f>
        <v/>
      </c>
      <c r="U278" s="112">
        <f>IF($G278="","",ROUND($G278*$T278,2))</f>
        <v/>
      </c>
      <c r="V278" s="113">
        <f>IF($B278="","",MONTH($B278))</f>
        <v/>
      </c>
      <c r="W278" s="113">
        <f>IF($B278="","",YEAR($B278))</f>
        <v/>
      </c>
    </row>
    <row r="279">
      <c r="B279" s="105" t="n"/>
      <c r="C279" s="54" t="n"/>
      <c r="D279" s="54" t="n"/>
      <c r="E279" s="54" t="n"/>
      <c r="F279" s="54" t="n"/>
      <c r="G279" s="65" t="n"/>
      <c r="H279" s="54" t="n"/>
      <c r="I279" s="106">
        <f>IF($C279="","",IFERROR(INDEX(Sens_Types,MATCH($C279,Liste_Types,0)),""))</f>
        <v/>
      </c>
      <c r="J279" s="107">
        <f>IF($I279="▲ ENTRÉE",$U279,"")</f>
        <v/>
      </c>
      <c r="K279" s="108">
        <f>IF($I279="▼ SORTIE",$U279,"")</f>
        <v/>
      </c>
      <c r="L279" s="109">
        <f>$L278+N($J279)-N($K279)</f>
        <v/>
      </c>
      <c r="M279" s="110" t="n"/>
      <c r="N279" s="54" t="n"/>
      <c r="O279" s="54" t="n"/>
      <c r="P279" s="54" t="n"/>
      <c r="Q279" s="110" t="n"/>
      <c r="R279" s="110" t="n"/>
      <c r="S279" s="54" t="n"/>
      <c r="T279" s="111">
        <f>IF($G279="","",IFERROR(INDEX(Taux_Devises,MATCH(IF($M279="",Devise_Base,$M279),Codes_Devises,0)),1))</f>
        <v/>
      </c>
      <c r="U279" s="112">
        <f>IF($G279="","",ROUND($G279*$T279,2))</f>
        <v/>
      </c>
      <c r="V279" s="113">
        <f>IF($B279="","",MONTH($B279))</f>
        <v/>
      </c>
      <c r="W279" s="113">
        <f>IF($B279="","",YEAR($B279))</f>
        <v/>
      </c>
    </row>
    <row r="280">
      <c r="B280" s="105" t="n"/>
      <c r="C280" s="54" t="n"/>
      <c r="D280" s="54" t="n"/>
      <c r="E280" s="54" t="n"/>
      <c r="F280" s="54" t="n"/>
      <c r="G280" s="65" t="n"/>
      <c r="H280" s="54" t="n"/>
      <c r="I280" s="106">
        <f>IF($C280="","",IFERROR(INDEX(Sens_Types,MATCH($C280,Liste_Types,0)),""))</f>
        <v/>
      </c>
      <c r="J280" s="107">
        <f>IF($I280="▲ ENTRÉE",$U280,"")</f>
        <v/>
      </c>
      <c r="K280" s="108">
        <f>IF($I280="▼ SORTIE",$U280,"")</f>
        <v/>
      </c>
      <c r="L280" s="109">
        <f>$L279+N($J280)-N($K280)</f>
        <v/>
      </c>
      <c r="M280" s="110" t="n"/>
      <c r="N280" s="54" t="n"/>
      <c r="O280" s="54" t="n"/>
      <c r="P280" s="54" t="n"/>
      <c r="Q280" s="110" t="n"/>
      <c r="R280" s="110" t="n"/>
      <c r="S280" s="54" t="n"/>
      <c r="T280" s="111">
        <f>IF($G280="","",IFERROR(INDEX(Taux_Devises,MATCH(IF($M280="",Devise_Base,$M280),Codes_Devises,0)),1))</f>
        <v/>
      </c>
      <c r="U280" s="112">
        <f>IF($G280="","",ROUND($G280*$T280,2))</f>
        <v/>
      </c>
      <c r="V280" s="113">
        <f>IF($B280="","",MONTH($B280))</f>
        <v/>
      </c>
      <c r="W280" s="113">
        <f>IF($B280="","",YEAR($B280))</f>
        <v/>
      </c>
    </row>
    <row r="281">
      <c r="B281" s="105" t="n"/>
      <c r="C281" s="54" t="n"/>
      <c r="D281" s="54" t="n"/>
      <c r="E281" s="54" t="n"/>
      <c r="F281" s="54" t="n"/>
      <c r="G281" s="65" t="n"/>
      <c r="H281" s="54" t="n"/>
      <c r="I281" s="106">
        <f>IF($C281="","",IFERROR(INDEX(Sens_Types,MATCH($C281,Liste_Types,0)),""))</f>
        <v/>
      </c>
      <c r="J281" s="107">
        <f>IF($I281="▲ ENTRÉE",$U281,"")</f>
        <v/>
      </c>
      <c r="K281" s="108">
        <f>IF($I281="▼ SORTIE",$U281,"")</f>
        <v/>
      </c>
      <c r="L281" s="109">
        <f>$L280+N($J281)-N($K281)</f>
        <v/>
      </c>
      <c r="M281" s="110" t="n"/>
      <c r="N281" s="54" t="n"/>
      <c r="O281" s="54" t="n"/>
      <c r="P281" s="54" t="n"/>
      <c r="Q281" s="110" t="n"/>
      <c r="R281" s="110" t="n"/>
      <c r="S281" s="54" t="n"/>
      <c r="T281" s="111">
        <f>IF($G281="","",IFERROR(INDEX(Taux_Devises,MATCH(IF($M281="",Devise_Base,$M281),Codes_Devises,0)),1))</f>
        <v/>
      </c>
      <c r="U281" s="112">
        <f>IF($G281="","",ROUND($G281*$T281,2))</f>
        <v/>
      </c>
      <c r="V281" s="113">
        <f>IF($B281="","",MONTH($B281))</f>
        <v/>
      </c>
      <c r="W281" s="113">
        <f>IF($B281="","",YEAR($B281))</f>
        <v/>
      </c>
    </row>
    <row r="282">
      <c r="B282" s="105" t="n"/>
      <c r="C282" s="54" t="n"/>
      <c r="D282" s="54" t="n"/>
      <c r="E282" s="54" t="n"/>
      <c r="F282" s="54" t="n"/>
      <c r="G282" s="65" t="n"/>
      <c r="H282" s="54" t="n"/>
      <c r="I282" s="106">
        <f>IF($C282="","",IFERROR(INDEX(Sens_Types,MATCH($C282,Liste_Types,0)),""))</f>
        <v/>
      </c>
      <c r="J282" s="107">
        <f>IF($I282="▲ ENTRÉE",$U282,"")</f>
        <v/>
      </c>
      <c r="K282" s="108">
        <f>IF($I282="▼ SORTIE",$U282,"")</f>
        <v/>
      </c>
      <c r="L282" s="109">
        <f>$L281+N($J282)-N($K282)</f>
        <v/>
      </c>
      <c r="M282" s="110" t="n"/>
      <c r="N282" s="54" t="n"/>
      <c r="O282" s="54" t="n"/>
      <c r="P282" s="54" t="n"/>
      <c r="Q282" s="110" t="n"/>
      <c r="R282" s="110" t="n"/>
      <c r="S282" s="54" t="n"/>
      <c r="T282" s="111">
        <f>IF($G282="","",IFERROR(INDEX(Taux_Devises,MATCH(IF($M282="",Devise_Base,$M282),Codes_Devises,0)),1))</f>
        <v/>
      </c>
      <c r="U282" s="112">
        <f>IF($G282="","",ROUND($G282*$T282,2))</f>
        <v/>
      </c>
      <c r="V282" s="113">
        <f>IF($B282="","",MONTH($B282))</f>
        <v/>
      </c>
      <c r="W282" s="113">
        <f>IF($B282="","",YEAR($B282))</f>
        <v/>
      </c>
    </row>
    <row r="283">
      <c r="B283" s="105" t="n"/>
      <c r="C283" s="54" t="n"/>
      <c r="D283" s="54" t="n"/>
      <c r="E283" s="54" t="n"/>
      <c r="F283" s="54" t="n"/>
      <c r="G283" s="65" t="n"/>
      <c r="H283" s="54" t="n"/>
      <c r="I283" s="106">
        <f>IF($C283="","",IFERROR(INDEX(Sens_Types,MATCH($C283,Liste_Types,0)),""))</f>
        <v/>
      </c>
      <c r="J283" s="107">
        <f>IF($I283="▲ ENTRÉE",$U283,"")</f>
        <v/>
      </c>
      <c r="K283" s="108">
        <f>IF($I283="▼ SORTIE",$U283,"")</f>
        <v/>
      </c>
      <c r="L283" s="109">
        <f>$L282+N($J283)-N($K283)</f>
        <v/>
      </c>
      <c r="M283" s="110" t="n"/>
      <c r="N283" s="54" t="n"/>
      <c r="O283" s="54" t="n"/>
      <c r="P283" s="54" t="n"/>
      <c r="Q283" s="110" t="n"/>
      <c r="R283" s="110" t="n"/>
      <c r="S283" s="54" t="n"/>
      <c r="T283" s="111">
        <f>IF($G283="","",IFERROR(INDEX(Taux_Devises,MATCH(IF($M283="",Devise_Base,$M283),Codes_Devises,0)),1))</f>
        <v/>
      </c>
      <c r="U283" s="112">
        <f>IF($G283="","",ROUND($G283*$T283,2))</f>
        <v/>
      </c>
      <c r="V283" s="113">
        <f>IF($B283="","",MONTH($B283))</f>
        <v/>
      </c>
      <c r="W283" s="113">
        <f>IF($B283="","",YEAR($B283))</f>
        <v/>
      </c>
    </row>
    <row r="284">
      <c r="B284" s="105" t="n"/>
      <c r="C284" s="54" t="n"/>
      <c r="D284" s="54" t="n"/>
      <c r="E284" s="54" t="n"/>
      <c r="F284" s="54" t="n"/>
      <c r="G284" s="65" t="n"/>
      <c r="H284" s="54" t="n"/>
      <c r="I284" s="106">
        <f>IF($C284="","",IFERROR(INDEX(Sens_Types,MATCH($C284,Liste_Types,0)),""))</f>
        <v/>
      </c>
      <c r="J284" s="107">
        <f>IF($I284="▲ ENTRÉE",$U284,"")</f>
        <v/>
      </c>
      <c r="K284" s="108">
        <f>IF($I284="▼ SORTIE",$U284,"")</f>
        <v/>
      </c>
      <c r="L284" s="109">
        <f>$L283+N($J284)-N($K284)</f>
        <v/>
      </c>
      <c r="M284" s="110" t="n"/>
      <c r="N284" s="54" t="n"/>
      <c r="O284" s="54" t="n"/>
      <c r="P284" s="54" t="n"/>
      <c r="Q284" s="110" t="n"/>
      <c r="R284" s="110" t="n"/>
      <c r="S284" s="54" t="n"/>
      <c r="T284" s="111">
        <f>IF($G284="","",IFERROR(INDEX(Taux_Devises,MATCH(IF($M284="",Devise_Base,$M284),Codes_Devises,0)),1))</f>
        <v/>
      </c>
      <c r="U284" s="112">
        <f>IF($G284="","",ROUND($G284*$T284,2))</f>
        <v/>
      </c>
      <c r="V284" s="113">
        <f>IF($B284="","",MONTH($B284))</f>
        <v/>
      </c>
      <c r="W284" s="113">
        <f>IF($B284="","",YEAR($B284))</f>
        <v/>
      </c>
    </row>
    <row r="285">
      <c r="B285" s="105" t="n"/>
      <c r="C285" s="54" t="n"/>
      <c r="D285" s="54" t="n"/>
      <c r="E285" s="54" t="n"/>
      <c r="F285" s="54" t="n"/>
      <c r="G285" s="65" t="n"/>
      <c r="H285" s="54" t="n"/>
      <c r="I285" s="106">
        <f>IF($C285="","",IFERROR(INDEX(Sens_Types,MATCH($C285,Liste_Types,0)),""))</f>
        <v/>
      </c>
      <c r="J285" s="107">
        <f>IF($I285="▲ ENTRÉE",$U285,"")</f>
        <v/>
      </c>
      <c r="K285" s="108">
        <f>IF($I285="▼ SORTIE",$U285,"")</f>
        <v/>
      </c>
      <c r="L285" s="109">
        <f>$L284+N($J285)-N($K285)</f>
        <v/>
      </c>
      <c r="M285" s="110" t="n"/>
      <c r="N285" s="54" t="n"/>
      <c r="O285" s="54" t="n"/>
      <c r="P285" s="54" t="n"/>
      <c r="Q285" s="110" t="n"/>
      <c r="R285" s="110" t="n"/>
      <c r="S285" s="54" t="n"/>
      <c r="T285" s="111">
        <f>IF($G285="","",IFERROR(INDEX(Taux_Devises,MATCH(IF($M285="",Devise_Base,$M285),Codes_Devises,0)),1))</f>
        <v/>
      </c>
      <c r="U285" s="112">
        <f>IF($G285="","",ROUND($G285*$T285,2))</f>
        <v/>
      </c>
      <c r="V285" s="113">
        <f>IF($B285="","",MONTH($B285))</f>
        <v/>
      </c>
      <c r="W285" s="113">
        <f>IF($B285="","",YEAR($B285))</f>
        <v/>
      </c>
    </row>
    <row r="286">
      <c r="B286" s="105" t="n"/>
      <c r="C286" s="54" t="n"/>
      <c r="D286" s="54" t="n"/>
      <c r="E286" s="54" t="n"/>
      <c r="F286" s="54" t="n"/>
      <c r="G286" s="65" t="n"/>
      <c r="H286" s="54" t="n"/>
      <c r="I286" s="106">
        <f>IF($C286="","",IFERROR(INDEX(Sens_Types,MATCH($C286,Liste_Types,0)),""))</f>
        <v/>
      </c>
      <c r="J286" s="107">
        <f>IF($I286="▲ ENTRÉE",$U286,"")</f>
        <v/>
      </c>
      <c r="K286" s="108">
        <f>IF($I286="▼ SORTIE",$U286,"")</f>
        <v/>
      </c>
      <c r="L286" s="109">
        <f>$L285+N($J286)-N($K286)</f>
        <v/>
      </c>
      <c r="M286" s="110" t="n"/>
      <c r="N286" s="54" t="n"/>
      <c r="O286" s="54" t="n"/>
      <c r="P286" s="54" t="n"/>
      <c r="Q286" s="110" t="n"/>
      <c r="R286" s="110" t="n"/>
      <c r="S286" s="54" t="n"/>
      <c r="T286" s="111">
        <f>IF($G286="","",IFERROR(INDEX(Taux_Devises,MATCH(IF($M286="",Devise_Base,$M286),Codes_Devises,0)),1))</f>
        <v/>
      </c>
      <c r="U286" s="112">
        <f>IF($G286="","",ROUND($G286*$T286,2))</f>
        <v/>
      </c>
      <c r="V286" s="113">
        <f>IF($B286="","",MONTH($B286))</f>
        <v/>
      </c>
      <c r="W286" s="113">
        <f>IF($B286="","",YEAR($B286))</f>
        <v/>
      </c>
    </row>
    <row r="287">
      <c r="B287" s="105" t="n"/>
      <c r="C287" s="54" t="n"/>
      <c r="D287" s="54" t="n"/>
      <c r="E287" s="54" t="n"/>
      <c r="F287" s="54" t="n"/>
      <c r="G287" s="65" t="n"/>
      <c r="H287" s="54" t="n"/>
      <c r="I287" s="106">
        <f>IF($C287="","",IFERROR(INDEX(Sens_Types,MATCH($C287,Liste_Types,0)),""))</f>
        <v/>
      </c>
      <c r="J287" s="107">
        <f>IF($I287="▲ ENTRÉE",$U287,"")</f>
        <v/>
      </c>
      <c r="K287" s="108">
        <f>IF($I287="▼ SORTIE",$U287,"")</f>
        <v/>
      </c>
      <c r="L287" s="109">
        <f>$L286+N($J287)-N($K287)</f>
        <v/>
      </c>
      <c r="M287" s="110" t="n"/>
      <c r="N287" s="54" t="n"/>
      <c r="O287" s="54" t="n"/>
      <c r="P287" s="54" t="n"/>
      <c r="Q287" s="110" t="n"/>
      <c r="R287" s="110" t="n"/>
      <c r="S287" s="54" t="n"/>
      <c r="T287" s="111">
        <f>IF($G287="","",IFERROR(INDEX(Taux_Devises,MATCH(IF($M287="",Devise_Base,$M287),Codes_Devises,0)),1))</f>
        <v/>
      </c>
      <c r="U287" s="112">
        <f>IF($G287="","",ROUND($G287*$T287,2))</f>
        <v/>
      </c>
      <c r="V287" s="113">
        <f>IF($B287="","",MONTH($B287))</f>
        <v/>
      </c>
      <c r="W287" s="113">
        <f>IF($B287="","",YEAR($B287))</f>
        <v/>
      </c>
    </row>
    <row r="288">
      <c r="B288" s="105" t="n"/>
      <c r="C288" s="54" t="n"/>
      <c r="D288" s="54" t="n"/>
      <c r="E288" s="54" t="n"/>
      <c r="F288" s="54" t="n"/>
      <c r="G288" s="65" t="n"/>
      <c r="H288" s="54" t="n"/>
      <c r="I288" s="106">
        <f>IF($C288="","",IFERROR(INDEX(Sens_Types,MATCH($C288,Liste_Types,0)),""))</f>
        <v/>
      </c>
      <c r="J288" s="107">
        <f>IF($I288="▲ ENTRÉE",$U288,"")</f>
        <v/>
      </c>
      <c r="K288" s="108">
        <f>IF($I288="▼ SORTIE",$U288,"")</f>
        <v/>
      </c>
      <c r="L288" s="109">
        <f>$L287+N($J288)-N($K288)</f>
        <v/>
      </c>
      <c r="M288" s="110" t="n"/>
      <c r="N288" s="54" t="n"/>
      <c r="O288" s="54" t="n"/>
      <c r="P288" s="54" t="n"/>
      <c r="Q288" s="110" t="n"/>
      <c r="R288" s="110" t="n"/>
      <c r="S288" s="54" t="n"/>
      <c r="T288" s="111">
        <f>IF($G288="","",IFERROR(INDEX(Taux_Devises,MATCH(IF($M288="",Devise_Base,$M288),Codes_Devises,0)),1))</f>
        <v/>
      </c>
      <c r="U288" s="112">
        <f>IF($G288="","",ROUND($G288*$T288,2))</f>
        <v/>
      </c>
      <c r="V288" s="113">
        <f>IF($B288="","",MONTH($B288))</f>
        <v/>
      </c>
      <c r="W288" s="113">
        <f>IF($B288="","",YEAR($B288))</f>
        <v/>
      </c>
    </row>
    <row r="289">
      <c r="B289" s="105" t="n"/>
      <c r="C289" s="54" t="n"/>
      <c r="D289" s="54" t="n"/>
      <c r="E289" s="54" t="n"/>
      <c r="F289" s="54" t="n"/>
      <c r="G289" s="65" t="n"/>
      <c r="H289" s="54" t="n"/>
      <c r="I289" s="106">
        <f>IF($C289="","",IFERROR(INDEX(Sens_Types,MATCH($C289,Liste_Types,0)),""))</f>
        <v/>
      </c>
      <c r="J289" s="107">
        <f>IF($I289="▲ ENTRÉE",$U289,"")</f>
        <v/>
      </c>
      <c r="K289" s="108">
        <f>IF($I289="▼ SORTIE",$U289,"")</f>
        <v/>
      </c>
      <c r="L289" s="109">
        <f>$L288+N($J289)-N($K289)</f>
        <v/>
      </c>
      <c r="M289" s="110" t="n"/>
      <c r="N289" s="54" t="n"/>
      <c r="O289" s="54" t="n"/>
      <c r="P289" s="54" t="n"/>
      <c r="Q289" s="110" t="n"/>
      <c r="R289" s="110" t="n"/>
      <c r="S289" s="54" t="n"/>
      <c r="T289" s="111">
        <f>IF($G289="","",IFERROR(INDEX(Taux_Devises,MATCH(IF($M289="",Devise_Base,$M289),Codes_Devises,0)),1))</f>
        <v/>
      </c>
      <c r="U289" s="112">
        <f>IF($G289="","",ROUND($G289*$T289,2))</f>
        <v/>
      </c>
      <c r="V289" s="113">
        <f>IF($B289="","",MONTH($B289))</f>
        <v/>
      </c>
      <c r="W289" s="113">
        <f>IF($B289="","",YEAR($B289))</f>
        <v/>
      </c>
    </row>
    <row r="290">
      <c r="B290" s="105" t="n"/>
      <c r="C290" s="54" t="n"/>
      <c r="D290" s="54" t="n"/>
      <c r="E290" s="54" t="n"/>
      <c r="F290" s="54" t="n"/>
      <c r="G290" s="65" t="n"/>
      <c r="H290" s="54" t="n"/>
      <c r="I290" s="106">
        <f>IF($C290="","",IFERROR(INDEX(Sens_Types,MATCH($C290,Liste_Types,0)),""))</f>
        <v/>
      </c>
      <c r="J290" s="107">
        <f>IF($I290="▲ ENTRÉE",$U290,"")</f>
        <v/>
      </c>
      <c r="K290" s="108">
        <f>IF($I290="▼ SORTIE",$U290,"")</f>
        <v/>
      </c>
      <c r="L290" s="109">
        <f>$L289+N($J290)-N($K290)</f>
        <v/>
      </c>
      <c r="M290" s="110" t="n"/>
      <c r="N290" s="54" t="n"/>
      <c r="O290" s="54" t="n"/>
      <c r="P290" s="54" t="n"/>
      <c r="Q290" s="110" t="n"/>
      <c r="R290" s="110" t="n"/>
      <c r="S290" s="54" t="n"/>
      <c r="T290" s="111">
        <f>IF($G290="","",IFERROR(INDEX(Taux_Devises,MATCH(IF($M290="",Devise_Base,$M290),Codes_Devises,0)),1))</f>
        <v/>
      </c>
      <c r="U290" s="112">
        <f>IF($G290="","",ROUND($G290*$T290,2))</f>
        <v/>
      </c>
      <c r="V290" s="113">
        <f>IF($B290="","",MONTH($B290))</f>
        <v/>
      </c>
      <c r="W290" s="113">
        <f>IF($B290="","",YEAR($B290))</f>
        <v/>
      </c>
    </row>
    <row r="291">
      <c r="B291" s="105" t="n"/>
      <c r="C291" s="54" t="n"/>
      <c r="D291" s="54" t="n"/>
      <c r="E291" s="54" t="n"/>
      <c r="F291" s="54" t="n"/>
      <c r="G291" s="65" t="n"/>
      <c r="H291" s="54" t="n"/>
      <c r="I291" s="106">
        <f>IF($C291="","",IFERROR(INDEX(Sens_Types,MATCH($C291,Liste_Types,0)),""))</f>
        <v/>
      </c>
      <c r="J291" s="107">
        <f>IF($I291="▲ ENTRÉE",$U291,"")</f>
        <v/>
      </c>
      <c r="K291" s="108">
        <f>IF($I291="▼ SORTIE",$U291,"")</f>
        <v/>
      </c>
      <c r="L291" s="109">
        <f>$L290+N($J291)-N($K291)</f>
        <v/>
      </c>
      <c r="M291" s="110" t="n"/>
      <c r="N291" s="54" t="n"/>
      <c r="O291" s="54" t="n"/>
      <c r="P291" s="54" t="n"/>
      <c r="Q291" s="110" t="n"/>
      <c r="R291" s="110" t="n"/>
      <c r="S291" s="54" t="n"/>
      <c r="T291" s="111">
        <f>IF($G291="","",IFERROR(INDEX(Taux_Devises,MATCH(IF($M291="",Devise_Base,$M291),Codes_Devises,0)),1))</f>
        <v/>
      </c>
      <c r="U291" s="112">
        <f>IF($G291="","",ROUND($G291*$T291,2))</f>
        <v/>
      </c>
      <c r="V291" s="113">
        <f>IF($B291="","",MONTH($B291))</f>
        <v/>
      </c>
      <c r="W291" s="113">
        <f>IF($B291="","",YEAR($B291))</f>
        <v/>
      </c>
    </row>
    <row r="292">
      <c r="B292" s="105" t="n"/>
      <c r="C292" s="54" t="n"/>
      <c r="D292" s="54" t="n"/>
      <c r="E292" s="54" t="n"/>
      <c r="F292" s="54" t="n"/>
      <c r="G292" s="65" t="n"/>
      <c r="H292" s="54" t="n"/>
      <c r="I292" s="106">
        <f>IF($C292="","",IFERROR(INDEX(Sens_Types,MATCH($C292,Liste_Types,0)),""))</f>
        <v/>
      </c>
      <c r="J292" s="107">
        <f>IF($I292="▲ ENTRÉE",$U292,"")</f>
        <v/>
      </c>
      <c r="K292" s="108">
        <f>IF($I292="▼ SORTIE",$U292,"")</f>
        <v/>
      </c>
      <c r="L292" s="109">
        <f>$L291+N($J292)-N($K292)</f>
        <v/>
      </c>
      <c r="M292" s="110" t="n"/>
      <c r="N292" s="54" t="n"/>
      <c r="O292" s="54" t="n"/>
      <c r="P292" s="54" t="n"/>
      <c r="Q292" s="110" t="n"/>
      <c r="R292" s="110" t="n"/>
      <c r="S292" s="54" t="n"/>
      <c r="T292" s="111">
        <f>IF($G292="","",IFERROR(INDEX(Taux_Devises,MATCH(IF($M292="",Devise_Base,$M292),Codes_Devises,0)),1))</f>
        <v/>
      </c>
      <c r="U292" s="112">
        <f>IF($G292="","",ROUND($G292*$T292,2))</f>
        <v/>
      </c>
      <c r="V292" s="113">
        <f>IF($B292="","",MONTH($B292))</f>
        <v/>
      </c>
      <c r="W292" s="113">
        <f>IF($B292="","",YEAR($B292))</f>
        <v/>
      </c>
    </row>
    <row r="293">
      <c r="B293" s="105" t="n"/>
      <c r="C293" s="54" t="n"/>
      <c r="D293" s="54" t="n"/>
      <c r="E293" s="54" t="n"/>
      <c r="F293" s="54" t="n"/>
      <c r="G293" s="65" t="n"/>
      <c r="H293" s="54" t="n"/>
      <c r="I293" s="106">
        <f>IF($C293="","",IFERROR(INDEX(Sens_Types,MATCH($C293,Liste_Types,0)),""))</f>
        <v/>
      </c>
      <c r="J293" s="107">
        <f>IF($I293="▲ ENTRÉE",$U293,"")</f>
        <v/>
      </c>
      <c r="K293" s="108">
        <f>IF($I293="▼ SORTIE",$U293,"")</f>
        <v/>
      </c>
      <c r="L293" s="109">
        <f>$L292+N($J293)-N($K293)</f>
        <v/>
      </c>
      <c r="M293" s="110" t="n"/>
      <c r="N293" s="54" t="n"/>
      <c r="O293" s="54" t="n"/>
      <c r="P293" s="54" t="n"/>
      <c r="Q293" s="110" t="n"/>
      <c r="R293" s="110" t="n"/>
      <c r="S293" s="54" t="n"/>
      <c r="T293" s="111">
        <f>IF($G293="","",IFERROR(INDEX(Taux_Devises,MATCH(IF($M293="",Devise_Base,$M293),Codes_Devises,0)),1))</f>
        <v/>
      </c>
      <c r="U293" s="112">
        <f>IF($G293="","",ROUND($G293*$T293,2))</f>
        <v/>
      </c>
      <c r="V293" s="113">
        <f>IF($B293="","",MONTH($B293))</f>
        <v/>
      </c>
      <c r="W293" s="113">
        <f>IF($B293="","",YEAR($B293))</f>
        <v/>
      </c>
    </row>
    <row r="294">
      <c r="B294" s="105" t="n"/>
      <c r="C294" s="54" t="n"/>
      <c r="D294" s="54" t="n"/>
      <c r="E294" s="54" t="n"/>
      <c r="F294" s="54" t="n"/>
      <c r="G294" s="65" t="n"/>
      <c r="H294" s="54" t="n"/>
      <c r="I294" s="106">
        <f>IF($C294="","",IFERROR(INDEX(Sens_Types,MATCH($C294,Liste_Types,0)),""))</f>
        <v/>
      </c>
      <c r="J294" s="107">
        <f>IF($I294="▲ ENTRÉE",$U294,"")</f>
        <v/>
      </c>
      <c r="K294" s="108">
        <f>IF($I294="▼ SORTIE",$U294,"")</f>
        <v/>
      </c>
      <c r="L294" s="109">
        <f>$L293+N($J294)-N($K294)</f>
        <v/>
      </c>
      <c r="M294" s="110" t="n"/>
      <c r="N294" s="54" t="n"/>
      <c r="O294" s="54" t="n"/>
      <c r="P294" s="54" t="n"/>
      <c r="Q294" s="110" t="n"/>
      <c r="R294" s="110" t="n"/>
      <c r="S294" s="54" t="n"/>
      <c r="T294" s="111">
        <f>IF($G294="","",IFERROR(INDEX(Taux_Devises,MATCH(IF($M294="",Devise_Base,$M294),Codes_Devises,0)),1))</f>
        <v/>
      </c>
      <c r="U294" s="112">
        <f>IF($G294="","",ROUND($G294*$T294,2))</f>
        <v/>
      </c>
      <c r="V294" s="113">
        <f>IF($B294="","",MONTH($B294))</f>
        <v/>
      </c>
      <c r="W294" s="113">
        <f>IF($B294="","",YEAR($B294))</f>
        <v/>
      </c>
    </row>
    <row r="295">
      <c r="B295" s="105" t="n"/>
      <c r="C295" s="54" t="n"/>
      <c r="D295" s="54" t="n"/>
      <c r="E295" s="54" t="n"/>
      <c r="F295" s="54" t="n"/>
      <c r="G295" s="65" t="n"/>
      <c r="H295" s="54" t="n"/>
      <c r="I295" s="106">
        <f>IF($C295="","",IFERROR(INDEX(Sens_Types,MATCH($C295,Liste_Types,0)),""))</f>
        <v/>
      </c>
      <c r="J295" s="107">
        <f>IF($I295="▲ ENTRÉE",$U295,"")</f>
        <v/>
      </c>
      <c r="K295" s="108">
        <f>IF($I295="▼ SORTIE",$U295,"")</f>
        <v/>
      </c>
      <c r="L295" s="109">
        <f>$L294+N($J295)-N($K295)</f>
        <v/>
      </c>
      <c r="M295" s="110" t="n"/>
      <c r="N295" s="54" t="n"/>
      <c r="O295" s="54" t="n"/>
      <c r="P295" s="54" t="n"/>
      <c r="Q295" s="110" t="n"/>
      <c r="R295" s="110" t="n"/>
      <c r="S295" s="54" t="n"/>
      <c r="T295" s="111">
        <f>IF($G295="","",IFERROR(INDEX(Taux_Devises,MATCH(IF($M295="",Devise_Base,$M295),Codes_Devises,0)),1))</f>
        <v/>
      </c>
      <c r="U295" s="112">
        <f>IF($G295="","",ROUND($G295*$T295,2))</f>
        <v/>
      </c>
      <c r="V295" s="113">
        <f>IF($B295="","",MONTH($B295))</f>
        <v/>
      </c>
      <c r="W295" s="113">
        <f>IF($B295="","",YEAR($B295))</f>
        <v/>
      </c>
    </row>
    <row r="296">
      <c r="B296" s="105" t="n"/>
      <c r="C296" s="54" t="n"/>
      <c r="D296" s="54" t="n"/>
      <c r="E296" s="54" t="n"/>
      <c r="F296" s="54" t="n"/>
      <c r="G296" s="65" t="n"/>
      <c r="H296" s="54" t="n"/>
      <c r="I296" s="106">
        <f>IF($C296="","",IFERROR(INDEX(Sens_Types,MATCH($C296,Liste_Types,0)),""))</f>
        <v/>
      </c>
      <c r="J296" s="107">
        <f>IF($I296="▲ ENTRÉE",$U296,"")</f>
        <v/>
      </c>
      <c r="K296" s="108">
        <f>IF($I296="▼ SORTIE",$U296,"")</f>
        <v/>
      </c>
      <c r="L296" s="109">
        <f>$L295+N($J296)-N($K296)</f>
        <v/>
      </c>
      <c r="M296" s="110" t="n"/>
      <c r="N296" s="54" t="n"/>
      <c r="O296" s="54" t="n"/>
      <c r="P296" s="54" t="n"/>
      <c r="Q296" s="110" t="n"/>
      <c r="R296" s="110" t="n"/>
      <c r="S296" s="54" t="n"/>
      <c r="T296" s="111">
        <f>IF($G296="","",IFERROR(INDEX(Taux_Devises,MATCH(IF($M296="",Devise_Base,$M296),Codes_Devises,0)),1))</f>
        <v/>
      </c>
      <c r="U296" s="112">
        <f>IF($G296="","",ROUND($G296*$T296,2))</f>
        <v/>
      </c>
      <c r="V296" s="113">
        <f>IF($B296="","",MONTH($B296))</f>
        <v/>
      </c>
      <c r="W296" s="113">
        <f>IF($B296="","",YEAR($B296))</f>
        <v/>
      </c>
    </row>
    <row r="297">
      <c r="B297" s="105" t="n"/>
      <c r="C297" s="54" t="n"/>
      <c r="D297" s="54" t="n"/>
      <c r="E297" s="54" t="n"/>
      <c r="F297" s="54" t="n"/>
      <c r="G297" s="65" t="n"/>
      <c r="H297" s="54" t="n"/>
      <c r="I297" s="106">
        <f>IF($C297="","",IFERROR(INDEX(Sens_Types,MATCH($C297,Liste_Types,0)),""))</f>
        <v/>
      </c>
      <c r="J297" s="107">
        <f>IF($I297="▲ ENTRÉE",$U297,"")</f>
        <v/>
      </c>
      <c r="K297" s="108">
        <f>IF($I297="▼ SORTIE",$U297,"")</f>
        <v/>
      </c>
      <c r="L297" s="109">
        <f>$L296+N($J297)-N($K297)</f>
        <v/>
      </c>
      <c r="M297" s="110" t="n"/>
      <c r="N297" s="54" t="n"/>
      <c r="O297" s="54" t="n"/>
      <c r="P297" s="54" t="n"/>
      <c r="Q297" s="110" t="n"/>
      <c r="R297" s="110" t="n"/>
      <c r="S297" s="54" t="n"/>
      <c r="T297" s="111">
        <f>IF($G297="","",IFERROR(INDEX(Taux_Devises,MATCH(IF($M297="",Devise_Base,$M297),Codes_Devises,0)),1))</f>
        <v/>
      </c>
      <c r="U297" s="112">
        <f>IF($G297="","",ROUND($G297*$T297,2))</f>
        <v/>
      </c>
      <c r="V297" s="113">
        <f>IF($B297="","",MONTH($B297))</f>
        <v/>
      </c>
      <c r="W297" s="113">
        <f>IF($B297="","",YEAR($B297))</f>
        <v/>
      </c>
    </row>
    <row r="298">
      <c r="B298" s="105" t="n"/>
      <c r="C298" s="54" t="n"/>
      <c r="D298" s="54" t="n"/>
      <c r="E298" s="54" t="n"/>
      <c r="F298" s="54" t="n"/>
      <c r="G298" s="65" t="n"/>
      <c r="H298" s="54" t="n"/>
      <c r="I298" s="106">
        <f>IF($C298="","",IFERROR(INDEX(Sens_Types,MATCH($C298,Liste_Types,0)),""))</f>
        <v/>
      </c>
      <c r="J298" s="107">
        <f>IF($I298="▲ ENTRÉE",$U298,"")</f>
        <v/>
      </c>
      <c r="K298" s="108">
        <f>IF($I298="▼ SORTIE",$U298,"")</f>
        <v/>
      </c>
      <c r="L298" s="109">
        <f>$L297+N($J298)-N($K298)</f>
        <v/>
      </c>
      <c r="M298" s="110" t="n"/>
      <c r="N298" s="54" t="n"/>
      <c r="O298" s="54" t="n"/>
      <c r="P298" s="54" t="n"/>
      <c r="Q298" s="110" t="n"/>
      <c r="R298" s="110" t="n"/>
      <c r="S298" s="54" t="n"/>
      <c r="T298" s="111">
        <f>IF($G298="","",IFERROR(INDEX(Taux_Devises,MATCH(IF($M298="",Devise_Base,$M298),Codes_Devises,0)),1))</f>
        <v/>
      </c>
      <c r="U298" s="112">
        <f>IF($G298="","",ROUND($G298*$T298,2))</f>
        <v/>
      </c>
      <c r="V298" s="113">
        <f>IF($B298="","",MONTH($B298))</f>
        <v/>
      </c>
      <c r="W298" s="113">
        <f>IF($B298="","",YEAR($B298))</f>
        <v/>
      </c>
    </row>
    <row r="299">
      <c r="B299" s="105" t="n"/>
      <c r="C299" s="54" t="n"/>
      <c r="D299" s="54" t="n"/>
      <c r="E299" s="54" t="n"/>
      <c r="F299" s="54" t="n"/>
      <c r="G299" s="65" t="n"/>
      <c r="H299" s="54" t="n"/>
      <c r="I299" s="106">
        <f>IF($C299="","",IFERROR(INDEX(Sens_Types,MATCH($C299,Liste_Types,0)),""))</f>
        <v/>
      </c>
      <c r="J299" s="107">
        <f>IF($I299="▲ ENTRÉE",$U299,"")</f>
        <v/>
      </c>
      <c r="K299" s="108">
        <f>IF($I299="▼ SORTIE",$U299,"")</f>
        <v/>
      </c>
      <c r="L299" s="109">
        <f>$L298+N($J299)-N($K299)</f>
        <v/>
      </c>
      <c r="M299" s="110" t="n"/>
      <c r="N299" s="54" t="n"/>
      <c r="O299" s="54" t="n"/>
      <c r="P299" s="54" t="n"/>
      <c r="Q299" s="110" t="n"/>
      <c r="R299" s="110" t="n"/>
      <c r="S299" s="54" t="n"/>
      <c r="T299" s="111">
        <f>IF($G299="","",IFERROR(INDEX(Taux_Devises,MATCH(IF($M299="",Devise_Base,$M299),Codes_Devises,0)),1))</f>
        <v/>
      </c>
      <c r="U299" s="112">
        <f>IF($G299="","",ROUND($G299*$T299,2))</f>
        <v/>
      </c>
      <c r="V299" s="113">
        <f>IF($B299="","",MONTH($B299))</f>
        <v/>
      </c>
      <c r="W299" s="113">
        <f>IF($B299="","",YEAR($B299))</f>
        <v/>
      </c>
    </row>
    <row r="300">
      <c r="B300" s="105" t="n"/>
      <c r="C300" s="54" t="n"/>
      <c r="D300" s="54" t="n"/>
      <c r="E300" s="54" t="n"/>
      <c r="F300" s="54" t="n"/>
      <c r="G300" s="65" t="n"/>
      <c r="H300" s="54" t="n"/>
      <c r="I300" s="106">
        <f>IF($C300="","",IFERROR(INDEX(Sens_Types,MATCH($C300,Liste_Types,0)),""))</f>
        <v/>
      </c>
      <c r="J300" s="107">
        <f>IF($I300="▲ ENTRÉE",$U300,"")</f>
        <v/>
      </c>
      <c r="K300" s="108">
        <f>IF($I300="▼ SORTIE",$U300,"")</f>
        <v/>
      </c>
      <c r="L300" s="109">
        <f>$L299+N($J300)-N($K300)</f>
        <v/>
      </c>
      <c r="M300" s="110" t="n"/>
      <c r="N300" s="54" t="n"/>
      <c r="O300" s="54" t="n"/>
      <c r="P300" s="54" t="n"/>
      <c r="Q300" s="110" t="n"/>
      <c r="R300" s="110" t="n"/>
      <c r="S300" s="54" t="n"/>
      <c r="T300" s="111">
        <f>IF($G300="","",IFERROR(INDEX(Taux_Devises,MATCH(IF($M300="",Devise_Base,$M300),Codes_Devises,0)),1))</f>
        <v/>
      </c>
      <c r="U300" s="112">
        <f>IF($G300="","",ROUND($G300*$T300,2))</f>
        <v/>
      </c>
      <c r="V300" s="113">
        <f>IF($B300="","",MONTH($B300))</f>
        <v/>
      </c>
      <c r="W300" s="113">
        <f>IF($B300="","",YEAR($B300))</f>
        <v/>
      </c>
    </row>
    <row r="301">
      <c r="B301" s="105" t="n"/>
      <c r="C301" s="54" t="n"/>
      <c r="D301" s="54" t="n"/>
      <c r="E301" s="54" t="n"/>
      <c r="F301" s="54" t="n"/>
      <c r="G301" s="65" t="n"/>
      <c r="H301" s="54" t="n"/>
      <c r="I301" s="106">
        <f>IF($C301="","",IFERROR(INDEX(Sens_Types,MATCH($C301,Liste_Types,0)),""))</f>
        <v/>
      </c>
      <c r="J301" s="107">
        <f>IF($I301="▲ ENTRÉE",$U301,"")</f>
        <v/>
      </c>
      <c r="K301" s="108">
        <f>IF($I301="▼ SORTIE",$U301,"")</f>
        <v/>
      </c>
      <c r="L301" s="109">
        <f>$L300+N($J301)-N($K301)</f>
        <v/>
      </c>
      <c r="M301" s="110" t="n"/>
      <c r="N301" s="54" t="n"/>
      <c r="O301" s="54" t="n"/>
      <c r="P301" s="54" t="n"/>
      <c r="Q301" s="110" t="n"/>
      <c r="R301" s="110" t="n"/>
      <c r="S301" s="54" t="n"/>
      <c r="T301" s="111">
        <f>IF($G301="","",IFERROR(INDEX(Taux_Devises,MATCH(IF($M301="",Devise_Base,$M301),Codes_Devises,0)),1))</f>
        <v/>
      </c>
      <c r="U301" s="112">
        <f>IF($G301="","",ROUND($G301*$T301,2))</f>
        <v/>
      </c>
      <c r="V301" s="113">
        <f>IF($B301="","",MONTH($B301))</f>
        <v/>
      </c>
      <c r="W301" s="113">
        <f>IF($B301="","",YEAR($B301))</f>
        <v/>
      </c>
    </row>
    <row r="302">
      <c r="B302" s="105" t="n"/>
      <c r="C302" s="54" t="n"/>
      <c r="D302" s="54" t="n"/>
      <c r="E302" s="54" t="n"/>
      <c r="F302" s="54" t="n"/>
      <c r="G302" s="65" t="n"/>
      <c r="H302" s="54" t="n"/>
      <c r="I302" s="106">
        <f>IF($C302="","",IFERROR(INDEX(Sens_Types,MATCH($C302,Liste_Types,0)),""))</f>
        <v/>
      </c>
      <c r="J302" s="107">
        <f>IF($I302="▲ ENTRÉE",$U302,"")</f>
        <v/>
      </c>
      <c r="K302" s="108">
        <f>IF($I302="▼ SORTIE",$U302,"")</f>
        <v/>
      </c>
      <c r="L302" s="109">
        <f>$L301+N($J302)-N($K302)</f>
        <v/>
      </c>
      <c r="M302" s="110" t="n"/>
      <c r="N302" s="54" t="n"/>
      <c r="O302" s="54" t="n"/>
      <c r="P302" s="54" t="n"/>
      <c r="Q302" s="110" t="n"/>
      <c r="R302" s="110" t="n"/>
      <c r="S302" s="54" t="n"/>
      <c r="T302" s="111">
        <f>IF($G302="","",IFERROR(INDEX(Taux_Devises,MATCH(IF($M302="",Devise_Base,$M302),Codes_Devises,0)),1))</f>
        <v/>
      </c>
      <c r="U302" s="112">
        <f>IF($G302="","",ROUND($G302*$T302,2))</f>
        <v/>
      </c>
      <c r="V302" s="113">
        <f>IF($B302="","",MONTH($B302))</f>
        <v/>
      </c>
      <c r="W302" s="113">
        <f>IF($B302="","",YEAR($B302))</f>
        <v/>
      </c>
    </row>
    <row r="303">
      <c r="B303" s="105" t="n"/>
      <c r="C303" s="54" t="n"/>
      <c r="D303" s="54" t="n"/>
      <c r="E303" s="54" t="n"/>
      <c r="F303" s="54" t="n"/>
      <c r="G303" s="65" t="n"/>
      <c r="H303" s="54" t="n"/>
      <c r="I303" s="106">
        <f>IF($C303="","",IFERROR(INDEX(Sens_Types,MATCH($C303,Liste_Types,0)),""))</f>
        <v/>
      </c>
      <c r="J303" s="107">
        <f>IF($I303="▲ ENTRÉE",$U303,"")</f>
        <v/>
      </c>
      <c r="K303" s="108">
        <f>IF($I303="▼ SORTIE",$U303,"")</f>
        <v/>
      </c>
      <c r="L303" s="109">
        <f>$L302+N($J303)-N($K303)</f>
        <v/>
      </c>
      <c r="M303" s="110" t="n"/>
      <c r="N303" s="54" t="n"/>
      <c r="O303" s="54" t="n"/>
      <c r="P303" s="54" t="n"/>
      <c r="Q303" s="110" t="n"/>
      <c r="R303" s="110" t="n"/>
      <c r="S303" s="54" t="n"/>
      <c r="T303" s="111">
        <f>IF($G303="","",IFERROR(INDEX(Taux_Devises,MATCH(IF($M303="",Devise_Base,$M303),Codes_Devises,0)),1))</f>
        <v/>
      </c>
      <c r="U303" s="112">
        <f>IF($G303="","",ROUND($G303*$T303,2))</f>
        <v/>
      </c>
      <c r="V303" s="113">
        <f>IF($B303="","",MONTH($B303))</f>
        <v/>
      </c>
      <c r="W303" s="113">
        <f>IF($B303="","",YEAR($B303))</f>
        <v/>
      </c>
    </row>
    <row r="304">
      <c r="B304" s="105" t="n"/>
      <c r="C304" s="54" t="n"/>
      <c r="D304" s="54" t="n"/>
      <c r="E304" s="54" t="n"/>
      <c r="F304" s="54" t="n"/>
      <c r="G304" s="65" t="n"/>
      <c r="H304" s="54" t="n"/>
      <c r="I304" s="106">
        <f>IF($C304="","",IFERROR(INDEX(Sens_Types,MATCH($C304,Liste_Types,0)),""))</f>
        <v/>
      </c>
      <c r="J304" s="107">
        <f>IF($I304="▲ ENTRÉE",$U304,"")</f>
        <v/>
      </c>
      <c r="K304" s="108">
        <f>IF($I304="▼ SORTIE",$U304,"")</f>
        <v/>
      </c>
      <c r="L304" s="109">
        <f>$L303+N($J304)-N($K304)</f>
        <v/>
      </c>
      <c r="M304" s="110" t="n"/>
      <c r="N304" s="54" t="n"/>
      <c r="O304" s="54" t="n"/>
      <c r="P304" s="54" t="n"/>
      <c r="Q304" s="110" t="n"/>
      <c r="R304" s="110" t="n"/>
      <c r="S304" s="54" t="n"/>
      <c r="T304" s="111">
        <f>IF($G304="","",IFERROR(INDEX(Taux_Devises,MATCH(IF($M304="",Devise_Base,$M304),Codes_Devises,0)),1))</f>
        <v/>
      </c>
      <c r="U304" s="112">
        <f>IF($G304="","",ROUND($G304*$T304,2))</f>
        <v/>
      </c>
      <c r="V304" s="113">
        <f>IF($B304="","",MONTH($B304))</f>
        <v/>
      </c>
      <c r="W304" s="113">
        <f>IF($B304="","",YEAR($B304))</f>
        <v/>
      </c>
    </row>
    <row r="305">
      <c r="B305" s="105" t="n"/>
      <c r="C305" s="54" t="n"/>
      <c r="D305" s="54" t="n"/>
      <c r="E305" s="54" t="n"/>
      <c r="F305" s="54" t="n"/>
      <c r="G305" s="65" t="n"/>
      <c r="H305" s="54" t="n"/>
      <c r="I305" s="106">
        <f>IF($C305="","",IFERROR(INDEX(Sens_Types,MATCH($C305,Liste_Types,0)),""))</f>
        <v/>
      </c>
      <c r="J305" s="107">
        <f>IF($I305="▲ ENTRÉE",$U305,"")</f>
        <v/>
      </c>
      <c r="K305" s="108">
        <f>IF($I305="▼ SORTIE",$U305,"")</f>
        <v/>
      </c>
      <c r="L305" s="109">
        <f>$L304+N($J305)-N($K305)</f>
        <v/>
      </c>
      <c r="M305" s="110" t="n"/>
      <c r="N305" s="54" t="n"/>
      <c r="O305" s="54" t="n"/>
      <c r="P305" s="54" t="n"/>
      <c r="Q305" s="110" t="n"/>
      <c r="R305" s="110" t="n"/>
      <c r="S305" s="54" t="n"/>
      <c r="T305" s="111">
        <f>IF($G305="","",IFERROR(INDEX(Taux_Devises,MATCH(IF($M305="",Devise_Base,$M305),Codes_Devises,0)),1))</f>
        <v/>
      </c>
      <c r="U305" s="112">
        <f>IF($G305="","",ROUND($G305*$T305,2))</f>
        <v/>
      </c>
      <c r="V305" s="113">
        <f>IF($B305="","",MONTH($B305))</f>
        <v/>
      </c>
      <c r="W305" s="113">
        <f>IF($B305="","",YEAR($B305))</f>
        <v/>
      </c>
    </row>
    <row r="306">
      <c r="B306" s="105" t="n"/>
      <c r="C306" s="54" t="n"/>
      <c r="D306" s="54" t="n"/>
      <c r="E306" s="54" t="n"/>
      <c r="F306" s="54" t="n"/>
      <c r="G306" s="65" t="n"/>
      <c r="H306" s="54" t="n"/>
      <c r="I306" s="106">
        <f>IF($C306="","",IFERROR(INDEX(Sens_Types,MATCH($C306,Liste_Types,0)),""))</f>
        <v/>
      </c>
      <c r="J306" s="107">
        <f>IF($I306="▲ ENTRÉE",$U306,"")</f>
        <v/>
      </c>
      <c r="K306" s="108">
        <f>IF($I306="▼ SORTIE",$U306,"")</f>
        <v/>
      </c>
      <c r="L306" s="109">
        <f>$L305+N($J306)-N($K306)</f>
        <v/>
      </c>
      <c r="M306" s="110" t="n"/>
      <c r="N306" s="54" t="n"/>
      <c r="O306" s="54" t="n"/>
      <c r="P306" s="54" t="n"/>
      <c r="Q306" s="110" t="n"/>
      <c r="R306" s="110" t="n"/>
      <c r="S306" s="54" t="n"/>
      <c r="T306" s="111">
        <f>IF($G306="","",IFERROR(INDEX(Taux_Devises,MATCH(IF($M306="",Devise_Base,$M306),Codes_Devises,0)),1))</f>
        <v/>
      </c>
      <c r="U306" s="112">
        <f>IF($G306="","",ROUND($G306*$T306,2))</f>
        <v/>
      </c>
      <c r="V306" s="113">
        <f>IF($B306="","",MONTH($B306))</f>
        <v/>
      </c>
      <c r="W306" s="113">
        <f>IF($B306="","",YEAR($B306))</f>
        <v/>
      </c>
    </row>
    <row r="307">
      <c r="B307" s="105" t="n"/>
      <c r="C307" s="54" t="n"/>
      <c r="D307" s="54" t="n"/>
      <c r="E307" s="54" t="n"/>
      <c r="F307" s="54" t="n"/>
      <c r="G307" s="65" t="n"/>
      <c r="H307" s="54" t="n"/>
      <c r="I307" s="106">
        <f>IF($C307="","",IFERROR(INDEX(Sens_Types,MATCH($C307,Liste_Types,0)),""))</f>
        <v/>
      </c>
      <c r="J307" s="107">
        <f>IF($I307="▲ ENTRÉE",$U307,"")</f>
        <v/>
      </c>
      <c r="K307" s="108">
        <f>IF($I307="▼ SORTIE",$U307,"")</f>
        <v/>
      </c>
      <c r="L307" s="109">
        <f>$L306+N($J307)-N($K307)</f>
        <v/>
      </c>
      <c r="M307" s="110" t="n"/>
      <c r="N307" s="54" t="n"/>
      <c r="O307" s="54" t="n"/>
      <c r="P307" s="54" t="n"/>
      <c r="Q307" s="110" t="n"/>
      <c r="R307" s="110" t="n"/>
      <c r="S307" s="54" t="n"/>
      <c r="T307" s="111">
        <f>IF($G307="","",IFERROR(INDEX(Taux_Devises,MATCH(IF($M307="",Devise_Base,$M307),Codes_Devises,0)),1))</f>
        <v/>
      </c>
      <c r="U307" s="112">
        <f>IF($G307="","",ROUND($G307*$T307,2))</f>
        <v/>
      </c>
      <c r="V307" s="113">
        <f>IF($B307="","",MONTH($B307))</f>
        <v/>
      </c>
      <c r="W307" s="113">
        <f>IF($B307="","",YEAR($B307))</f>
        <v/>
      </c>
    </row>
    <row r="308">
      <c r="B308" s="105" t="n"/>
      <c r="C308" s="54" t="n"/>
      <c r="D308" s="54" t="n"/>
      <c r="E308" s="54" t="n"/>
      <c r="F308" s="54" t="n"/>
      <c r="G308" s="65" t="n"/>
      <c r="H308" s="54" t="n"/>
      <c r="I308" s="106">
        <f>IF($C308="","",IFERROR(INDEX(Sens_Types,MATCH($C308,Liste_Types,0)),""))</f>
        <v/>
      </c>
      <c r="J308" s="107">
        <f>IF($I308="▲ ENTRÉE",$U308,"")</f>
        <v/>
      </c>
      <c r="K308" s="108">
        <f>IF($I308="▼ SORTIE",$U308,"")</f>
        <v/>
      </c>
      <c r="L308" s="109">
        <f>$L307+N($J308)-N($K308)</f>
        <v/>
      </c>
      <c r="M308" s="110" t="n"/>
      <c r="N308" s="54" t="n"/>
      <c r="O308" s="54" t="n"/>
      <c r="P308" s="54" t="n"/>
      <c r="Q308" s="110" t="n"/>
      <c r="R308" s="110" t="n"/>
      <c r="S308" s="54" t="n"/>
      <c r="T308" s="111">
        <f>IF($G308="","",IFERROR(INDEX(Taux_Devises,MATCH(IF($M308="",Devise_Base,$M308),Codes_Devises,0)),1))</f>
        <v/>
      </c>
      <c r="U308" s="112">
        <f>IF($G308="","",ROUND($G308*$T308,2))</f>
        <v/>
      </c>
      <c r="V308" s="113">
        <f>IF($B308="","",MONTH($B308))</f>
        <v/>
      </c>
      <c r="W308" s="113">
        <f>IF($B308="","",YEAR($B308))</f>
        <v/>
      </c>
    </row>
    <row r="309">
      <c r="B309" s="105" t="n"/>
      <c r="C309" s="54" t="n"/>
      <c r="D309" s="54" t="n"/>
      <c r="E309" s="54" t="n"/>
      <c r="F309" s="54" t="n"/>
      <c r="G309" s="65" t="n"/>
      <c r="H309" s="54" t="n"/>
      <c r="I309" s="106">
        <f>IF($C309="","",IFERROR(INDEX(Sens_Types,MATCH($C309,Liste_Types,0)),""))</f>
        <v/>
      </c>
      <c r="J309" s="107">
        <f>IF($I309="▲ ENTRÉE",$U309,"")</f>
        <v/>
      </c>
      <c r="K309" s="108">
        <f>IF($I309="▼ SORTIE",$U309,"")</f>
        <v/>
      </c>
      <c r="L309" s="109">
        <f>$L308+N($J309)-N($K309)</f>
        <v/>
      </c>
      <c r="M309" s="110" t="n"/>
      <c r="N309" s="54" t="n"/>
      <c r="O309" s="54" t="n"/>
      <c r="P309" s="54" t="n"/>
      <c r="Q309" s="110" t="n"/>
      <c r="R309" s="110" t="n"/>
      <c r="S309" s="54" t="n"/>
      <c r="T309" s="111">
        <f>IF($G309="","",IFERROR(INDEX(Taux_Devises,MATCH(IF($M309="",Devise_Base,$M309),Codes_Devises,0)),1))</f>
        <v/>
      </c>
      <c r="U309" s="112">
        <f>IF($G309="","",ROUND($G309*$T309,2))</f>
        <v/>
      </c>
      <c r="V309" s="113">
        <f>IF($B309="","",MONTH($B309))</f>
        <v/>
      </c>
      <c r="W309" s="113">
        <f>IF($B309="","",YEAR($B309))</f>
        <v/>
      </c>
    </row>
    <row r="310">
      <c r="B310" s="105" t="n"/>
      <c r="C310" s="54" t="n"/>
      <c r="D310" s="54" t="n"/>
      <c r="E310" s="54" t="n"/>
      <c r="F310" s="54" t="n"/>
      <c r="G310" s="65" t="n"/>
      <c r="H310" s="54" t="n"/>
      <c r="I310" s="106">
        <f>IF($C310="","",IFERROR(INDEX(Sens_Types,MATCH($C310,Liste_Types,0)),""))</f>
        <v/>
      </c>
      <c r="J310" s="107">
        <f>IF($I310="▲ ENTRÉE",$U310,"")</f>
        <v/>
      </c>
      <c r="K310" s="108">
        <f>IF($I310="▼ SORTIE",$U310,"")</f>
        <v/>
      </c>
      <c r="L310" s="109">
        <f>$L309+N($J310)-N($K310)</f>
        <v/>
      </c>
      <c r="M310" s="110" t="n"/>
      <c r="N310" s="54" t="n"/>
      <c r="O310" s="54" t="n"/>
      <c r="P310" s="54" t="n"/>
      <c r="Q310" s="110" t="n"/>
      <c r="R310" s="110" t="n"/>
      <c r="S310" s="54" t="n"/>
      <c r="T310" s="111">
        <f>IF($G310="","",IFERROR(INDEX(Taux_Devises,MATCH(IF($M310="",Devise_Base,$M310),Codes_Devises,0)),1))</f>
        <v/>
      </c>
      <c r="U310" s="112">
        <f>IF($G310="","",ROUND($G310*$T310,2))</f>
        <v/>
      </c>
      <c r="V310" s="113">
        <f>IF($B310="","",MONTH($B310))</f>
        <v/>
      </c>
      <c r="W310" s="113">
        <f>IF($B310="","",YEAR($B310))</f>
        <v/>
      </c>
    </row>
    <row r="311">
      <c r="B311" s="105" t="n"/>
      <c r="C311" s="54" t="n"/>
      <c r="D311" s="54" t="n"/>
      <c r="E311" s="54" t="n"/>
      <c r="F311" s="54" t="n"/>
      <c r="G311" s="65" t="n"/>
      <c r="H311" s="54" t="n"/>
      <c r="I311" s="106">
        <f>IF($C311="","",IFERROR(INDEX(Sens_Types,MATCH($C311,Liste_Types,0)),""))</f>
        <v/>
      </c>
      <c r="J311" s="107">
        <f>IF($I311="▲ ENTRÉE",$U311,"")</f>
        <v/>
      </c>
      <c r="K311" s="108">
        <f>IF($I311="▼ SORTIE",$U311,"")</f>
        <v/>
      </c>
      <c r="L311" s="109">
        <f>$L310+N($J311)-N($K311)</f>
        <v/>
      </c>
      <c r="M311" s="110" t="n"/>
      <c r="N311" s="54" t="n"/>
      <c r="O311" s="54" t="n"/>
      <c r="P311" s="54" t="n"/>
      <c r="Q311" s="110" t="n"/>
      <c r="R311" s="110" t="n"/>
      <c r="S311" s="54" t="n"/>
      <c r="T311" s="111">
        <f>IF($G311="","",IFERROR(INDEX(Taux_Devises,MATCH(IF($M311="",Devise_Base,$M311),Codes_Devises,0)),1))</f>
        <v/>
      </c>
      <c r="U311" s="112">
        <f>IF($G311="","",ROUND($G311*$T311,2))</f>
        <v/>
      </c>
      <c r="V311" s="113">
        <f>IF($B311="","",MONTH($B311))</f>
        <v/>
      </c>
      <c r="W311" s="113">
        <f>IF($B311="","",YEAR($B311))</f>
        <v/>
      </c>
    </row>
    <row r="312">
      <c r="B312" s="105" t="n"/>
      <c r="C312" s="54" t="n"/>
      <c r="D312" s="54" t="n"/>
      <c r="E312" s="54" t="n"/>
      <c r="F312" s="54" t="n"/>
      <c r="G312" s="65" t="n"/>
      <c r="H312" s="54" t="n"/>
      <c r="I312" s="106">
        <f>IF($C312="","",IFERROR(INDEX(Sens_Types,MATCH($C312,Liste_Types,0)),""))</f>
        <v/>
      </c>
      <c r="J312" s="107">
        <f>IF($I312="▲ ENTRÉE",$U312,"")</f>
        <v/>
      </c>
      <c r="K312" s="108">
        <f>IF($I312="▼ SORTIE",$U312,"")</f>
        <v/>
      </c>
      <c r="L312" s="109">
        <f>$L311+N($J312)-N($K312)</f>
        <v/>
      </c>
      <c r="M312" s="110" t="n"/>
      <c r="N312" s="54" t="n"/>
      <c r="O312" s="54" t="n"/>
      <c r="P312" s="54" t="n"/>
      <c r="Q312" s="110" t="n"/>
      <c r="R312" s="110" t="n"/>
      <c r="S312" s="54" t="n"/>
      <c r="T312" s="111">
        <f>IF($G312="","",IFERROR(INDEX(Taux_Devises,MATCH(IF($M312="",Devise_Base,$M312),Codes_Devises,0)),1))</f>
        <v/>
      </c>
      <c r="U312" s="112">
        <f>IF($G312="","",ROUND($G312*$T312,2))</f>
        <v/>
      </c>
      <c r="V312" s="113">
        <f>IF($B312="","",MONTH($B312))</f>
        <v/>
      </c>
      <c r="W312" s="113">
        <f>IF($B312="","",YEAR($B312))</f>
        <v/>
      </c>
    </row>
    <row r="313">
      <c r="B313" s="105" t="n"/>
      <c r="C313" s="54" t="n"/>
      <c r="D313" s="54" t="n"/>
      <c r="E313" s="54" t="n"/>
      <c r="F313" s="54" t="n"/>
      <c r="G313" s="65" t="n"/>
      <c r="H313" s="54" t="n"/>
      <c r="I313" s="106">
        <f>IF($C313="","",IFERROR(INDEX(Sens_Types,MATCH($C313,Liste_Types,0)),""))</f>
        <v/>
      </c>
      <c r="J313" s="107">
        <f>IF($I313="▲ ENTRÉE",$U313,"")</f>
        <v/>
      </c>
      <c r="K313" s="108">
        <f>IF($I313="▼ SORTIE",$U313,"")</f>
        <v/>
      </c>
      <c r="L313" s="109">
        <f>$L312+N($J313)-N($K313)</f>
        <v/>
      </c>
      <c r="M313" s="110" t="n"/>
      <c r="N313" s="54" t="n"/>
      <c r="O313" s="54" t="n"/>
      <c r="P313" s="54" t="n"/>
      <c r="Q313" s="110" t="n"/>
      <c r="R313" s="110" t="n"/>
      <c r="S313" s="54" t="n"/>
      <c r="T313" s="111">
        <f>IF($G313="","",IFERROR(INDEX(Taux_Devises,MATCH(IF($M313="",Devise_Base,$M313),Codes_Devises,0)),1))</f>
        <v/>
      </c>
      <c r="U313" s="112">
        <f>IF($G313="","",ROUND($G313*$T313,2))</f>
        <v/>
      </c>
      <c r="V313" s="113">
        <f>IF($B313="","",MONTH($B313))</f>
        <v/>
      </c>
      <c r="W313" s="113">
        <f>IF($B313="","",YEAR($B313))</f>
        <v/>
      </c>
    </row>
    <row r="314">
      <c r="B314" s="105" t="n"/>
      <c r="C314" s="54" t="n"/>
      <c r="D314" s="54" t="n"/>
      <c r="E314" s="54" t="n"/>
      <c r="F314" s="54" t="n"/>
      <c r="G314" s="65" t="n"/>
      <c r="H314" s="54" t="n"/>
      <c r="I314" s="106">
        <f>IF($C314="","",IFERROR(INDEX(Sens_Types,MATCH($C314,Liste_Types,0)),""))</f>
        <v/>
      </c>
      <c r="J314" s="107">
        <f>IF($I314="▲ ENTRÉE",$U314,"")</f>
        <v/>
      </c>
      <c r="K314" s="108">
        <f>IF($I314="▼ SORTIE",$U314,"")</f>
        <v/>
      </c>
      <c r="L314" s="109">
        <f>$L313+N($J314)-N($K314)</f>
        <v/>
      </c>
      <c r="M314" s="110" t="n"/>
      <c r="N314" s="54" t="n"/>
      <c r="O314" s="54" t="n"/>
      <c r="P314" s="54" t="n"/>
      <c r="Q314" s="110" t="n"/>
      <c r="R314" s="110" t="n"/>
      <c r="S314" s="54" t="n"/>
      <c r="T314" s="111">
        <f>IF($G314="","",IFERROR(INDEX(Taux_Devises,MATCH(IF($M314="",Devise_Base,$M314),Codes_Devises,0)),1))</f>
        <v/>
      </c>
      <c r="U314" s="112">
        <f>IF($G314="","",ROUND($G314*$T314,2))</f>
        <v/>
      </c>
      <c r="V314" s="113">
        <f>IF($B314="","",MONTH($B314))</f>
        <v/>
      </c>
      <c r="W314" s="113">
        <f>IF($B314="","",YEAR($B314))</f>
        <v/>
      </c>
    </row>
    <row r="315">
      <c r="B315" s="105" t="n"/>
      <c r="C315" s="54" t="n"/>
      <c r="D315" s="54" t="n"/>
      <c r="E315" s="54" t="n"/>
      <c r="F315" s="54" t="n"/>
      <c r="G315" s="65" t="n"/>
      <c r="H315" s="54" t="n"/>
      <c r="I315" s="106">
        <f>IF($C315="","",IFERROR(INDEX(Sens_Types,MATCH($C315,Liste_Types,0)),""))</f>
        <v/>
      </c>
      <c r="J315" s="107">
        <f>IF($I315="▲ ENTRÉE",$U315,"")</f>
        <v/>
      </c>
      <c r="K315" s="108">
        <f>IF($I315="▼ SORTIE",$U315,"")</f>
        <v/>
      </c>
      <c r="L315" s="109">
        <f>$L314+N($J315)-N($K315)</f>
        <v/>
      </c>
      <c r="M315" s="110" t="n"/>
      <c r="N315" s="54" t="n"/>
      <c r="O315" s="54" t="n"/>
      <c r="P315" s="54" t="n"/>
      <c r="Q315" s="110" t="n"/>
      <c r="R315" s="110" t="n"/>
      <c r="S315" s="54" t="n"/>
      <c r="T315" s="111">
        <f>IF($G315="","",IFERROR(INDEX(Taux_Devises,MATCH(IF($M315="",Devise_Base,$M315),Codes_Devises,0)),1))</f>
        <v/>
      </c>
      <c r="U315" s="112">
        <f>IF($G315="","",ROUND($G315*$T315,2))</f>
        <v/>
      </c>
      <c r="V315" s="113">
        <f>IF($B315="","",MONTH($B315))</f>
        <v/>
      </c>
      <c r="W315" s="113">
        <f>IF($B315="","",YEAR($B315))</f>
        <v/>
      </c>
    </row>
    <row r="316">
      <c r="B316" s="105" t="n"/>
      <c r="C316" s="54" t="n"/>
      <c r="D316" s="54" t="n"/>
      <c r="E316" s="54" t="n"/>
      <c r="F316" s="54" t="n"/>
      <c r="G316" s="65" t="n"/>
      <c r="H316" s="54" t="n"/>
      <c r="I316" s="106">
        <f>IF($C316="","",IFERROR(INDEX(Sens_Types,MATCH($C316,Liste_Types,0)),""))</f>
        <v/>
      </c>
      <c r="J316" s="107">
        <f>IF($I316="▲ ENTRÉE",$U316,"")</f>
        <v/>
      </c>
      <c r="K316" s="108">
        <f>IF($I316="▼ SORTIE",$U316,"")</f>
        <v/>
      </c>
      <c r="L316" s="109">
        <f>$L315+N($J316)-N($K316)</f>
        <v/>
      </c>
      <c r="M316" s="110" t="n"/>
      <c r="N316" s="54" t="n"/>
      <c r="O316" s="54" t="n"/>
      <c r="P316" s="54" t="n"/>
      <c r="Q316" s="110" t="n"/>
      <c r="R316" s="110" t="n"/>
      <c r="S316" s="54" t="n"/>
      <c r="T316" s="111">
        <f>IF($G316="","",IFERROR(INDEX(Taux_Devises,MATCH(IF($M316="",Devise_Base,$M316),Codes_Devises,0)),1))</f>
        <v/>
      </c>
      <c r="U316" s="112">
        <f>IF($G316="","",ROUND($G316*$T316,2))</f>
        <v/>
      </c>
      <c r="V316" s="113">
        <f>IF($B316="","",MONTH($B316))</f>
        <v/>
      </c>
      <c r="W316" s="113">
        <f>IF($B316="","",YEAR($B316))</f>
        <v/>
      </c>
    </row>
    <row r="317">
      <c r="B317" s="105" t="n"/>
      <c r="C317" s="54" t="n"/>
      <c r="D317" s="54" t="n"/>
      <c r="E317" s="54" t="n"/>
      <c r="F317" s="54" t="n"/>
      <c r="G317" s="65" t="n"/>
      <c r="H317" s="54" t="n"/>
      <c r="I317" s="106">
        <f>IF($C317="","",IFERROR(INDEX(Sens_Types,MATCH($C317,Liste_Types,0)),""))</f>
        <v/>
      </c>
      <c r="J317" s="107">
        <f>IF($I317="▲ ENTRÉE",$U317,"")</f>
        <v/>
      </c>
      <c r="K317" s="108">
        <f>IF($I317="▼ SORTIE",$U317,"")</f>
        <v/>
      </c>
      <c r="L317" s="109">
        <f>$L316+N($J317)-N($K317)</f>
        <v/>
      </c>
      <c r="M317" s="110" t="n"/>
      <c r="N317" s="54" t="n"/>
      <c r="O317" s="54" t="n"/>
      <c r="P317" s="54" t="n"/>
      <c r="Q317" s="110" t="n"/>
      <c r="R317" s="110" t="n"/>
      <c r="S317" s="54" t="n"/>
      <c r="T317" s="111">
        <f>IF($G317="","",IFERROR(INDEX(Taux_Devises,MATCH(IF($M317="",Devise_Base,$M317),Codes_Devises,0)),1))</f>
        <v/>
      </c>
      <c r="U317" s="112">
        <f>IF($G317="","",ROUND($G317*$T317,2))</f>
        <v/>
      </c>
      <c r="V317" s="113">
        <f>IF($B317="","",MONTH($B317))</f>
        <v/>
      </c>
      <c r="W317" s="113">
        <f>IF($B317="","",YEAR($B317))</f>
        <v/>
      </c>
    </row>
    <row r="318">
      <c r="B318" s="105" t="n"/>
      <c r="C318" s="54" t="n"/>
      <c r="D318" s="54" t="n"/>
      <c r="E318" s="54" t="n"/>
      <c r="F318" s="54" t="n"/>
      <c r="G318" s="65" t="n"/>
      <c r="H318" s="54" t="n"/>
      <c r="I318" s="106">
        <f>IF($C318="","",IFERROR(INDEX(Sens_Types,MATCH($C318,Liste_Types,0)),""))</f>
        <v/>
      </c>
      <c r="J318" s="107">
        <f>IF($I318="▲ ENTRÉE",$U318,"")</f>
        <v/>
      </c>
      <c r="K318" s="108">
        <f>IF($I318="▼ SORTIE",$U318,"")</f>
        <v/>
      </c>
      <c r="L318" s="109">
        <f>$L317+N($J318)-N($K318)</f>
        <v/>
      </c>
      <c r="M318" s="110" t="n"/>
      <c r="N318" s="54" t="n"/>
      <c r="O318" s="54" t="n"/>
      <c r="P318" s="54" t="n"/>
      <c r="Q318" s="110" t="n"/>
      <c r="R318" s="110" t="n"/>
      <c r="S318" s="54" t="n"/>
      <c r="T318" s="111">
        <f>IF($G318="","",IFERROR(INDEX(Taux_Devises,MATCH(IF($M318="",Devise_Base,$M318),Codes_Devises,0)),1))</f>
        <v/>
      </c>
      <c r="U318" s="112">
        <f>IF($G318="","",ROUND($G318*$T318,2))</f>
        <v/>
      </c>
      <c r="V318" s="113">
        <f>IF($B318="","",MONTH($B318))</f>
        <v/>
      </c>
      <c r="W318" s="113">
        <f>IF($B318="","",YEAR($B318))</f>
        <v/>
      </c>
    </row>
    <row r="319">
      <c r="B319" s="105" t="n"/>
      <c r="C319" s="54" t="n"/>
      <c r="D319" s="54" t="n"/>
      <c r="E319" s="54" t="n"/>
      <c r="F319" s="54" t="n"/>
      <c r="G319" s="65" t="n"/>
      <c r="H319" s="54" t="n"/>
      <c r="I319" s="106">
        <f>IF($C319="","",IFERROR(INDEX(Sens_Types,MATCH($C319,Liste_Types,0)),""))</f>
        <v/>
      </c>
      <c r="J319" s="107">
        <f>IF($I319="▲ ENTRÉE",$U319,"")</f>
        <v/>
      </c>
      <c r="K319" s="108">
        <f>IF($I319="▼ SORTIE",$U319,"")</f>
        <v/>
      </c>
      <c r="L319" s="109">
        <f>$L318+N($J319)-N($K319)</f>
        <v/>
      </c>
      <c r="M319" s="110" t="n"/>
      <c r="N319" s="54" t="n"/>
      <c r="O319" s="54" t="n"/>
      <c r="P319" s="54" t="n"/>
      <c r="Q319" s="110" t="n"/>
      <c r="R319" s="110" t="n"/>
      <c r="S319" s="54" t="n"/>
      <c r="T319" s="111">
        <f>IF($G319="","",IFERROR(INDEX(Taux_Devises,MATCH(IF($M319="",Devise_Base,$M319),Codes_Devises,0)),1))</f>
        <v/>
      </c>
      <c r="U319" s="112">
        <f>IF($G319="","",ROUND($G319*$T319,2))</f>
        <v/>
      </c>
      <c r="V319" s="113">
        <f>IF($B319="","",MONTH($B319))</f>
        <v/>
      </c>
      <c r="W319" s="113">
        <f>IF($B319="","",YEAR($B319))</f>
        <v/>
      </c>
    </row>
    <row r="320">
      <c r="B320" s="105" t="n"/>
      <c r="C320" s="54" t="n"/>
      <c r="D320" s="54" t="n"/>
      <c r="E320" s="54" t="n"/>
      <c r="F320" s="54" t="n"/>
      <c r="G320" s="65" t="n"/>
      <c r="H320" s="54" t="n"/>
      <c r="I320" s="106">
        <f>IF($C320="","",IFERROR(INDEX(Sens_Types,MATCH($C320,Liste_Types,0)),""))</f>
        <v/>
      </c>
      <c r="J320" s="107">
        <f>IF($I320="▲ ENTRÉE",$U320,"")</f>
        <v/>
      </c>
      <c r="K320" s="108">
        <f>IF($I320="▼ SORTIE",$U320,"")</f>
        <v/>
      </c>
      <c r="L320" s="109">
        <f>$L319+N($J320)-N($K320)</f>
        <v/>
      </c>
      <c r="M320" s="110" t="n"/>
      <c r="N320" s="54" t="n"/>
      <c r="O320" s="54" t="n"/>
      <c r="P320" s="54" t="n"/>
      <c r="Q320" s="110" t="n"/>
      <c r="R320" s="110" t="n"/>
      <c r="S320" s="54" t="n"/>
      <c r="T320" s="111">
        <f>IF($G320="","",IFERROR(INDEX(Taux_Devises,MATCH(IF($M320="",Devise_Base,$M320),Codes_Devises,0)),1))</f>
        <v/>
      </c>
      <c r="U320" s="112">
        <f>IF($G320="","",ROUND($G320*$T320,2))</f>
        <v/>
      </c>
      <c r="V320" s="113">
        <f>IF($B320="","",MONTH($B320))</f>
        <v/>
      </c>
      <c r="W320" s="113">
        <f>IF($B320="","",YEAR($B320))</f>
        <v/>
      </c>
    </row>
    <row r="321">
      <c r="B321" s="105" t="n"/>
      <c r="C321" s="54" t="n"/>
      <c r="D321" s="54" t="n"/>
      <c r="E321" s="54" t="n"/>
      <c r="F321" s="54" t="n"/>
      <c r="G321" s="65" t="n"/>
      <c r="H321" s="54" t="n"/>
      <c r="I321" s="106">
        <f>IF($C321="","",IFERROR(INDEX(Sens_Types,MATCH($C321,Liste_Types,0)),""))</f>
        <v/>
      </c>
      <c r="J321" s="107">
        <f>IF($I321="▲ ENTRÉE",$U321,"")</f>
        <v/>
      </c>
      <c r="K321" s="108">
        <f>IF($I321="▼ SORTIE",$U321,"")</f>
        <v/>
      </c>
      <c r="L321" s="109">
        <f>$L320+N($J321)-N($K321)</f>
        <v/>
      </c>
      <c r="M321" s="110" t="n"/>
      <c r="N321" s="54" t="n"/>
      <c r="O321" s="54" t="n"/>
      <c r="P321" s="54" t="n"/>
      <c r="Q321" s="110" t="n"/>
      <c r="R321" s="110" t="n"/>
      <c r="S321" s="54" t="n"/>
      <c r="T321" s="111">
        <f>IF($G321="","",IFERROR(INDEX(Taux_Devises,MATCH(IF($M321="",Devise_Base,$M321),Codes_Devises,0)),1))</f>
        <v/>
      </c>
      <c r="U321" s="112">
        <f>IF($G321="","",ROUND($G321*$T321,2))</f>
        <v/>
      </c>
      <c r="V321" s="113">
        <f>IF($B321="","",MONTH($B321))</f>
        <v/>
      </c>
      <c r="W321" s="113">
        <f>IF($B321="","",YEAR($B321))</f>
        <v/>
      </c>
    </row>
    <row r="322">
      <c r="B322" s="105" t="n"/>
      <c r="C322" s="54" t="n"/>
      <c r="D322" s="54" t="n"/>
      <c r="E322" s="54" t="n"/>
      <c r="F322" s="54" t="n"/>
      <c r="G322" s="65" t="n"/>
      <c r="H322" s="54" t="n"/>
      <c r="I322" s="106">
        <f>IF($C322="","",IFERROR(INDEX(Sens_Types,MATCH($C322,Liste_Types,0)),""))</f>
        <v/>
      </c>
      <c r="J322" s="107">
        <f>IF($I322="▲ ENTRÉE",$U322,"")</f>
        <v/>
      </c>
      <c r="K322" s="108">
        <f>IF($I322="▼ SORTIE",$U322,"")</f>
        <v/>
      </c>
      <c r="L322" s="109">
        <f>$L321+N($J322)-N($K322)</f>
        <v/>
      </c>
      <c r="M322" s="110" t="n"/>
      <c r="N322" s="54" t="n"/>
      <c r="O322" s="54" t="n"/>
      <c r="P322" s="54" t="n"/>
      <c r="Q322" s="110" t="n"/>
      <c r="R322" s="110" t="n"/>
      <c r="S322" s="54" t="n"/>
      <c r="T322" s="111">
        <f>IF($G322="","",IFERROR(INDEX(Taux_Devises,MATCH(IF($M322="",Devise_Base,$M322),Codes_Devises,0)),1))</f>
        <v/>
      </c>
      <c r="U322" s="112">
        <f>IF($G322="","",ROUND($G322*$T322,2))</f>
        <v/>
      </c>
      <c r="V322" s="113">
        <f>IF($B322="","",MONTH($B322))</f>
        <v/>
      </c>
      <c r="W322" s="113">
        <f>IF($B322="","",YEAR($B322))</f>
        <v/>
      </c>
    </row>
    <row r="323">
      <c r="B323" s="105" t="n"/>
      <c r="C323" s="54" t="n"/>
      <c r="D323" s="54" t="n"/>
      <c r="E323" s="54" t="n"/>
      <c r="F323" s="54" t="n"/>
      <c r="G323" s="65" t="n"/>
      <c r="H323" s="54" t="n"/>
      <c r="I323" s="106">
        <f>IF($C323="","",IFERROR(INDEX(Sens_Types,MATCH($C323,Liste_Types,0)),""))</f>
        <v/>
      </c>
      <c r="J323" s="107">
        <f>IF($I323="▲ ENTRÉE",$U323,"")</f>
        <v/>
      </c>
      <c r="K323" s="108">
        <f>IF($I323="▼ SORTIE",$U323,"")</f>
        <v/>
      </c>
      <c r="L323" s="109">
        <f>$L322+N($J323)-N($K323)</f>
        <v/>
      </c>
      <c r="M323" s="110" t="n"/>
      <c r="N323" s="54" t="n"/>
      <c r="O323" s="54" t="n"/>
      <c r="P323" s="54" t="n"/>
      <c r="Q323" s="110" t="n"/>
      <c r="R323" s="110" t="n"/>
      <c r="S323" s="54" t="n"/>
      <c r="T323" s="111">
        <f>IF($G323="","",IFERROR(INDEX(Taux_Devises,MATCH(IF($M323="",Devise_Base,$M323),Codes_Devises,0)),1))</f>
        <v/>
      </c>
      <c r="U323" s="112">
        <f>IF($G323="","",ROUND($G323*$T323,2))</f>
        <v/>
      </c>
      <c r="V323" s="113">
        <f>IF($B323="","",MONTH($B323))</f>
        <v/>
      </c>
      <c r="W323" s="113">
        <f>IF($B323="","",YEAR($B323))</f>
        <v/>
      </c>
    </row>
    <row r="324">
      <c r="B324" s="105" t="n"/>
      <c r="C324" s="54" t="n"/>
      <c r="D324" s="54" t="n"/>
      <c r="E324" s="54" t="n"/>
      <c r="F324" s="54" t="n"/>
      <c r="G324" s="65" t="n"/>
      <c r="H324" s="54" t="n"/>
      <c r="I324" s="106">
        <f>IF($C324="","",IFERROR(INDEX(Sens_Types,MATCH($C324,Liste_Types,0)),""))</f>
        <v/>
      </c>
      <c r="J324" s="107">
        <f>IF($I324="▲ ENTRÉE",$U324,"")</f>
        <v/>
      </c>
      <c r="K324" s="108">
        <f>IF($I324="▼ SORTIE",$U324,"")</f>
        <v/>
      </c>
      <c r="L324" s="109">
        <f>$L323+N($J324)-N($K324)</f>
        <v/>
      </c>
      <c r="M324" s="110" t="n"/>
      <c r="N324" s="54" t="n"/>
      <c r="O324" s="54" t="n"/>
      <c r="P324" s="54" t="n"/>
      <c r="Q324" s="110" t="n"/>
      <c r="R324" s="110" t="n"/>
      <c r="S324" s="54" t="n"/>
      <c r="T324" s="111">
        <f>IF($G324="","",IFERROR(INDEX(Taux_Devises,MATCH(IF($M324="",Devise_Base,$M324),Codes_Devises,0)),1))</f>
        <v/>
      </c>
      <c r="U324" s="112">
        <f>IF($G324="","",ROUND($G324*$T324,2))</f>
        <v/>
      </c>
      <c r="V324" s="113">
        <f>IF($B324="","",MONTH($B324))</f>
        <v/>
      </c>
      <c r="W324" s="113">
        <f>IF($B324="","",YEAR($B324))</f>
        <v/>
      </c>
    </row>
    <row r="325">
      <c r="B325" s="105" t="n"/>
      <c r="C325" s="54" t="n"/>
      <c r="D325" s="54" t="n"/>
      <c r="E325" s="54" t="n"/>
      <c r="F325" s="54" t="n"/>
      <c r="G325" s="65" t="n"/>
      <c r="H325" s="54" t="n"/>
      <c r="I325" s="106">
        <f>IF($C325="","",IFERROR(INDEX(Sens_Types,MATCH($C325,Liste_Types,0)),""))</f>
        <v/>
      </c>
      <c r="J325" s="107">
        <f>IF($I325="▲ ENTRÉE",$U325,"")</f>
        <v/>
      </c>
      <c r="K325" s="108">
        <f>IF($I325="▼ SORTIE",$U325,"")</f>
        <v/>
      </c>
      <c r="L325" s="109">
        <f>$L324+N($J325)-N($K325)</f>
        <v/>
      </c>
      <c r="M325" s="110" t="n"/>
      <c r="N325" s="54" t="n"/>
      <c r="O325" s="54" t="n"/>
      <c r="P325" s="54" t="n"/>
      <c r="Q325" s="110" t="n"/>
      <c r="R325" s="110" t="n"/>
      <c r="S325" s="54" t="n"/>
      <c r="T325" s="111">
        <f>IF($G325="","",IFERROR(INDEX(Taux_Devises,MATCH(IF($M325="",Devise_Base,$M325),Codes_Devises,0)),1))</f>
        <v/>
      </c>
      <c r="U325" s="112">
        <f>IF($G325="","",ROUND($G325*$T325,2))</f>
        <v/>
      </c>
      <c r="V325" s="113">
        <f>IF($B325="","",MONTH($B325))</f>
        <v/>
      </c>
      <c r="W325" s="113">
        <f>IF($B325="","",YEAR($B325))</f>
        <v/>
      </c>
    </row>
    <row r="326">
      <c r="B326" s="105" t="n"/>
      <c r="C326" s="54" t="n"/>
      <c r="D326" s="54" t="n"/>
      <c r="E326" s="54" t="n"/>
      <c r="F326" s="54" t="n"/>
      <c r="G326" s="65" t="n"/>
      <c r="H326" s="54" t="n"/>
      <c r="I326" s="106">
        <f>IF($C326="","",IFERROR(INDEX(Sens_Types,MATCH($C326,Liste_Types,0)),""))</f>
        <v/>
      </c>
      <c r="J326" s="107">
        <f>IF($I326="▲ ENTRÉE",$U326,"")</f>
        <v/>
      </c>
      <c r="K326" s="108">
        <f>IF($I326="▼ SORTIE",$U326,"")</f>
        <v/>
      </c>
      <c r="L326" s="109">
        <f>$L325+N($J326)-N($K326)</f>
        <v/>
      </c>
      <c r="M326" s="110" t="n"/>
      <c r="N326" s="54" t="n"/>
      <c r="O326" s="54" t="n"/>
      <c r="P326" s="54" t="n"/>
      <c r="Q326" s="110" t="n"/>
      <c r="R326" s="110" t="n"/>
      <c r="S326" s="54" t="n"/>
      <c r="T326" s="111">
        <f>IF($G326="","",IFERROR(INDEX(Taux_Devises,MATCH(IF($M326="",Devise_Base,$M326),Codes_Devises,0)),1))</f>
        <v/>
      </c>
      <c r="U326" s="112">
        <f>IF($G326="","",ROUND($G326*$T326,2))</f>
        <v/>
      </c>
      <c r="V326" s="113">
        <f>IF($B326="","",MONTH($B326))</f>
        <v/>
      </c>
      <c r="W326" s="113">
        <f>IF($B326="","",YEAR($B326))</f>
        <v/>
      </c>
    </row>
    <row r="327">
      <c r="B327" s="105" t="n"/>
      <c r="C327" s="54" t="n"/>
      <c r="D327" s="54" t="n"/>
      <c r="E327" s="54" t="n"/>
      <c r="F327" s="54" t="n"/>
      <c r="G327" s="65" t="n"/>
      <c r="H327" s="54" t="n"/>
      <c r="I327" s="106">
        <f>IF($C327="","",IFERROR(INDEX(Sens_Types,MATCH($C327,Liste_Types,0)),""))</f>
        <v/>
      </c>
      <c r="J327" s="107">
        <f>IF($I327="▲ ENTRÉE",$U327,"")</f>
        <v/>
      </c>
      <c r="K327" s="108">
        <f>IF($I327="▼ SORTIE",$U327,"")</f>
        <v/>
      </c>
      <c r="L327" s="109">
        <f>$L326+N($J327)-N($K327)</f>
        <v/>
      </c>
      <c r="M327" s="110" t="n"/>
      <c r="N327" s="54" t="n"/>
      <c r="O327" s="54" t="n"/>
      <c r="P327" s="54" t="n"/>
      <c r="Q327" s="110" t="n"/>
      <c r="R327" s="110" t="n"/>
      <c r="S327" s="54" t="n"/>
      <c r="T327" s="111">
        <f>IF($G327="","",IFERROR(INDEX(Taux_Devises,MATCH(IF($M327="",Devise_Base,$M327),Codes_Devises,0)),1))</f>
        <v/>
      </c>
      <c r="U327" s="112">
        <f>IF($G327="","",ROUND($G327*$T327,2))</f>
        <v/>
      </c>
      <c r="V327" s="113">
        <f>IF($B327="","",MONTH($B327))</f>
        <v/>
      </c>
      <c r="W327" s="113">
        <f>IF($B327="","",YEAR($B327))</f>
        <v/>
      </c>
    </row>
    <row r="328">
      <c r="B328" s="105" t="n"/>
      <c r="C328" s="54" t="n"/>
      <c r="D328" s="54" t="n"/>
      <c r="E328" s="54" t="n"/>
      <c r="F328" s="54" t="n"/>
      <c r="G328" s="65" t="n"/>
      <c r="H328" s="54" t="n"/>
      <c r="I328" s="106">
        <f>IF($C328="","",IFERROR(INDEX(Sens_Types,MATCH($C328,Liste_Types,0)),""))</f>
        <v/>
      </c>
      <c r="J328" s="107">
        <f>IF($I328="▲ ENTRÉE",$U328,"")</f>
        <v/>
      </c>
      <c r="K328" s="108">
        <f>IF($I328="▼ SORTIE",$U328,"")</f>
        <v/>
      </c>
      <c r="L328" s="109">
        <f>$L327+N($J328)-N($K328)</f>
        <v/>
      </c>
      <c r="M328" s="110" t="n"/>
      <c r="N328" s="54" t="n"/>
      <c r="O328" s="54" t="n"/>
      <c r="P328" s="54" t="n"/>
      <c r="Q328" s="110" t="n"/>
      <c r="R328" s="110" t="n"/>
      <c r="S328" s="54" t="n"/>
      <c r="T328" s="111">
        <f>IF($G328="","",IFERROR(INDEX(Taux_Devises,MATCH(IF($M328="",Devise_Base,$M328),Codes_Devises,0)),1))</f>
        <v/>
      </c>
      <c r="U328" s="112">
        <f>IF($G328="","",ROUND($G328*$T328,2))</f>
        <v/>
      </c>
      <c r="V328" s="113">
        <f>IF($B328="","",MONTH($B328))</f>
        <v/>
      </c>
      <c r="W328" s="113">
        <f>IF($B328="","",YEAR($B328))</f>
        <v/>
      </c>
    </row>
    <row r="329">
      <c r="B329" s="105" t="n"/>
      <c r="C329" s="54" t="n"/>
      <c r="D329" s="54" t="n"/>
      <c r="E329" s="54" t="n"/>
      <c r="F329" s="54" t="n"/>
      <c r="G329" s="65" t="n"/>
      <c r="H329" s="54" t="n"/>
      <c r="I329" s="106">
        <f>IF($C329="","",IFERROR(INDEX(Sens_Types,MATCH($C329,Liste_Types,0)),""))</f>
        <v/>
      </c>
      <c r="J329" s="107">
        <f>IF($I329="▲ ENTRÉE",$U329,"")</f>
        <v/>
      </c>
      <c r="K329" s="108">
        <f>IF($I329="▼ SORTIE",$U329,"")</f>
        <v/>
      </c>
      <c r="L329" s="109">
        <f>$L328+N($J329)-N($K329)</f>
        <v/>
      </c>
      <c r="M329" s="110" t="n"/>
      <c r="N329" s="54" t="n"/>
      <c r="O329" s="54" t="n"/>
      <c r="P329" s="54" t="n"/>
      <c r="Q329" s="110" t="n"/>
      <c r="R329" s="110" t="n"/>
      <c r="S329" s="54" t="n"/>
      <c r="T329" s="111">
        <f>IF($G329="","",IFERROR(INDEX(Taux_Devises,MATCH(IF($M329="",Devise_Base,$M329),Codes_Devises,0)),1))</f>
        <v/>
      </c>
      <c r="U329" s="112">
        <f>IF($G329="","",ROUND($G329*$T329,2))</f>
        <v/>
      </c>
      <c r="V329" s="113">
        <f>IF($B329="","",MONTH($B329))</f>
        <v/>
      </c>
      <c r="W329" s="113">
        <f>IF($B329="","",YEAR($B329))</f>
        <v/>
      </c>
    </row>
    <row r="330">
      <c r="B330" s="105" t="n"/>
      <c r="C330" s="54" t="n"/>
      <c r="D330" s="54" t="n"/>
      <c r="E330" s="54" t="n"/>
      <c r="F330" s="54" t="n"/>
      <c r="G330" s="65" t="n"/>
      <c r="H330" s="54" t="n"/>
      <c r="I330" s="106">
        <f>IF($C330="","",IFERROR(INDEX(Sens_Types,MATCH($C330,Liste_Types,0)),""))</f>
        <v/>
      </c>
      <c r="J330" s="107">
        <f>IF($I330="▲ ENTRÉE",$U330,"")</f>
        <v/>
      </c>
      <c r="K330" s="108">
        <f>IF($I330="▼ SORTIE",$U330,"")</f>
        <v/>
      </c>
      <c r="L330" s="109">
        <f>$L329+N($J330)-N($K330)</f>
        <v/>
      </c>
      <c r="M330" s="110" t="n"/>
      <c r="N330" s="54" t="n"/>
      <c r="O330" s="54" t="n"/>
      <c r="P330" s="54" t="n"/>
      <c r="Q330" s="110" t="n"/>
      <c r="R330" s="110" t="n"/>
      <c r="S330" s="54" t="n"/>
      <c r="T330" s="111">
        <f>IF($G330="","",IFERROR(INDEX(Taux_Devises,MATCH(IF($M330="",Devise_Base,$M330),Codes_Devises,0)),1))</f>
        <v/>
      </c>
      <c r="U330" s="112">
        <f>IF($G330="","",ROUND($G330*$T330,2))</f>
        <v/>
      </c>
      <c r="V330" s="113">
        <f>IF($B330="","",MONTH($B330))</f>
        <v/>
      </c>
      <c r="W330" s="113">
        <f>IF($B330="","",YEAR($B330))</f>
        <v/>
      </c>
    </row>
    <row r="331">
      <c r="B331" s="105" t="n"/>
      <c r="C331" s="54" t="n"/>
      <c r="D331" s="54" t="n"/>
      <c r="E331" s="54" t="n"/>
      <c r="F331" s="54" t="n"/>
      <c r="G331" s="65" t="n"/>
      <c r="H331" s="54" t="n"/>
      <c r="I331" s="106">
        <f>IF($C331="","",IFERROR(INDEX(Sens_Types,MATCH($C331,Liste_Types,0)),""))</f>
        <v/>
      </c>
      <c r="J331" s="107">
        <f>IF($I331="▲ ENTRÉE",$U331,"")</f>
        <v/>
      </c>
      <c r="K331" s="108">
        <f>IF($I331="▼ SORTIE",$U331,"")</f>
        <v/>
      </c>
      <c r="L331" s="109">
        <f>$L330+N($J331)-N($K331)</f>
        <v/>
      </c>
      <c r="M331" s="110" t="n"/>
      <c r="N331" s="54" t="n"/>
      <c r="O331" s="54" t="n"/>
      <c r="P331" s="54" t="n"/>
      <c r="Q331" s="110" t="n"/>
      <c r="R331" s="110" t="n"/>
      <c r="S331" s="54" t="n"/>
      <c r="T331" s="111">
        <f>IF($G331="","",IFERROR(INDEX(Taux_Devises,MATCH(IF($M331="",Devise_Base,$M331),Codes_Devises,0)),1))</f>
        <v/>
      </c>
      <c r="U331" s="112">
        <f>IF($G331="","",ROUND($G331*$T331,2))</f>
        <v/>
      </c>
      <c r="V331" s="113">
        <f>IF($B331="","",MONTH($B331))</f>
        <v/>
      </c>
      <c r="W331" s="113">
        <f>IF($B331="","",YEAR($B331))</f>
        <v/>
      </c>
    </row>
    <row r="332">
      <c r="B332" s="105" t="n"/>
      <c r="C332" s="54" t="n"/>
      <c r="D332" s="54" t="n"/>
      <c r="E332" s="54" t="n"/>
      <c r="F332" s="54" t="n"/>
      <c r="G332" s="65" t="n"/>
      <c r="H332" s="54" t="n"/>
      <c r="I332" s="106">
        <f>IF($C332="","",IFERROR(INDEX(Sens_Types,MATCH($C332,Liste_Types,0)),""))</f>
        <v/>
      </c>
      <c r="J332" s="107">
        <f>IF($I332="▲ ENTRÉE",$U332,"")</f>
        <v/>
      </c>
      <c r="K332" s="108">
        <f>IF($I332="▼ SORTIE",$U332,"")</f>
        <v/>
      </c>
      <c r="L332" s="109">
        <f>$L331+N($J332)-N($K332)</f>
        <v/>
      </c>
      <c r="M332" s="110" t="n"/>
      <c r="N332" s="54" t="n"/>
      <c r="O332" s="54" t="n"/>
      <c r="P332" s="54" t="n"/>
      <c r="Q332" s="110" t="n"/>
      <c r="R332" s="110" t="n"/>
      <c r="S332" s="54" t="n"/>
      <c r="T332" s="111">
        <f>IF($G332="","",IFERROR(INDEX(Taux_Devises,MATCH(IF($M332="",Devise_Base,$M332),Codes_Devises,0)),1))</f>
        <v/>
      </c>
      <c r="U332" s="112">
        <f>IF($G332="","",ROUND($G332*$T332,2))</f>
        <v/>
      </c>
      <c r="V332" s="113">
        <f>IF($B332="","",MONTH($B332))</f>
        <v/>
      </c>
      <c r="W332" s="113">
        <f>IF($B332="","",YEAR($B332))</f>
        <v/>
      </c>
    </row>
    <row r="333">
      <c r="B333" s="105" t="n"/>
      <c r="C333" s="54" t="n"/>
      <c r="D333" s="54" t="n"/>
      <c r="E333" s="54" t="n"/>
      <c r="F333" s="54" t="n"/>
      <c r="G333" s="65" t="n"/>
      <c r="H333" s="54" t="n"/>
      <c r="I333" s="106">
        <f>IF($C333="","",IFERROR(INDEX(Sens_Types,MATCH($C333,Liste_Types,0)),""))</f>
        <v/>
      </c>
      <c r="J333" s="107">
        <f>IF($I333="▲ ENTRÉE",$U333,"")</f>
        <v/>
      </c>
      <c r="K333" s="108">
        <f>IF($I333="▼ SORTIE",$U333,"")</f>
        <v/>
      </c>
      <c r="L333" s="109">
        <f>$L332+N($J333)-N($K333)</f>
        <v/>
      </c>
      <c r="M333" s="110" t="n"/>
      <c r="N333" s="54" t="n"/>
      <c r="O333" s="54" t="n"/>
      <c r="P333" s="54" t="n"/>
      <c r="Q333" s="110" t="n"/>
      <c r="R333" s="110" t="n"/>
      <c r="S333" s="54" t="n"/>
      <c r="T333" s="111">
        <f>IF($G333="","",IFERROR(INDEX(Taux_Devises,MATCH(IF($M333="",Devise_Base,$M333),Codes_Devises,0)),1))</f>
        <v/>
      </c>
      <c r="U333" s="112">
        <f>IF($G333="","",ROUND($G333*$T333,2))</f>
        <v/>
      </c>
      <c r="V333" s="113">
        <f>IF($B333="","",MONTH($B333))</f>
        <v/>
      </c>
      <c r="W333" s="113">
        <f>IF($B333="","",YEAR($B333))</f>
        <v/>
      </c>
    </row>
    <row r="334">
      <c r="B334" s="105" t="n"/>
      <c r="C334" s="54" t="n"/>
      <c r="D334" s="54" t="n"/>
      <c r="E334" s="54" t="n"/>
      <c r="F334" s="54" t="n"/>
      <c r="G334" s="65" t="n"/>
      <c r="H334" s="54" t="n"/>
      <c r="I334" s="106">
        <f>IF($C334="","",IFERROR(INDEX(Sens_Types,MATCH($C334,Liste_Types,0)),""))</f>
        <v/>
      </c>
      <c r="J334" s="107">
        <f>IF($I334="▲ ENTRÉE",$U334,"")</f>
        <v/>
      </c>
      <c r="K334" s="108">
        <f>IF($I334="▼ SORTIE",$U334,"")</f>
        <v/>
      </c>
      <c r="L334" s="109">
        <f>$L333+N($J334)-N($K334)</f>
        <v/>
      </c>
      <c r="M334" s="110" t="n"/>
      <c r="N334" s="54" t="n"/>
      <c r="O334" s="54" t="n"/>
      <c r="P334" s="54" t="n"/>
      <c r="Q334" s="110" t="n"/>
      <c r="R334" s="110" t="n"/>
      <c r="S334" s="54" t="n"/>
      <c r="T334" s="111">
        <f>IF($G334="","",IFERROR(INDEX(Taux_Devises,MATCH(IF($M334="",Devise_Base,$M334),Codes_Devises,0)),1))</f>
        <v/>
      </c>
      <c r="U334" s="112">
        <f>IF($G334="","",ROUND($G334*$T334,2))</f>
        <v/>
      </c>
      <c r="V334" s="113">
        <f>IF($B334="","",MONTH($B334))</f>
        <v/>
      </c>
      <c r="W334" s="113">
        <f>IF($B334="","",YEAR($B334))</f>
        <v/>
      </c>
    </row>
    <row r="335">
      <c r="B335" s="105" t="n"/>
      <c r="C335" s="54" t="n"/>
      <c r="D335" s="54" t="n"/>
      <c r="E335" s="54" t="n"/>
      <c r="F335" s="54" t="n"/>
      <c r="G335" s="65" t="n"/>
      <c r="H335" s="54" t="n"/>
      <c r="I335" s="106">
        <f>IF($C335="","",IFERROR(INDEX(Sens_Types,MATCH($C335,Liste_Types,0)),""))</f>
        <v/>
      </c>
      <c r="J335" s="107">
        <f>IF($I335="▲ ENTRÉE",$U335,"")</f>
        <v/>
      </c>
      <c r="K335" s="108">
        <f>IF($I335="▼ SORTIE",$U335,"")</f>
        <v/>
      </c>
      <c r="L335" s="109">
        <f>$L334+N($J335)-N($K335)</f>
        <v/>
      </c>
      <c r="M335" s="110" t="n"/>
      <c r="N335" s="54" t="n"/>
      <c r="O335" s="54" t="n"/>
      <c r="P335" s="54" t="n"/>
      <c r="Q335" s="110" t="n"/>
      <c r="R335" s="110" t="n"/>
      <c r="S335" s="54" t="n"/>
      <c r="T335" s="111">
        <f>IF($G335="","",IFERROR(INDEX(Taux_Devises,MATCH(IF($M335="",Devise_Base,$M335),Codes_Devises,0)),1))</f>
        <v/>
      </c>
      <c r="U335" s="112">
        <f>IF($G335="","",ROUND($G335*$T335,2))</f>
        <v/>
      </c>
      <c r="V335" s="113">
        <f>IF($B335="","",MONTH($B335))</f>
        <v/>
      </c>
      <c r="W335" s="113">
        <f>IF($B335="","",YEAR($B335))</f>
        <v/>
      </c>
    </row>
    <row r="336">
      <c r="B336" s="105" t="n"/>
      <c r="C336" s="54" t="n"/>
      <c r="D336" s="54" t="n"/>
      <c r="E336" s="54" t="n"/>
      <c r="F336" s="54" t="n"/>
      <c r="G336" s="65" t="n"/>
      <c r="H336" s="54" t="n"/>
      <c r="I336" s="106">
        <f>IF($C336="","",IFERROR(INDEX(Sens_Types,MATCH($C336,Liste_Types,0)),""))</f>
        <v/>
      </c>
      <c r="J336" s="107">
        <f>IF($I336="▲ ENTRÉE",$U336,"")</f>
        <v/>
      </c>
      <c r="K336" s="108">
        <f>IF($I336="▼ SORTIE",$U336,"")</f>
        <v/>
      </c>
      <c r="L336" s="109">
        <f>$L335+N($J336)-N($K336)</f>
        <v/>
      </c>
      <c r="M336" s="110" t="n"/>
      <c r="N336" s="54" t="n"/>
      <c r="O336" s="54" t="n"/>
      <c r="P336" s="54" t="n"/>
      <c r="Q336" s="110" t="n"/>
      <c r="R336" s="110" t="n"/>
      <c r="S336" s="54" t="n"/>
      <c r="T336" s="111">
        <f>IF($G336="","",IFERROR(INDEX(Taux_Devises,MATCH(IF($M336="",Devise_Base,$M336),Codes_Devises,0)),1))</f>
        <v/>
      </c>
      <c r="U336" s="112">
        <f>IF($G336="","",ROUND($G336*$T336,2))</f>
        <v/>
      </c>
      <c r="V336" s="113">
        <f>IF($B336="","",MONTH($B336))</f>
        <v/>
      </c>
      <c r="W336" s="113">
        <f>IF($B336="","",YEAR($B336))</f>
        <v/>
      </c>
    </row>
    <row r="337">
      <c r="B337" s="105" t="n"/>
      <c r="C337" s="54" t="n"/>
      <c r="D337" s="54" t="n"/>
      <c r="E337" s="54" t="n"/>
      <c r="F337" s="54" t="n"/>
      <c r="G337" s="65" t="n"/>
      <c r="H337" s="54" t="n"/>
      <c r="I337" s="106">
        <f>IF($C337="","",IFERROR(INDEX(Sens_Types,MATCH($C337,Liste_Types,0)),""))</f>
        <v/>
      </c>
      <c r="J337" s="107">
        <f>IF($I337="▲ ENTRÉE",$U337,"")</f>
        <v/>
      </c>
      <c r="K337" s="108">
        <f>IF($I337="▼ SORTIE",$U337,"")</f>
        <v/>
      </c>
      <c r="L337" s="109">
        <f>$L336+N($J337)-N($K337)</f>
        <v/>
      </c>
      <c r="M337" s="110" t="n"/>
      <c r="N337" s="54" t="n"/>
      <c r="O337" s="54" t="n"/>
      <c r="P337" s="54" t="n"/>
      <c r="Q337" s="110" t="n"/>
      <c r="R337" s="110" t="n"/>
      <c r="S337" s="54" t="n"/>
      <c r="T337" s="111">
        <f>IF($G337="","",IFERROR(INDEX(Taux_Devises,MATCH(IF($M337="",Devise_Base,$M337),Codes_Devises,0)),1))</f>
        <v/>
      </c>
      <c r="U337" s="112">
        <f>IF($G337="","",ROUND($G337*$T337,2))</f>
        <v/>
      </c>
      <c r="V337" s="113">
        <f>IF($B337="","",MONTH($B337))</f>
        <v/>
      </c>
      <c r="W337" s="113">
        <f>IF($B337="","",YEAR($B337))</f>
        <v/>
      </c>
    </row>
    <row r="338">
      <c r="B338" s="105" t="n"/>
      <c r="C338" s="54" t="n"/>
      <c r="D338" s="54" t="n"/>
      <c r="E338" s="54" t="n"/>
      <c r="F338" s="54" t="n"/>
      <c r="G338" s="65" t="n"/>
      <c r="H338" s="54" t="n"/>
      <c r="I338" s="106">
        <f>IF($C338="","",IFERROR(INDEX(Sens_Types,MATCH($C338,Liste_Types,0)),""))</f>
        <v/>
      </c>
      <c r="J338" s="107">
        <f>IF($I338="▲ ENTRÉE",$U338,"")</f>
        <v/>
      </c>
      <c r="K338" s="108">
        <f>IF($I338="▼ SORTIE",$U338,"")</f>
        <v/>
      </c>
      <c r="L338" s="109">
        <f>$L337+N($J338)-N($K338)</f>
        <v/>
      </c>
      <c r="M338" s="110" t="n"/>
      <c r="N338" s="54" t="n"/>
      <c r="O338" s="54" t="n"/>
      <c r="P338" s="54" t="n"/>
      <c r="Q338" s="110" t="n"/>
      <c r="R338" s="110" t="n"/>
      <c r="S338" s="54" t="n"/>
      <c r="T338" s="111">
        <f>IF($G338="","",IFERROR(INDEX(Taux_Devises,MATCH(IF($M338="",Devise_Base,$M338),Codes_Devises,0)),1))</f>
        <v/>
      </c>
      <c r="U338" s="112">
        <f>IF($G338="","",ROUND($G338*$T338,2))</f>
        <v/>
      </c>
      <c r="V338" s="113">
        <f>IF($B338="","",MONTH($B338))</f>
        <v/>
      </c>
      <c r="W338" s="113">
        <f>IF($B338="","",YEAR($B338))</f>
        <v/>
      </c>
    </row>
    <row r="339">
      <c r="B339" s="105" t="n"/>
      <c r="C339" s="54" t="n"/>
      <c r="D339" s="54" t="n"/>
      <c r="E339" s="54" t="n"/>
      <c r="F339" s="54" t="n"/>
      <c r="G339" s="65" t="n"/>
      <c r="H339" s="54" t="n"/>
      <c r="I339" s="106">
        <f>IF($C339="","",IFERROR(INDEX(Sens_Types,MATCH($C339,Liste_Types,0)),""))</f>
        <v/>
      </c>
      <c r="J339" s="107">
        <f>IF($I339="▲ ENTRÉE",$U339,"")</f>
        <v/>
      </c>
      <c r="K339" s="108">
        <f>IF($I339="▼ SORTIE",$U339,"")</f>
        <v/>
      </c>
      <c r="L339" s="109">
        <f>$L338+N($J339)-N($K339)</f>
        <v/>
      </c>
      <c r="M339" s="110" t="n"/>
      <c r="N339" s="54" t="n"/>
      <c r="O339" s="54" t="n"/>
      <c r="P339" s="54" t="n"/>
      <c r="Q339" s="110" t="n"/>
      <c r="R339" s="110" t="n"/>
      <c r="S339" s="54" t="n"/>
      <c r="T339" s="111">
        <f>IF($G339="","",IFERROR(INDEX(Taux_Devises,MATCH(IF($M339="",Devise_Base,$M339),Codes_Devises,0)),1))</f>
        <v/>
      </c>
      <c r="U339" s="112">
        <f>IF($G339="","",ROUND($G339*$T339,2))</f>
        <v/>
      </c>
      <c r="V339" s="113">
        <f>IF($B339="","",MONTH($B339))</f>
        <v/>
      </c>
      <c r="W339" s="113">
        <f>IF($B339="","",YEAR($B339))</f>
        <v/>
      </c>
    </row>
    <row r="340">
      <c r="B340" s="105" t="n"/>
      <c r="C340" s="54" t="n"/>
      <c r="D340" s="54" t="n"/>
      <c r="E340" s="54" t="n"/>
      <c r="F340" s="54" t="n"/>
      <c r="G340" s="65" t="n"/>
      <c r="H340" s="54" t="n"/>
      <c r="I340" s="106">
        <f>IF($C340="","",IFERROR(INDEX(Sens_Types,MATCH($C340,Liste_Types,0)),""))</f>
        <v/>
      </c>
      <c r="J340" s="107">
        <f>IF($I340="▲ ENTRÉE",$U340,"")</f>
        <v/>
      </c>
      <c r="K340" s="108">
        <f>IF($I340="▼ SORTIE",$U340,"")</f>
        <v/>
      </c>
      <c r="L340" s="109">
        <f>$L339+N($J340)-N($K340)</f>
        <v/>
      </c>
      <c r="M340" s="110" t="n"/>
      <c r="N340" s="54" t="n"/>
      <c r="O340" s="54" t="n"/>
      <c r="P340" s="54" t="n"/>
      <c r="Q340" s="110" t="n"/>
      <c r="R340" s="110" t="n"/>
      <c r="S340" s="54" t="n"/>
      <c r="T340" s="111">
        <f>IF($G340="","",IFERROR(INDEX(Taux_Devises,MATCH(IF($M340="",Devise_Base,$M340),Codes_Devises,0)),1))</f>
        <v/>
      </c>
      <c r="U340" s="112">
        <f>IF($G340="","",ROUND($G340*$T340,2))</f>
        <v/>
      </c>
      <c r="V340" s="113">
        <f>IF($B340="","",MONTH($B340))</f>
        <v/>
      </c>
      <c r="W340" s="113">
        <f>IF($B340="","",YEAR($B340))</f>
        <v/>
      </c>
    </row>
    <row r="341">
      <c r="B341" s="105" t="n"/>
      <c r="C341" s="54" t="n"/>
      <c r="D341" s="54" t="n"/>
      <c r="E341" s="54" t="n"/>
      <c r="F341" s="54" t="n"/>
      <c r="G341" s="65" t="n"/>
      <c r="H341" s="54" t="n"/>
      <c r="I341" s="106">
        <f>IF($C341="","",IFERROR(INDEX(Sens_Types,MATCH($C341,Liste_Types,0)),""))</f>
        <v/>
      </c>
      <c r="J341" s="107">
        <f>IF($I341="▲ ENTRÉE",$U341,"")</f>
        <v/>
      </c>
      <c r="K341" s="108">
        <f>IF($I341="▼ SORTIE",$U341,"")</f>
        <v/>
      </c>
      <c r="L341" s="109">
        <f>$L340+N($J341)-N($K341)</f>
        <v/>
      </c>
      <c r="M341" s="110" t="n"/>
      <c r="N341" s="54" t="n"/>
      <c r="O341" s="54" t="n"/>
      <c r="P341" s="54" t="n"/>
      <c r="Q341" s="110" t="n"/>
      <c r="R341" s="110" t="n"/>
      <c r="S341" s="54" t="n"/>
      <c r="T341" s="111">
        <f>IF($G341="","",IFERROR(INDEX(Taux_Devises,MATCH(IF($M341="",Devise_Base,$M341),Codes_Devises,0)),1))</f>
        <v/>
      </c>
      <c r="U341" s="112">
        <f>IF($G341="","",ROUND($G341*$T341,2))</f>
        <v/>
      </c>
      <c r="V341" s="113">
        <f>IF($B341="","",MONTH($B341))</f>
        <v/>
      </c>
      <c r="W341" s="113">
        <f>IF($B341="","",YEAR($B341))</f>
        <v/>
      </c>
    </row>
    <row r="342">
      <c r="B342" s="105" t="n"/>
      <c r="C342" s="54" t="n"/>
      <c r="D342" s="54" t="n"/>
      <c r="E342" s="54" t="n"/>
      <c r="F342" s="54" t="n"/>
      <c r="G342" s="65" t="n"/>
      <c r="H342" s="54" t="n"/>
      <c r="I342" s="106">
        <f>IF($C342="","",IFERROR(INDEX(Sens_Types,MATCH($C342,Liste_Types,0)),""))</f>
        <v/>
      </c>
      <c r="J342" s="107">
        <f>IF($I342="▲ ENTRÉE",$U342,"")</f>
        <v/>
      </c>
      <c r="K342" s="108">
        <f>IF($I342="▼ SORTIE",$U342,"")</f>
        <v/>
      </c>
      <c r="L342" s="109">
        <f>$L341+N($J342)-N($K342)</f>
        <v/>
      </c>
      <c r="M342" s="110" t="n"/>
      <c r="N342" s="54" t="n"/>
      <c r="O342" s="54" t="n"/>
      <c r="P342" s="54" t="n"/>
      <c r="Q342" s="110" t="n"/>
      <c r="R342" s="110" t="n"/>
      <c r="S342" s="54" t="n"/>
      <c r="T342" s="111">
        <f>IF($G342="","",IFERROR(INDEX(Taux_Devises,MATCH(IF($M342="",Devise_Base,$M342),Codes_Devises,0)),1))</f>
        <v/>
      </c>
      <c r="U342" s="112">
        <f>IF($G342="","",ROUND($G342*$T342,2))</f>
        <v/>
      </c>
      <c r="V342" s="113">
        <f>IF($B342="","",MONTH($B342))</f>
        <v/>
      </c>
      <c r="W342" s="113">
        <f>IF($B342="","",YEAR($B342))</f>
        <v/>
      </c>
    </row>
    <row r="343">
      <c r="B343" s="105" t="n"/>
      <c r="C343" s="54" t="n"/>
      <c r="D343" s="54" t="n"/>
      <c r="E343" s="54" t="n"/>
      <c r="F343" s="54" t="n"/>
      <c r="G343" s="65" t="n"/>
      <c r="H343" s="54" t="n"/>
      <c r="I343" s="106">
        <f>IF($C343="","",IFERROR(INDEX(Sens_Types,MATCH($C343,Liste_Types,0)),""))</f>
        <v/>
      </c>
      <c r="J343" s="107">
        <f>IF($I343="▲ ENTRÉE",$U343,"")</f>
        <v/>
      </c>
      <c r="K343" s="108">
        <f>IF($I343="▼ SORTIE",$U343,"")</f>
        <v/>
      </c>
      <c r="L343" s="109">
        <f>$L342+N($J343)-N($K343)</f>
        <v/>
      </c>
      <c r="M343" s="110" t="n"/>
      <c r="N343" s="54" t="n"/>
      <c r="O343" s="54" t="n"/>
      <c r="P343" s="54" t="n"/>
      <c r="Q343" s="110" t="n"/>
      <c r="R343" s="110" t="n"/>
      <c r="S343" s="54" t="n"/>
      <c r="T343" s="111">
        <f>IF($G343="","",IFERROR(INDEX(Taux_Devises,MATCH(IF($M343="",Devise_Base,$M343),Codes_Devises,0)),1))</f>
        <v/>
      </c>
      <c r="U343" s="112">
        <f>IF($G343="","",ROUND($G343*$T343,2))</f>
        <v/>
      </c>
      <c r="V343" s="113">
        <f>IF($B343="","",MONTH($B343))</f>
        <v/>
      </c>
      <c r="W343" s="113">
        <f>IF($B343="","",YEAR($B343))</f>
        <v/>
      </c>
    </row>
    <row r="344">
      <c r="B344" s="105" t="n"/>
      <c r="C344" s="54" t="n"/>
      <c r="D344" s="54" t="n"/>
      <c r="E344" s="54" t="n"/>
      <c r="F344" s="54" t="n"/>
      <c r="G344" s="65" t="n"/>
      <c r="H344" s="54" t="n"/>
      <c r="I344" s="106">
        <f>IF($C344="","",IFERROR(INDEX(Sens_Types,MATCH($C344,Liste_Types,0)),""))</f>
        <v/>
      </c>
      <c r="J344" s="107">
        <f>IF($I344="▲ ENTRÉE",$U344,"")</f>
        <v/>
      </c>
      <c r="K344" s="108">
        <f>IF($I344="▼ SORTIE",$U344,"")</f>
        <v/>
      </c>
      <c r="L344" s="109">
        <f>$L343+N($J344)-N($K344)</f>
        <v/>
      </c>
      <c r="M344" s="110" t="n"/>
      <c r="N344" s="54" t="n"/>
      <c r="O344" s="54" t="n"/>
      <c r="P344" s="54" t="n"/>
      <c r="Q344" s="110" t="n"/>
      <c r="R344" s="110" t="n"/>
      <c r="S344" s="54" t="n"/>
      <c r="T344" s="111">
        <f>IF($G344="","",IFERROR(INDEX(Taux_Devises,MATCH(IF($M344="",Devise_Base,$M344),Codes_Devises,0)),1))</f>
        <v/>
      </c>
      <c r="U344" s="112">
        <f>IF($G344="","",ROUND($G344*$T344,2))</f>
        <v/>
      </c>
      <c r="V344" s="113">
        <f>IF($B344="","",MONTH($B344))</f>
        <v/>
      </c>
      <c r="W344" s="113">
        <f>IF($B344="","",YEAR($B344))</f>
        <v/>
      </c>
    </row>
    <row r="345">
      <c r="B345" s="105" t="n"/>
      <c r="C345" s="54" t="n"/>
      <c r="D345" s="54" t="n"/>
      <c r="E345" s="54" t="n"/>
      <c r="F345" s="54" t="n"/>
      <c r="G345" s="65" t="n"/>
      <c r="H345" s="54" t="n"/>
      <c r="I345" s="106">
        <f>IF($C345="","",IFERROR(INDEX(Sens_Types,MATCH($C345,Liste_Types,0)),""))</f>
        <v/>
      </c>
      <c r="J345" s="107">
        <f>IF($I345="▲ ENTRÉE",$U345,"")</f>
        <v/>
      </c>
      <c r="K345" s="108">
        <f>IF($I345="▼ SORTIE",$U345,"")</f>
        <v/>
      </c>
      <c r="L345" s="109">
        <f>$L344+N($J345)-N($K345)</f>
        <v/>
      </c>
      <c r="M345" s="110" t="n"/>
      <c r="N345" s="54" t="n"/>
      <c r="O345" s="54" t="n"/>
      <c r="P345" s="54" t="n"/>
      <c r="Q345" s="110" t="n"/>
      <c r="R345" s="110" t="n"/>
      <c r="S345" s="54" t="n"/>
      <c r="T345" s="111">
        <f>IF($G345="","",IFERROR(INDEX(Taux_Devises,MATCH(IF($M345="",Devise_Base,$M345),Codes_Devises,0)),1))</f>
        <v/>
      </c>
      <c r="U345" s="112">
        <f>IF($G345="","",ROUND($G345*$T345,2))</f>
        <v/>
      </c>
      <c r="V345" s="113">
        <f>IF($B345="","",MONTH($B345))</f>
        <v/>
      </c>
      <c r="W345" s="113">
        <f>IF($B345="","",YEAR($B345))</f>
        <v/>
      </c>
    </row>
    <row r="346">
      <c r="B346" s="105" t="n"/>
      <c r="C346" s="54" t="n"/>
      <c r="D346" s="54" t="n"/>
      <c r="E346" s="54" t="n"/>
      <c r="F346" s="54" t="n"/>
      <c r="G346" s="65" t="n"/>
      <c r="H346" s="54" t="n"/>
      <c r="I346" s="106">
        <f>IF($C346="","",IFERROR(INDEX(Sens_Types,MATCH($C346,Liste_Types,0)),""))</f>
        <v/>
      </c>
      <c r="J346" s="107">
        <f>IF($I346="▲ ENTRÉE",$U346,"")</f>
        <v/>
      </c>
      <c r="K346" s="108">
        <f>IF($I346="▼ SORTIE",$U346,"")</f>
        <v/>
      </c>
      <c r="L346" s="109">
        <f>$L345+N($J346)-N($K346)</f>
        <v/>
      </c>
      <c r="M346" s="110" t="n"/>
      <c r="N346" s="54" t="n"/>
      <c r="O346" s="54" t="n"/>
      <c r="P346" s="54" t="n"/>
      <c r="Q346" s="110" t="n"/>
      <c r="R346" s="110" t="n"/>
      <c r="S346" s="54" t="n"/>
      <c r="T346" s="111">
        <f>IF($G346="","",IFERROR(INDEX(Taux_Devises,MATCH(IF($M346="",Devise_Base,$M346),Codes_Devises,0)),1))</f>
        <v/>
      </c>
      <c r="U346" s="112">
        <f>IF($G346="","",ROUND($G346*$T346,2))</f>
        <v/>
      </c>
      <c r="V346" s="113">
        <f>IF($B346="","",MONTH($B346))</f>
        <v/>
      </c>
      <c r="W346" s="113">
        <f>IF($B346="","",YEAR($B346))</f>
        <v/>
      </c>
    </row>
    <row r="347">
      <c r="B347" s="105" t="n"/>
      <c r="C347" s="54" t="n"/>
      <c r="D347" s="54" t="n"/>
      <c r="E347" s="54" t="n"/>
      <c r="F347" s="54" t="n"/>
      <c r="G347" s="65" t="n"/>
      <c r="H347" s="54" t="n"/>
      <c r="I347" s="106">
        <f>IF($C347="","",IFERROR(INDEX(Sens_Types,MATCH($C347,Liste_Types,0)),""))</f>
        <v/>
      </c>
      <c r="J347" s="107">
        <f>IF($I347="▲ ENTRÉE",$U347,"")</f>
        <v/>
      </c>
      <c r="K347" s="108">
        <f>IF($I347="▼ SORTIE",$U347,"")</f>
        <v/>
      </c>
      <c r="L347" s="109">
        <f>$L346+N($J347)-N($K347)</f>
        <v/>
      </c>
      <c r="M347" s="110" t="n"/>
      <c r="N347" s="54" t="n"/>
      <c r="O347" s="54" t="n"/>
      <c r="P347" s="54" t="n"/>
      <c r="Q347" s="110" t="n"/>
      <c r="R347" s="110" t="n"/>
      <c r="S347" s="54" t="n"/>
      <c r="T347" s="111">
        <f>IF($G347="","",IFERROR(INDEX(Taux_Devises,MATCH(IF($M347="",Devise_Base,$M347),Codes_Devises,0)),1))</f>
        <v/>
      </c>
      <c r="U347" s="112">
        <f>IF($G347="","",ROUND($G347*$T347,2))</f>
        <v/>
      </c>
      <c r="V347" s="113">
        <f>IF($B347="","",MONTH($B347))</f>
        <v/>
      </c>
      <c r="W347" s="113">
        <f>IF($B347="","",YEAR($B347))</f>
        <v/>
      </c>
    </row>
    <row r="348">
      <c r="B348" s="105" t="n"/>
      <c r="C348" s="54" t="n"/>
      <c r="D348" s="54" t="n"/>
      <c r="E348" s="54" t="n"/>
      <c r="F348" s="54" t="n"/>
      <c r="G348" s="65" t="n"/>
      <c r="H348" s="54" t="n"/>
      <c r="I348" s="106">
        <f>IF($C348="","",IFERROR(INDEX(Sens_Types,MATCH($C348,Liste_Types,0)),""))</f>
        <v/>
      </c>
      <c r="J348" s="107">
        <f>IF($I348="▲ ENTRÉE",$U348,"")</f>
        <v/>
      </c>
      <c r="K348" s="108">
        <f>IF($I348="▼ SORTIE",$U348,"")</f>
        <v/>
      </c>
      <c r="L348" s="109">
        <f>$L347+N($J348)-N($K348)</f>
        <v/>
      </c>
      <c r="M348" s="110" t="n"/>
      <c r="N348" s="54" t="n"/>
      <c r="O348" s="54" t="n"/>
      <c r="P348" s="54" t="n"/>
      <c r="Q348" s="110" t="n"/>
      <c r="R348" s="110" t="n"/>
      <c r="S348" s="54" t="n"/>
      <c r="T348" s="111">
        <f>IF($G348="","",IFERROR(INDEX(Taux_Devises,MATCH(IF($M348="",Devise_Base,$M348),Codes_Devises,0)),1))</f>
        <v/>
      </c>
      <c r="U348" s="112">
        <f>IF($G348="","",ROUND($G348*$T348,2))</f>
        <v/>
      </c>
      <c r="V348" s="113">
        <f>IF($B348="","",MONTH($B348))</f>
        <v/>
      </c>
      <c r="W348" s="113">
        <f>IF($B348="","",YEAR($B348))</f>
        <v/>
      </c>
    </row>
    <row r="349">
      <c r="B349" s="105" t="n"/>
      <c r="C349" s="54" t="n"/>
      <c r="D349" s="54" t="n"/>
      <c r="E349" s="54" t="n"/>
      <c r="F349" s="54" t="n"/>
      <c r="G349" s="65" t="n"/>
      <c r="H349" s="54" t="n"/>
      <c r="I349" s="106">
        <f>IF($C349="","",IFERROR(INDEX(Sens_Types,MATCH($C349,Liste_Types,0)),""))</f>
        <v/>
      </c>
      <c r="J349" s="107">
        <f>IF($I349="▲ ENTRÉE",$U349,"")</f>
        <v/>
      </c>
      <c r="K349" s="108">
        <f>IF($I349="▼ SORTIE",$U349,"")</f>
        <v/>
      </c>
      <c r="L349" s="109">
        <f>$L348+N($J349)-N($K349)</f>
        <v/>
      </c>
      <c r="M349" s="110" t="n"/>
      <c r="N349" s="54" t="n"/>
      <c r="O349" s="54" t="n"/>
      <c r="P349" s="54" t="n"/>
      <c r="Q349" s="110" t="n"/>
      <c r="R349" s="110" t="n"/>
      <c r="S349" s="54" t="n"/>
      <c r="T349" s="111">
        <f>IF($G349="","",IFERROR(INDEX(Taux_Devises,MATCH(IF($M349="",Devise_Base,$M349),Codes_Devises,0)),1))</f>
        <v/>
      </c>
      <c r="U349" s="112">
        <f>IF($G349="","",ROUND($G349*$T349,2))</f>
        <v/>
      </c>
      <c r="V349" s="113">
        <f>IF($B349="","",MONTH($B349))</f>
        <v/>
      </c>
      <c r="W349" s="113">
        <f>IF($B349="","",YEAR($B349))</f>
        <v/>
      </c>
    </row>
    <row r="350">
      <c r="B350" s="105" t="n"/>
      <c r="C350" s="54" t="n"/>
      <c r="D350" s="54" t="n"/>
      <c r="E350" s="54" t="n"/>
      <c r="F350" s="54" t="n"/>
      <c r="G350" s="65" t="n"/>
      <c r="H350" s="54" t="n"/>
      <c r="I350" s="106">
        <f>IF($C350="","",IFERROR(INDEX(Sens_Types,MATCH($C350,Liste_Types,0)),""))</f>
        <v/>
      </c>
      <c r="J350" s="107">
        <f>IF($I350="▲ ENTRÉE",$U350,"")</f>
        <v/>
      </c>
      <c r="K350" s="108">
        <f>IF($I350="▼ SORTIE",$U350,"")</f>
        <v/>
      </c>
      <c r="L350" s="109">
        <f>$L349+N($J350)-N($K350)</f>
        <v/>
      </c>
      <c r="M350" s="110" t="n"/>
      <c r="N350" s="54" t="n"/>
      <c r="O350" s="54" t="n"/>
      <c r="P350" s="54" t="n"/>
      <c r="Q350" s="110" t="n"/>
      <c r="R350" s="110" t="n"/>
      <c r="S350" s="54" t="n"/>
      <c r="T350" s="111">
        <f>IF($G350="","",IFERROR(INDEX(Taux_Devises,MATCH(IF($M350="",Devise_Base,$M350),Codes_Devises,0)),1))</f>
        <v/>
      </c>
      <c r="U350" s="112">
        <f>IF($G350="","",ROUND($G350*$T350,2))</f>
        <v/>
      </c>
      <c r="V350" s="113">
        <f>IF($B350="","",MONTH($B350))</f>
        <v/>
      </c>
      <c r="W350" s="113">
        <f>IF($B350="","",YEAR($B350))</f>
        <v/>
      </c>
    </row>
    <row r="351">
      <c r="B351" s="105" t="n"/>
      <c r="C351" s="54" t="n"/>
      <c r="D351" s="54" t="n"/>
      <c r="E351" s="54" t="n"/>
      <c r="F351" s="54" t="n"/>
      <c r="G351" s="65" t="n"/>
      <c r="H351" s="54" t="n"/>
      <c r="I351" s="106">
        <f>IF($C351="","",IFERROR(INDEX(Sens_Types,MATCH($C351,Liste_Types,0)),""))</f>
        <v/>
      </c>
      <c r="J351" s="107">
        <f>IF($I351="▲ ENTRÉE",$U351,"")</f>
        <v/>
      </c>
      <c r="K351" s="108">
        <f>IF($I351="▼ SORTIE",$U351,"")</f>
        <v/>
      </c>
      <c r="L351" s="109">
        <f>$L350+N($J351)-N($K351)</f>
        <v/>
      </c>
      <c r="M351" s="110" t="n"/>
      <c r="N351" s="54" t="n"/>
      <c r="O351" s="54" t="n"/>
      <c r="P351" s="54" t="n"/>
      <c r="Q351" s="110" t="n"/>
      <c r="R351" s="110" t="n"/>
      <c r="S351" s="54" t="n"/>
      <c r="T351" s="111">
        <f>IF($G351="","",IFERROR(INDEX(Taux_Devises,MATCH(IF($M351="",Devise_Base,$M351),Codes_Devises,0)),1))</f>
        <v/>
      </c>
      <c r="U351" s="112">
        <f>IF($G351="","",ROUND($G351*$T351,2))</f>
        <v/>
      </c>
      <c r="V351" s="113">
        <f>IF($B351="","",MONTH($B351))</f>
        <v/>
      </c>
      <c r="W351" s="113">
        <f>IF($B351="","",YEAR($B351))</f>
        <v/>
      </c>
    </row>
    <row r="352">
      <c r="B352" s="105" t="n"/>
      <c r="C352" s="54" t="n"/>
      <c r="D352" s="54" t="n"/>
      <c r="E352" s="54" t="n"/>
      <c r="F352" s="54" t="n"/>
      <c r="G352" s="65" t="n"/>
      <c r="H352" s="54" t="n"/>
      <c r="I352" s="106">
        <f>IF($C352="","",IFERROR(INDEX(Sens_Types,MATCH($C352,Liste_Types,0)),""))</f>
        <v/>
      </c>
      <c r="J352" s="107">
        <f>IF($I352="▲ ENTRÉE",$U352,"")</f>
        <v/>
      </c>
      <c r="K352" s="108">
        <f>IF($I352="▼ SORTIE",$U352,"")</f>
        <v/>
      </c>
      <c r="L352" s="109">
        <f>$L351+N($J352)-N($K352)</f>
        <v/>
      </c>
      <c r="M352" s="110" t="n"/>
      <c r="N352" s="54" t="n"/>
      <c r="O352" s="54" t="n"/>
      <c r="P352" s="54" t="n"/>
      <c r="Q352" s="110" t="n"/>
      <c r="R352" s="110" t="n"/>
      <c r="S352" s="54" t="n"/>
      <c r="T352" s="111">
        <f>IF($G352="","",IFERROR(INDEX(Taux_Devises,MATCH(IF($M352="",Devise_Base,$M352),Codes_Devises,0)),1))</f>
        <v/>
      </c>
      <c r="U352" s="112">
        <f>IF($G352="","",ROUND($G352*$T352,2))</f>
        <v/>
      </c>
      <c r="V352" s="113">
        <f>IF($B352="","",MONTH($B352))</f>
        <v/>
      </c>
      <c r="W352" s="113">
        <f>IF($B352="","",YEAR($B352))</f>
        <v/>
      </c>
    </row>
    <row r="353">
      <c r="B353" s="105" t="n"/>
      <c r="C353" s="54" t="n"/>
      <c r="D353" s="54" t="n"/>
      <c r="E353" s="54" t="n"/>
      <c r="F353" s="54" t="n"/>
      <c r="G353" s="65" t="n"/>
      <c r="H353" s="54" t="n"/>
      <c r="I353" s="106">
        <f>IF($C353="","",IFERROR(INDEX(Sens_Types,MATCH($C353,Liste_Types,0)),""))</f>
        <v/>
      </c>
      <c r="J353" s="107">
        <f>IF($I353="▲ ENTRÉE",$U353,"")</f>
        <v/>
      </c>
      <c r="K353" s="108">
        <f>IF($I353="▼ SORTIE",$U353,"")</f>
        <v/>
      </c>
      <c r="L353" s="109">
        <f>$L352+N($J353)-N($K353)</f>
        <v/>
      </c>
      <c r="M353" s="110" t="n"/>
      <c r="N353" s="54" t="n"/>
      <c r="O353" s="54" t="n"/>
      <c r="P353" s="54" t="n"/>
      <c r="Q353" s="110" t="n"/>
      <c r="R353" s="110" t="n"/>
      <c r="S353" s="54" t="n"/>
      <c r="T353" s="111">
        <f>IF($G353="","",IFERROR(INDEX(Taux_Devises,MATCH(IF($M353="",Devise_Base,$M353),Codes_Devises,0)),1))</f>
        <v/>
      </c>
      <c r="U353" s="112">
        <f>IF($G353="","",ROUND($G353*$T353,2))</f>
        <v/>
      </c>
      <c r="V353" s="113">
        <f>IF($B353="","",MONTH($B353))</f>
        <v/>
      </c>
      <c r="W353" s="113">
        <f>IF($B353="","",YEAR($B353))</f>
        <v/>
      </c>
    </row>
    <row r="354">
      <c r="B354" s="105" t="n"/>
      <c r="C354" s="54" t="n"/>
      <c r="D354" s="54" t="n"/>
      <c r="E354" s="54" t="n"/>
      <c r="F354" s="54" t="n"/>
      <c r="G354" s="65" t="n"/>
      <c r="H354" s="54" t="n"/>
      <c r="I354" s="106">
        <f>IF($C354="","",IFERROR(INDEX(Sens_Types,MATCH($C354,Liste_Types,0)),""))</f>
        <v/>
      </c>
      <c r="J354" s="107">
        <f>IF($I354="▲ ENTRÉE",$U354,"")</f>
        <v/>
      </c>
      <c r="K354" s="108">
        <f>IF($I354="▼ SORTIE",$U354,"")</f>
        <v/>
      </c>
      <c r="L354" s="109">
        <f>$L353+N($J354)-N($K354)</f>
        <v/>
      </c>
      <c r="M354" s="110" t="n"/>
      <c r="N354" s="54" t="n"/>
      <c r="O354" s="54" t="n"/>
      <c r="P354" s="54" t="n"/>
      <c r="Q354" s="110" t="n"/>
      <c r="R354" s="110" t="n"/>
      <c r="S354" s="54" t="n"/>
      <c r="T354" s="111">
        <f>IF($G354="","",IFERROR(INDEX(Taux_Devises,MATCH(IF($M354="",Devise_Base,$M354),Codes_Devises,0)),1))</f>
        <v/>
      </c>
      <c r="U354" s="112">
        <f>IF($G354="","",ROUND($G354*$T354,2))</f>
        <v/>
      </c>
      <c r="V354" s="113">
        <f>IF($B354="","",MONTH($B354))</f>
        <v/>
      </c>
      <c r="W354" s="113">
        <f>IF($B354="","",YEAR($B354))</f>
        <v/>
      </c>
    </row>
    <row r="355">
      <c r="B355" s="105" t="n"/>
      <c r="C355" s="54" t="n"/>
      <c r="D355" s="54" t="n"/>
      <c r="E355" s="54" t="n"/>
      <c r="F355" s="54" t="n"/>
      <c r="G355" s="65" t="n"/>
      <c r="H355" s="54" t="n"/>
      <c r="I355" s="106">
        <f>IF($C355="","",IFERROR(INDEX(Sens_Types,MATCH($C355,Liste_Types,0)),""))</f>
        <v/>
      </c>
      <c r="J355" s="107">
        <f>IF($I355="▲ ENTRÉE",$U355,"")</f>
        <v/>
      </c>
      <c r="K355" s="108">
        <f>IF($I355="▼ SORTIE",$U355,"")</f>
        <v/>
      </c>
      <c r="L355" s="109">
        <f>$L354+N($J355)-N($K355)</f>
        <v/>
      </c>
      <c r="M355" s="110" t="n"/>
      <c r="N355" s="54" t="n"/>
      <c r="O355" s="54" t="n"/>
      <c r="P355" s="54" t="n"/>
      <c r="Q355" s="110" t="n"/>
      <c r="R355" s="110" t="n"/>
      <c r="S355" s="54" t="n"/>
      <c r="T355" s="111">
        <f>IF($G355="","",IFERROR(INDEX(Taux_Devises,MATCH(IF($M355="",Devise_Base,$M355),Codes_Devises,0)),1))</f>
        <v/>
      </c>
      <c r="U355" s="112">
        <f>IF($G355="","",ROUND($G355*$T355,2))</f>
        <v/>
      </c>
      <c r="V355" s="113">
        <f>IF($B355="","",MONTH($B355))</f>
        <v/>
      </c>
      <c r="W355" s="113">
        <f>IF($B355="","",YEAR($B355))</f>
        <v/>
      </c>
    </row>
    <row r="356">
      <c r="B356" s="105" t="n"/>
      <c r="C356" s="54" t="n"/>
      <c r="D356" s="54" t="n"/>
      <c r="E356" s="54" t="n"/>
      <c r="F356" s="54" t="n"/>
      <c r="G356" s="65" t="n"/>
      <c r="H356" s="54" t="n"/>
      <c r="I356" s="106">
        <f>IF($C356="","",IFERROR(INDEX(Sens_Types,MATCH($C356,Liste_Types,0)),""))</f>
        <v/>
      </c>
      <c r="J356" s="107">
        <f>IF($I356="▲ ENTRÉE",$U356,"")</f>
        <v/>
      </c>
      <c r="K356" s="108">
        <f>IF($I356="▼ SORTIE",$U356,"")</f>
        <v/>
      </c>
      <c r="L356" s="109">
        <f>$L355+N($J356)-N($K356)</f>
        <v/>
      </c>
      <c r="M356" s="110" t="n"/>
      <c r="N356" s="54" t="n"/>
      <c r="O356" s="54" t="n"/>
      <c r="P356" s="54" t="n"/>
      <c r="Q356" s="110" t="n"/>
      <c r="R356" s="110" t="n"/>
      <c r="S356" s="54" t="n"/>
      <c r="T356" s="111">
        <f>IF($G356="","",IFERROR(INDEX(Taux_Devises,MATCH(IF($M356="",Devise_Base,$M356),Codes_Devises,0)),1))</f>
        <v/>
      </c>
      <c r="U356" s="112">
        <f>IF($G356="","",ROUND($G356*$T356,2))</f>
        <v/>
      </c>
      <c r="V356" s="113">
        <f>IF($B356="","",MONTH($B356))</f>
        <v/>
      </c>
      <c r="W356" s="113">
        <f>IF($B356="","",YEAR($B356))</f>
        <v/>
      </c>
    </row>
    <row r="357">
      <c r="B357" s="105" t="n"/>
      <c r="C357" s="54" t="n"/>
      <c r="D357" s="54" t="n"/>
      <c r="E357" s="54" t="n"/>
      <c r="F357" s="54" t="n"/>
      <c r="G357" s="65" t="n"/>
      <c r="H357" s="54" t="n"/>
      <c r="I357" s="106">
        <f>IF($C357="","",IFERROR(INDEX(Sens_Types,MATCH($C357,Liste_Types,0)),""))</f>
        <v/>
      </c>
      <c r="J357" s="107">
        <f>IF($I357="▲ ENTRÉE",$U357,"")</f>
        <v/>
      </c>
      <c r="K357" s="108">
        <f>IF($I357="▼ SORTIE",$U357,"")</f>
        <v/>
      </c>
      <c r="L357" s="109">
        <f>$L356+N($J357)-N($K357)</f>
        <v/>
      </c>
      <c r="M357" s="110" t="n"/>
      <c r="N357" s="54" t="n"/>
      <c r="O357" s="54" t="n"/>
      <c r="P357" s="54" t="n"/>
      <c r="Q357" s="110" t="n"/>
      <c r="R357" s="110" t="n"/>
      <c r="S357" s="54" t="n"/>
      <c r="T357" s="111">
        <f>IF($G357="","",IFERROR(INDEX(Taux_Devises,MATCH(IF($M357="",Devise_Base,$M357),Codes_Devises,0)),1))</f>
        <v/>
      </c>
      <c r="U357" s="112">
        <f>IF($G357="","",ROUND($G357*$T357,2))</f>
        <v/>
      </c>
      <c r="V357" s="113">
        <f>IF($B357="","",MONTH($B357))</f>
        <v/>
      </c>
      <c r="W357" s="113">
        <f>IF($B357="","",YEAR($B357))</f>
        <v/>
      </c>
    </row>
    <row r="358">
      <c r="B358" s="105" t="n"/>
      <c r="C358" s="54" t="n"/>
      <c r="D358" s="54" t="n"/>
      <c r="E358" s="54" t="n"/>
      <c r="F358" s="54" t="n"/>
      <c r="G358" s="65" t="n"/>
      <c r="H358" s="54" t="n"/>
      <c r="I358" s="106">
        <f>IF($C358="","",IFERROR(INDEX(Sens_Types,MATCH($C358,Liste_Types,0)),""))</f>
        <v/>
      </c>
      <c r="J358" s="107">
        <f>IF($I358="▲ ENTRÉE",$U358,"")</f>
        <v/>
      </c>
      <c r="K358" s="108">
        <f>IF($I358="▼ SORTIE",$U358,"")</f>
        <v/>
      </c>
      <c r="L358" s="109">
        <f>$L357+N($J358)-N($K358)</f>
        <v/>
      </c>
      <c r="M358" s="110" t="n"/>
      <c r="N358" s="54" t="n"/>
      <c r="O358" s="54" t="n"/>
      <c r="P358" s="54" t="n"/>
      <c r="Q358" s="110" t="n"/>
      <c r="R358" s="110" t="n"/>
      <c r="S358" s="54" t="n"/>
      <c r="T358" s="111">
        <f>IF($G358="","",IFERROR(INDEX(Taux_Devises,MATCH(IF($M358="",Devise_Base,$M358),Codes_Devises,0)),1))</f>
        <v/>
      </c>
      <c r="U358" s="112">
        <f>IF($G358="","",ROUND($G358*$T358,2))</f>
        <v/>
      </c>
      <c r="V358" s="113">
        <f>IF($B358="","",MONTH($B358))</f>
        <v/>
      </c>
      <c r="W358" s="113">
        <f>IF($B358="","",YEAR($B358))</f>
        <v/>
      </c>
    </row>
    <row r="359">
      <c r="B359" s="105" t="n"/>
      <c r="C359" s="54" t="n"/>
      <c r="D359" s="54" t="n"/>
      <c r="E359" s="54" t="n"/>
      <c r="F359" s="54" t="n"/>
      <c r="G359" s="65" t="n"/>
      <c r="H359" s="54" t="n"/>
      <c r="I359" s="106">
        <f>IF($C359="","",IFERROR(INDEX(Sens_Types,MATCH($C359,Liste_Types,0)),""))</f>
        <v/>
      </c>
      <c r="J359" s="107">
        <f>IF($I359="▲ ENTRÉE",$U359,"")</f>
        <v/>
      </c>
      <c r="K359" s="108">
        <f>IF($I359="▼ SORTIE",$U359,"")</f>
        <v/>
      </c>
      <c r="L359" s="109">
        <f>$L358+N($J359)-N($K359)</f>
        <v/>
      </c>
      <c r="M359" s="110" t="n"/>
      <c r="N359" s="54" t="n"/>
      <c r="O359" s="54" t="n"/>
      <c r="P359" s="54" t="n"/>
      <c r="Q359" s="110" t="n"/>
      <c r="R359" s="110" t="n"/>
      <c r="S359" s="54" t="n"/>
      <c r="T359" s="111">
        <f>IF($G359="","",IFERROR(INDEX(Taux_Devises,MATCH(IF($M359="",Devise_Base,$M359),Codes_Devises,0)),1))</f>
        <v/>
      </c>
      <c r="U359" s="112">
        <f>IF($G359="","",ROUND($G359*$T359,2))</f>
        <v/>
      </c>
      <c r="V359" s="113">
        <f>IF($B359="","",MONTH($B359))</f>
        <v/>
      </c>
      <c r="W359" s="113">
        <f>IF($B359="","",YEAR($B359))</f>
        <v/>
      </c>
    </row>
    <row r="360">
      <c r="B360" s="105" t="n"/>
      <c r="C360" s="54" t="n"/>
      <c r="D360" s="54" t="n"/>
      <c r="E360" s="54" t="n"/>
      <c r="F360" s="54" t="n"/>
      <c r="G360" s="65" t="n"/>
      <c r="H360" s="54" t="n"/>
      <c r="I360" s="106">
        <f>IF($C360="","",IFERROR(INDEX(Sens_Types,MATCH($C360,Liste_Types,0)),""))</f>
        <v/>
      </c>
      <c r="J360" s="107">
        <f>IF($I360="▲ ENTRÉE",$U360,"")</f>
        <v/>
      </c>
      <c r="K360" s="108">
        <f>IF($I360="▼ SORTIE",$U360,"")</f>
        <v/>
      </c>
      <c r="L360" s="109">
        <f>$L359+N($J360)-N($K360)</f>
        <v/>
      </c>
      <c r="M360" s="110" t="n"/>
      <c r="N360" s="54" t="n"/>
      <c r="O360" s="54" t="n"/>
      <c r="P360" s="54" t="n"/>
      <c r="Q360" s="110" t="n"/>
      <c r="R360" s="110" t="n"/>
      <c r="S360" s="54" t="n"/>
      <c r="T360" s="111">
        <f>IF($G360="","",IFERROR(INDEX(Taux_Devises,MATCH(IF($M360="",Devise_Base,$M360),Codes_Devises,0)),1))</f>
        <v/>
      </c>
      <c r="U360" s="112">
        <f>IF($G360="","",ROUND($G360*$T360,2))</f>
        <v/>
      </c>
      <c r="V360" s="113">
        <f>IF($B360="","",MONTH($B360))</f>
        <v/>
      </c>
      <c r="W360" s="113">
        <f>IF($B360="","",YEAR($B360))</f>
        <v/>
      </c>
    </row>
    <row r="361">
      <c r="B361" s="105" t="n"/>
      <c r="C361" s="54" t="n"/>
      <c r="D361" s="54" t="n"/>
      <c r="E361" s="54" t="n"/>
      <c r="F361" s="54" t="n"/>
      <c r="G361" s="65" t="n"/>
      <c r="H361" s="54" t="n"/>
      <c r="I361" s="106">
        <f>IF($C361="","",IFERROR(INDEX(Sens_Types,MATCH($C361,Liste_Types,0)),""))</f>
        <v/>
      </c>
      <c r="J361" s="107">
        <f>IF($I361="▲ ENTRÉE",$U361,"")</f>
        <v/>
      </c>
      <c r="K361" s="108">
        <f>IF($I361="▼ SORTIE",$U361,"")</f>
        <v/>
      </c>
      <c r="L361" s="109">
        <f>$L360+N($J361)-N($K361)</f>
        <v/>
      </c>
      <c r="M361" s="110" t="n"/>
      <c r="N361" s="54" t="n"/>
      <c r="O361" s="54" t="n"/>
      <c r="P361" s="54" t="n"/>
      <c r="Q361" s="110" t="n"/>
      <c r="R361" s="110" t="n"/>
      <c r="S361" s="54" t="n"/>
      <c r="T361" s="111">
        <f>IF($G361="","",IFERROR(INDEX(Taux_Devises,MATCH(IF($M361="",Devise_Base,$M361),Codes_Devises,0)),1))</f>
        <v/>
      </c>
      <c r="U361" s="112">
        <f>IF($G361="","",ROUND($G361*$T361,2))</f>
        <v/>
      </c>
      <c r="V361" s="113">
        <f>IF($B361="","",MONTH($B361))</f>
        <v/>
      </c>
      <c r="W361" s="113">
        <f>IF($B361="","",YEAR($B361))</f>
        <v/>
      </c>
    </row>
    <row r="362">
      <c r="B362" s="105" t="n"/>
      <c r="C362" s="54" t="n"/>
      <c r="D362" s="54" t="n"/>
      <c r="E362" s="54" t="n"/>
      <c r="F362" s="54" t="n"/>
      <c r="G362" s="65" t="n"/>
      <c r="H362" s="54" t="n"/>
      <c r="I362" s="106">
        <f>IF($C362="","",IFERROR(INDEX(Sens_Types,MATCH($C362,Liste_Types,0)),""))</f>
        <v/>
      </c>
      <c r="J362" s="107">
        <f>IF($I362="▲ ENTRÉE",$U362,"")</f>
        <v/>
      </c>
      <c r="K362" s="108">
        <f>IF($I362="▼ SORTIE",$U362,"")</f>
        <v/>
      </c>
      <c r="L362" s="109">
        <f>$L361+N($J362)-N($K362)</f>
        <v/>
      </c>
      <c r="M362" s="110" t="n"/>
      <c r="N362" s="54" t="n"/>
      <c r="O362" s="54" t="n"/>
      <c r="P362" s="54" t="n"/>
      <c r="Q362" s="110" t="n"/>
      <c r="R362" s="110" t="n"/>
      <c r="S362" s="54" t="n"/>
      <c r="T362" s="111">
        <f>IF($G362="","",IFERROR(INDEX(Taux_Devises,MATCH(IF($M362="",Devise_Base,$M362),Codes_Devises,0)),1))</f>
        <v/>
      </c>
      <c r="U362" s="112">
        <f>IF($G362="","",ROUND($G362*$T362,2))</f>
        <v/>
      </c>
      <c r="V362" s="113">
        <f>IF($B362="","",MONTH($B362))</f>
        <v/>
      </c>
      <c r="W362" s="113">
        <f>IF($B362="","",YEAR($B362))</f>
        <v/>
      </c>
    </row>
    <row r="363">
      <c r="B363" s="105" t="n"/>
      <c r="C363" s="54" t="n"/>
      <c r="D363" s="54" t="n"/>
      <c r="E363" s="54" t="n"/>
      <c r="F363" s="54" t="n"/>
      <c r="G363" s="65" t="n"/>
      <c r="H363" s="54" t="n"/>
      <c r="I363" s="106">
        <f>IF($C363="","",IFERROR(INDEX(Sens_Types,MATCH($C363,Liste_Types,0)),""))</f>
        <v/>
      </c>
      <c r="J363" s="107">
        <f>IF($I363="▲ ENTRÉE",$U363,"")</f>
        <v/>
      </c>
      <c r="K363" s="108">
        <f>IF($I363="▼ SORTIE",$U363,"")</f>
        <v/>
      </c>
      <c r="L363" s="109">
        <f>$L362+N($J363)-N($K363)</f>
        <v/>
      </c>
      <c r="M363" s="110" t="n"/>
      <c r="N363" s="54" t="n"/>
      <c r="O363" s="54" t="n"/>
      <c r="P363" s="54" t="n"/>
      <c r="Q363" s="110" t="n"/>
      <c r="R363" s="110" t="n"/>
      <c r="S363" s="54" t="n"/>
      <c r="T363" s="111">
        <f>IF($G363="","",IFERROR(INDEX(Taux_Devises,MATCH(IF($M363="",Devise_Base,$M363),Codes_Devises,0)),1))</f>
        <v/>
      </c>
      <c r="U363" s="112">
        <f>IF($G363="","",ROUND($G363*$T363,2))</f>
        <v/>
      </c>
      <c r="V363" s="113">
        <f>IF($B363="","",MONTH($B363))</f>
        <v/>
      </c>
      <c r="W363" s="113">
        <f>IF($B363="","",YEAR($B363))</f>
        <v/>
      </c>
    </row>
    <row r="364">
      <c r="B364" s="105" t="n"/>
      <c r="C364" s="54" t="n"/>
      <c r="D364" s="54" t="n"/>
      <c r="E364" s="54" t="n"/>
      <c r="F364" s="54" t="n"/>
      <c r="G364" s="65" t="n"/>
      <c r="H364" s="54" t="n"/>
      <c r="I364" s="106">
        <f>IF($C364="","",IFERROR(INDEX(Sens_Types,MATCH($C364,Liste_Types,0)),""))</f>
        <v/>
      </c>
      <c r="J364" s="107">
        <f>IF($I364="▲ ENTRÉE",$U364,"")</f>
        <v/>
      </c>
      <c r="K364" s="108">
        <f>IF($I364="▼ SORTIE",$U364,"")</f>
        <v/>
      </c>
      <c r="L364" s="109">
        <f>$L363+N($J364)-N($K364)</f>
        <v/>
      </c>
      <c r="M364" s="110" t="n"/>
      <c r="N364" s="54" t="n"/>
      <c r="O364" s="54" t="n"/>
      <c r="P364" s="54" t="n"/>
      <c r="Q364" s="110" t="n"/>
      <c r="R364" s="110" t="n"/>
      <c r="S364" s="54" t="n"/>
      <c r="T364" s="111">
        <f>IF($G364="","",IFERROR(INDEX(Taux_Devises,MATCH(IF($M364="",Devise_Base,$M364),Codes_Devises,0)),1))</f>
        <v/>
      </c>
      <c r="U364" s="112">
        <f>IF($G364="","",ROUND($G364*$T364,2))</f>
        <v/>
      </c>
      <c r="V364" s="113">
        <f>IF($B364="","",MONTH($B364))</f>
        <v/>
      </c>
      <c r="W364" s="113">
        <f>IF($B364="","",YEAR($B364))</f>
        <v/>
      </c>
    </row>
    <row r="365">
      <c r="B365" s="105" t="n"/>
      <c r="C365" s="54" t="n"/>
      <c r="D365" s="54" t="n"/>
      <c r="E365" s="54" t="n"/>
      <c r="F365" s="54" t="n"/>
      <c r="G365" s="65" t="n"/>
      <c r="H365" s="54" t="n"/>
      <c r="I365" s="106">
        <f>IF($C365="","",IFERROR(INDEX(Sens_Types,MATCH($C365,Liste_Types,0)),""))</f>
        <v/>
      </c>
      <c r="J365" s="107">
        <f>IF($I365="▲ ENTRÉE",$U365,"")</f>
        <v/>
      </c>
      <c r="K365" s="108">
        <f>IF($I365="▼ SORTIE",$U365,"")</f>
        <v/>
      </c>
      <c r="L365" s="109">
        <f>$L364+N($J365)-N($K365)</f>
        <v/>
      </c>
      <c r="M365" s="110" t="n"/>
      <c r="N365" s="54" t="n"/>
      <c r="O365" s="54" t="n"/>
      <c r="P365" s="54" t="n"/>
      <c r="Q365" s="110" t="n"/>
      <c r="R365" s="110" t="n"/>
      <c r="S365" s="54" t="n"/>
      <c r="T365" s="111">
        <f>IF($G365="","",IFERROR(INDEX(Taux_Devises,MATCH(IF($M365="",Devise_Base,$M365),Codes_Devises,0)),1))</f>
        <v/>
      </c>
      <c r="U365" s="112">
        <f>IF($G365="","",ROUND($G365*$T365,2))</f>
        <v/>
      </c>
      <c r="V365" s="113">
        <f>IF($B365="","",MONTH($B365))</f>
        <v/>
      </c>
      <c r="W365" s="113">
        <f>IF($B365="","",YEAR($B365))</f>
        <v/>
      </c>
    </row>
    <row r="366">
      <c r="B366" s="105" t="n"/>
      <c r="C366" s="54" t="n"/>
      <c r="D366" s="54" t="n"/>
      <c r="E366" s="54" t="n"/>
      <c r="F366" s="54" t="n"/>
      <c r="G366" s="65" t="n"/>
      <c r="H366" s="54" t="n"/>
      <c r="I366" s="106">
        <f>IF($C366="","",IFERROR(INDEX(Sens_Types,MATCH($C366,Liste_Types,0)),""))</f>
        <v/>
      </c>
      <c r="J366" s="107">
        <f>IF($I366="▲ ENTRÉE",$U366,"")</f>
        <v/>
      </c>
      <c r="K366" s="108">
        <f>IF($I366="▼ SORTIE",$U366,"")</f>
        <v/>
      </c>
      <c r="L366" s="109">
        <f>$L365+N($J366)-N($K366)</f>
        <v/>
      </c>
      <c r="M366" s="110" t="n"/>
      <c r="N366" s="54" t="n"/>
      <c r="O366" s="54" t="n"/>
      <c r="P366" s="54" t="n"/>
      <c r="Q366" s="110" t="n"/>
      <c r="R366" s="110" t="n"/>
      <c r="S366" s="54" t="n"/>
      <c r="T366" s="111">
        <f>IF($G366="","",IFERROR(INDEX(Taux_Devises,MATCH(IF($M366="",Devise_Base,$M366),Codes_Devises,0)),1))</f>
        <v/>
      </c>
      <c r="U366" s="112">
        <f>IF($G366="","",ROUND($G366*$T366,2))</f>
        <v/>
      </c>
      <c r="V366" s="113">
        <f>IF($B366="","",MONTH($B366))</f>
        <v/>
      </c>
      <c r="W366" s="113">
        <f>IF($B366="","",YEAR($B366))</f>
        <v/>
      </c>
    </row>
    <row r="367">
      <c r="B367" s="105" t="n"/>
      <c r="C367" s="54" t="n"/>
      <c r="D367" s="54" t="n"/>
      <c r="E367" s="54" t="n"/>
      <c r="F367" s="54" t="n"/>
      <c r="G367" s="65" t="n"/>
      <c r="H367" s="54" t="n"/>
      <c r="I367" s="106">
        <f>IF($C367="","",IFERROR(INDEX(Sens_Types,MATCH($C367,Liste_Types,0)),""))</f>
        <v/>
      </c>
      <c r="J367" s="107">
        <f>IF($I367="▲ ENTRÉE",$U367,"")</f>
        <v/>
      </c>
      <c r="K367" s="108">
        <f>IF($I367="▼ SORTIE",$U367,"")</f>
        <v/>
      </c>
      <c r="L367" s="109">
        <f>$L366+N($J367)-N($K367)</f>
        <v/>
      </c>
      <c r="M367" s="110" t="n"/>
      <c r="N367" s="54" t="n"/>
      <c r="O367" s="54" t="n"/>
      <c r="P367" s="54" t="n"/>
      <c r="Q367" s="110" t="n"/>
      <c r="R367" s="110" t="n"/>
      <c r="S367" s="54" t="n"/>
      <c r="T367" s="111">
        <f>IF($G367="","",IFERROR(INDEX(Taux_Devises,MATCH(IF($M367="",Devise_Base,$M367),Codes_Devises,0)),1))</f>
        <v/>
      </c>
      <c r="U367" s="112">
        <f>IF($G367="","",ROUND($G367*$T367,2))</f>
        <v/>
      </c>
      <c r="V367" s="113">
        <f>IF($B367="","",MONTH($B367))</f>
        <v/>
      </c>
      <c r="W367" s="113">
        <f>IF($B367="","",YEAR($B367))</f>
        <v/>
      </c>
    </row>
    <row r="368">
      <c r="B368" s="105" t="n"/>
      <c r="C368" s="54" t="n"/>
      <c r="D368" s="54" t="n"/>
      <c r="E368" s="54" t="n"/>
      <c r="F368" s="54" t="n"/>
      <c r="G368" s="65" t="n"/>
      <c r="H368" s="54" t="n"/>
      <c r="I368" s="106">
        <f>IF($C368="","",IFERROR(INDEX(Sens_Types,MATCH($C368,Liste_Types,0)),""))</f>
        <v/>
      </c>
      <c r="J368" s="107">
        <f>IF($I368="▲ ENTRÉE",$U368,"")</f>
        <v/>
      </c>
      <c r="K368" s="108">
        <f>IF($I368="▼ SORTIE",$U368,"")</f>
        <v/>
      </c>
      <c r="L368" s="109">
        <f>$L367+N($J368)-N($K368)</f>
        <v/>
      </c>
      <c r="M368" s="110" t="n"/>
      <c r="N368" s="54" t="n"/>
      <c r="O368" s="54" t="n"/>
      <c r="P368" s="54" t="n"/>
      <c r="Q368" s="110" t="n"/>
      <c r="R368" s="110" t="n"/>
      <c r="S368" s="54" t="n"/>
      <c r="T368" s="111">
        <f>IF($G368="","",IFERROR(INDEX(Taux_Devises,MATCH(IF($M368="",Devise_Base,$M368),Codes_Devises,0)),1))</f>
        <v/>
      </c>
      <c r="U368" s="112">
        <f>IF($G368="","",ROUND($G368*$T368,2))</f>
        <v/>
      </c>
      <c r="V368" s="113">
        <f>IF($B368="","",MONTH($B368))</f>
        <v/>
      </c>
      <c r="W368" s="113">
        <f>IF($B368="","",YEAR($B368))</f>
        <v/>
      </c>
    </row>
    <row r="369">
      <c r="B369" s="105" t="n"/>
      <c r="C369" s="54" t="n"/>
      <c r="D369" s="54" t="n"/>
      <c r="E369" s="54" t="n"/>
      <c r="F369" s="54" t="n"/>
      <c r="G369" s="65" t="n"/>
      <c r="H369" s="54" t="n"/>
      <c r="I369" s="106">
        <f>IF($C369="","",IFERROR(INDEX(Sens_Types,MATCH($C369,Liste_Types,0)),""))</f>
        <v/>
      </c>
      <c r="J369" s="107">
        <f>IF($I369="▲ ENTRÉE",$U369,"")</f>
        <v/>
      </c>
      <c r="K369" s="108">
        <f>IF($I369="▼ SORTIE",$U369,"")</f>
        <v/>
      </c>
      <c r="L369" s="109">
        <f>$L368+N($J369)-N($K369)</f>
        <v/>
      </c>
      <c r="M369" s="110" t="n"/>
      <c r="N369" s="54" t="n"/>
      <c r="O369" s="54" t="n"/>
      <c r="P369" s="54" t="n"/>
      <c r="Q369" s="110" t="n"/>
      <c r="R369" s="110" t="n"/>
      <c r="S369" s="54" t="n"/>
      <c r="T369" s="111">
        <f>IF($G369="","",IFERROR(INDEX(Taux_Devises,MATCH(IF($M369="",Devise_Base,$M369),Codes_Devises,0)),1))</f>
        <v/>
      </c>
      <c r="U369" s="112">
        <f>IF($G369="","",ROUND($G369*$T369,2))</f>
        <v/>
      </c>
      <c r="V369" s="113">
        <f>IF($B369="","",MONTH($B369))</f>
        <v/>
      </c>
      <c r="W369" s="113">
        <f>IF($B369="","",YEAR($B369))</f>
        <v/>
      </c>
    </row>
    <row r="370">
      <c r="B370" s="105" t="n"/>
      <c r="C370" s="54" t="n"/>
      <c r="D370" s="54" t="n"/>
      <c r="E370" s="54" t="n"/>
      <c r="F370" s="54" t="n"/>
      <c r="G370" s="65" t="n"/>
      <c r="H370" s="54" t="n"/>
      <c r="I370" s="106">
        <f>IF($C370="","",IFERROR(INDEX(Sens_Types,MATCH($C370,Liste_Types,0)),""))</f>
        <v/>
      </c>
      <c r="J370" s="107">
        <f>IF($I370="▲ ENTRÉE",$U370,"")</f>
        <v/>
      </c>
      <c r="K370" s="108">
        <f>IF($I370="▼ SORTIE",$U370,"")</f>
        <v/>
      </c>
      <c r="L370" s="109">
        <f>$L369+N($J370)-N($K370)</f>
        <v/>
      </c>
      <c r="M370" s="110" t="n"/>
      <c r="N370" s="54" t="n"/>
      <c r="O370" s="54" t="n"/>
      <c r="P370" s="54" t="n"/>
      <c r="Q370" s="110" t="n"/>
      <c r="R370" s="110" t="n"/>
      <c r="S370" s="54" t="n"/>
      <c r="T370" s="111">
        <f>IF($G370="","",IFERROR(INDEX(Taux_Devises,MATCH(IF($M370="",Devise_Base,$M370),Codes_Devises,0)),1))</f>
        <v/>
      </c>
      <c r="U370" s="112">
        <f>IF($G370="","",ROUND($G370*$T370,2))</f>
        <v/>
      </c>
      <c r="V370" s="113">
        <f>IF($B370="","",MONTH($B370))</f>
        <v/>
      </c>
      <c r="W370" s="113">
        <f>IF($B370="","",YEAR($B370))</f>
        <v/>
      </c>
    </row>
    <row r="371">
      <c r="B371" s="105" t="n"/>
      <c r="C371" s="54" t="n"/>
      <c r="D371" s="54" t="n"/>
      <c r="E371" s="54" t="n"/>
      <c r="F371" s="54" t="n"/>
      <c r="G371" s="65" t="n"/>
      <c r="H371" s="54" t="n"/>
      <c r="I371" s="106">
        <f>IF($C371="","",IFERROR(INDEX(Sens_Types,MATCH($C371,Liste_Types,0)),""))</f>
        <v/>
      </c>
      <c r="J371" s="107">
        <f>IF($I371="▲ ENTRÉE",$U371,"")</f>
        <v/>
      </c>
      <c r="K371" s="108">
        <f>IF($I371="▼ SORTIE",$U371,"")</f>
        <v/>
      </c>
      <c r="L371" s="109">
        <f>$L370+N($J371)-N($K371)</f>
        <v/>
      </c>
      <c r="M371" s="110" t="n"/>
      <c r="N371" s="54" t="n"/>
      <c r="O371" s="54" t="n"/>
      <c r="P371" s="54" t="n"/>
      <c r="Q371" s="110" t="n"/>
      <c r="R371" s="110" t="n"/>
      <c r="S371" s="54" t="n"/>
      <c r="T371" s="111">
        <f>IF($G371="","",IFERROR(INDEX(Taux_Devises,MATCH(IF($M371="",Devise_Base,$M371),Codes_Devises,0)),1))</f>
        <v/>
      </c>
      <c r="U371" s="112">
        <f>IF($G371="","",ROUND($G371*$T371,2))</f>
        <v/>
      </c>
      <c r="V371" s="113">
        <f>IF($B371="","",MONTH($B371))</f>
        <v/>
      </c>
      <c r="W371" s="113">
        <f>IF($B371="","",YEAR($B371))</f>
        <v/>
      </c>
    </row>
    <row r="372">
      <c r="B372" s="105" t="n"/>
      <c r="C372" s="54" t="n"/>
      <c r="D372" s="54" t="n"/>
      <c r="E372" s="54" t="n"/>
      <c r="F372" s="54" t="n"/>
      <c r="G372" s="65" t="n"/>
      <c r="H372" s="54" t="n"/>
      <c r="I372" s="106">
        <f>IF($C372="","",IFERROR(INDEX(Sens_Types,MATCH($C372,Liste_Types,0)),""))</f>
        <v/>
      </c>
      <c r="J372" s="107">
        <f>IF($I372="▲ ENTRÉE",$U372,"")</f>
        <v/>
      </c>
      <c r="K372" s="108">
        <f>IF($I372="▼ SORTIE",$U372,"")</f>
        <v/>
      </c>
      <c r="L372" s="109">
        <f>$L371+N($J372)-N($K372)</f>
        <v/>
      </c>
      <c r="M372" s="110" t="n"/>
      <c r="N372" s="54" t="n"/>
      <c r="O372" s="54" t="n"/>
      <c r="P372" s="54" t="n"/>
      <c r="Q372" s="110" t="n"/>
      <c r="R372" s="110" t="n"/>
      <c r="S372" s="54" t="n"/>
      <c r="T372" s="111">
        <f>IF($G372="","",IFERROR(INDEX(Taux_Devises,MATCH(IF($M372="",Devise_Base,$M372),Codes_Devises,0)),1))</f>
        <v/>
      </c>
      <c r="U372" s="112">
        <f>IF($G372="","",ROUND($G372*$T372,2))</f>
        <v/>
      </c>
      <c r="V372" s="113">
        <f>IF($B372="","",MONTH($B372))</f>
        <v/>
      </c>
      <c r="W372" s="113">
        <f>IF($B372="","",YEAR($B372))</f>
        <v/>
      </c>
    </row>
    <row r="373">
      <c r="B373" s="105" t="n"/>
      <c r="C373" s="54" t="n"/>
      <c r="D373" s="54" t="n"/>
      <c r="E373" s="54" t="n"/>
      <c r="F373" s="54" t="n"/>
      <c r="G373" s="65" t="n"/>
      <c r="H373" s="54" t="n"/>
      <c r="I373" s="106">
        <f>IF($C373="","",IFERROR(INDEX(Sens_Types,MATCH($C373,Liste_Types,0)),""))</f>
        <v/>
      </c>
      <c r="J373" s="107">
        <f>IF($I373="▲ ENTRÉE",$U373,"")</f>
        <v/>
      </c>
      <c r="K373" s="108">
        <f>IF($I373="▼ SORTIE",$U373,"")</f>
        <v/>
      </c>
      <c r="L373" s="109">
        <f>$L372+N($J373)-N($K373)</f>
        <v/>
      </c>
      <c r="M373" s="110" t="n"/>
      <c r="N373" s="54" t="n"/>
      <c r="O373" s="54" t="n"/>
      <c r="P373" s="54" t="n"/>
      <c r="Q373" s="110" t="n"/>
      <c r="R373" s="110" t="n"/>
      <c r="S373" s="54" t="n"/>
      <c r="T373" s="111">
        <f>IF($G373="","",IFERROR(INDEX(Taux_Devises,MATCH(IF($M373="",Devise_Base,$M373),Codes_Devises,0)),1))</f>
        <v/>
      </c>
      <c r="U373" s="112">
        <f>IF($G373="","",ROUND($G373*$T373,2))</f>
        <v/>
      </c>
      <c r="V373" s="113">
        <f>IF($B373="","",MONTH($B373))</f>
        <v/>
      </c>
      <c r="W373" s="113">
        <f>IF($B373="","",YEAR($B373))</f>
        <v/>
      </c>
    </row>
    <row r="374">
      <c r="B374" s="105" t="n"/>
      <c r="C374" s="54" t="n"/>
      <c r="D374" s="54" t="n"/>
      <c r="E374" s="54" t="n"/>
      <c r="F374" s="54" t="n"/>
      <c r="G374" s="65" t="n"/>
      <c r="H374" s="54" t="n"/>
      <c r="I374" s="106">
        <f>IF($C374="","",IFERROR(INDEX(Sens_Types,MATCH($C374,Liste_Types,0)),""))</f>
        <v/>
      </c>
      <c r="J374" s="107">
        <f>IF($I374="▲ ENTRÉE",$U374,"")</f>
        <v/>
      </c>
      <c r="K374" s="108">
        <f>IF($I374="▼ SORTIE",$U374,"")</f>
        <v/>
      </c>
      <c r="L374" s="109">
        <f>$L373+N($J374)-N($K374)</f>
        <v/>
      </c>
      <c r="M374" s="110" t="n"/>
      <c r="N374" s="54" t="n"/>
      <c r="O374" s="54" t="n"/>
      <c r="P374" s="54" t="n"/>
      <c r="Q374" s="110" t="n"/>
      <c r="R374" s="110" t="n"/>
      <c r="S374" s="54" t="n"/>
      <c r="T374" s="111">
        <f>IF($G374="","",IFERROR(INDEX(Taux_Devises,MATCH(IF($M374="",Devise_Base,$M374),Codes_Devises,0)),1))</f>
        <v/>
      </c>
      <c r="U374" s="112">
        <f>IF($G374="","",ROUND($G374*$T374,2))</f>
        <v/>
      </c>
      <c r="V374" s="113">
        <f>IF($B374="","",MONTH($B374))</f>
        <v/>
      </c>
      <c r="W374" s="113">
        <f>IF($B374="","",YEAR($B374))</f>
        <v/>
      </c>
    </row>
    <row r="375">
      <c r="B375" s="105" t="n"/>
      <c r="C375" s="54" t="n"/>
      <c r="D375" s="54" t="n"/>
      <c r="E375" s="54" t="n"/>
      <c r="F375" s="54" t="n"/>
      <c r="G375" s="65" t="n"/>
      <c r="H375" s="54" t="n"/>
      <c r="I375" s="106">
        <f>IF($C375="","",IFERROR(INDEX(Sens_Types,MATCH($C375,Liste_Types,0)),""))</f>
        <v/>
      </c>
      <c r="J375" s="107">
        <f>IF($I375="▲ ENTRÉE",$U375,"")</f>
        <v/>
      </c>
      <c r="K375" s="108">
        <f>IF($I375="▼ SORTIE",$U375,"")</f>
        <v/>
      </c>
      <c r="L375" s="109">
        <f>$L374+N($J375)-N($K375)</f>
        <v/>
      </c>
      <c r="M375" s="110" t="n"/>
      <c r="N375" s="54" t="n"/>
      <c r="O375" s="54" t="n"/>
      <c r="P375" s="54" t="n"/>
      <c r="Q375" s="110" t="n"/>
      <c r="R375" s="110" t="n"/>
      <c r="S375" s="54" t="n"/>
      <c r="T375" s="111">
        <f>IF($G375="","",IFERROR(INDEX(Taux_Devises,MATCH(IF($M375="",Devise_Base,$M375),Codes_Devises,0)),1))</f>
        <v/>
      </c>
      <c r="U375" s="112">
        <f>IF($G375="","",ROUND($G375*$T375,2))</f>
        <v/>
      </c>
      <c r="V375" s="113">
        <f>IF($B375="","",MONTH($B375))</f>
        <v/>
      </c>
      <c r="W375" s="113">
        <f>IF($B375="","",YEAR($B375))</f>
        <v/>
      </c>
    </row>
    <row r="376">
      <c r="B376" s="105" t="n"/>
      <c r="C376" s="54" t="n"/>
      <c r="D376" s="54" t="n"/>
      <c r="E376" s="54" t="n"/>
      <c r="F376" s="54" t="n"/>
      <c r="G376" s="65" t="n"/>
      <c r="H376" s="54" t="n"/>
      <c r="I376" s="106">
        <f>IF($C376="","",IFERROR(INDEX(Sens_Types,MATCH($C376,Liste_Types,0)),""))</f>
        <v/>
      </c>
      <c r="J376" s="107">
        <f>IF($I376="▲ ENTRÉE",$U376,"")</f>
        <v/>
      </c>
      <c r="K376" s="108">
        <f>IF($I376="▼ SORTIE",$U376,"")</f>
        <v/>
      </c>
      <c r="L376" s="109">
        <f>$L375+N($J376)-N($K376)</f>
        <v/>
      </c>
      <c r="M376" s="110" t="n"/>
      <c r="N376" s="54" t="n"/>
      <c r="O376" s="54" t="n"/>
      <c r="P376" s="54" t="n"/>
      <c r="Q376" s="110" t="n"/>
      <c r="R376" s="110" t="n"/>
      <c r="S376" s="54" t="n"/>
      <c r="T376" s="111">
        <f>IF($G376="","",IFERROR(INDEX(Taux_Devises,MATCH(IF($M376="",Devise_Base,$M376),Codes_Devises,0)),1))</f>
        <v/>
      </c>
      <c r="U376" s="112">
        <f>IF($G376="","",ROUND($G376*$T376,2))</f>
        <v/>
      </c>
      <c r="V376" s="113">
        <f>IF($B376="","",MONTH($B376))</f>
        <v/>
      </c>
      <c r="W376" s="113">
        <f>IF($B376="","",YEAR($B376))</f>
        <v/>
      </c>
    </row>
    <row r="377">
      <c r="B377" s="105" t="n"/>
      <c r="C377" s="54" t="n"/>
      <c r="D377" s="54" t="n"/>
      <c r="E377" s="54" t="n"/>
      <c r="F377" s="54" t="n"/>
      <c r="G377" s="65" t="n"/>
      <c r="H377" s="54" t="n"/>
      <c r="I377" s="106">
        <f>IF($C377="","",IFERROR(INDEX(Sens_Types,MATCH($C377,Liste_Types,0)),""))</f>
        <v/>
      </c>
      <c r="J377" s="107">
        <f>IF($I377="▲ ENTRÉE",$U377,"")</f>
        <v/>
      </c>
      <c r="K377" s="108">
        <f>IF($I377="▼ SORTIE",$U377,"")</f>
        <v/>
      </c>
      <c r="L377" s="109">
        <f>$L376+N($J377)-N($K377)</f>
        <v/>
      </c>
      <c r="M377" s="110" t="n"/>
      <c r="N377" s="54" t="n"/>
      <c r="O377" s="54" t="n"/>
      <c r="P377" s="54" t="n"/>
      <c r="Q377" s="110" t="n"/>
      <c r="R377" s="110" t="n"/>
      <c r="S377" s="54" t="n"/>
      <c r="T377" s="111">
        <f>IF($G377="","",IFERROR(INDEX(Taux_Devises,MATCH(IF($M377="",Devise_Base,$M377),Codes_Devises,0)),1))</f>
        <v/>
      </c>
      <c r="U377" s="112">
        <f>IF($G377="","",ROUND($G377*$T377,2))</f>
        <v/>
      </c>
      <c r="V377" s="113">
        <f>IF($B377="","",MONTH($B377))</f>
        <v/>
      </c>
      <c r="W377" s="113">
        <f>IF($B377="","",YEAR($B377))</f>
        <v/>
      </c>
    </row>
    <row r="378">
      <c r="B378" s="105" t="n"/>
      <c r="C378" s="54" t="n"/>
      <c r="D378" s="54" t="n"/>
      <c r="E378" s="54" t="n"/>
      <c r="F378" s="54" t="n"/>
      <c r="G378" s="65" t="n"/>
      <c r="H378" s="54" t="n"/>
      <c r="I378" s="106">
        <f>IF($C378="","",IFERROR(INDEX(Sens_Types,MATCH($C378,Liste_Types,0)),""))</f>
        <v/>
      </c>
      <c r="J378" s="107">
        <f>IF($I378="▲ ENTRÉE",$U378,"")</f>
        <v/>
      </c>
      <c r="K378" s="108">
        <f>IF($I378="▼ SORTIE",$U378,"")</f>
        <v/>
      </c>
      <c r="L378" s="109">
        <f>$L377+N($J378)-N($K378)</f>
        <v/>
      </c>
      <c r="M378" s="110" t="n"/>
      <c r="N378" s="54" t="n"/>
      <c r="O378" s="54" t="n"/>
      <c r="P378" s="54" t="n"/>
      <c r="Q378" s="110" t="n"/>
      <c r="R378" s="110" t="n"/>
      <c r="S378" s="54" t="n"/>
      <c r="T378" s="111">
        <f>IF($G378="","",IFERROR(INDEX(Taux_Devises,MATCH(IF($M378="",Devise_Base,$M378),Codes_Devises,0)),1))</f>
        <v/>
      </c>
      <c r="U378" s="112">
        <f>IF($G378="","",ROUND($G378*$T378,2))</f>
        <v/>
      </c>
      <c r="V378" s="113">
        <f>IF($B378="","",MONTH($B378))</f>
        <v/>
      </c>
      <c r="W378" s="113">
        <f>IF($B378="","",YEAR($B378))</f>
        <v/>
      </c>
    </row>
    <row r="379">
      <c r="B379" s="105" t="n"/>
      <c r="C379" s="54" t="n"/>
      <c r="D379" s="54" t="n"/>
      <c r="E379" s="54" t="n"/>
      <c r="F379" s="54" t="n"/>
      <c r="G379" s="65" t="n"/>
      <c r="H379" s="54" t="n"/>
      <c r="I379" s="106">
        <f>IF($C379="","",IFERROR(INDEX(Sens_Types,MATCH($C379,Liste_Types,0)),""))</f>
        <v/>
      </c>
      <c r="J379" s="107">
        <f>IF($I379="▲ ENTRÉE",$U379,"")</f>
        <v/>
      </c>
      <c r="K379" s="108">
        <f>IF($I379="▼ SORTIE",$U379,"")</f>
        <v/>
      </c>
      <c r="L379" s="109">
        <f>$L378+N($J379)-N($K379)</f>
        <v/>
      </c>
      <c r="M379" s="110" t="n"/>
      <c r="N379" s="54" t="n"/>
      <c r="O379" s="54" t="n"/>
      <c r="P379" s="54" t="n"/>
      <c r="Q379" s="110" t="n"/>
      <c r="R379" s="110" t="n"/>
      <c r="S379" s="54" t="n"/>
      <c r="T379" s="111">
        <f>IF($G379="","",IFERROR(INDEX(Taux_Devises,MATCH(IF($M379="",Devise_Base,$M379),Codes_Devises,0)),1))</f>
        <v/>
      </c>
      <c r="U379" s="112">
        <f>IF($G379="","",ROUND($G379*$T379,2))</f>
        <v/>
      </c>
      <c r="V379" s="113">
        <f>IF($B379="","",MONTH($B379))</f>
        <v/>
      </c>
      <c r="W379" s="113">
        <f>IF($B379="","",YEAR($B379))</f>
        <v/>
      </c>
    </row>
    <row r="380">
      <c r="B380" s="105" t="n"/>
      <c r="C380" s="54" t="n"/>
      <c r="D380" s="54" t="n"/>
      <c r="E380" s="54" t="n"/>
      <c r="F380" s="54" t="n"/>
      <c r="G380" s="65" t="n"/>
      <c r="H380" s="54" t="n"/>
      <c r="I380" s="106">
        <f>IF($C380="","",IFERROR(INDEX(Sens_Types,MATCH($C380,Liste_Types,0)),""))</f>
        <v/>
      </c>
      <c r="J380" s="107">
        <f>IF($I380="▲ ENTRÉE",$U380,"")</f>
        <v/>
      </c>
      <c r="K380" s="108">
        <f>IF($I380="▼ SORTIE",$U380,"")</f>
        <v/>
      </c>
      <c r="L380" s="109">
        <f>$L379+N($J380)-N($K380)</f>
        <v/>
      </c>
      <c r="M380" s="110" t="n"/>
      <c r="N380" s="54" t="n"/>
      <c r="O380" s="54" t="n"/>
      <c r="P380" s="54" t="n"/>
      <c r="Q380" s="110" t="n"/>
      <c r="R380" s="110" t="n"/>
      <c r="S380" s="54" t="n"/>
      <c r="T380" s="111">
        <f>IF($G380="","",IFERROR(INDEX(Taux_Devises,MATCH(IF($M380="",Devise_Base,$M380),Codes_Devises,0)),1))</f>
        <v/>
      </c>
      <c r="U380" s="112">
        <f>IF($G380="","",ROUND($G380*$T380,2))</f>
        <v/>
      </c>
      <c r="V380" s="113">
        <f>IF($B380="","",MONTH($B380))</f>
        <v/>
      </c>
      <c r="W380" s="113">
        <f>IF($B380="","",YEAR($B380))</f>
        <v/>
      </c>
    </row>
    <row r="381">
      <c r="B381" s="105" t="n"/>
      <c r="C381" s="54" t="n"/>
      <c r="D381" s="54" t="n"/>
      <c r="E381" s="54" t="n"/>
      <c r="F381" s="54" t="n"/>
      <c r="G381" s="65" t="n"/>
      <c r="H381" s="54" t="n"/>
      <c r="I381" s="106">
        <f>IF($C381="","",IFERROR(INDEX(Sens_Types,MATCH($C381,Liste_Types,0)),""))</f>
        <v/>
      </c>
      <c r="J381" s="107">
        <f>IF($I381="▲ ENTRÉE",$U381,"")</f>
        <v/>
      </c>
      <c r="K381" s="108">
        <f>IF($I381="▼ SORTIE",$U381,"")</f>
        <v/>
      </c>
      <c r="L381" s="109">
        <f>$L380+N($J381)-N($K381)</f>
        <v/>
      </c>
      <c r="M381" s="110" t="n"/>
      <c r="N381" s="54" t="n"/>
      <c r="O381" s="54" t="n"/>
      <c r="P381" s="54" t="n"/>
      <c r="Q381" s="110" t="n"/>
      <c r="R381" s="110" t="n"/>
      <c r="S381" s="54" t="n"/>
      <c r="T381" s="111">
        <f>IF($G381="","",IFERROR(INDEX(Taux_Devises,MATCH(IF($M381="",Devise_Base,$M381),Codes_Devises,0)),1))</f>
        <v/>
      </c>
      <c r="U381" s="112">
        <f>IF($G381="","",ROUND($G381*$T381,2))</f>
        <v/>
      </c>
      <c r="V381" s="113">
        <f>IF($B381="","",MONTH($B381))</f>
        <v/>
      </c>
      <c r="W381" s="113">
        <f>IF($B381="","",YEAR($B381))</f>
        <v/>
      </c>
    </row>
    <row r="382">
      <c r="B382" s="105" t="n"/>
      <c r="C382" s="54" t="n"/>
      <c r="D382" s="54" t="n"/>
      <c r="E382" s="54" t="n"/>
      <c r="F382" s="54" t="n"/>
      <c r="G382" s="65" t="n"/>
      <c r="H382" s="54" t="n"/>
      <c r="I382" s="106">
        <f>IF($C382="","",IFERROR(INDEX(Sens_Types,MATCH($C382,Liste_Types,0)),""))</f>
        <v/>
      </c>
      <c r="J382" s="107">
        <f>IF($I382="▲ ENTRÉE",$U382,"")</f>
        <v/>
      </c>
      <c r="K382" s="108">
        <f>IF($I382="▼ SORTIE",$U382,"")</f>
        <v/>
      </c>
      <c r="L382" s="109">
        <f>$L381+N($J382)-N($K382)</f>
        <v/>
      </c>
      <c r="M382" s="110" t="n"/>
      <c r="N382" s="54" t="n"/>
      <c r="O382" s="54" t="n"/>
      <c r="P382" s="54" t="n"/>
      <c r="Q382" s="110" t="n"/>
      <c r="R382" s="110" t="n"/>
      <c r="S382" s="54" t="n"/>
      <c r="T382" s="111">
        <f>IF($G382="","",IFERROR(INDEX(Taux_Devises,MATCH(IF($M382="",Devise_Base,$M382),Codes_Devises,0)),1))</f>
        <v/>
      </c>
      <c r="U382" s="112">
        <f>IF($G382="","",ROUND($G382*$T382,2))</f>
        <v/>
      </c>
      <c r="V382" s="113">
        <f>IF($B382="","",MONTH($B382))</f>
        <v/>
      </c>
      <c r="W382" s="113">
        <f>IF($B382="","",YEAR($B382))</f>
        <v/>
      </c>
    </row>
    <row r="383">
      <c r="B383" s="105" t="n"/>
      <c r="C383" s="54" t="n"/>
      <c r="D383" s="54" t="n"/>
      <c r="E383" s="54" t="n"/>
      <c r="F383" s="54" t="n"/>
      <c r="G383" s="65" t="n"/>
      <c r="H383" s="54" t="n"/>
      <c r="I383" s="106">
        <f>IF($C383="","",IFERROR(INDEX(Sens_Types,MATCH($C383,Liste_Types,0)),""))</f>
        <v/>
      </c>
      <c r="J383" s="107">
        <f>IF($I383="▲ ENTRÉE",$U383,"")</f>
        <v/>
      </c>
      <c r="K383" s="108">
        <f>IF($I383="▼ SORTIE",$U383,"")</f>
        <v/>
      </c>
      <c r="L383" s="109">
        <f>$L382+N($J383)-N($K383)</f>
        <v/>
      </c>
      <c r="M383" s="110" t="n"/>
      <c r="N383" s="54" t="n"/>
      <c r="O383" s="54" t="n"/>
      <c r="P383" s="54" t="n"/>
      <c r="Q383" s="110" t="n"/>
      <c r="R383" s="110" t="n"/>
      <c r="S383" s="54" t="n"/>
      <c r="T383" s="111">
        <f>IF($G383="","",IFERROR(INDEX(Taux_Devises,MATCH(IF($M383="",Devise_Base,$M383),Codes_Devises,0)),1))</f>
        <v/>
      </c>
      <c r="U383" s="112">
        <f>IF($G383="","",ROUND($G383*$T383,2))</f>
        <v/>
      </c>
      <c r="V383" s="113">
        <f>IF($B383="","",MONTH($B383))</f>
        <v/>
      </c>
      <c r="W383" s="113">
        <f>IF($B383="","",YEAR($B383))</f>
        <v/>
      </c>
    </row>
    <row r="384">
      <c r="B384" s="105" t="n"/>
      <c r="C384" s="54" t="n"/>
      <c r="D384" s="54" t="n"/>
      <c r="E384" s="54" t="n"/>
      <c r="F384" s="54" t="n"/>
      <c r="G384" s="65" t="n"/>
      <c r="H384" s="54" t="n"/>
      <c r="I384" s="106">
        <f>IF($C384="","",IFERROR(INDEX(Sens_Types,MATCH($C384,Liste_Types,0)),""))</f>
        <v/>
      </c>
      <c r="J384" s="107">
        <f>IF($I384="▲ ENTRÉE",$U384,"")</f>
        <v/>
      </c>
      <c r="K384" s="108">
        <f>IF($I384="▼ SORTIE",$U384,"")</f>
        <v/>
      </c>
      <c r="L384" s="109">
        <f>$L383+N($J384)-N($K384)</f>
        <v/>
      </c>
      <c r="M384" s="110" t="n"/>
      <c r="N384" s="54" t="n"/>
      <c r="O384" s="54" t="n"/>
      <c r="P384" s="54" t="n"/>
      <c r="Q384" s="110" t="n"/>
      <c r="R384" s="110" t="n"/>
      <c r="S384" s="54" t="n"/>
      <c r="T384" s="111">
        <f>IF($G384="","",IFERROR(INDEX(Taux_Devises,MATCH(IF($M384="",Devise_Base,$M384),Codes_Devises,0)),1))</f>
        <v/>
      </c>
      <c r="U384" s="112">
        <f>IF($G384="","",ROUND($G384*$T384,2))</f>
        <v/>
      </c>
      <c r="V384" s="113">
        <f>IF($B384="","",MONTH($B384))</f>
        <v/>
      </c>
      <c r="W384" s="113">
        <f>IF($B384="","",YEAR($B384))</f>
        <v/>
      </c>
    </row>
    <row r="385">
      <c r="B385" s="105" t="n"/>
      <c r="C385" s="54" t="n"/>
      <c r="D385" s="54" t="n"/>
      <c r="E385" s="54" t="n"/>
      <c r="F385" s="54" t="n"/>
      <c r="G385" s="65" t="n"/>
      <c r="H385" s="54" t="n"/>
      <c r="I385" s="106">
        <f>IF($C385="","",IFERROR(INDEX(Sens_Types,MATCH($C385,Liste_Types,0)),""))</f>
        <v/>
      </c>
      <c r="J385" s="107">
        <f>IF($I385="▲ ENTRÉE",$U385,"")</f>
        <v/>
      </c>
      <c r="K385" s="108">
        <f>IF($I385="▼ SORTIE",$U385,"")</f>
        <v/>
      </c>
      <c r="L385" s="109">
        <f>$L384+N($J385)-N($K385)</f>
        <v/>
      </c>
      <c r="M385" s="110" t="n"/>
      <c r="N385" s="54" t="n"/>
      <c r="O385" s="54" t="n"/>
      <c r="P385" s="54" t="n"/>
      <c r="Q385" s="110" t="n"/>
      <c r="R385" s="110" t="n"/>
      <c r="S385" s="54" t="n"/>
      <c r="T385" s="111">
        <f>IF($G385="","",IFERROR(INDEX(Taux_Devises,MATCH(IF($M385="",Devise_Base,$M385),Codes_Devises,0)),1))</f>
        <v/>
      </c>
      <c r="U385" s="112">
        <f>IF($G385="","",ROUND($G385*$T385,2))</f>
        <v/>
      </c>
      <c r="V385" s="113">
        <f>IF($B385="","",MONTH($B385))</f>
        <v/>
      </c>
      <c r="W385" s="113">
        <f>IF($B385="","",YEAR($B385))</f>
        <v/>
      </c>
    </row>
    <row r="386">
      <c r="B386" s="105" t="n"/>
      <c r="C386" s="54" t="n"/>
      <c r="D386" s="54" t="n"/>
      <c r="E386" s="54" t="n"/>
      <c r="F386" s="54" t="n"/>
      <c r="G386" s="65" t="n"/>
      <c r="H386" s="54" t="n"/>
      <c r="I386" s="106">
        <f>IF($C386="","",IFERROR(INDEX(Sens_Types,MATCH($C386,Liste_Types,0)),""))</f>
        <v/>
      </c>
      <c r="J386" s="107">
        <f>IF($I386="▲ ENTRÉE",$U386,"")</f>
        <v/>
      </c>
      <c r="K386" s="108">
        <f>IF($I386="▼ SORTIE",$U386,"")</f>
        <v/>
      </c>
      <c r="L386" s="109">
        <f>$L385+N($J386)-N($K386)</f>
        <v/>
      </c>
      <c r="M386" s="110" t="n"/>
      <c r="N386" s="54" t="n"/>
      <c r="O386" s="54" t="n"/>
      <c r="P386" s="54" t="n"/>
      <c r="Q386" s="110" t="n"/>
      <c r="R386" s="110" t="n"/>
      <c r="S386" s="54" t="n"/>
      <c r="T386" s="111">
        <f>IF($G386="","",IFERROR(INDEX(Taux_Devises,MATCH(IF($M386="",Devise_Base,$M386),Codes_Devises,0)),1))</f>
        <v/>
      </c>
      <c r="U386" s="112">
        <f>IF($G386="","",ROUND($G386*$T386,2))</f>
        <v/>
      </c>
      <c r="V386" s="113">
        <f>IF($B386="","",MONTH($B386))</f>
        <v/>
      </c>
      <c r="W386" s="113">
        <f>IF($B386="","",YEAR($B386))</f>
        <v/>
      </c>
    </row>
    <row r="387">
      <c r="B387" s="105" t="n"/>
      <c r="C387" s="54" t="n"/>
      <c r="D387" s="54" t="n"/>
      <c r="E387" s="54" t="n"/>
      <c r="F387" s="54" t="n"/>
      <c r="G387" s="65" t="n"/>
      <c r="H387" s="54" t="n"/>
      <c r="I387" s="106">
        <f>IF($C387="","",IFERROR(INDEX(Sens_Types,MATCH($C387,Liste_Types,0)),""))</f>
        <v/>
      </c>
      <c r="J387" s="107">
        <f>IF($I387="▲ ENTRÉE",$U387,"")</f>
        <v/>
      </c>
      <c r="K387" s="108">
        <f>IF($I387="▼ SORTIE",$U387,"")</f>
        <v/>
      </c>
      <c r="L387" s="109">
        <f>$L386+N($J387)-N($K387)</f>
        <v/>
      </c>
      <c r="M387" s="110" t="n"/>
      <c r="N387" s="54" t="n"/>
      <c r="O387" s="54" t="n"/>
      <c r="P387" s="54" t="n"/>
      <c r="Q387" s="110" t="n"/>
      <c r="R387" s="110" t="n"/>
      <c r="S387" s="54" t="n"/>
      <c r="T387" s="111">
        <f>IF($G387="","",IFERROR(INDEX(Taux_Devises,MATCH(IF($M387="",Devise_Base,$M387),Codes_Devises,0)),1))</f>
        <v/>
      </c>
      <c r="U387" s="112">
        <f>IF($G387="","",ROUND($G387*$T387,2))</f>
        <v/>
      </c>
      <c r="V387" s="113">
        <f>IF($B387="","",MONTH($B387))</f>
        <v/>
      </c>
      <c r="W387" s="113">
        <f>IF($B387="","",YEAR($B387))</f>
        <v/>
      </c>
    </row>
    <row r="388">
      <c r="B388" s="105" t="n"/>
      <c r="C388" s="54" t="n"/>
      <c r="D388" s="54" t="n"/>
      <c r="E388" s="54" t="n"/>
      <c r="F388" s="54" t="n"/>
      <c r="G388" s="65" t="n"/>
      <c r="H388" s="54" t="n"/>
      <c r="I388" s="106">
        <f>IF($C388="","",IFERROR(INDEX(Sens_Types,MATCH($C388,Liste_Types,0)),""))</f>
        <v/>
      </c>
      <c r="J388" s="107">
        <f>IF($I388="▲ ENTRÉE",$U388,"")</f>
        <v/>
      </c>
      <c r="K388" s="108">
        <f>IF($I388="▼ SORTIE",$U388,"")</f>
        <v/>
      </c>
      <c r="L388" s="109">
        <f>$L387+N($J388)-N($K388)</f>
        <v/>
      </c>
      <c r="M388" s="110" t="n"/>
      <c r="N388" s="54" t="n"/>
      <c r="O388" s="54" t="n"/>
      <c r="P388" s="54" t="n"/>
      <c r="Q388" s="110" t="n"/>
      <c r="R388" s="110" t="n"/>
      <c r="S388" s="54" t="n"/>
      <c r="T388" s="111">
        <f>IF($G388="","",IFERROR(INDEX(Taux_Devises,MATCH(IF($M388="",Devise_Base,$M388),Codes_Devises,0)),1))</f>
        <v/>
      </c>
      <c r="U388" s="112">
        <f>IF($G388="","",ROUND($G388*$T388,2))</f>
        <v/>
      </c>
      <c r="V388" s="113">
        <f>IF($B388="","",MONTH($B388))</f>
        <v/>
      </c>
      <c r="W388" s="113">
        <f>IF($B388="","",YEAR($B388))</f>
        <v/>
      </c>
    </row>
    <row r="389">
      <c r="B389" s="105" t="n"/>
      <c r="C389" s="54" t="n"/>
      <c r="D389" s="54" t="n"/>
      <c r="E389" s="54" t="n"/>
      <c r="F389" s="54" t="n"/>
      <c r="G389" s="65" t="n"/>
      <c r="H389" s="54" t="n"/>
      <c r="I389" s="106">
        <f>IF($C389="","",IFERROR(INDEX(Sens_Types,MATCH($C389,Liste_Types,0)),""))</f>
        <v/>
      </c>
      <c r="J389" s="107">
        <f>IF($I389="▲ ENTRÉE",$U389,"")</f>
        <v/>
      </c>
      <c r="K389" s="108">
        <f>IF($I389="▼ SORTIE",$U389,"")</f>
        <v/>
      </c>
      <c r="L389" s="109">
        <f>$L388+N($J389)-N($K389)</f>
        <v/>
      </c>
      <c r="M389" s="110" t="n"/>
      <c r="N389" s="54" t="n"/>
      <c r="O389" s="54" t="n"/>
      <c r="P389" s="54" t="n"/>
      <c r="Q389" s="110" t="n"/>
      <c r="R389" s="110" t="n"/>
      <c r="S389" s="54" t="n"/>
      <c r="T389" s="111">
        <f>IF($G389="","",IFERROR(INDEX(Taux_Devises,MATCH(IF($M389="",Devise_Base,$M389),Codes_Devises,0)),1))</f>
        <v/>
      </c>
      <c r="U389" s="112">
        <f>IF($G389="","",ROUND($G389*$T389,2))</f>
        <v/>
      </c>
      <c r="V389" s="113">
        <f>IF($B389="","",MONTH($B389))</f>
        <v/>
      </c>
      <c r="W389" s="113">
        <f>IF($B389="","",YEAR($B389))</f>
        <v/>
      </c>
    </row>
    <row r="390">
      <c r="B390" s="105" t="n"/>
      <c r="C390" s="54" t="n"/>
      <c r="D390" s="54" t="n"/>
      <c r="E390" s="54" t="n"/>
      <c r="F390" s="54" t="n"/>
      <c r="G390" s="65" t="n"/>
      <c r="H390" s="54" t="n"/>
      <c r="I390" s="106">
        <f>IF($C390="","",IFERROR(INDEX(Sens_Types,MATCH($C390,Liste_Types,0)),""))</f>
        <v/>
      </c>
      <c r="J390" s="107">
        <f>IF($I390="▲ ENTRÉE",$U390,"")</f>
        <v/>
      </c>
      <c r="K390" s="108">
        <f>IF($I390="▼ SORTIE",$U390,"")</f>
        <v/>
      </c>
      <c r="L390" s="109">
        <f>$L389+N($J390)-N($K390)</f>
        <v/>
      </c>
      <c r="M390" s="110" t="n"/>
      <c r="N390" s="54" t="n"/>
      <c r="O390" s="54" t="n"/>
      <c r="P390" s="54" t="n"/>
      <c r="Q390" s="110" t="n"/>
      <c r="R390" s="110" t="n"/>
      <c r="S390" s="54" t="n"/>
      <c r="T390" s="111">
        <f>IF($G390="","",IFERROR(INDEX(Taux_Devises,MATCH(IF($M390="",Devise_Base,$M390),Codes_Devises,0)),1))</f>
        <v/>
      </c>
      <c r="U390" s="112">
        <f>IF($G390="","",ROUND($G390*$T390,2))</f>
        <v/>
      </c>
      <c r="V390" s="113">
        <f>IF($B390="","",MONTH($B390))</f>
        <v/>
      </c>
      <c r="W390" s="113">
        <f>IF($B390="","",YEAR($B390))</f>
        <v/>
      </c>
    </row>
    <row r="391">
      <c r="B391" s="105" t="n"/>
      <c r="C391" s="54" t="n"/>
      <c r="D391" s="54" t="n"/>
      <c r="E391" s="54" t="n"/>
      <c r="F391" s="54" t="n"/>
      <c r="G391" s="65" t="n"/>
      <c r="H391" s="54" t="n"/>
      <c r="I391" s="106">
        <f>IF($C391="","",IFERROR(INDEX(Sens_Types,MATCH($C391,Liste_Types,0)),""))</f>
        <v/>
      </c>
      <c r="J391" s="107">
        <f>IF($I391="▲ ENTRÉE",$U391,"")</f>
        <v/>
      </c>
      <c r="K391" s="108">
        <f>IF($I391="▼ SORTIE",$U391,"")</f>
        <v/>
      </c>
      <c r="L391" s="109">
        <f>$L390+N($J391)-N($K391)</f>
        <v/>
      </c>
      <c r="M391" s="110" t="n"/>
      <c r="N391" s="54" t="n"/>
      <c r="O391" s="54" t="n"/>
      <c r="P391" s="54" t="n"/>
      <c r="Q391" s="110" t="n"/>
      <c r="R391" s="110" t="n"/>
      <c r="S391" s="54" t="n"/>
      <c r="T391" s="111">
        <f>IF($G391="","",IFERROR(INDEX(Taux_Devises,MATCH(IF($M391="",Devise_Base,$M391),Codes_Devises,0)),1))</f>
        <v/>
      </c>
      <c r="U391" s="112">
        <f>IF($G391="","",ROUND($G391*$T391,2))</f>
        <v/>
      </c>
      <c r="V391" s="113">
        <f>IF($B391="","",MONTH($B391))</f>
        <v/>
      </c>
      <c r="W391" s="113">
        <f>IF($B391="","",YEAR($B391))</f>
        <v/>
      </c>
    </row>
    <row r="392">
      <c r="B392" s="105" t="n"/>
      <c r="C392" s="54" t="n"/>
      <c r="D392" s="54" t="n"/>
      <c r="E392" s="54" t="n"/>
      <c r="F392" s="54" t="n"/>
      <c r="G392" s="65" t="n"/>
      <c r="H392" s="54" t="n"/>
      <c r="I392" s="106">
        <f>IF($C392="","",IFERROR(INDEX(Sens_Types,MATCH($C392,Liste_Types,0)),""))</f>
        <v/>
      </c>
      <c r="J392" s="107">
        <f>IF($I392="▲ ENTRÉE",$U392,"")</f>
        <v/>
      </c>
      <c r="K392" s="108">
        <f>IF($I392="▼ SORTIE",$U392,"")</f>
        <v/>
      </c>
      <c r="L392" s="109">
        <f>$L391+N($J392)-N($K392)</f>
        <v/>
      </c>
      <c r="M392" s="110" t="n"/>
      <c r="N392" s="54" t="n"/>
      <c r="O392" s="54" t="n"/>
      <c r="P392" s="54" t="n"/>
      <c r="Q392" s="110" t="n"/>
      <c r="R392" s="110" t="n"/>
      <c r="S392" s="54" t="n"/>
      <c r="T392" s="111">
        <f>IF($G392="","",IFERROR(INDEX(Taux_Devises,MATCH(IF($M392="",Devise_Base,$M392),Codes_Devises,0)),1))</f>
        <v/>
      </c>
      <c r="U392" s="112">
        <f>IF($G392="","",ROUND($G392*$T392,2))</f>
        <v/>
      </c>
      <c r="V392" s="113">
        <f>IF($B392="","",MONTH($B392))</f>
        <v/>
      </c>
      <c r="W392" s="113">
        <f>IF($B392="","",YEAR($B392))</f>
        <v/>
      </c>
    </row>
    <row r="393">
      <c r="B393" s="105" t="n"/>
      <c r="C393" s="54" t="n"/>
      <c r="D393" s="54" t="n"/>
      <c r="E393" s="54" t="n"/>
      <c r="F393" s="54" t="n"/>
      <c r="G393" s="65" t="n"/>
      <c r="H393" s="54" t="n"/>
      <c r="I393" s="106">
        <f>IF($C393="","",IFERROR(INDEX(Sens_Types,MATCH($C393,Liste_Types,0)),""))</f>
        <v/>
      </c>
      <c r="J393" s="107">
        <f>IF($I393="▲ ENTRÉE",$U393,"")</f>
        <v/>
      </c>
      <c r="K393" s="108">
        <f>IF($I393="▼ SORTIE",$U393,"")</f>
        <v/>
      </c>
      <c r="L393" s="109">
        <f>$L392+N($J393)-N($K393)</f>
        <v/>
      </c>
      <c r="M393" s="110" t="n"/>
      <c r="N393" s="54" t="n"/>
      <c r="O393" s="54" t="n"/>
      <c r="P393" s="54" t="n"/>
      <c r="Q393" s="110" t="n"/>
      <c r="R393" s="110" t="n"/>
      <c r="S393" s="54" t="n"/>
      <c r="T393" s="111">
        <f>IF($G393="","",IFERROR(INDEX(Taux_Devises,MATCH(IF($M393="",Devise_Base,$M393),Codes_Devises,0)),1))</f>
        <v/>
      </c>
      <c r="U393" s="112">
        <f>IF($G393="","",ROUND($G393*$T393,2))</f>
        <v/>
      </c>
      <c r="V393" s="113">
        <f>IF($B393="","",MONTH($B393))</f>
        <v/>
      </c>
      <c r="W393" s="113">
        <f>IF($B393="","",YEAR($B393))</f>
        <v/>
      </c>
    </row>
    <row r="394">
      <c r="B394" s="105" t="n"/>
      <c r="C394" s="54" t="n"/>
      <c r="D394" s="54" t="n"/>
      <c r="E394" s="54" t="n"/>
      <c r="F394" s="54" t="n"/>
      <c r="G394" s="65" t="n"/>
      <c r="H394" s="54" t="n"/>
      <c r="I394" s="106">
        <f>IF($C394="","",IFERROR(INDEX(Sens_Types,MATCH($C394,Liste_Types,0)),""))</f>
        <v/>
      </c>
      <c r="J394" s="107">
        <f>IF($I394="▲ ENTRÉE",$U394,"")</f>
        <v/>
      </c>
      <c r="K394" s="108">
        <f>IF($I394="▼ SORTIE",$U394,"")</f>
        <v/>
      </c>
      <c r="L394" s="109">
        <f>$L393+N($J394)-N($K394)</f>
        <v/>
      </c>
      <c r="M394" s="110" t="n"/>
      <c r="N394" s="54" t="n"/>
      <c r="O394" s="54" t="n"/>
      <c r="P394" s="54" t="n"/>
      <c r="Q394" s="110" t="n"/>
      <c r="R394" s="110" t="n"/>
      <c r="S394" s="54" t="n"/>
      <c r="T394" s="111">
        <f>IF($G394="","",IFERROR(INDEX(Taux_Devises,MATCH(IF($M394="",Devise_Base,$M394),Codes_Devises,0)),1))</f>
        <v/>
      </c>
      <c r="U394" s="112">
        <f>IF($G394="","",ROUND($G394*$T394,2))</f>
        <v/>
      </c>
      <c r="V394" s="113">
        <f>IF($B394="","",MONTH($B394))</f>
        <v/>
      </c>
      <c r="W394" s="113">
        <f>IF($B394="","",YEAR($B394))</f>
        <v/>
      </c>
    </row>
    <row r="395">
      <c r="B395" s="105" t="n"/>
      <c r="C395" s="54" t="n"/>
      <c r="D395" s="54" t="n"/>
      <c r="E395" s="54" t="n"/>
      <c r="F395" s="54" t="n"/>
      <c r="G395" s="65" t="n"/>
      <c r="H395" s="54" t="n"/>
      <c r="I395" s="106">
        <f>IF($C395="","",IFERROR(INDEX(Sens_Types,MATCH($C395,Liste_Types,0)),""))</f>
        <v/>
      </c>
      <c r="J395" s="107">
        <f>IF($I395="▲ ENTRÉE",$U395,"")</f>
        <v/>
      </c>
      <c r="K395" s="108">
        <f>IF($I395="▼ SORTIE",$U395,"")</f>
        <v/>
      </c>
      <c r="L395" s="109">
        <f>$L394+N($J395)-N($K395)</f>
        <v/>
      </c>
      <c r="M395" s="110" t="n"/>
      <c r="N395" s="54" t="n"/>
      <c r="O395" s="54" t="n"/>
      <c r="P395" s="54" t="n"/>
      <c r="Q395" s="110" t="n"/>
      <c r="R395" s="110" t="n"/>
      <c r="S395" s="54" t="n"/>
      <c r="T395" s="111">
        <f>IF($G395="","",IFERROR(INDEX(Taux_Devises,MATCH(IF($M395="",Devise_Base,$M395),Codes_Devises,0)),1))</f>
        <v/>
      </c>
      <c r="U395" s="112">
        <f>IF($G395="","",ROUND($G395*$T395,2))</f>
        <v/>
      </c>
      <c r="V395" s="113">
        <f>IF($B395="","",MONTH($B395))</f>
        <v/>
      </c>
      <c r="W395" s="113">
        <f>IF($B395="","",YEAR($B395))</f>
        <v/>
      </c>
    </row>
    <row r="396">
      <c r="B396" s="105" t="n"/>
      <c r="C396" s="54" t="n"/>
      <c r="D396" s="54" t="n"/>
      <c r="E396" s="54" t="n"/>
      <c r="F396" s="54" t="n"/>
      <c r="G396" s="65" t="n"/>
      <c r="H396" s="54" t="n"/>
      <c r="I396" s="106">
        <f>IF($C396="","",IFERROR(INDEX(Sens_Types,MATCH($C396,Liste_Types,0)),""))</f>
        <v/>
      </c>
      <c r="J396" s="107">
        <f>IF($I396="▲ ENTRÉE",$U396,"")</f>
        <v/>
      </c>
      <c r="K396" s="108">
        <f>IF($I396="▼ SORTIE",$U396,"")</f>
        <v/>
      </c>
      <c r="L396" s="109">
        <f>$L395+N($J396)-N($K396)</f>
        <v/>
      </c>
      <c r="M396" s="110" t="n"/>
      <c r="N396" s="54" t="n"/>
      <c r="O396" s="54" t="n"/>
      <c r="P396" s="54" t="n"/>
      <c r="Q396" s="110" t="n"/>
      <c r="R396" s="110" t="n"/>
      <c r="S396" s="54" t="n"/>
      <c r="T396" s="111">
        <f>IF($G396="","",IFERROR(INDEX(Taux_Devises,MATCH(IF($M396="",Devise_Base,$M396),Codes_Devises,0)),1))</f>
        <v/>
      </c>
      <c r="U396" s="112">
        <f>IF($G396="","",ROUND($G396*$T396,2))</f>
        <v/>
      </c>
      <c r="V396" s="113">
        <f>IF($B396="","",MONTH($B396))</f>
        <v/>
      </c>
      <c r="W396" s="113">
        <f>IF($B396="","",YEAR($B396))</f>
        <v/>
      </c>
    </row>
    <row r="397">
      <c r="B397" s="105" t="n"/>
      <c r="C397" s="54" t="n"/>
      <c r="D397" s="54" t="n"/>
      <c r="E397" s="54" t="n"/>
      <c r="F397" s="54" t="n"/>
      <c r="G397" s="65" t="n"/>
      <c r="H397" s="54" t="n"/>
      <c r="I397" s="106">
        <f>IF($C397="","",IFERROR(INDEX(Sens_Types,MATCH($C397,Liste_Types,0)),""))</f>
        <v/>
      </c>
      <c r="J397" s="107">
        <f>IF($I397="▲ ENTRÉE",$U397,"")</f>
        <v/>
      </c>
      <c r="K397" s="108">
        <f>IF($I397="▼ SORTIE",$U397,"")</f>
        <v/>
      </c>
      <c r="L397" s="109">
        <f>$L396+N($J397)-N($K397)</f>
        <v/>
      </c>
      <c r="M397" s="110" t="n"/>
      <c r="N397" s="54" t="n"/>
      <c r="O397" s="54" t="n"/>
      <c r="P397" s="54" t="n"/>
      <c r="Q397" s="110" t="n"/>
      <c r="R397" s="110" t="n"/>
      <c r="S397" s="54" t="n"/>
      <c r="T397" s="111">
        <f>IF($G397="","",IFERROR(INDEX(Taux_Devises,MATCH(IF($M397="",Devise_Base,$M397),Codes_Devises,0)),1))</f>
        <v/>
      </c>
      <c r="U397" s="112">
        <f>IF($G397="","",ROUND($G397*$T397,2))</f>
        <v/>
      </c>
      <c r="V397" s="113">
        <f>IF($B397="","",MONTH($B397))</f>
        <v/>
      </c>
      <c r="W397" s="113">
        <f>IF($B397="","",YEAR($B397))</f>
        <v/>
      </c>
    </row>
    <row r="398">
      <c r="B398" s="105" t="n"/>
      <c r="C398" s="54" t="n"/>
      <c r="D398" s="54" t="n"/>
      <c r="E398" s="54" t="n"/>
      <c r="F398" s="54" t="n"/>
      <c r="G398" s="65" t="n"/>
      <c r="H398" s="54" t="n"/>
      <c r="I398" s="106">
        <f>IF($C398="","",IFERROR(INDEX(Sens_Types,MATCH($C398,Liste_Types,0)),""))</f>
        <v/>
      </c>
      <c r="J398" s="107">
        <f>IF($I398="▲ ENTRÉE",$U398,"")</f>
        <v/>
      </c>
      <c r="K398" s="108">
        <f>IF($I398="▼ SORTIE",$U398,"")</f>
        <v/>
      </c>
      <c r="L398" s="109">
        <f>$L397+N($J398)-N($K398)</f>
        <v/>
      </c>
      <c r="M398" s="110" t="n"/>
      <c r="N398" s="54" t="n"/>
      <c r="O398" s="54" t="n"/>
      <c r="P398" s="54" t="n"/>
      <c r="Q398" s="110" t="n"/>
      <c r="R398" s="110" t="n"/>
      <c r="S398" s="54" t="n"/>
      <c r="T398" s="111">
        <f>IF($G398="","",IFERROR(INDEX(Taux_Devises,MATCH(IF($M398="",Devise_Base,$M398),Codes_Devises,0)),1))</f>
        <v/>
      </c>
      <c r="U398" s="112">
        <f>IF($G398="","",ROUND($G398*$T398,2))</f>
        <v/>
      </c>
      <c r="V398" s="113">
        <f>IF($B398="","",MONTH($B398))</f>
        <v/>
      </c>
      <c r="W398" s="113">
        <f>IF($B398="","",YEAR($B398))</f>
        <v/>
      </c>
    </row>
    <row r="399">
      <c r="B399" s="105" t="n"/>
      <c r="C399" s="54" t="n"/>
      <c r="D399" s="54" t="n"/>
      <c r="E399" s="54" t="n"/>
      <c r="F399" s="54" t="n"/>
      <c r="G399" s="65" t="n"/>
      <c r="H399" s="54" t="n"/>
      <c r="I399" s="106">
        <f>IF($C399="","",IFERROR(INDEX(Sens_Types,MATCH($C399,Liste_Types,0)),""))</f>
        <v/>
      </c>
      <c r="J399" s="107">
        <f>IF($I399="▲ ENTRÉE",$U399,"")</f>
        <v/>
      </c>
      <c r="K399" s="108">
        <f>IF($I399="▼ SORTIE",$U399,"")</f>
        <v/>
      </c>
      <c r="L399" s="109">
        <f>$L398+N($J399)-N($K399)</f>
        <v/>
      </c>
      <c r="M399" s="110" t="n"/>
      <c r="N399" s="54" t="n"/>
      <c r="O399" s="54" t="n"/>
      <c r="P399" s="54" t="n"/>
      <c r="Q399" s="110" t="n"/>
      <c r="R399" s="110" t="n"/>
      <c r="S399" s="54" t="n"/>
      <c r="T399" s="111">
        <f>IF($G399="","",IFERROR(INDEX(Taux_Devises,MATCH(IF($M399="",Devise_Base,$M399),Codes_Devises,0)),1))</f>
        <v/>
      </c>
      <c r="U399" s="112">
        <f>IF($G399="","",ROUND($G399*$T399,2))</f>
        <v/>
      </c>
      <c r="V399" s="113">
        <f>IF($B399="","",MONTH($B399))</f>
        <v/>
      </c>
      <c r="W399" s="113">
        <f>IF($B399="","",YEAR($B399))</f>
        <v/>
      </c>
    </row>
    <row r="400">
      <c r="B400" s="105" t="n"/>
      <c r="C400" s="54" t="n"/>
      <c r="D400" s="54" t="n"/>
      <c r="E400" s="54" t="n"/>
      <c r="F400" s="54" t="n"/>
      <c r="G400" s="65" t="n"/>
      <c r="H400" s="54" t="n"/>
      <c r="I400" s="106">
        <f>IF($C400="","",IFERROR(INDEX(Sens_Types,MATCH($C400,Liste_Types,0)),""))</f>
        <v/>
      </c>
      <c r="J400" s="107">
        <f>IF($I400="▲ ENTRÉE",$U400,"")</f>
        <v/>
      </c>
      <c r="K400" s="108">
        <f>IF($I400="▼ SORTIE",$U400,"")</f>
        <v/>
      </c>
      <c r="L400" s="109">
        <f>$L399+N($J400)-N($K400)</f>
        <v/>
      </c>
      <c r="M400" s="110" t="n"/>
      <c r="N400" s="54" t="n"/>
      <c r="O400" s="54" t="n"/>
      <c r="P400" s="54" t="n"/>
      <c r="Q400" s="110" t="n"/>
      <c r="R400" s="110" t="n"/>
      <c r="S400" s="54" t="n"/>
      <c r="T400" s="111">
        <f>IF($G400="","",IFERROR(INDEX(Taux_Devises,MATCH(IF($M400="",Devise_Base,$M400),Codes_Devises,0)),1))</f>
        <v/>
      </c>
      <c r="U400" s="112">
        <f>IF($G400="","",ROUND($G400*$T400,2))</f>
        <v/>
      </c>
      <c r="V400" s="113">
        <f>IF($B400="","",MONTH($B400))</f>
        <v/>
      </c>
      <c r="W400" s="113">
        <f>IF($B400="","",YEAR($B400))</f>
        <v/>
      </c>
    </row>
    <row r="401">
      <c r="B401" s="105" t="n"/>
      <c r="C401" s="54" t="n"/>
      <c r="D401" s="54" t="n"/>
      <c r="E401" s="54" t="n"/>
      <c r="F401" s="54" t="n"/>
      <c r="G401" s="65" t="n"/>
      <c r="H401" s="54" t="n"/>
      <c r="I401" s="106">
        <f>IF($C401="","",IFERROR(INDEX(Sens_Types,MATCH($C401,Liste_Types,0)),""))</f>
        <v/>
      </c>
      <c r="J401" s="107">
        <f>IF($I401="▲ ENTRÉE",$U401,"")</f>
        <v/>
      </c>
      <c r="K401" s="108">
        <f>IF($I401="▼ SORTIE",$U401,"")</f>
        <v/>
      </c>
      <c r="L401" s="109">
        <f>$L400+N($J401)-N($K401)</f>
        <v/>
      </c>
      <c r="M401" s="110" t="n"/>
      <c r="N401" s="54" t="n"/>
      <c r="O401" s="54" t="n"/>
      <c r="P401" s="54" t="n"/>
      <c r="Q401" s="110" t="n"/>
      <c r="R401" s="110" t="n"/>
      <c r="S401" s="54" t="n"/>
      <c r="T401" s="111">
        <f>IF($G401="","",IFERROR(INDEX(Taux_Devises,MATCH(IF($M401="",Devise_Base,$M401),Codes_Devises,0)),1))</f>
        <v/>
      </c>
      <c r="U401" s="112">
        <f>IF($G401="","",ROUND($G401*$T401,2))</f>
        <v/>
      </c>
      <c r="V401" s="113">
        <f>IF($B401="","",MONTH($B401))</f>
        <v/>
      </c>
      <c r="W401" s="113">
        <f>IF($B401="","",YEAR($B401))</f>
        <v/>
      </c>
    </row>
    <row r="402">
      <c r="B402" s="105" t="n"/>
      <c r="C402" s="54" t="n"/>
      <c r="D402" s="54" t="n"/>
      <c r="E402" s="54" t="n"/>
      <c r="F402" s="54" t="n"/>
      <c r="G402" s="65" t="n"/>
      <c r="H402" s="54" t="n"/>
      <c r="I402" s="106">
        <f>IF($C402="","",IFERROR(INDEX(Sens_Types,MATCH($C402,Liste_Types,0)),""))</f>
        <v/>
      </c>
      <c r="J402" s="107">
        <f>IF($I402="▲ ENTRÉE",$U402,"")</f>
        <v/>
      </c>
      <c r="K402" s="108">
        <f>IF($I402="▼ SORTIE",$U402,"")</f>
        <v/>
      </c>
      <c r="L402" s="109">
        <f>$L401+N($J402)-N($K402)</f>
        <v/>
      </c>
      <c r="M402" s="110" t="n"/>
      <c r="N402" s="54" t="n"/>
      <c r="O402" s="54" t="n"/>
      <c r="P402" s="54" t="n"/>
      <c r="Q402" s="110" t="n"/>
      <c r="R402" s="110" t="n"/>
      <c r="S402" s="54" t="n"/>
      <c r="T402" s="111">
        <f>IF($G402="","",IFERROR(INDEX(Taux_Devises,MATCH(IF($M402="",Devise_Base,$M402),Codes_Devises,0)),1))</f>
        <v/>
      </c>
      <c r="U402" s="112">
        <f>IF($G402="","",ROUND($G402*$T402,2))</f>
        <v/>
      </c>
      <c r="V402" s="113">
        <f>IF($B402="","",MONTH($B402))</f>
        <v/>
      </c>
      <c r="W402" s="113">
        <f>IF($B402="","",YEAR($B402))</f>
        <v/>
      </c>
    </row>
    <row r="403">
      <c r="B403" s="105" t="n"/>
      <c r="C403" s="54" t="n"/>
      <c r="D403" s="54" t="n"/>
      <c r="E403" s="54" t="n"/>
      <c r="F403" s="54" t="n"/>
      <c r="G403" s="65" t="n"/>
      <c r="H403" s="54" t="n"/>
      <c r="I403" s="106">
        <f>IF($C403="","",IFERROR(INDEX(Sens_Types,MATCH($C403,Liste_Types,0)),""))</f>
        <v/>
      </c>
      <c r="J403" s="107">
        <f>IF($I403="▲ ENTRÉE",$U403,"")</f>
        <v/>
      </c>
      <c r="K403" s="108">
        <f>IF($I403="▼ SORTIE",$U403,"")</f>
        <v/>
      </c>
      <c r="L403" s="109">
        <f>$L402+N($J403)-N($K403)</f>
        <v/>
      </c>
      <c r="M403" s="110" t="n"/>
      <c r="N403" s="54" t="n"/>
      <c r="O403" s="54" t="n"/>
      <c r="P403" s="54" t="n"/>
      <c r="Q403" s="110" t="n"/>
      <c r="R403" s="110" t="n"/>
      <c r="S403" s="54" t="n"/>
      <c r="T403" s="111">
        <f>IF($G403="","",IFERROR(INDEX(Taux_Devises,MATCH(IF($M403="",Devise_Base,$M403),Codes_Devises,0)),1))</f>
        <v/>
      </c>
      <c r="U403" s="112">
        <f>IF($G403="","",ROUND($G403*$T403,2))</f>
        <v/>
      </c>
      <c r="V403" s="113">
        <f>IF($B403="","",MONTH($B403))</f>
        <v/>
      </c>
      <c r="W403" s="113">
        <f>IF($B403="","",YEAR($B403))</f>
        <v/>
      </c>
    </row>
    <row r="404">
      <c r="B404" s="105" t="n"/>
      <c r="C404" s="54" t="n"/>
      <c r="D404" s="54" t="n"/>
      <c r="E404" s="54" t="n"/>
      <c r="F404" s="54" t="n"/>
      <c r="G404" s="65" t="n"/>
      <c r="H404" s="54" t="n"/>
      <c r="I404" s="106">
        <f>IF($C404="","",IFERROR(INDEX(Sens_Types,MATCH($C404,Liste_Types,0)),""))</f>
        <v/>
      </c>
      <c r="J404" s="107">
        <f>IF($I404="▲ ENTRÉE",$U404,"")</f>
        <v/>
      </c>
      <c r="K404" s="108">
        <f>IF($I404="▼ SORTIE",$U404,"")</f>
        <v/>
      </c>
      <c r="L404" s="109">
        <f>$L403+N($J404)-N($K404)</f>
        <v/>
      </c>
      <c r="M404" s="110" t="n"/>
      <c r="N404" s="54" t="n"/>
      <c r="O404" s="54" t="n"/>
      <c r="P404" s="54" t="n"/>
      <c r="Q404" s="110" t="n"/>
      <c r="R404" s="110" t="n"/>
      <c r="S404" s="54" t="n"/>
      <c r="T404" s="111">
        <f>IF($G404="","",IFERROR(INDEX(Taux_Devises,MATCH(IF($M404="",Devise_Base,$M404),Codes_Devises,0)),1))</f>
        <v/>
      </c>
      <c r="U404" s="112">
        <f>IF($G404="","",ROUND($G404*$T404,2))</f>
        <v/>
      </c>
      <c r="V404" s="113">
        <f>IF($B404="","",MONTH($B404))</f>
        <v/>
      </c>
      <c r="W404" s="113">
        <f>IF($B404="","",YEAR($B404))</f>
        <v/>
      </c>
    </row>
    <row r="405">
      <c r="B405" s="105" t="n"/>
      <c r="C405" s="54" t="n"/>
      <c r="D405" s="54" t="n"/>
      <c r="E405" s="54" t="n"/>
      <c r="F405" s="54" t="n"/>
      <c r="G405" s="65" t="n"/>
      <c r="H405" s="54" t="n"/>
      <c r="I405" s="106">
        <f>IF($C405="","",IFERROR(INDEX(Sens_Types,MATCH($C405,Liste_Types,0)),""))</f>
        <v/>
      </c>
      <c r="J405" s="107">
        <f>IF($I405="▲ ENTRÉE",$U405,"")</f>
        <v/>
      </c>
      <c r="K405" s="108">
        <f>IF($I405="▼ SORTIE",$U405,"")</f>
        <v/>
      </c>
      <c r="L405" s="109">
        <f>$L404+N($J405)-N($K405)</f>
        <v/>
      </c>
      <c r="M405" s="110" t="n"/>
      <c r="N405" s="54" t="n"/>
      <c r="O405" s="54" t="n"/>
      <c r="P405" s="54" t="n"/>
      <c r="Q405" s="110" t="n"/>
      <c r="R405" s="110" t="n"/>
      <c r="S405" s="54" t="n"/>
      <c r="T405" s="111">
        <f>IF($G405="","",IFERROR(INDEX(Taux_Devises,MATCH(IF($M405="",Devise_Base,$M405),Codes_Devises,0)),1))</f>
        <v/>
      </c>
      <c r="U405" s="112">
        <f>IF($G405="","",ROUND($G405*$T405,2))</f>
        <v/>
      </c>
      <c r="V405" s="113">
        <f>IF($B405="","",MONTH($B405))</f>
        <v/>
      </c>
      <c r="W405" s="113">
        <f>IF($B405="","",YEAR($B405))</f>
        <v/>
      </c>
    </row>
    <row r="406">
      <c r="B406" s="105" t="n"/>
      <c r="C406" s="54" t="n"/>
      <c r="D406" s="54" t="n"/>
      <c r="E406" s="54" t="n"/>
      <c r="F406" s="54" t="n"/>
      <c r="G406" s="65" t="n"/>
      <c r="H406" s="54" t="n"/>
      <c r="I406" s="106">
        <f>IF($C406="","",IFERROR(INDEX(Sens_Types,MATCH($C406,Liste_Types,0)),""))</f>
        <v/>
      </c>
      <c r="J406" s="107">
        <f>IF($I406="▲ ENTRÉE",$U406,"")</f>
        <v/>
      </c>
      <c r="K406" s="108">
        <f>IF($I406="▼ SORTIE",$U406,"")</f>
        <v/>
      </c>
      <c r="L406" s="109">
        <f>$L405+N($J406)-N($K406)</f>
        <v/>
      </c>
      <c r="M406" s="110" t="n"/>
      <c r="N406" s="54" t="n"/>
      <c r="O406" s="54" t="n"/>
      <c r="P406" s="54" t="n"/>
      <c r="Q406" s="110" t="n"/>
      <c r="R406" s="110" t="n"/>
      <c r="S406" s="54" t="n"/>
      <c r="T406" s="111">
        <f>IF($G406="","",IFERROR(INDEX(Taux_Devises,MATCH(IF($M406="",Devise_Base,$M406),Codes_Devises,0)),1))</f>
        <v/>
      </c>
      <c r="U406" s="112">
        <f>IF($G406="","",ROUND($G406*$T406,2))</f>
        <v/>
      </c>
      <c r="V406" s="113">
        <f>IF($B406="","",MONTH($B406))</f>
        <v/>
      </c>
      <c r="W406" s="113">
        <f>IF($B406="","",YEAR($B406))</f>
        <v/>
      </c>
    </row>
    <row r="407">
      <c r="B407" s="105" t="n"/>
      <c r="C407" s="54" t="n"/>
      <c r="D407" s="54" t="n"/>
      <c r="E407" s="54" t="n"/>
      <c r="F407" s="54" t="n"/>
      <c r="G407" s="65" t="n"/>
      <c r="H407" s="54" t="n"/>
      <c r="I407" s="106">
        <f>IF($C407="","",IFERROR(INDEX(Sens_Types,MATCH($C407,Liste_Types,0)),""))</f>
        <v/>
      </c>
      <c r="J407" s="107">
        <f>IF($I407="▲ ENTRÉE",$U407,"")</f>
        <v/>
      </c>
      <c r="K407" s="108">
        <f>IF($I407="▼ SORTIE",$U407,"")</f>
        <v/>
      </c>
      <c r="L407" s="109">
        <f>$L406+N($J407)-N($K407)</f>
        <v/>
      </c>
      <c r="M407" s="110" t="n"/>
      <c r="N407" s="54" t="n"/>
      <c r="O407" s="54" t="n"/>
      <c r="P407" s="54" t="n"/>
      <c r="Q407" s="110" t="n"/>
      <c r="R407" s="110" t="n"/>
      <c r="S407" s="54" t="n"/>
      <c r="T407" s="111">
        <f>IF($G407="","",IFERROR(INDEX(Taux_Devises,MATCH(IF($M407="",Devise_Base,$M407),Codes_Devises,0)),1))</f>
        <v/>
      </c>
      <c r="U407" s="112">
        <f>IF($G407="","",ROUND($G407*$T407,2))</f>
        <v/>
      </c>
      <c r="V407" s="113">
        <f>IF($B407="","",MONTH($B407))</f>
        <v/>
      </c>
      <c r="W407" s="113">
        <f>IF($B407="","",YEAR($B407))</f>
        <v/>
      </c>
    </row>
    <row r="408">
      <c r="B408" s="105" t="n"/>
      <c r="C408" s="54" t="n"/>
      <c r="D408" s="54" t="n"/>
      <c r="E408" s="54" t="n"/>
      <c r="F408" s="54" t="n"/>
      <c r="G408" s="65" t="n"/>
      <c r="H408" s="54" t="n"/>
      <c r="I408" s="106">
        <f>IF($C408="","",IFERROR(INDEX(Sens_Types,MATCH($C408,Liste_Types,0)),""))</f>
        <v/>
      </c>
      <c r="J408" s="107">
        <f>IF($I408="▲ ENTRÉE",$U408,"")</f>
        <v/>
      </c>
      <c r="K408" s="108">
        <f>IF($I408="▼ SORTIE",$U408,"")</f>
        <v/>
      </c>
      <c r="L408" s="109">
        <f>$L407+N($J408)-N($K408)</f>
        <v/>
      </c>
      <c r="M408" s="110" t="n"/>
      <c r="N408" s="54" t="n"/>
      <c r="O408" s="54" t="n"/>
      <c r="P408" s="54" t="n"/>
      <c r="Q408" s="110" t="n"/>
      <c r="R408" s="110" t="n"/>
      <c r="S408" s="54" t="n"/>
      <c r="T408" s="111">
        <f>IF($G408="","",IFERROR(INDEX(Taux_Devises,MATCH(IF($M408="",Devise_Base,$M408),Codes_Devises,0)),1))</f>
        <v/>
      </c>
      <c r="U408" s="112">
        <f>IF($G408="","",ROUND($G408*$T408,2))</f>
        <v/>
      </c>
      <c r="V408" s="113">
        <f>IF($B408="","",MONTH($B408))</f>
        <v/>
      </c>
      <c r="W408" s="113">
        <f>IF($B408="","",YEAR($B408))</f>
        <v/>
      </c>
    </row>
    <row r="409">
      <c r="B409" s="105" t="n"/>
      <c r="C409" s="54" t="n"/>
      <c r="D409" s="54" t="n"/>
      <c r="E409" s="54" t="n"/>
      <c r="F409" s="54" t="n"/>
      <c r="G409" s="65" t="n"/>
      <c r="H409" s="54" t="n"/>
      <c r="I409" s="106">
        <f>IF($C409="","",IFERROR(INDEX(Sens_Types,MATCH($C409,Liste_Types,0)),""))</f>
        <v/>
      </c>
      <c r="J409" s="107">
        <f>IF($I409="▲ ENTRÉE",$U409,"")</f>
        <v/>
      </c>
      <c r="K409" s="108">
        <f>IF($I409="▼ SORTIE",$U409,"")</f>
        <v/>
      </c>
      <c r="L409" s="109">
        <f>$L408+N($J409)-N($K409)</f>
        <v/>
      </c>
      <c r="M409" s="110" t="n"/>
      <c r="N409" s="54" t="n"/>
      <c r="O409" s="54" t="n"/>
      <c r="P409" s="54" t="n"/>
      <c r="Q409" s="110" t="n"/>
      <c r="R409" s="110" t="n"/>
      <c r="S409" s="54" t="n"/>
      <c r="T409" s="111">
        <f>IF($G409="","",IFERROR(INDEX(Taux_Devises,MATCH(IF($M409="",Devise_Base,$M409),Codes_Devises,0)),1))</f>
        <v/>
      </c>
      <c r="U409" s="112">
        <f>IF($G409="","",ROUND($G409*$T409,2))</f>
        <v/>
      </c>
      <c r="V409" s="113">
        <f>IF($B409="","",MONTH($B409))</f>
        <v/>
      </c>
      <c r="W409" s="113">
        <f>IF($B409="","",YEAR($B409))</f>
        <v/>
      </c>
    </row>
    <row r="410">
      <c r="B410" s="105" t="n"/>
      <c r="C410" s="54" t="n"/>
      <c r="D410" s="54" t="n"/>
      <c r="E410" s="54" t="n"/>
      <c r="F410" s="54" t="n"/>
      <c r="G410" s="65" t="n"/>
      <c r="H410" s="54" t="n"/>
      <c r="I410" s="106">
        <f>IF($C410="","",IFERROR(INDEX(Sens_Types,MATCH($C410,Liste_Types,0)),""))</f>
        <v/>
      </c>
      <c r="J410" s="107">
        <f>IF($I410="▲ ENTRÉE",$U410,"")</f>
        <v/>
      </c>
      <c r="K410" s="108">
        <f>IF($I410="▼ SORTIE",$U410,"")</f>
        <v/>
      </c>
      <c r="L410" s="109">
        <f>$L409+N($J410)-N($K410)</f>
        <v/>
      </c>
      <c r="M410" s="110" t="n"/>
      <c r="N410" s="54" t="n"/>
      <c r="O410" s="54" t="n"/>
      <c r="P410" s="54" t="n"/>
      <c r="Q410" s="110" t="n"/>
      <c r="R410" s="110" t="n"/>
      <c r="S410" s="54" t="n"/>
      <c r="T410" s="111">
        <f>IF($G410="","",IFERROR(INDEX(Taux_Devises,MATCH(IF($M410="",Devise_Base,$M410),Codes_Devises,0)),1))</f>
        <v/>
      </c>
      <c r="U410" s="112">
        <f>IF($G410="","",ROUND($G410*$T410,2))</f>
        <v/>
      </c>
      <c r="V410" s="113">
        <f>IF($B410="","",MONTH($B410))</f>
        <v/>
      </c>
      <c r="W410" s="113">
        <f>IF($B410="","",YEAR($B410))</f>
        <v/>
      </c>
    </row>
    <row r="411">
      <c r="B411" s="105" t="n"/>
      <c r="C411" s="54" t="n"/>
      <c r="D411" s="54" t="n"/>
      <c r="E411" s="54" t="n"/>
      <c r="F411" s="54" t="n"/>
      <c r="G411" s="65" t="n"/>
      <c r="H411" s="54" t="n"/>
      <c r="I411" s="106">
        <f>IF($C411="","",IFERROR(INDEX(Sens_Types,MATCH($C411,Liste_Types,0)),""))</f>
        <v/>
      </c>
      <c r="J411" s="107">
        <f>IF($I411="▲ ENTRÉE",$U411,"")</f>
        <v/>
      </c>
      <c r="K411" s="108">
        <f>IF($I411="▼ SORTIE",$U411,"")</f>
        <v/>
      </c>
      <c r="L411" s="109">
        <f>$L410+N($J411)-N($K411)</f>
        <v/>
      </c>
      <c r="M411" s="110" t="n"/>
      <c r="N411" s="54" t="n"/>
      <c r="O411" s="54" t="n"/>
      <c r="P411" s="54" t="n"/>
      <c r="Q411" s="110" t="n"/>
      <c r="R411" s="110" t="n"/>
      <c r="S411" s="54" t="n"/>
      <c r="T411" s="111">
        <f>IF($G411="","",IFERROR(INDEX(Taux_Devises,MATCH(IF($M411="",Devise_Base,$M411),Codes_Devises,0)),1))</f>
        <v/>
      </c>
      <c r="U411" s="112">
        <f>IF($G411="","",ROUND($G411*$T411,2))</f>
        <v/>
      </c>
      <c r="V411" s="113">
        <f>IF($B411="","",MONTH($B411))</f>
        <v/>
      </c>
      <c r="W411" s="113">
        <f>IF($B411="","",YEAR($B411))</f>
        <v/>
      </c>
    </row>
    <row r="412">
      <c r="B412" s="105" t="n"/>
      <c r="C412" s="54" t="n"/>
      <c r="D412" s="54" t="n"/>
      <c r="E412" s="54" t="n"/>
      <c r="F412" s="54" t="n"/>
      <c r="G412" s="65" t="n"/>
      <c r="H412" s="54" t="n"/>
      <c r="I412" s="106">
        <f>IF($C412="","",IFERROR(INDEX(Sens_Types,MATCH($C412,Liste_Types,0)),""))</f>
        <v/>
      </c>
      <c r="J412" s="107">
        <f>IF($I412="▲ ENTRÉE",$U412,"")</f>
        <v/>
      </c>
      <c r="K412" s="108">
        <f>IF($I412="▼ SORTIE",$U412,"")</f>
        <v/>
      </c>
      <c r="L412" s="109">
        <f>$L411+N($J412)-N($K412)</f>
        <v/>
      </c>
      <c r="M412" s="110" t="n"/>
      <c r="N412" s="54" t="n"/>
      <c r="O412" s="54" t="n"/>
      <c r="P412" s="54" t="n"/>
      <c r="Q412" s="110" t="n"/>
      <c r="R412" s="110" t="n"/>
      <c r="S412" s="54" t="n"/>
      <c r="T412" s="111">
        <f>IF($G412="","",IFERROR(INDEX(Taux_Devises,MATCH(IF($M412="",Devise_Base,$M412),Codes_Devises,0)),1))</f>
        <v/>
      </c>
      <c r="U412" s="112">
        <f>IF($G412="","",ROUND($G412*$T412,2))</f>
        <v/>
      </c>
      <c r="V412" s="113">
        <f>IF($B412="","",MONTH($B412))</f>
        <v/>
      </c>
      <c r="W412" s="113">
        <f>IF($B412="","",YEAR($B412))</f>
        <v/>
      </c>
    </row>
    <row r="413">
      <c r="B413" s="105" t="n"/>
      <c r="C413" s="54" t="n"/>
      <c r="D413" s="54" t="n"/>
      <c r="E413" s="54" t="n"/>
      <c r="F413" s="54" t="n"/>
      <c r="G413" s="65" t="n"/>
      <c r="H413" s="54" t="n"/>
      <c r="I413" s="106">
        <f>IF($C413="","",IFERROR(INDEX(Sens_Types,MATCH($C413,Liste_Types,0)),""))</f>
        <v/>
      </c>
      <c r="J413" s="107">
        <f>IF($I413="▲ ENTRÉE",$U413,"")</f>
        <v/>
      </c>
      <c r="K413" s="108">
        <f>IF($I413="▼ SORTIE",$U413,"")</f>
        <v/>
      </c>
      <c r="L413" s="109">
        <f>$L412+N($J413)-N($K413)</f>
        <v/>
      </c>
      <c r="M413" s="110" t="n"/>
      <c r="N413" s="54" t="n"/>
      <c r="O413" s="54" t="n"/>
      <c r="P413" s="54" t="n"/>
      <c r="Q413" s="110" t="n"/>
      <c r="R413" s="110" t="n"/>
      <c r="S413" s="54" t="n"/>
      <c r="T413" s="111">
        <f>IF($G413="","",IFERROR(INDEX(Taux_Devises,MATCH(IF($M413="",Devise_Base,$M413),Codes_Devises,0)),1))</f>
        <v/>
      </c>
      <c r="U413" s="112">
        <f>IF($G413="","",ROUND($G413*$T413,2))</f>
        <v/>
      </c>
      <c r="V413" s="113">
        <f>IF($B413="","",MONTH($B413))</f>
        <v/>
      </c>
      <c r="W413" s="113">
        <f>IF($B413="","",YEAR($B413))</f>
        <v/>
      </c>
    </row>
    <row r="414">
      <c r="B414" s="105" t="n"/>
      <c r="C414" s="54" t="n"/>
      <c r="D414" s="54" t="n"/>
      <c r="E414" s="54" t="n"/>
      <c r="F414" s="54" t="n"/>
      <c r="G414" s="65" t="n"/>
      <c r="H414" s="54" t="n"/>
      <c r="I414" s="106">
        <f>IF($C414="","",IFERROR(INDEX(Sens_Types,MATCH($C414,Liste_Types,0)),""))</f>
        <v/>
      </c>
      <c r="J414" s="107">
        <f>IF($I414="▲ ENTRÉE",$U414,"")</f>
        <v/>
      </c>
      <c r="K414" s="108">
        <f>IF($I414="▼ SORTIE",$U414,"")</f>
        <v/>
      </c>
      <c r="L414" s="109">
        <f>$L413+N($J414)-N($K414)</f>
        <v/>
      </c>
      <c r="M414" s="110" t="n"/>
      <c r="N414" s="54" t="n"/>
      <c r="O414" s="54" t="n"/>
      <c r="P414" s="54" t="n"/>
      <c r="Q414" s="110" t="n"/>
      <c r="R414" s="110" t="n"/>
      <c r="S414" s="54" t="n"/>
      <c r="T414" s="111">
        <f>IF($G414="","",IFERROR(INDEX(Taux_Devises,MATCH(IF($M414="",Devise_Base,$M414),Codes_Devises,0)),1))</f>
        <v/>
      </c>
      <c r="U414" s="112">
        <f>IF($G414="","",ROUND($G414*$T414,2))</f>
        <v/>
      </c>
      <c r="V414" s="113">
        <f>IF($B414="","",MONTH($B414))</f>
        <v/>
      </c>
      <c r="W414" s="113">
        <f>IF($B414="","",YEAR($B414))</f>
        <v/>
      </c>
    </row>
    <row r="415">
      <c r="B415" s="105" t="n"/>
      <c r="C415" s="54" t="n"/>
      <c r="D415" s="54" t="n"/>
      <c r="E415" s="54" t="n"/>
      <c r="F415" s="54" t="n"/>
      <c r="G415" s="65" t="n"/>
      <c r="H415" s="54" t="n"/>
      <c r="I415" s="106">
        <f>IF($C415="","",IFERROR(INDEX(Sens_Types,MATCH($C415,Liste_Types,0)),""))</f>
        <v/>
      </c>
      <c r="J415" s="107">
        <f>IF($I415="▲ ENTRÉE",$U415,"")</f>
        <v/>
      </c>
      <c r="K415" s="108">
        <f>IF($I415="▼ SORTIE",$U415,"")</f>
        <v/>
      </c>
      <c r="L415" s="109">
        <f>$L414+N($J415)-N($K415)</f>
        <v/>
      </c>
      <c r="M415" s="110" t="n"/>
      <c r="N415" s="54" t="n"/>
      <c r="O415" s="54" t="n"/>
      <c r="P415" s="54" t="n"/>
      <c r="Q415" s="110" t="n"/>
      <c r="R415" s="110" t="n"/>
      <c r="S415" s="54" t="n"/>
      <c r="T415" s="111">
        <f>IF($G415="","",IFERROR(INDEX(Taux_Devises,MATCH(IF($M415="",Devise_Base,$M415),Codes_Devises,0)),1))</f>
        <v/>
      </c>
      <c r="U415" s="112">
        <f>IF($G415="","",ROUND($G415*$T415,2))</f>
        <v/>
      </c>
      <c r="V415" s="113">
        <f>IF($B415="","",MONTH($B415))</f>
        <v/>
      </c>
      <c r="W415" s="113">
        <f>IF($B415="","",YEAR($B415))</f>
        <v/>
      </c>
    </row>
    <row r="416">
      <c r="B416" s="105" t="n"/>
      <c r="C416" s="54" t="n"/>
      <c r="D416" s="54" t="n"/>
      <c r="E416" s="54" t="n"/>
      <c r="F416" s="54" t="n"/>
      <c r="G416" s="65" t="n"/>
      <c r="H416" s="54" t="n"/>
      <c r="I416" s="106">
        <f>IF($C416="","",IFERROR(INDEX(Sens_Types,MATCH($C416,Liste_Types,0)),""))</f>
        <v/>
      </c>
      <c r="J416" s="107">
        <f>IF($I416="▲ ENTRÉE",$U416,"")</f>
        <v/>
      </c>
      <c r="K416" s="108">
        <f>IF($I416="▼ SORTIE",$U416,"")</f>
        <v/>
      </c>
      <c r="L416" s="109">
        <f>$L415+N($J416)-N($K416)</f>
        <v/>
      </c>
      <c r="M416" s="110" t="n"/>
      <c r="N416" s="54" t="n"/>
      <c r="O416" s="54" t="n"/>
      <c r="P416" s="54" t="n"/>
      <c r="Q416" s="110" t="n"/>
      <c r="R416" s="110" t="n"/>
      <c r="S416" s="54" t="n"/>
      <c r="T416" s="111">
        <f>IF($G416="","",IFERROR(INDEX(Taux_Devises,MATCH(IF($M416="",Devise_Base,$M416),Codes_Devises,0)),1))</f>
        <v/>
      </c>
      <c r="U416" s="112">
        <f>IF($G416="","",ROUND($G416*$T416,2))</f>
        <v/>
      </c>
      <c r="V416" s="113">
        <f>IF($B416="","",MONTH($B416))</f>
        <v/>
      </c>
      <c r="W416" s="113">
        <f>IF($B416="","",YEAR($B416))</f>
        <v/>
      </c>
    </row>
    <row r="417">
      <c r="B417" s="105" t="n"/>
      <c r="C417" s="54" t="n"/>
      <c r="D417" s="54" t="n"/>
      <c r="E417" s="54" t="n"/>
      <c r="F417" s="54" t="n"/>
      <c r="G417" s="65" t="n"/>
      <c r="H417" s="54" t="n"/>
      <c r="I417" s="106">
        <f>IF($C417="","",IFERROR(INDEX(Sens_Types,MATCH($C417,Liste_Types,0)),""))</f>
        <v/>
      </c>
      <c r="J417" s="107">
        <f>IF($I417="▲ ENTRÉE",$U417,"")</f>
        <v/>
      </c>
      <c r="K417" s="108">
        <f>IF($I417="▼ SORTIE",$U417,"")</f>
        <v/>
      </c>
      <c r="L417" s="109">
        <f>$L416+N($J417)-N($K417)</f>
        <v/>
      </c>
      <c r="M417" s="110" t="n"/>
      <c r="N417" s="54" t="n"/>
      <c r="O417" s="54" t="n"/>
      <c r="P417" s="54" t="n"/>
      <c r="Q417" s="110" t="n"/>
      <c r="R417" s="110" t="n"/>
      <c r="S417" s="54" t="n"/>
      <c r="T417" s="111">
        <f>IF($G417="","",IFERROR(INDEX(Taux_Devises,MATCH(IF($M417="",Devise_Base,$M417),Codes_Devises,0)),1))</f>
        <v/>
      </c>
      <c r="U417" s="112">
        <f>IF($G417="","",ROUND($G417*$T417,2))</f>
        <v/>
      </c>
      <c r="V417" s="113">
        <f>IF($B417="","",MONTH($B417))</f>
        <v/>
      </c>
      <c r="W417" s="113">
        <f>IF($B417="","",YEAR($B417))</f>
        <v/>
      </c>
    </row>
    <row r="418">
      <c r="B418" s="105" t="n"/>
      <c r="C418" s="54" t="n"/>
      <c r="D418" s="54" t="n"/>
      <c r="E418" s="54" t="n"/>
      <c r="F418" s="54" t="n"/>
      <c r="G418" s="65" t="n"/>
      <c r="H418" s="54" t="n"/>
      <c r="I418" s="106">
        <f>IF($C418="","",IFERROR(INDEX(Sens_Types,MATCH($C418,Liste_Types,0)),""))</f>
        <v/>
      </c>
      <c r="J418" s="107">
        <f>IF($I418="▲ ENTRÉE",$U418,"")</f>
        <v/>
      </c>
      <c r="K418" s="108">
        <f>IF($I418="▼ SORTIE",$U418,"")</f>
        <v/>
      </c>
      <c r="L418" s="109">
        <f>$L417+N($J418)-N($K418)</f>
        <v/>
      </c>
      <c r="M418" s="110" t="n"/>
      <c r="N418" s="54" t="n"/>
      <c r="O418" s="54" t="n"/>
      <c r="P418" s="54" t="n"/>
      <c r="Q418" s="110" t="n"/>
      <c r="R418" s="110" t="n"/>
      <c r="S418" s="54" t="n"/>
      <c r="T418" s="111">
        <f>IF($G418="","",IFERROR(INDEX(Taux_Devises,MATCH(IF($M418="",Devise_Base,$M418),Codes_Devises,0)),1))</f>
        <v/>
      </c>
      <c r="U418" s="112">
        <f>IF($G418="","",ROUND($G418*$T418,2))</f>
        <v/>
      </c>
      <c r="V418" s="113">
        <f>IF($B418="","",MONTH($B418))</f>
        <v/>
      </c>
      <c r="W418" s="113">
        <f>IF($B418="","",YEAR($B418))</f>
        <v/>
      </c>
    </row>
    <row r="419">
      <c r="B419" s="105" t="n"/>
      <c r="C419" s="54" t="n"/>
      <c r="D419" s="54" t="n"/>
      <c r="E419" s="54" t="n"/>
      <c r="F419" s="54" t="n"/>
      <c r="G419" s="65" t="n"/>
      <c r="H419" s="54" t="n"/>
      <c r="I419" s="106">
        <f>IF($C419="","",IFERROR(INDEX(Sens_Types,MATCH($C419,Liste_Types,0)),""))</f>
        <v/>
      </c>
      <c r="J419" s="107">
        <f>IF($I419="▲ ENTRÉE",$U419,"")</f>
        <v/>
      </c>
      <c r="K419" s="108">
        <f>IF($I419="▼ SORTIE",$U419,"")</f>
        <v/>
      </c>
      <c r="L419" s="109">
        <f>$L418+N($J419)-N($K419)</f>
        <v/>
      </c>
      <c r="M419" s="110" t="n"/>
      <c r="N419" s="54" t="n"/>
      <c r="O419" s="54" t="n"/>
      <c r="P419" s="54" t="n"/>
      <c r="Q419" s="110" t="n"/>
      <c r="R419" s="110" t="n"/>
      <c r="S419" s="54" t="n"/>
      <c r="T419" s="111">
        <f>IF($G419="","",IFERROR(INDEX(Taux_Devises,MATCH(IF($M419="",Devise_Base,$M419),Codes_Devises,0)),1))</f>
        <v/>
      </c>
      <c r="U419" s="112">
        <f>IF($G419="","",ROUND($G419*$T419,2))</f>
        <v/>
      </c>
      <c r="V419" s="113">
        <f>IF($B419="","",MONTH($B419))</f>
        <v/>
      </c>
      <c r="W419" s="113">
        <f>IF($B419="","",YEAR($B419))</f>
        <v/>
      </c>
    </row>
    <row r="420">
      <c r="B420" s="105" t="n"/>
      <c r="C420" s="54" t="n"/>
      <c r="D420" s="54" t="n"/>
      <c r="E420" s="54" t="n"/>
      <c r="F420" s="54" t="n"/>
      <c r="G420" s="65" t="n"/>
      <c r="H420" s="54" t="n"/>
      <c r="I420" s="106">
        <f>IF($C420="","",IFERROR(INDEX(Sens_Types,MATCH($C420,Liste_Types,0)),""))</f>
        <v/>
      </c>
      <c r="J420" s="107">
        <f>IF($I420="▲ ENTRÉE",$U420,"")</f>
        <v/>
      </c>
      <c r="K420" s="108">
        <f>IF($I420="▼ SORTIE",$U420,"")</f>
        <v/>
      </c>
      <c r="L420" s="109">
        <f>$L419+N($J420)-N($K420)</f>
        <v/>
      </c>
      <c r="M420" s="110" t="n"/>
      <c r="N420" s="54" t="n"/>
      <c r="O420" s="54" t="n"/>
      <c r="P420" s="54" t="n"/>
      <c r="Q420" s="110" t="n"/>
      <c r="R420" s="110" t="n"/>
      <c r="S420" s="54" t="n"/>
      <c r="T420" s="111">
        <f>IF($G420="","",IFERROR(INDEX(Taux_Devises,MATCH(IF($M420="",Devise_Base,$M420),Codes_Devises,0)),1))</f>
        <v/>
      </c>
      <c r="U420" s="112">
        <f>IF($G420="","",ROUND($G420*$T420,2))</f>
        <v/>
      </c>
      <c r="V420" s="113">
        <f>IF($B420="","",MONTH($B420))</f>
        <v/>
      </c>
      <c r="W420" s="113">
        <f>IF($B420="","",YEAR($B420))</f>
        <v/>
      </c>
    </row>
    <row r="421">
      <c r="B421" s="105" t="n"/>
      <c r="C421" s="54" t="n"/>
      <c r="D421" s="54" t="n"/>
      <c r="E421" s="54" t="n"/>
      <c r="F421" s="54" t="n"/>
      <c r="G421" s="65" t="n"/>
      <c r="H421" s="54" t="n"/>
      <c r="I421" s="106">
        <f>IF($C421="","",IFERROR(INDEX(Sens_Types,MATCH($C421,Liste_Types,0)),""))</f>
        <v/>
      </c>
      <c r="J421" s="107">
        <f>IF($I421="▲ ENTRÉE",$U421,"")</f>
        <v/>
      </c>
      <c r="K421" s="108">
        <f>IF($I421="▼ SORTIE",$U421,"")</f>
        <v/>
      </c>
      <c r="L421" s="109">
        <f>$L420+N($J421)-N($K421)</f>
        <v/>
      </c>
      <c r="M421" s="110" t="n"/>
      <c r="N421" s="54" t="n"/>
      <c r="O421" s="54" t="n"/>
      <c r="P421" s="54" t="n"/>
      <c r="Q421" s="110" t="n"/>
      <c r="R421" s="110" t="n"/>
      <c r="S421" s="54" t="n"/>
      <c r="T421" s="111">
        <f>IF($G421="","",IFERROR(INDEX(Taux_Devises,MATCH(IF($M421="",Devise_Base,$M421),Codes_Devises,0)),1))</f>
        <v/>
      </c>
      <c r="U421" s="112">
        <f>IF($G421="","",ROUND($G421*$T421,2))</f>
        <v/>
      </c>
      <c r="V421" s="113">
        <f>IF($B421="","",MONTH($B421))</f>
        <v/>
      </c>
      <c r="W421" s="113">
        <f>IF($B421="","",YEAR($B421))</f>
        <v/>
      </c>
    </row>
    <row r="422">
      <c r="B422" s="105" t="n"/>
      <c r="C422" s="54" t="n"/>
      <c r="D422" s="54" t="n"/>
      <c r="E422" s="54" t="n"/>
      <c r="F422" s="54" t="n"/>
      <c r="G422" s="65" t="n"/>
      <c r="H422" s="54" t="n"/>
      <c r="I422" s="106">
        <f>IF($C422="","",IFERROR(INDEX(Sens_Types,MATCH($C422,Liste_Types,0)),""))</f>
        <v/>
      </c>
      <c r="J422" s="107">
        <f>IF($I422="▲ ENTRÉE",$U422,"")</f>
        <v/>
      </c>
      <c r="K422" s="108">
        <f>IF($I422="▼ SORTIE",$U422,"")</f>
        <v/>
      </c>
      <c r="L422" s="109">
        <f>$L421+N($J422)-N($K422)</f>
        <v/>
      </c>
      <c r="M422" s="110" t="n"/>
      <c r="N422" s="54" t="n"/>
      <c r="O422" s="54" t="n"/>
      <c r="P422" s="54" t="n"/>
      <c r="Q422" s="110" t="n"/>
      <c r="R422" s="110" t="n"/>
      <c r="S422" s="54" t="n"/>
      <c r="T422" s="111">
        <f>IF($G422="","",IFERROR(INDEX(Taux_Devises,MATCH(IF($M422="",Devise_Base,$M422),Codes_Devises,0)),1))</f>
        <v/>
      </c>
      <c r="U422" s="112">
        <f>IF($G422="","",ROUND($G422*$T422,2))</f>
        <v/>
      </c>
      <c r="V422" s="113">
        <f>IF($B422="","",MONTH($B422))</f>
        <v/>
      </c>
      <c r="W422" s="113">
        <f>IF($B422="","",YEAR($B422))</f>
        <v/>
      </c>
    </row>
    <row r="423">
      <c r="B423" s="105" t="n"/>
      <c r="C423" s="54" t="n"/>
      <c r="D423" s="54" t="n"/>
      <c r="E423" s="54" t="n"/>
      <c r="F423" s="54" t="n"/>
      <c r="G423" s="65" t="n"/>
      <c r="H423" s="54" t="n"/>
      <c r="I423" s="106">
        <f>IF($C423="","",IFERROR(INDEX(Sens_Types,MATCH($C423,Liste_Types,0)),""))</f>
        <v/>
      </c>
      <c r="J423" s="107">
        <f>IF($I423="▲ ENTRÉE",$U423,"")</f>
        <v/>
      </c>
      <c r="K423" s="108">
        <f>IF($I423="▼ SORTIE",$U423,"")</f>
        <v/>
      </c>
      <c r="L423" s="109">
        <f>$L422+N($J423)-N($K423)</f>
        <v/>
      </c>
      <c r="M423" s="110" t="n"/>
      <c r="N423" s="54" t="n"/>
      <c r="O423" s="54" t="n"/>
      <c r="P423" s="54" t="n"/>
      <c r="Q423" s="110" t="n"/>
      <c r="R423" s="110" t="n"/>
      <c r="S423" s="54" t="n"/>
      <c r="T423" s="111">
        <f>IF($G423="","",IFERROR(INDEX(Taux_Devises,MATCH(IF($M423="",Devise_Base,$M423),Codes_Devises,0)),1))</f>
        <v/>
      </c>
      <c r="U423" s="112">
        <f>IF($G423="","",ROUND($G423*$T423,2))</f>
        <v/>
      </c>
      <c r="V423" s="113">
        <f>IF($B423="","",MONTH($B423))</f>
        <v/>
      </c>
      <c r="W423" s="113">
        <f>IF($B423="","",YEAR($B423))</f>
        <v/>
      </c>
    </row>
    <row r="424">
      <c r="B424" s="105" t="n"/>
      <c r="C424" s="54" t="n"/>
      <c r="D424" s="54" t="n"/>
      <c r="E424" s="54" t="n"/>
      <c r="F424" s="54" t="n"/>
      <c r="G424" s="65" t="n"/>
      <c r="H424" s="54" t="n"/>
      <c r="I424" s="106">
        <f>IF($C424="","",IFERROR(INDEX(Sens_Types,MATCH($C424,Liste_Types,0)),""))</f>
        <v/>
      </c>
      <c r="J424" s="107">
        <f>IF($I424="▲ ENTRÉE",$U424,"")</f>
        <v/>
      </c>
      <c r="K424" s="108">
        <f>IF($I424="▼ SORTIE",$U424,"")</f>
        <v/>
      </c>
      <c r="L424" s="109">
        <f>$L423+N($J424)-N($K424)</f>
        <v/>
      </c>
      <c r="M424" s="110" t="n"/>
      <c r="N424" s="54" t="n"/>
      <c r="O424" s="54" t="n"/>
      <c r="P424" s="54" t="n"/>
      <c r="Q424" s="110" t="n"/>
      <c r="R424" s="110" t="n"/>
      <c r="S424" s="54" t="n"/>
      <c r="T424" s="111">
        <f>IF($G424="","",IFERROR(INDEX(Taux_Devises,MATCH(IF($M424="",Devise_Base,$M424),Codes_Devises,0)),1))</f>
        <v/>
      </c>
      <c r="U424" s="112">
        <f>IF($G424="","",ROUND($G424*$T424,2))</f>
        <v/>
      </c>
      <c r="V424" s="113">
        <f>IF($B424="","",MONTH($B424))</f>
        <v/>
      </c>
      <c r="W424" s="113">
        <f>IF($B424="","",YEAR($B424))</f>
        <v/>
      </c>
    </row>
    <row r="425">
      <c r="B425" s="105" t="n"/>
      <c r="C425" s="54" t="n"/>
      <c r="D425" s="54" t="n"/>
      <c r="E425" s="54" t="n"/>
      <c r="F425" s="54" t="n"/>
      <c r="G425" s="65" t="n"/>
      <c r="H425" s="54" t="n"/>
      <c r="I425" s="106">
        <f>IF($C425="","",IFERROR(INDEX(Sens_Types,MATCH($C425,Liste_Types,0)),""))</f>
        <v/>
      </c>
      <c r="J425" s="107">
        <f>IF($I425="▲ ENTRÉE",$U425,"")</f>
        <v/>
      </c>
      <c r="K425" s="108">
        <f>IF($I425="▼ SORTIE",$U425,"")</f>
        <v/>
      </c>
      <c r="L425" s="109">
        <f>$L424+N($J425)-N($K425)</f>
        <v/>
      </c>
      <c r="M425" s="110" t="n"/>
      <c r="N425" s="54" t="n"/>
      <c r="O425" s="54" t="n"/>
      <c r="P425" s="54" t="n"/>
      <c r="Q425" s="110" t="n"/>
      <c r="R425" s="110" t="n"/>
      <c r="S425" s="54" t="n"/>
      <c r="T425" s="111">
        <f>IF($G425="","",IFERROR(INDEX(Taux_Devises,MATCH(IF($M425="",Devise_Base,$M425),Codes_Devises,0)),1))</f>
        <v/>
      </c>
      <c r="U425" s="112">
        <f>IF($G425="","",ROUND($G425*$T425,2))</f>
        <v/>
      </c>
      <c r="V425" s="113">
        <f>IF($B425="","",MONTH($B425))</f>
        <v/>
      </c>
      <c r="W425" s="113">
        <f>IF($B425="","",YEAR($B425))</f>
        <v/>
      </c>
    </row>
    <row r="426">
      <c r="B426" s="105" t="n"/>
      <c r="C426" s="54" t="n"/>
      <c r="D426" s="54" t="n"/>
      <c r="E426" s="54" t="n"/>
      <c r="F426" s="54" t="n"/>
      <c r="G426" s="65" t="n"/>
      <c r="H426" s="54" t="n"/>
      <c r="I426" s="106">
        <f>IF($C426="","",IFERROR(INDEX(Sens_Types,MATCH($C426,Liste_Types,0)),""))</f>
        <v/>
      </c>
      <c r="J426" s="107">
        <f>IF($I426="▲ ENTRÉE",$U426,"")</f>
        <v/>
      </c>
      <c r="K426" s="108">
        <f>IF($I426="▼ SORTIE",$U426,"")</f>
        <v/>
      </c>
      <c r="L426" s="109">
        <f>$L425+N($J426)-N($K426)</f>
        <v/>
      </c>
      <c r="M426" s="110" t="n"/>
      <c r="N426" s="54" t="n"/>
      <c r="O426" s="54" t="n"/>
      <c r="P426" s="54" t="n"/>
      <c r="Q426" s="110" t="n"/>
      <c r="R426" s="110" t="n"/>
      <c r="S426" s="54" t="n"/>
      <c r="T426" s="111">
        <f>IF($G426="","",IFERROR(INDEX(Taux_Devises,MATCH(IF($M426="",Devise_Base,$M426),Codes_Devises,0)),1))</f>
        <v/>
      </c>
      <c r="U426" s="112">
        <f>IF($G426="","",ROUND($G426*$T426,2))</f>
        <v/>
      </c>
      <c r="V426" s="113">
        <f>IF($B426="","",MONTH($B426))</f>
        <v/>
      </c>
      <c r="W426" s="113">
        <f>IF($B426="","",YEAR($B426))</f>
        <v/>
      </c>
    </row>
    <row r="427">
      <c r="B427" s="105" t="n"/>
      <c r="C427" s="54" t="n"/>
      <c r="D427" s="54" t="n"/>
      <c r="E427" s="54" t="n"/>
      <c r="F427" s="54" t="n"/>
      <c r="G427" s="65" t="n"/>
      <c r="H427" s="54" t="n"/>
      <c r="I427" s="106">
        <f>IF($C427="","",IFERROR(INDEX(Sens_Types,MATCH($C427,Liste_Types,0)),""))</f>
        <v/>
      </c>
      <c r="J427" s="107">
        <f>IF($I427="▲ ENTRÉE",$U427,"")</f>
        <v/>
      </c>
      <c r="K427" s="108">
        <f>IF($I427="▼ SORTIE",$U427,"")</f>
        <v/>
      </c>
      <c r="L427" s="109">
        <f>$L426+N($J427)-N($K427)</f>
        <v/>
      </c>
      <c r="M427" s="110" t="n"/>
      <c r="N427" s="54" t="n"/>
      <c r="O427" s="54" t="n"/>
      <c r="P427" s="54" t="n"/>
      <c r="Q427" s="110" t="n"/>
      <c r="R427" s="110" t="n"/>
      <c r="S427" s="54" t="n"/>
      <c r="T427" s="111">
        <f>IF($G427="","",IFERROR(INDEX(Taux_Devises,MATCH(IF($M427="",Devise_Base,$M427),Codes_Devises,0)),1))</f>
        <v/>
      </c>
      <c r="U427" s="112">
        <f>IF($G427="","",ROUND($G427*$T427,2))</f>
        <v/>
      </c>
      <c r="V427" s="113">
        <f>IF($B427="","",MONTH($B427))</f>
        <v/>
      </c>
      <c r="W427" s="113">
        <f>IF($B427="","",YEAR($B427))</f>
        <v/>
      </c>
    </row>
    <row r="428">
      <c r="B428" s="105" t="n"/>
      <c r="C428" s="54" t="n"/>
      <c r="D428" s="54" t="n"/>
      <c r="E428" s="54" t="n"/>
      <c r="F428" s="54" t="n"/>
      <c r="G428" s="65" t="n"/>
      <c r="H428" s="54" t="n"/>
      <c r="I428" s="106">
        <f>IF($C428="","",IFERROR(INDEX(Sens_Types,MATCH($C428,Liste_Types,0)),""))</f>
        <v/>
      </c>
      <c r="J428" s="107">
        <f>IF($I428="▲ ENTRÉE",$U428,"")</f>
        <v/>
      </c>
      <c r="K428" s="108">
        <f>IF($I428="▼ SORTIE",$U428,"")</f>
        <v/>
      </c>
      <c r="L428" s="109">
        <f>$L427+N($J428)-N($K428)</f>
        <v/>
      </c>
      <c r="M428" s="110" t="n"/>
      <c r="N428" s="54" t="n"/>
      <c r="O428" s="54" t="n"/>
      <c r="P428" s="54" t="n"/>
      <c r="Q428" s="110" t="n"/>
      <c r="R428" s="110" t="n"/>
      <c r="S428" s="54" t="n"/>
      <c r="T428" s="111">
        <f>IF($G428="","",IFERROR(INDEX(Taux_Devises,MATCH(IF($M428="",Devise_Base,$M428),Codes_Devises,0)),1))</f>
        <v/>
      </c>
      <c r="U428" s="112">
        <f>IF($G428="","",ROUND($G428*$T428,2))</f>
        <v/>
      </c>
      <c r="V428" s="113">
        <f>IF($B428="","",MONTH($B428))</f>
        <v/>
      </c>
      <c r="W428" s="113">
        <f>IF($B428="","",YEAR($B428))</f>
        <v/>
      </c>
    </row>
    <row r="429">
      <c r="B429" s="105" t="n"/>
      <c r="C429" s="54" t="n"/>
      <c r="D429" s="54" t="n"/>
      <c r="E429" s="54" t="n"/>
      <c r="F429" s="54" t="n"/>
      <c r="G429" s="65" t="n"/>
      <c r="H429" s="54" t="n"/>
      <c r="I429" s="106">
        <f>IF($C429="","",IFERROR(INDEX(Sens_Types,MATCH($C429,Liste_Types,0)),""))</f>
        <v/>
      </c>
      <c r="J429" s="107">
        <f>IF($I429="▲ ENTRÉE",$U429,"")</f>
        <v/>
      </c>
      <c r="K429" s="108">
        <f>IF($I429="▼ SORTIE",$U429,"")</f>
        <v/>
      </c>
      <c r="L429" s="109">
        <f>$L428+N($J429)-N($K429)</f>
        <v/>
      </c>
      <c r="M429" s="110" t="n"/>
      <c r="N429" s="54" t="n"/>
      <c r="O429" s="54" t="n"/>
      <c r="P429" s="54" t="n"/>
      <c r="Q429" s="110" t="n"/>
      <c r="R429" s="110" t="n"/>
      <c r="S429" s="54" t="n"/>
      <c r="T429" s="111">
        <f>IF($G429="","",IFERROR(INDEX(Taux_Devises,MATCH(IF($M429="",Devise_Base,$M429),Codes_Devises,0)),1))</f>
        <v/>
      </c>
      <c r="U429" s="112">
        <f>IF($G429="","",ROUND($G429*$T429,2))</f>
        <v/>
      </c>
      <c r="V429" s="113">
        <f>IF($B429="","",MONTH($B429))</f>
        <v/>
      </c>
      <c r="W429" s="113">
        <f>IF($B429="","",YEAR($B429))</f>
        <v/>
      </c>
    </row>
    <row r="430">
      <c r="B430" s="105" t="n"/>
      <c r="C430" s="54" t="n"/>
      <c r="D430" s="54" t="n"/>
      <c r="E430" s="54" t="n"/>
      <c r="F430" s="54" t="n"/>
      <c r="G430" s="65" t="n"/>
      <c r="H430" s="54" t="n"/>
      <c r="I430" s="106">
        <f>IF($C430="","",IFERROR(INDEX(Sens_Types,MATCH($C430,Liste_Types,0)),""))</f>
        <v/>
      </c>
      <c r="J430" s="107">
        <f>IF($I430="▲ ENTRÉE",$U430,"")</f>
        <v/>
      </c>
      <c r="K430" s="108">
        <f>IF($I430="▼ SORTIE",$U430,"")</f>
        <v/>
      </c>
      <c r="L430" s="109">
        <f>$L429+N($J430)-N($K430)</f>
        <v/>
      </c>
      <c r="M430" s="110" t="n"/>
      <c r="N430" s="54" t="n"/>
      <c r="O430" s="54" t="n"/>
      <c r="P430" s="54" t="n"/>
      <c r="Q430" s="110" t="n"/>
      <c r="R430" s="110" t="n"/>
      <c r="S430" s="54" t="n"/>
      <c r="T430" s="111">
        <f>IF($G430="","",IFERROR(INDEX(Taux_Devises,MATCH(IF($M430="",Devise_Base,$M430),Codes_Devises,0)),1))</f>
        <v/>
      </c>
      <c r="U430" s="112">
        <f>IF($G430="","",ROUND($G430*$T430,2))</f>
        <v/>
      </c>
      <c r="V430" s="113">
        <f>IF($B430="","",MONTH($B430))</f>
        <v/>
      </c>
      <c r="W430" s="113">
        <f>IF($B430="","",YEAR($B430))</f>
        <v/>
      </c>
    </row>
    <row r="431">
      <c r="B431" s="105" t="n"/>
      <c r="C431" s="54" t="n"/>
      <c r="D431" s="54" t="n"/>
      <c r="E431" s="54" t="n"/>
      <c r="F431" s="54" t="n"/>
      <c r="G431" s="65" t="n"/>
      <c r="H431" s="54" t="n"/>
      <c r="I431" s="106">
        <f>IF($C431="","",IFERROR(INDEX(Sens_Types,MATCH($C431,Liste_Types,0)),""))</f>
        <v/>
      </c>
      <c r="J431" s="107">
        <f>IF($I431="▲ ENTRÉE",$U431,"")</f>
        <v/>
      </c>
      <c r="K431" s="108">
        <f>IF($I431="▼ SORTIE",$U431,"")</f>
        <v/>
      </c>
      <c r="L431" s="109">
        <f>$L430+N($J431)-N($K431)</f>
        <v/>
      </c>
      <c r="M431" s="110" t="n"/>
      <c r="N431" s="54" t="n"/>
      <c r="O431" s="54" t="n"/>
      <c r="P431" s="54" t="n"/>
      <c r="Q431" s="110" t="n"/>
      <c r="R431" s="110" t="n"/>
      <c r="S431" s="54" t="n"/>
      <c r="T431" s="111">
        <f>IF($G431="","",IFERROR(INDEX(Taux_Devises,MATCH(IF($M431="",Devise_Base,$M431),Codes_Devises,0)),1))</f>
        <v/>
      </c>
      <c r="U431" s="112">
        <f>IF($G431="","",ROUND($G431*$T431,2))</f>
        <v/>
      </c>
      <c r="V431" s="113">
        <f>IF($B431="","",MONTH($B431))</f>
        <v/>
      </c>
      <c r="W431" s="113">
        <f>IF($B431="","",YEAR($B431))</f>
        <v/>
      </c>
    </row>
    <row r="432">
      <c r="B432" s="105" t="n"/>
      <c r="C432" s="54" t="n"/>
      <c r="D432" s="54" t="n"/>
      <c r="E432" s="54" t="n"/>
      <c r="F432" s="54" t="n"/>
      <c r="G432" s="65" t="n"/>
      <c r="H432" s="54" t="n"/>
      <c r="I432" s="106">
        <f>IF($C432="","",IFERROR(INDEX(Sens_Types,MATCH($C432,Liste_Types,0)),""))</f>
        <v/>
      </c>
      <c r="J432" s="107">
        <f>IF($I432="▲ ENTRÉE",$U432,"")</f>
        <v/>
      </c>
      <c r="K432" s="108">
        <f>IF($I432="▼ SORTIE",$U432,"")</f>
        <v/>
      </c>
      <c r="L432" s="109">
        <f>$L431+N($J432)-N($K432)</f>
        <v/>
      </c>
      <c r="M432" s="110" t="n"/>
      <c r="N432" s="54" t="n"/>
      <c r="O432" s="54" t="n"/>
      <c r="P432" s="54" t="n"/>
      <c r="Q432" s="110" t="n"/>
      <c r="R432" s="110" t="n"/>
      <c r="S432" s="54" t="n"/>
      <c r="T432" s="111">
        <f>IF($G432="","",IFERROR(INDEX(Taux_Devises,MATCH(IF($M432="",Devise_Base,$M432),Codes_Devises,0)),1))</f>
        <v/>
      </c>
      <c r="U432" s="112">
        <f>IF($G432="","",ROUND($G432*$T432,2))</f>
        <v/>
      </c>
      <c r="V432" s="113">
        <f>IF($B432="","",MONTH($B432))</f>
        <v/>
      </c>
      <c r="W432" s="113">
        <f>IF($B432="","",YEAR($B432))</f>
        <v/>
      </c>
    </row>
    <row r="433">
      <c r="B433" s="105" t="n"/>
      <c r="C433" s="54" t="n"/>
      <c r="D433" s="54" t="n"/>
      <c r="E433" s="54" t="n"/>
      <c r="F433" s="54" t="n"/>
      <c r="G433" s="65" t="n"/>
      <c r="H433" s="54" t="n"/>
      <c r="I433" s="106">
        <f>IF($C433="","",IFERROR(INDEX(Sens_Types,MATCH($C433,Liste_Types,0)),""))</f>
        <v/>
      </c>
      <c r="J433" s="107">
        <f>IF($I433="▲ ENTRÉE",$U433,"")</f>
        <v/>
      </c>
      <c r="K433" s="108">
        <f>IF($I433="▼ SORTIE",$U433,"")</f>
        <v/>
      </c>
      <c r="L433" s="109">
        <f>$L432+N($J433)-N($K433)</f>
        <v/>
      </c>
      <c r="M433" s="110" t="n"/>
      <c r="N433" s="54" t="n"/>
      <c r="O433" s="54" t="n"/>
      <c r="P433" s="54" t="n"/>
      <c r="Q433" s="110" t="n"/>
      <c r="R433" s="110" t="n"/>
      <c r="S433" s="54" t="n"/>
      <c r="T433" s="111">
        <f>IF($G433="","",IFERROR(INDEX(Taux_Devises,MATCH(IF($M433="",Devise_Base,$M433),Codes_Devises,0)),1))</f>
        <v/>
      </c>
      <c r="U433" s="112">
        <f>IF($G433="","",ROUND($G433*$T433,2))</f>
        <v/>
      </c>
      <c r="V433" s="113">
        <f>IF($B433="","",MONTH($B433))</f>
        <v/>
      </c>
      <c r="W433" s="113">
        <f>IF($B433="","",YEAR($B433))</f>
        <v/>
      </c>
    </row>
    <row r="434">
      <c r="B434" s="105" t="n"/>
      <c r="C434" s="54" t="n"/>
      <c r="D434" s="54" t="n"/>
      <c r="E434" s="54" t="n"/>
      <c r="F434" s="54" t="n"/>
      <c r="G434" s="65" t="n"/>
      <c r="H434" s="54" t="n"/>
      <c r="I434" s="106">
        <f>IF($C434="","",IFERROR(INDEX(Sens_Types,MATCH($C434,Liste_Types,0)),""))</f>
        <v/>
      </c>
      <c r="J434" s="107">
        <f>IF($I434="▲ ENTRÉE",$U434,"")</f>
        <v/>
      </c>
      <c r="K434" s="108">
        <f>IF($I434="▼ SORTIE",$U434,"")</f>
        <v/>
      </c>
      <c r="L434" s="109">
        <f>$L433+N($J434)-N($K434)</f>
        <v/>
      </c>
      <c r="M434" s="110" t="n"/>
      <c r="N434" s="54" t="n"/>
      <c r="O434" s="54" t="n"/>
      <c r="P434" s="54" t="n"/>
      <c r="Q434" s="110" t="n"/>
      <c r="R434" s="110" t="n"/>
      <c r="S434" s="54" t="n"/>
      <c r="T434" s="111">
        <f>IF($G434="","",IFERROR(INDEX(Taux_Devises,MATCH(IF($M434="",Devise_Base,$M434),Codes_Devises,0)),1))</f>
        <v/>
      </c>
      <c r="U434" s="112">
        <f>IF($G434="","",ROUND($G434*$T434,2))</f>
        <v/>
      </c>
      <c r="V434" s="113">
        <f>IF($B434="","",MONTH($B434))</f>
        <v/>
      </c>
      <c r="W434" s="113">
        <f>IF($B434="","",YEAR($B434))</f>
        <v/>
      </c>
    </row>
    <row r="435">
      <c r="B435" s="105" t="n"/>
      <c r="C435" s="54" t="n"/>
      <c r="D435" s="54" t="n"/>
      <c r="E435" s="54" t="n"/>
      <c r="F435" s="54" t="n"/>
      <c r="G435" s="65" t="n"/>
      <c r="H435" s="54" t="n"/>
      <c r="I435" s="106">
        <f>IF($C435="","",IFERROR(INDEX(Sens_Types,MATCH($C435,Liste_Types,0)),""))</f>
        <v/>
      </c>
      <c r="J435" s="107">
        <f>IF($I435="▲ ENTRÉE",$U435,"")</f>
        <v/>
      </c>
      <c r="K435" s="108">
        <f>IF($I435="▼ SORTIE",$U435,"")</f>
        <v/>
      </c>
      <c r="L435" s="109">
        <f>$L434+N($J435)-N($K435)</f>
        <v/>
      </c>
      <c r="M435" s="110" t="n"/>
      <c r="N435" s="54" t="n"/>
      <c r="O435" s="54" t="n"/>
      <c r="P435" s="54" t="n"/>
      <c r="Q435" s="110" t="n"/>
      <c r="R435" s="110" t="n"/>
      <c r="S435" s="54" t="n"/>
      <c r="T435" s="111">
        <f>IF($G435="","",IFERROR(INDEX(Taux_Devises,MATCH(IF($M435="",Devise_Base,$M435),Codes_Devises,0)),1))</f>
        <v/>
      </c>
      <c r="U435" s="112">
        <f>IF($G435="","",ROUND($G435*$T435,2))</f>
        <v/>
      </c>
      <c r="V435" s="113">
        <f>IF($B435="","",MONTH($B435))</f>
        <v/>
      </c>
      <c r="W435" s="113">
        <f>IF($B435="","",YEAR($B435))</f>
        <v/>
      </c>
    </row>
    <row r="436">
      <c r="B436" s="105" t="n"/>
      <c r="C436" s="54" t="n"/>
      <c r="D436" s="54" t="n"/>
      <c r="E436" s="54" t="n"/>
      <c r="F436" s="54" t="n"/>
      <c r="G436" s="65" t="n"/>
      <c r="H436" s="54" t="n"/>
      <c r="I436" s="106">
        <f>IF($C436="","",IFERROR(INDEX(Sens_Types,MATCH($C436,Liste_Types,0)),""))</f>
        <v/>
      </c>
      <c r="J436" s="107">
        <f>IF($I436="▲ ENTRÉE",$U436,"")</f>
        <v/>
      </c>
      <c r="K436" s="108">
        <f>IF($I436="▼ SORTIE",$U436,"")</f>
        <v/>
      </c>
      <c r="L436" s="109">
        <f>$L435+N($J436)-N($K436)</f>
        <v/>
      </c>
      <c r="M436" s="110" t="n"/>
      <c r="N436" s="54" t="n"/>
      <c r="O436" s="54" t="n"/>
      <c r="P436" s="54" t="n"/>
      <c r="Q436" s="110" t="n"/>
      <c r="R436" s="110" t="n"/>
      <c r="S436" s="54" t="n"/>
      <c r="T436" s="111">
        <f>IF($G436="","",IFERROR(INDEX(Taux_Devises,MATCH(IF($M436="",Devise_Base,$M436),Codes_Devises,0)),1))</f>
        <v/>
      </c>
      <c r="U436" s="112">
        <f>IF($G436="","",ROUND($G436*$T436,2))</f>
        <v/>
      </c>
      <c r="V436" s="113">
        <f>IF($B436="","",MONTH($B436))</f>
        <v/>
      </c>
      <c r="W436" s="113">
        <f>IF($B436="","",YEAR($B436))</f>
        <v/>
      </c>
    </row>
    <row r="437">
      <c r="B437" s="105" t="n"/>
      <c r="C437" s="54" t="n"/>
      <c r="D437" s="54" t="n"/>
      <c r="E437" s="54" t="n"/>
      <c r="F437" s="54" t="n"/>
      <c r="G437" s="65" t="n"/>
      <c r="H437" s="54" t="n"/>
      <c r="I437" s="106">
        <f>IF($C437="","",IFERROR(INDEX(Sens_Types,MATCH($C437,Liste_Types,0)),""))</f>
        <v/>
      </c>
      <c r="J437" s="107">
        <f>IF($I437="▲ ENTRÉE",$U437,"")</f>
        <v/>
      </c>
      <c r="K437" s="108">
        <f>IF($I437="▼ SORTIE",$U437,"")</f>
        <v/>
      </c>
      <c r="L437" s="109">
        <f>$L436+N($J437)-N($K437)</f>
        <v/>
      </c>
      <c r="M437" s="110" t="n"/>
      <c r="N437" s="54" t="n"/>
      <c r="O437" s="54" t="n"/>
      <c r="P437" s="54" t="n"/>
      <c r="Q437" s="110" t="n"/>
      <c r="R437" s="110" t="n"/>
      <c r="S437" s="54" t="n"/>
      <c r="T437" s="111">
        <f>IF($G437="","",IFERROR(INDEX(Taux_Devises,MATCH(IF($M437="",Devise_Base,$M437),Codes_Devises,0)),1))</f>
        <v/>
      </c>
      <c r="U437" s="112">
        <f>IF($G437="","",ROUND($G437*$T437,2))</f>
        <v/>
      </c>
      <c r="V437" s="113">
        <f>IF($B437="","",MONTH($B437))</f>
        <v/>
      </c>
      <c r="W437" s="113">
        <f>IF($B437="","",YEAR($B437))</f>
        <v/>
      </c>
    </row>
    <row r="438">
      <c r="B438" s="105" t="n"/>
      <c r="C438" s="54" t="n"/>
      <c r="D438" s="54" t="n"/>
      <c r="E438" s="54" t="n"/>
      <c r="F438" s="54" t="n"/>
      <c r="G438" s="65" t="n"/>
      <c r="H438" s="54" t="n"/>
      <c r="I438" s="106">
        <f>IF($C438="","",IFERROR(INDEX(Sens_Types,MATCH($C438,Liste_Types,0)),""))</f>
        <v/>
      </c>
      <c r="J438" s="107">
        <f>IF($I438="▲ ENTRÉE",$U438,"")</f>
        <v/>
      </c>
      <c r="K438" s="108">
        <f>IF($I438="▼ SORTIE",$U438,"")</f>
        <v/>
      </c>
      <c r="L438" s="109">
        <f>$L437+N($J438)-N($K438)</f>
        <v/>
      </c>
      <c r="M438" s="110" t="n"/>
      <c r="N438" s="54" t="n"/>
      <c r="O438" s="54" t="n"/>
      <c r="P438" s="54" t="n"/>
      <c r="Q438" s="110" t="n"/>
      <c r="R438" s="110" t="n"/>
      <c r="S438" s="54" t="n"/>
      <c r="T438" s="111">
        <f>IF($G438="","",IFERROR(INDEX(Taux_Devises,MATCH(IF($M438="",Devise_Base,$M438),Codes_Devises,0)),1))</f>
        <v/>
      </c>
      <c r="U438" s="112">
        <f>IF($G438="","",ROUND($G438*$T438,2))</f>
        <v/>
      </c>
      <c r="V438" s="113">
        <f>IF($B438="","",MONTH($B438))</f>
        <v/>
      </c>
      <c r="W438" s="113">
        <f>IF($B438="","",YEAR($B438))</f>
        <v/>
      </c>
    </row>
    <row r="439">
      <c r="B439" s="105" t="n"/>
      <c r="C439" s="54" t="n"/>
      <c r="D439" s="54" t="n"/>
      <c r="E439" s="54" t="n"/>
      <c r="F439" s="54" t="n"/>
      <c r="G439" s="65" t="n"/>
      <c r="H439" s="54" t="n"/>
      <c r="I439" s="106">
        <f>IF($C439="","",IFERROR(INDEX(Sens_Types,MATCH($C439,Liste_Types,0)),""))</f>
        <v/>
      </c>
      <c r="J439" s="107">
        <f>IF($I439="▲ ENTRÉE",$U439,"")</f>
        <v/>
      </c>
      <c r="K439" s="108">
        <f>IF($I439="▼ SORTIE",$U439,"")</f>
        <v/>
      </c>
      <c r="L439" s="109">
        <f>$L438+N($J439)-N($K439)</f>
        <v/>
      </c>
      <c r="M439" s="110" t="n"/>
      <c r="N439" s="54" t="n"/>
      <c r="O439" s="54" t="n"/>
      <c r="P439" s="54" t="n"/>
      <c r="Q439" s="110" t="n"/>
      <c r="R439" s="110" t="n"/>
      <c r="S439" s="54" t="n"/>
      <c r="T439" s="111">
        <f>IF($G439="","",IFERROR(INDEX(Taux_Devises,MATCH(IF($M439="",Devise_Base,$M439),Codes_Devises,0)),1))</f>
        <v/>
      </c>
      <c r="U439" s="112">
        <f>IF($G439="","",ROUND($G439*$T439,2))</f>
        <v/>
      </c>
      <c r="V439" s="113">
        <f>IF($B439="","",MONTH($B439))</f>
        <v/>
      </c>
      <c r="W439" s="113">
        <f>IF($B439="","",YEAR($B439))</f>
        <v/>
      </c>
    </row>
    <row r="440">
      <c r="B440" s="105" t="n"/>
      <c r="C440" s="54" t="n"/>
      <c r="D440" s="54" t="n"/>
      <c r="E440" s="54" t="n"/>
      <c r="F440" s="54" t="n"/>
      <c r="G440" s="65" t="n"/>
      <c r="H440" s="54" t="n"/>
      <c r="I440" s="106">
        <f>IF($C440="","",IFERROR(INDEX(Sens_Types,MATCH($C440,Liste_Types,0)),""))</f>
        <v/>
      </c>
      <c r="J440" s="107">
        <f>IF($I440="▲ ENTRÉE",$U440,"")</f>
        <v/>
      </c>
      <c r="K440" s="108">
        <f>IF($I440="▼ SORTIE",$U440,"")</f>
        <v/>
      </c>
      <c r="L440" s="109">
        <f>$L439+N($J440)-N($K440)</f>
        <v/>
      </c>
      <c r="M440" s="110" t="n"/>
      <c r="N440" s="54" t="n"/>
      <c r="O440" s="54" t="n"/>
      <c r="P440" s="54" t="n"/>
      <c r="Q440" s="110" t="n"/>
      <c r="R440" s="110" t="n"/>
      <c r="S440" s="54" t="n"/>
      <c r="T440" s="111">
        <f>IF($G440="","",IFERROR(INDEX(Taux_Devises,MATCH(IF($M440="",Devise_Base,$M440),Codes_Devises,0)),1))</f>
        <v/>
      </c>
      <c r="U440" s="112">
        <f>IF($G440="","",ROUND($G440*$T440,2))</f>
        <v/>
      </c>
      <c r="V440" s="113">
        <f>IF($B440="","",MONTH($B440))</f>
        <v/>
      </c>
      <c r="W440" s="113">
        <f>IF($B440="","",YEAR($B440))</f>
        <v/>
      </c>
    </row>
    <row r="441">
      <c r="B441" s="105" t="n"/>
      <c r="C441" s="54" t="n"/>
      <c r="D441" s="54" t="n"/>
      <c r="E441" s="54" t="n"/>
      <c r="F441" s="54" t="n"/>
      <c r="G441" s="65" t="n"/>
      <c r="H441" s="54" t="n"/>
      <c r="I441" s="106">
        <f>IF($C441="","",IFERROR(INDEX(Sens_Types,MATCH($C441,Liste_Types,0)),""))</f>
        <v/>
      </c>
      <c r="J441" s="107">
        <f>IF($I441="▲ ENTRÉE",$U441,"")</f>
        <v/>
      </c>
      <c r="K441" s="108">
        <f>IF($I441="▼ SORTIE",$U441,"")</f>
        <v/>
      </c>
      <c r="L441" s="109">
        <f>$L440+N($J441)-N($K441)</f>
        <v/>
      </c>
      <c r="M441" s="110" t="n"/>
      <c r="N441" s="54" t="n"/>
      <c r="O441" s="54" t="n"/>
      <c r="P441" s="54" t="n"/>
      <c r="Q441" s="110" t="n"/>
      <c r="R441" s="110" t="n"/>
      <c r="S441" s="54" t="n"/>
      <c r="T441" s="111">
        <f>IF($G441="","",IFERROR(INDEX(Taux_Devises,MATCH(IF($M441="",Devise_Base,$M441),Codes_Devises,0)),1))</f>
        <v/>
      </c>
      <c r="U441" s="112">
        <f>IF($G441="","",ROUND($G441*$T441,2))</f>
        <v/>
      </c>
      <c r="V441" s="113">
        <f>IF($B441="","",MONTH($B441))</f>
        <v/>
      </c>
      <c r="W441" s="113">
        <f>IF($B441="","",YEAR($B441))</f>
        <v/>
      </c>
    </row>
    <row r="442">
      <c r="B442" s="105" t="n"/>
      <c r="C442" s="54" t="n"/>
      <c r="D442" s="54" t="n"/>
      <c r="E442" s="54" t="n"/>
      <c r="F442" s="54" t="n"/>
      <c r="G442" s="65" t="n"/>
      <c r="H442" s="54" t="n"/>
      <c r="I442" s="106">
        <f>IF($C442="","",IFERROR(INDEX(Sens_Types,MATCH($C442,Liste_Types,0)),""))</f>
        <v/>
      </c>
      <c r="J442" s="107">
        <f>IF($I442="▲ ENTRÉE",$U442,"")</f>
        <v/>
      </c>
      <c r="K442" s="108">
        <f>IF($I442="▼ SORTIE",$U442,"")</f>
        <v/>
      </c>
      <c r="L442" s="109">
        <f>$L441+N($J442)-N($K442)</f>
        <v/>
      </c>
      <c r="M442" s="110" t="n"/>
      <c r="N442" s="54" t="n"/>
      <c r="O442" s="54" t="n"/>
      <c r="P442" s="54" t="n"/>
      <c r="Q442" s="110" t="n"/>
      <c r="R442" s="110" t="n"/>
      <c r="S442" s="54" t="n"/>
      <c r="T442" s="111">
        <f>IF($G442="","",IFERROR(INDEX(Taux_Devises,MATCH(IF($M442="",Devise_Base,$M442),Codes_Devises,0)),1))</f>
        <v/>
      </c>
      <c r="U442" s="112">
        <f>IF($G442="","",ROUND($G442*$T442,2))</f>
        <v/>
      </c>
      <c r="V442" s="113">
        <f>IF($B442="","",MONTH($B442))</f>
        <v/>
      </c>
      <c r="W442" s="113">
        <f>IF($B442="","",YEAR($B442))</f>
        <v/>
      </c>
    </row>
    <row r="443">
      <c r="B443" s="105" t="n"/>
      <c r="C443" s="54" t="n"/>
      <c r="D443" s="54" t="n"/>
      <c r="E443" s="54" t="n"/>
      <c r="F443" s="54" t="n"/>
      <c r="G443" s="65" t="n"/>
      <c r="H443" s="54" t="n"/>
      <c r="I443" s="106">
        <f>IF($C443="","",IFERROR(INDEX(Sens_Types,MATCH($C443,Liste_Types,0)),""))</f>
        <v/>
      </c>
      <c r="J443" s="107">
        <f>IF($I443="▲ ENTRÉE",$U443,"")</f>
        <v/>
      </c>
      <c r="K443" s="108">
        <f>IF($I443="▼ SORTIE",$U443,"")</f>
        <v/>
      </c>
      <c r="L443" s="109">
        <f>$L442+N($J443)-N($K443)</f>
        <v/>
      </c>
      <c r="M443" s="110" t="n"/>
      <c r="N443" s="54" t="n"/>
      <c r="O443" s="54" t="n"/>
      <c r="P443" s="54" t="n"/>
      <c r="Q443" s="110" t="n"/>
      <c r="R443" s="110" t="n"/>
      <c r="S443" s="54" t="n"/>
      <c r="T443" s="111">
        <f>IF($G443="","",IFERROR(INDEX(Taux_Devises,MATCH(IF($M443="",Devise_Base,$M443),Codes_Devises,0)),1))</f>
        <v/>
      </c>
      <c r="U443" s="112">
        <f>IF($G443="","",ROUND($G443*$T443,2))</f>
        <v/>
      </c>
      <c r="V443" s="113">
        <f>IF($B443="","",MONTH($B443))</f>
        <v/>
      </c>
      <c r="W443" s="113">
        <f>IF($B443="","",YEAR($B443))</f>
        <v/>
      </c>
    </row>
    <row r="444">
      <c r="B444" s="105" t="n"/>
      <c r="C444" s="54" t="n"/>
      <c r="D444" s="54" t="n"/>
      <c r="E444" s="54" t="n"/>
      <c r="F444" s="54" t="n"/>
      <c r="G444" s="65" t="n"/>
      <c r="H444" s="54" t="n"/>
      <c r="I444" s="106">
        <f>IF($C444="","",IFERROR(INDEX(Sens_Types,MATCH($C444,Liste_Types,0)),""))</f>
        <v/>
      </c>
      <c r="J444" s="107">
        <f>IF($I444="▲ ENTRÉE",$U444,"")</f>
        <v/>
      </c>
      <c r="K444" s="108">
        <f>IF($I444="▼ SORTIE",$U444,"")</f>
        <v/>
      </c>
      <c r="L444" s="109">
        <f>$L443+N($J444)-N($K444)</f>
        <v/>
      </c>
      <c r="M444" s="110" t="n"/>
      <c r="N444" s="54" t="n"/>
      <c r="O444" s="54" t="n"/>
      <c r="P444" s="54" t="n"/>
      <c r="Q444" s="110" t="n"/>
      <c r="R444" s="110" t="n"/>
      <c r="S444" s="54" t="n"/>
      <c r="T444" s="111">
        <f>IF($G444="","",IFERROR(INDEX(Taux_Devises,MATCH(IF($M444="",Devise_Base,$M444),Codes_Devises,0)),1))</f>
        <v/>
      </c>
      <c r="U444" s="112">
        <f>IF($G444="","",ROUND($G444*$T444,2))</f>
        <v/>
      </c>
      <c r="V444" s="113">
        <f>IF($B444="","",MONTH($B444))</f>
        <v/>
      </c>
      <c r="W444" s="113">
        <f>IF($B444="","",YEAR($B444))</f>
        <v/>
      </c>
    </row>
    <row r="445">
      <c r="B445" s="105" t="n"/>
      <c r="C445" s="54" t="n"/>
      <c r="D445" s="54" t="n"/>
      <c r="E445" s="54" t="n"/>
      <c r="F445" s="54" t="n"/>
      <c r="G445" s="65" t="n"/>
      <c r="H445" s="54" t="n"/>
      <c r="I445" s="106">
        <f>IF($C445="","",IFERROR(INDEX(Sens_Types,MATCH($C445,Liste_Types,0)),""))</f>
        <v/>
      </c>
      <c r="J445" s="107">
        <f>IF($I445="▲ ENTRÉE",$U445,"")</f>
        <v/>
      </c>
      <c r="K445" s="108">
        <f>IF($I445="▼ SORTIE",$U445,"")</f>
        <v/>
      </c>
      <c r="L445" s="109">
        <f>$L444+N($J445)-N($K445)</f>
        <v/>
      </c>
      <c r="M445" s="110" t="n"/>
      <c r="N445" s="54" t="n"/>
      <c r="O445" s="54" t="n"/>
      <c r="P445" s="54" t="n"/>
      <c r="Q445" s="110" t="n"/>
      <c r="R445" s="110" t="n"/>
      <c r="S445" s="54" t="n"/>
      <c r="T445" s="111">
        <f>IF($G445="","",IFERROR(INDEX(Taux_Devises,MATCH(IF($M445="",Devise_Base,$M445),Codes_Devises,0)),1))</f>
        <v/>
      </c>
      <c r="U445" s="112">
        <f>IF($G445="","",ROUND($G445*$T445,2))</f>
        <v/>
      </c>
      <c r="V445" s="113">
        <f>IF($B445="","",MONTH($B445))</f>
        <v/>
      </c>
      <c r="W445" s="113">
        <f>IF($B445="","",YEAR($B445))</f>
        <v/>
      </c>
    </row>
    <row r="446">
      <c r="B446" s="105" t="n"/>
      <c r="C446" s="54" t="n"/>
      <c r="D446" s="54" t="n"/>
      <c r="E446" s="54" t="n"/>
      <c r="F446" s="54" t="n"/>
      <c r="G446" s="65" t="n"/>
      <c r="H446" s="54" t="n"/>
      <c r="I446" s="106">
        <f>IF($C446="","",IFERROR(INDEX(Sens_Types,MATCH($C446,Liste_Types,0)),""))</f>
        <v/>
      </c>
      <c r="J446" s="107">
        <f>IF($I446="▲ ENTRÉE",$U446,"")</f>
        <v/>
      </c>
      <c r="K446" s="108">
        <f>IF($I446="▼ SORTIE",$U446,"")</f>
        <v/>
      </c>
      <c r="L446" s="109">
        <f>$L445+N($J446)-N($K446)</f>
        <v/>
      </c>
      <c r="M446" s="110" t="n"/>
      <c r="N446" s="54" t="n"/>
      <c r="O446" s="54" t="n"/>
      <c r="P446" s="54" t="n"/>
      <c r="Q446" s="110" t="n"/>
      <c r="R446" s="110" t="n"/>
      <c r="S446" s="54" t="n"/>
      <c r="T446" s="111">
        <f>IF($G446="","",IFERROR(INDEX(Taux_Devises,MATCH(IF($M446="",Devise_Base,$M446),Codes_Devises,0)),1))</f>
        <v/>
      </c>
      <c r="U446" s="112">
        <f>IF($G446="","",ROUND($G446*$T446,2))</f>
        <v/>
      </c>
      <c r="V446" s="113">
        <f>IF($B446="","",MONTH($B446))</f>
        <v/>
      </c>
      <c r="W446" s="113">
        <f>IF($B446="","",YEAR($B446))</f>
        <v/>
      </c>
    </row>
    <row r="447">
      <c r="B447" s="105" t="n"/>
      <c r="C447" s="54" t="n"/>
      <c r="D447" s="54" t="n"/>
      <c r="E447" s="54" t="n"/>
      <c r="F447" s="54" t="n"/>
      <c r="G447" s="65" t="n"/>
      <c r="H447" s="54" t="n"/>
      <c r="I447" s="106">
        <f>IF($C447="","",IFERROR(INDEX(Sens_Types,MATCH($C447,Liste_Types,0)),""))</f>
        <v/>
      </c>
      <c r="J447" s="107">
        <f>IF($I447="▲ ENTRÉE",$U447,"")</f>
        <v/>
      </c>
      <c r="K447" s="108">
        <f>IF($I447="▼ SORTIE",$U447,"")</f>
        <v/>
      </c>
      <c r="L447" s="109">
        <f>$L446+N($J447)-N($K447)</f>
        <v/>
      </c>
      <c r="M447" s="110" t="n"/>
      <c r="N447" s="54" t="n"/>
      <c r="O447" s="54" t="n"/>
      <c r="P447" s="54" t="n"/>
      <c r="Q447" s="110" t="n"/>
      <c r="R447" s="110" t="n"/>
      <c r="S447" s="54" t="n"/>
      <c r="T447" s="111">
        <f>IF($G447="","",IFERROR(INDEX(Taux_Devises,MATCH(IF($M447="",Devise_Base,$M447),Codes_Devises,0)),1))</f>
        <v/>
      </c>
      <c r="U447" s="112">
        <f>IF($G447="","",ROUND($G447*$T447,2))</f>
        <v/>
      </c>
      <c r="V447" s="113">
        <f>IF($B447="","",MONTH($B447))</f>
        <v/>
      </c>
      <c r="W447" s="113">
        <f>IF($B447="","",YEAR($B447))</f>
        <v/>
      </c>
    </row>
    <row r="448">
      <c r="B448" s="105" t="n"/>
      <c r="C448" s="54" t="n"/>
      <c r="D448" s="54" t="n"/>
      <c r="E448" s="54" t="n"/>
      <c r="F448" s="54" t="n"/>
      <c r="G448" s="65" t="n"/>
      <c r="H448" s="54" t="n"/>
      <c r="I448" s="106">
        <f>IF($C448="","",IFERROR(INDEX(Sens_Types,MATCH($C448,Liste_Types,0)),""))</f>
        <v/>
      </c>
      <c r="J448" s="107">
        <f>IF($I448="▲ ENTRÉE",$U448,"")</f>
        <v/>
      </c>
      <c r="K448" s="108">
        <f>IF($I448="▼ SORTIE",$U448,"")</f>
        <v/>
      </c>
      <c r="L448" s="109">
        <f>$L447+N($J448)-N($K448)</f>
        <v/>
      </c>
      <c r="M448" s="110" t="n"/>
      <c r="N448" s="54" t="n"/>
      <c r="O448" s="54" t="n"/>
      <c r="P448" s="54" t="n"/>
      <c r="Q448" s="110" t="n"/>
      <c r="R448" s="110" t="n"/>
      <c r="S448" s="54" t="n"/>
      <c r="T448" s="111">
        <f>IF($G448="","",IFERROR(INDEX(Taux_Devises,MATCH(IF($M448="",Devise_Base,$M448),Codes_Devises,0)),1))</f>
        <v/>
      </c>
      <c r="U448" s="112">
        <f>IF($G448="","",ROUND($G448*$T448,2))</f>
        <v/>
      </c>
      <c r="V448" s="113">
        <f>IF($B448="","",MONTH($B448))</f>
        <v/>
      </c>
      <c r="W448" s="113">
        <f>IF($B448="","",YEAR($B448))</f>
        <v/>
      </c>
    </row>
    <row r="449">
      <c r="B449" s="105" t="n"/>
      <c r="C449" s="54" t="n"/>
      <c r="D449" s="54" t="n"/>
      <c r="E449" s="54" t="n"/>
      <c r="F449" s="54" t="n"/>
      <c r="G449" s="65" t="n"/>
      <c r="H449" s="54" t="n"/>
      <c r="I449" s="106">
        <f>IF($C449="","",IFERROR(INDEX(Sens_Types,MATCH($C449,Liste_Types,0)),""))</f>
        <v/>
      </c>
      <c r="J449" s="107">
        <f>IF($I449="▲ ENTRÉE",$U449,"")</f>
        <v/>
      </c>
      <c r="K449" s="108">
        <f>IF($I449="▼ SORTIE",$U449,"")</f>
        <v/>
      </c>
      <c r="L449" s="109">
        <f>$L448+N($J449)-N($K449)</f>
        <v/>
      </c>
      <c r="M449" s="110" t="n"/>
      <c r="N449" s="54" t="n"/>
      <c r="O449" s="54" t="n"/>
      <c r="P449" s="54" t="n"/>
      <c r="Q449" s="110" t="n"/>
      <c r="R449" s="110" t="n"/>
      <c r="S449" s="54" t="n"/>
      <c r="T449" s="111">
        <f>IF($G449="","",IFERROR(INDEX(Taux_Devises,MATCH(IF($M449="",Devise_Base,$M449),Codes_Devises,0)),1))</f>
        <v/>
      </c>
      <c r="U449" s="112">
        <f>IF($G449="","",ROUND($G449*$T449,2))</f>
        <v/>
      </c>
      <c r="V449" s="113">
        <f>IF($B449="","",MONTH($B449))</f>
        <v/>
      </c>
      <c r="W449" s="113">
        <f>IF($B449="","",YEAR($B449))</f>
        <v/>
      </c>
    </row>
    <row r="450">
      <c r="B450" s="105" t="n"/>
      <c r="C450" s="54" t="n"/>
      <c r="D450" s="54" t="n"/>
      <c r="E450" s="54" t="n"/>
      <c r="F450" s="54" t="n"/>
      <c r="G450" s="65" t="n"/>
      <c r="H450" s="54" t="n"/>
      <c r="I450" s="106">
        <f>IF($C450="","",IFERROR(INDEX(Sens_Types,MATCH($C450,Liste_Types,0)),""))</f>
        <v/>
      </c>
      <c r="J450" s="107">
        <f>IF($I450="▲ ENTRÉE",$U450,"")</f>
        <v/>
      </c>
      <c r="K450" s="108">
        <f>IF($I450="▼ SORTIE",$U450,"")</f>
        <v/>
      </c>
      <c r="L450" s="109">
        <f>$L449+N($J450)-N($K450)</f>
        <v/>
      </c>
      <c r="M450" s="110" t="n"/>
      <c r="N450" s="54" t="n"/>
      <c r="O450" s="54" t="n"/>
      <c r="P450" s="54" t="n"/>
      <c r="Q450" s="110" t="n"/>
      <c r="R450" s="110" t="n"/>
      <c r="S450" s="54" t="n"/>
      <c r="T450" s="111">
        <f>IF($G450="","",IFERROR(INDEX(Taux_Devises,MATCH(IF($M450="",Devise_Base,$M450),Codes_Devises,0)),1))</f>
        <v/>
      </c>
      <c r="U450" s="112">
        <f>IF($G450="","",ROUND($G450*$T450,2))</f>
        <v/>
      </c>
      <c r="V450" s="113">
        <f>IF($B450="","",MONTH($B450))</f>
        <v/>
      </c>
      <c r="W450" s="113">
        <f>IF($B450="","",YEAR($B450))</f>
        <v/>
      </c>
    </row>
    <row r="451">
      <c r="B451" s="105" t="n"/>
      <c r="C451" s="54" t="n"/>
      <c r="D451" s="54" t="n"/>
      <c r="E451" s="54" t="n"/>
      <c r="F451" s="54" t="n"/>
      <c r="G451" s="65" t="n"/>
      <c r="H451" s="54" t="n"/>
      <c r="I451" s="106">
        <f>IF($C451="","",IFERROR(INDEX(Sens_Types,MATCH($C451,Liste_Types,0)),""))</f>
        <v/>
      </c>
      <c r="J451" s="107">
        <f>IF($I451="▲ ENTRÉE",$U451,"")</f>
        <v/>
      </c>
      <c r="K451" s="108">
        <f>IF($I451="▼ SORTIE",$U451,"")</f>
        <v/>
      </c>
      <c r="L451" s="109">
        <f>$L450+N($J451)-N($K451)</f>
        <v/>
      </c>
      <c r="M451" s="110" t="n"/>
      <c r="N451" s="54" t="n"/>
      <c r="O451" s="54" t="n"/>
      <c r="P451" s="54" t="n"/>
      <c r="Q451" s="110" t="n"/>
      <c r="R451" s="110" t="n"/>
      <c r="S451" s="54" t="n"/>
      <c r="T451" s="111">
        <f>IF($G451="","",IFERROR(INDEX(Taux_Devises,MATCH(IF($M451="",Devise_Base,$M451),Codes_Devises,0)),1))</f>
        <v/>
      </c>
      <c r="U451" s="112">
        <f>IF($G451="","",ROUND($G451*$T451,2))</f>
        <v/>
      </c>
      <c r="V451" s="113">
        <f>IF($B451="","",MONTH($B451))</f>
        <v/>
      </c>
      <c r="W451" s="113">
        <f>IF($B451="","",YEAR($B451))</f>
        <v/>
      </c>
    </row>
    <row r="452">
      <c r="B452" s="105" t="n"/>
      <c r="C452" s="54" t="n"/>
      <c r="D452" s="54" t="n"/>
      <c r="E452" s="54" t="n"/>
      <c r="F452" s="54" t="n"/>
      <c r="G452" s="65" t="n"/>
      <c r="H452" s="54" t="n"/>
      <c r="I452" s="106">
        <f>IF($C452="","",IFERROR(INDEX(Sens_Types,MATCH($C452,Liste_Types,0)),""))</f>
        <v/>
      </c>
      <c r="J452" s="107">
        <f>IF($I452="▲ ENTRÉE",$U452,"")</f>
        <v/>
      </c>
      <c r="K452" s="108">
        <f>IF($I452="▼ SORTIE",$U452,"")</f>
        <v/>
      </c>
      <c r="L452" s="109">
        <f>$L451+N($J452)-N($K452)</f>
        <v/>
      </c>
      <c r="M452" s="110" t="n"/>
      <c r="N452" s="54" t="n"/>
      <c r="O452" s="54" t="n"/>
      <c r="P452" s="54" t="n"/>
      <c r="Q452" s="110" t="n"/>
      <c r="R452" s="110" t="n"/>
      <c r="S452" s="54" t="n"/>
      <c r="T452" s="111">
        <f>IF($G452="","",IFERROR(INDEX(Taux_Devises,MATCH(IF($M452="",Devise_Base,$M452),Codes_Devises,0)),1))</f>
        <v/>
      </c>
      <c r="U452" s="112">
        <f>IF($G452="","",ROUND($G452*$T452,2))</f>
        <v/>
      </c>
      <c r="V452" s="113">
        <f>IF($B452="","",MONTH($B452))</f>
        <v/>
      </c>
      <c r="W452" s="113">
        <f>IF($B452="","",YEAR($B452))</f>
        <v/>
      </c>
    </row>
    <row r="453">
      <c r="B453" s="105" t="n"/>
      <c r="C453" s="54" t="n"/>
      <c r="D453" s="54" t="n"/>
      <c r="E453" s="54" t="n"/>
      <c r="F453" s="54" t="n"/>
      <c r="G453" s="65" t="n"/>
      <c r="H453" s="54" t="n"/>
      <c r="I453" s="106">
        <f>IF($C453="","",IFERROR(INDEX(Sens_Types,MATCH($C453,Liste_Types,0)),""))</f>
        <v/>
      </c>
      <c r="J453" s="107">
        <f>IF($I453="▲ ENTRÉE",$U453,"")</f>
        <v/>
      </c>
      <c r="K453" s="108">
        <f>IF($I453="▼ SORTIE",$U453,"")</f>
        <v/>
      </c>
      <c r="L453" s="109">
        <f>$L452+N($J453)-N($K453)</f>
        <v/>
      </c>
      <c r="M453" s="110" t="n"/>
      <c r="N453" s="54" t="n"/>
      <c r="O453" s="54" t="n"/>
      <c r="P453" s="54" t="n"/>
      <c r="Q453" s="110" t="n"/>
      <c r="R453" s="110" t="n"/>
      <c r="S453" s="54" t="n"/>
      <c r="T453" s="111">
        <f>IF($G453="","",IFERROR(INDEX(Taux_Devises,MATCH(IF($M453="",Devise_Base,$M453),Codes_Devises,0)),1))</f>
        <v/>
      </c>
      <c r="U453" s="112">
        <f>IF($G453="","",ROUND($G453*$T453,2))</f>
        <v/>
      </c>
      <c r="V453" s="113">
        <f>IF($B453="","",MONTH($B453))</f>
        <v/>
      </c>
      <c r="W453" s="113">
        <f>IF($B453="","",YEAR($B453))</f>
        <v/>
      </c>
    </row>
    <row r="454">
      <c r="B454" s="105" t="n"/>
      <c r="C454" s="54" t="n"/>
      <c r="D454" s="54" t="n"/>
      <c r="E454" s="54" t="n"/>
      <c r="F454" s="54" t="n"/>
      <c r="G454" s="65" t="n"/>
      <c r="H454" s="54" t="n"/>
      <c r="I454" s="106">
        <f>IF($C454="","",IFERROR(INDEX(Sens_Types,MATCH($C454,Liste_Types,0)),""))</f>
        <v/>
      </c>
      <c r="J454" s="107">
        <f>IF($I454="▲ ENTRÉE",$U454,"")</f>
        <v/>
      </c>
      <c r="K454" s="108">
        <f>IF($I454="▼ SORTIE",$U454,"")</f>
        <v/>
      </c>
      <c r="L454" s="109">
        <f>$L453+N($J454)-N($K454)</f>
        <v/>
      </c>
      <c r="M454" s="110" t="n"/>
      <c r="N454" s="54" t="n"/>
      <c r="O454" s="54" t="n"/>
      <c r="P454" s="54" t="n"/>
      <c r="Q454" s="110" t="n"/>
      <c r="R454" s="110" t="n"/>
      <c r="S454" s="54" t="n"/>
      <c r="T454" s="111">
        <f>IF($G454="","",IFERROR(INDEX(Taux_Devises,MATCH(IF($M454="",Devise_Base,$M454),Codes_Devises,0)),1))</f>
        <v/>
      </c>
      <c r="U454" s="112">
        <f>IF($G454="","",ROUND($G454*$T454,2))</f>
        <v/>
      </c>
      <c r="V454" s="113">
        <f>IF($B454="","",MONTH($B454))</f>
        <v/>
      </c>
      <c r="W454" s="113">
        <f>IF($B454="","",YEAR($B454))</f>
        <v/>
      </c>
    </row>
    <row r="455">
      <c r="B455" s="105" t="n"/>
      <c r="C455" s="54" t="n"/>
      <c r="D455" s="54" t="n"/>
      <c r="E455" s="54" t="n"/>
      <c r="F455" s="54" t="n"/>
      <c r="G455" s="65" t="n"/>
      <c r="H455" s="54" t="n"/>
      <c r="I455" s="106">
        <f>IF($C455="","",IFERROR(INDEX(Sens_Types,MATCH($C455,Liste_Types,0)),""))</f>
        <v/>
      </c>
      <c r="J455" s="107">
        <f>IF($I455="▲ ENTRÉE",$U455,"")</f>
        <v/>
      </c>
      <c r="K455" s="108">
        <f>IF($I455="▼ SORTIE",$U455,"")</f>
        <v/>
      </c>
      <c r="L455" s="109">
        <f>$L454+N($J455)-N($K455)</f>
        <v/>
      </c>
      <c r="M455" s="110" t="n"/>
      <c r="N455" s="54" t="n"/>
      <c r="O455" s="54" t="n"/>
      <c r="P455" s="54" t="n"/>
      <c r="Q455" s="110" t="n"/>
      <c r="R455" s="110" t="n"/>
      <c r="S455" s="54" t="n"/>
      <c r="T455" s="111">
        <f>IF($G455="","",IFERROR(INDEX(Taux_Devises,MATCH(IF($M455="",Devise_Base,$M455),Codes_Devises,0)),1))</f>
        <v/>
      </c>
      <c r="U455" s="112">
        <f>IF($G455="","",ROUND($G455*$T455,2))</f>
        <v/>
      </c>
      <c r="V455" s="113">
        <f>IF($B455="","",MONTH($B455))</f>
        <v/>
      </c>
      <c r="W455" s="113">
        <f>IF($B455="","",YEAR($B455))</f>
        <v/>
      </c>
    </row>
    <row r="456">
      <c r="B456" s="105" t="n"/>
      <c r="C456" s="54" t="n"/>
      <c r="D456" s="54" t="n"/>
      <c r="E456" s="54" t="n"/>
      <c r="F456" s="54" t="n"/>
      <c r="G456" s="65" t="n"/>
      <c r="H456" s="54" t="n"/>
      <c r="I456" s="106">
        <f>IF($C456="","",IFERROR(INDEX(Sens_Types,MATCH($C456,Liste_Types,0)),""))</f>
        <v/>
      </c>
      <c r="J456" s="107">
        <f>IF($I456="▲ ENTRÉE",$U456,"")</f>
        <v/>
      </c>
      <c r="K456" s="108">
        <f>IF($I456="▼ SORTIE",$U456,"")</f>
        <v/>
      </c>
      <c r="L456" s="109">
        <f>$L455+N($J456)-N($K456)</f>
        <v/>
      </c>
      <c r="M456" s="110" t="n"/>
      <c r="N456" s="54" t="n"/>
      <c r="O456" s="54" t="n"/>
      <c r="P456" s="54" t="n"/>
      <c r="Q456" s="110" t="n"/>
      <c r="R456" s="110" t="n"/>
      <c r="S456" s="54" t="n"/>
      <c r="T456" s="111">
        <f>IF($G456="","",IFERROR(INDEX(Taux_Devises,MATCH(IF($M456="",Devise_Base,$M456),Codes_Devises,0)),1))</f>
        <v/>
      </c>
      <c r="U456" s="112">
        <f>IF($G456="","",ROUND($G456*$T456,2))</f>
        <v/>
      </c>
      <c r="V456" s="113">
        <f>IF($B456="","",MONTH($B456))</f>
        <v/>
      </c>
      <c r="W456" s="113">
        <f>IF($B456="","",YEAR($B456))</f>
        <v/>
      </c>
    </row>
    <row r="457">
      <c r="B457" s="105" t="n"/>
      <c r="C457" s="54" t="n"/>
      <c r="D457" s="54" t="n"/>
      <c r="E457" s="54" t="n"/>
      <c r="F457" s="54" t="n"/>
      <c r="G457" s="65" t="n"/>
      <c r="H457" s="54" t="n"/>
      <c r="I457" s="106">
        <f>IF($C457="","",IFERROR(INDEX(Sens_Types,MATCH($C457,Liste_Types,0)),""))</f>
        <v/>
      </c>
      <c r="J457" s="107">
        <f>IF($I457="▲ ENTRÉE",$U457,"")</f>
        <v/>
      </c>
      <c r="K457" s="108">
        <f>IF($I457="▼ SORTIE",$U457,"")</f>
        <v/>
      </c>
      <c r="L457" s="109">
        <f>$L456+N($J457)-N($K457)</f>
        <v/>
      </c>
      <c r="M457" s="110" t="n"/>
      <c r="N457" s="54" t="n"/>
      <c r="O457" s="54" t="n"/>
      <c r="P457" s="54" t="n"/>
      <c r="Q457" s="110" t="n"/>
      <c r="R457" s="110" t="n"/>
      <c r="S457" s="54" t="n"/>
      <c r="T457" s="111">
        <f>IF($G457="","",IFERROR(INDEX(Taux_Devises,MATCH(IF($M457="",Devise_Base,$M457),Codes_Devises,0)),1))</f>
        <v/>
      </c>
      <c r="U457" s="112">
        <f>IF($G457="","",ROUND($G457*$T457,2))</f>
        <v/>
      </c>
      <c r="V457" s="113">
        <f>IF($B457="","",MONTH($B457))</f>
        <v/>
      </c>
      <c r="W457" s="113">
        <f>IF($B457="","",YEAR($B457))</f>
        <v/>
      </c>
    </row>
    <row r="458">
      <c r="B458" s="105" t="n"/>
      <c r="C458" s="54" t="n"/>
      <c r="D458" s="54" t="n"/>
      <c r="E458" s="54" t="n"/>
      <c r="F458" s="54" t="n"/>
      <c r="G458" s="65" t="n"/>
      <c r="H458" s="54" t="n"/>
      <c r="I458" s="106">
        <f>IF($C458="","",IFERROR(INDEX(Sens_Types,MATCH($C458,Liste_Types,0)),""))</f>
        <v/>
      </c>
      <c r="J458" s="107">
        <f>IF($I458="▲ ENTRÉE",$U458,"")</f>
        <v/>
      </c>
      <c r="K458" s="108">
        <f>IF($I458="▼ SORTIE",$U458,"")</f>
        <v/>
      </c>
      <c r="L458" s="109">
        <f>$L457+N($J458)-N($K458)</f>
        <v/>
      </c>
      <c r="M458" s="110" t="n"/>
      <c r="N458" s="54" t="n"/>
      <c r="O458" s="54" t="n"/>
      <c r="P458" s="54" t="n"/>
      <c r="Q458" s="110" t="n"/>
      <c r="R458" s="110" t="n"/>
      <c r="S458" s="54" t="n"/>
      <c r="T458" s="111">
        <f>IF($G458="","",IFERROR(INDEX(Taux_Devises,MATCH(IF($M458="",Devise_Base,$M458),Codes_Devises,0)),1))</f>
        <v/>
      </c>
      <c r="U458" s="112">
        <f>IF($G458="","",ROUND($G458*$T458,2))</f>
        <v/>
      </c>
      <c r="V458" s="113">
        <f>IF($B458="","",MONTH($B458))</f>
        <v/>
      </c>
      <c r="W458" s="113">
        <f>IF($B458="","",YEAR($B458))</f>
        <v/>
      </c>
    </row>
    <row r="459">
      <c r="B459" s="105" t="n"/>
      <c r="C459" s="54" t="n"/>
      <c r="D459" s="54" t="n"/>
      <c r="E459" s="54" t="n"/>
      <c r="F459" s="54" t="n"/>
      <c r="G459" s="65" t="n"/>
      <c r="H459" s="54" t="n"/>
      <c r="I459" s="106">
        <f>IF($C459="","",IFERROR(INDEX(Sens_Types,MATCH($C459,Liste_Types,0)),""))</f>
        <v/>
      </c>
      <c r="J459" s="107">
        <f>IF($I459="▲ ENTRÉE",$U459,"")</f>
        <v/>
      </c>
      <c r="K459" s="108">
        <f>IF($I459="▼ SORTIE",$U459,"")</f>
        <v/>
      </c>
      <c r="L459" s="109">
        <f>$L458+N($J459)-N($K459)</f>
        <v/>
      </c>
      <c r="M459" s="110" t="n"/>
      <c r="N459" s="54" t="n"/>
      <c r="O459" s="54" t="n"/>
      <c r="P459" s="54" t="n"/>
      <c r="Q459" s="110" t="n"/>
      <c r="R459" s="110" t="n"/>
      <c r="S459" s="54" t="n"/>
      <c r="T459" s="111">
        <f>IF($G459="","",IFERROR(INDEX(Taux_Devises,MATCH(IF($M459="",Devise_Base,$M459),Codes_Devises,0)),1))</f>
        <v/>
      </c>
      <c r="U459" s="112">
        <f>IF($G459="","",ROUND($G459*$T459,2))</f>
        <v/>
      </c>
      <c r="V459" s="113">
        <f>IF($B459="","",MONTH($B459))</f>
        <v/>
      </c>
      <c r="W459" s="113">
        <f>IF($B459="","",YEAR($B459))</f>
        <v/>
      </c>
    </row>
    <row r="460">
      <c r="B460" s="105" t="n"/>
      <c r="C460" s="54" t="n"/>
      <c r="D460" s="54" t="n"/>
      <c r="E460" s="54" t="n"/>
      <c r="F460" s="54" t="n"/>
      <c r="G460" s="65" t="n"/>
      <c r="H460" s="54" t="n"/>
      <c r="I460" s="106">
        <f>IF($C460="","",IFERROR(INDEX(Sens_Types,MATCH($C460,Liste_Types,0)),""))</f>
        <v/>
      </c>
      <c r="J460" s="107">
        <f>IF($I460="▲ ENTRÉE",$U460,"")</f>
        <v/>
      </c>
      <c r="K460" s="108">
        <f>IF($I460="▼ SORTIE",$U460,"")</f>
        <v/>
      </c>
      <c r="L460" s="109">
        <f>$L459+N($J460)-N($K460)</f>
        <v/>
      </c>
      <c r="M460" s="110" t="n"/>
      <c r="N460" s="54" t="n"/>
      <c r="O460" s="54" t="n"/>
      <c r="P460" s="54" t="n"/>
      <c r="Q460" s="110" t="n"/>
      <c r="R460" s="110" t="n"/>
      <c r="S460" s="54" t="n"/>
      <c r="T460" s="111">
        <f>IF($G460="","",IFERROR(INDEX(Taux_Devises,MATCH(IF($M460="",Devise_Base,$M460),Codes_Devises,0)),1))</f>
        <v/>
      </c>
      <c r="U460" s="112">
        <f>IF($G460="","",ROUND($G460*$T460,2))</f>
        <v/>
      </c>
      <c r="V460" s="113">
        <f>IF($B460="","",MONTH($B460))</f>
        <v/>
      </c>
      <c r="W460" s="113">
        <f>IF($B460="","",YEAR($B460))</f>
        <v/>
      </c>
    </row>
    <row r="461">
      <c r="B461" s="105" t="n"/>
      <c r="C461" s="54" t="n"/>
      <c r="D461" s="54" t="n"/>
      <c r="E461" s="54" t="n"/>
      <c r="F461" s="54" t="n"/>
      <c r="G461" s="65" t="n"/>
      <c r="H461" s="54" t="n"/>
      <c r="I461" s="106">
        <f>IF($C461="","",IFERROR(INDEX(Sens_Types,MATCH($C461,Liste_Types,0)),""))</f>
        <v/>
      </c>
      <c r="J461" s="107">
        <f>IF($I461="▲ ENTRÉE",$U461,"")</f>
        <v/>
      </c>
      <c r="K461" s="108">
        <f>IF($I461="▼ SORTIE",$U461,"")</f>
        <v/>
      </c>
      <c r="L461" s="109">
        <f>$L460+N($J461)-N($K461)</f>
        <v/>
      </c>
      <c r="M461" s="110" t="n"/>
      <c r="N461" s="54" t="n"/>
      <c r="O461" s="54" t="n"/>
      <c r="P461" s="54" t="n"/>
      <c r="Q461" s="110" t="n"/>
      <c r="R461" s="110" t="n"/>
      <c r="S461" s="54" t="n"/>
      <c r="T461" s="111">
        <f>IF($G461="","",IFERROR(INDEX(Taux_Devises,MATCH(IF($M461="",Devise_Base,$M461),Codes_Devises,0)),1))</f>
        <v/>
      </c>
      <c r="U461" s="112">
        <f>IF($G461="","",ROUND($G461*$T461,2))</f>
        <v/>
      </c>
      <c r="V461" s="113">
        <f>IF($B461="","",MONTH($B461))</f>
        <v/>
      </c>
      <c r="W461" s="113">
        <f>IF($B461="","",YEAR($B461))</f>
        <v/>
      </c>
    </row>
    <row r="462">
      <c r="B462" s="105" t="n"/>
      <c r="C462" s="54" t="n"/>
      <c r="D462" s="54" t="n"/>
      <c r="E462" s="54" t="n"/>
      <c r="F462" s="54" t="n"/>
      <c r="G462" s="65" t="n"/>
      <c r="H462" s="54" t="n"/>
      <c r="I462" s="106">
        <f>IF($C462="","",IFERROR(INDEX(Sens_Types,MATCH($C462,Liste_Types,0)),""))</f>
        <v/>
      </c>
      <c r="J462" s="107">
        <f>IF($I462="▲ ENTRÉE",$U462,"")</f>
        <v/>
      </c>
      <c r="K462" s="108">
        <f>IF($I462="▼ SORTIE",$U462,"")</f>
        <v/>
      </c>
      <c r="L462" s="109">
        <f>$L461+N($J462)-N($K462)</f>
        <v/>
      </c>
      <c r="M462" s="110" t="n"/>
      <c r="N462" s="54" t="n"/>
      <c r="O462" s="54" t="n"/>
      <c r="P462" s="54" t="n"/>
      <c r="Q462" s="110" t="n"/>
      <c r="R462" s="110" t="n"/>
      <c r="S462" s="54" t="n"/>
      <c r="T462" s="111">
        <f>IF($G462="","",IFERROR(INDEX(Taux_Devises,MATCH(IF($M462="",Devise_Base,$M462),Codes_Devises,0)),1))</f>
        <v/>
      </c>
      <c r="U462" s="112">
        <f>IF($G462="","",ROUND($G462*$T462,2))</f>
        <v/>
      </c>
      <c r="V462" s="113">
        <f>IF($B462="","",MONTH($B462))</f>
        <v/>
      </c>
      <c r="W462" s="113">
        <f>IF($B462="","",YEAR($B462))</f>
        <v/>
      </c>
    </row>
    <row r="463">
      <c r="B463" s="105" t="n"/>
      <c r="C463" s="54" t="n"/>
      <c r="D463" s="54" t="n"/>
      <c r="E463" s="54" t="n"/>
      <c r="F463" s="54" t="n"/>
      <c r="G463" s="65" t="n"/>
      <c r="H463" s="54" t="n"/>
      <c r="I463" s="106">
        <f>IF($C463="","",IFERROR(INDEX(Sens_Types,MATCH($C463,Liste_Types,0)),""))</f>
        <v/>
      </c>
      <c r="J463" s="107">
        <f>IF($I463="▲ ENTRÉE",$U463,"")</f>
        <v/>
      </c>
      <c r="K463" s="108">
        <f>IF($I463="▼ SORTIE",$U463,"")</f>
        <v/>
      </c>
      <c r="L463" s="109">
        <f>$L462+N($J463)-N($K463)</f>
        <v/>
      </c>
      <c r="M463" s="110" t="n"/>
      <c r="N463" s="54" t="n"/>
      <c r="O463" s="54" t="n"/>
      <c r="P463" s="54" t="n"/>
      <c r="Q463" s="110" t="n"/>
      <c r="R463" s="110" t="n"/>
      <c r="S463" s="54" t="n"/>
      <c r="T463" s="111">
        <f>IF($G463="","",IFERROR(INDEX(Taux_Devises,MATCH(IF($M463="",Devise_Base,$M463),Codes_Devises,0)),1))</f>
        <v/>
      </c>
      <c r="U463" s="112">
        <f>IF($G463="","",ROUND($G463*$T463,2))</f>
        <v/>
      </c>
      <c r="V463" s="113">
        <f>IF($B463="","",MONTH($B463))</f>
        <v/>
      </c>
      <c r="W463" s="113">
        <f>IF($B463="","",YEAR($B463))</f>
        <v/>
      </c>
    </row>
    <row r="464">
      <c r="B464" s="105" t="n"/>
      <c r="C464" s="54" t="n"/>
      <c r="D464" s="54" t="n"/>
      <c r="E464" s="54" t="n"/>
      <c r="F464" s="54" t="n"/>
      <c r="G464" s="65" t="n"/>
      <c r="H464" s="54" t="n"/>
      <c r="I464" s="106">
        <f>IF($C464="","",IFERROR(INDEX(Sens_Types,MATCH($C464,Liste_Types,0)),""))</f>
        <v/>
      </c>
      <c r="J464" s="107">
        <f>IF($I464="▲ ENTRÉE",$U464,"")</f>
        <v/>
      </c>
      <c r="K464" s="108">
        <f>IF($I464="▼ SORTIE",$U464,"")</f>
        <v/>
      </c>
      <c r="L464" s="109">
        <f>$L463+N($J464)-N($K464)</f>
        <v/>
      </c>
      <c r="M464" s="110" t="n"/>
      <c r="N464" s="54" t="n"/>
      <c r="O464" s="54" t="n"/>
      <c r="P464" s="54" t="n"/>
      <c r="Q464" s="110" t="n"/>
      <c r="R464" s="110" t="n"/>
      <c r="S464" s="54" t="n"/>
      <c r="T464" s="111">
        <f>IF($G464="","",IFERROR(INDEX(Taux_Devises,MATCH(IF($M464="",Devise_Base,$M464),Codes_Devises,0)),1))</f>
        <v/>
      </c>
      <c r="U464" s="112">
        <f>IF($G464="","",ROUND($G464*$T464,2))</f>
        <v/>
      </c>
      <c r="V464" s="113">
        <f>IF($B464="","",MONTH($B464))</f>
        <v/>
      </c>
      <c r="W464" s="113">
        <f>IF($B464="","",YEAR($B464))</f>
        <v/>
      </c>
    </row>
    <row r="465">
      <c r="B465" s="105" t="n"/>
      <c r="C465" s="54" t="n"/>
      <c r="D465" s="54" t="n"/>
      <c r="E465" s="54" t="n"/>
      <c r="F465" s="54" t="n"/>
      <c r="G465" s="65" t="n"/>
      <c r="H465" s="54" t="n"/>
      <c r="I465" s="106">
        <f>IF($C465="","",IFERROR(INDEX(Sens_Types,MATCH($C465,Liste_Types,0)),""))</f>
        <v/>
      </c>
      <c r="J465" s="107">
        <f>IF($I465="▲ ENTRÉE",$U465,"")</f>
        <v/>
      </c>
      <c r="K465" s="108">
        <f>IF($I465="▼ SORTIE",$U465,"")</f>
        <v/>
      </c>
      <c r="L465" s="109">
        <f>$L464+N($J465)-N($K465)</f>
        <v/>
      </c>
      <c r="M465" s="110" t="n"/>
      <c r="N465" s="54" t="n"/>
      <c r="O465" s="54" t="n"/>
      <c r="P465" s="54" t="n"/>
      <c r="Q465" s="110" t="n"/>
      <c r="R465" s="110" t="n"/>
      <c r="S465" s="54" t="n"/>
      <c r="T465" s="111">
        <f>IF($G465="","",IFERROR(INDEX(Taux_Devises,MATCH(IF($M465="",Devise_Base,$M465),Codes_Devises,0)),1))</f>
        <v/>
      </c>
      <c r="U465" s="112">
        <f>IF($G465="","",ROUND($G465*$T465,2))</f>
        <v/>
      </c>
      <c r="V465" s="113">
        <f>IF($B465="","",MONTH($B465))</f>
        <v/>
      </c>
      <c r="W465" s="113">
        <f>IF($B465="","",YEAR($B465))</f>
        <v/>
      </c>
    </row>
    <row r="466">
      <c r="B466" s="105" t="n"/>
      <c r="C466" s="54" t="n"/>
      <c r="D466" s="54" t="n"/>
      <c r="E466" s="54" t="n"/>
      <c r="F466" s="54" t="n"/>
      <c r="G466" s="65" t="n"/>
      <c r="H466" s="54" t="n"/>
      <c r="I466" s="106">
        <f>IF($C466="","",IFERROR(INDEX(Sens_Types,MATCH($C466,Liste_Types,0)),""))</f>
        <v/>
      </c>
      <c r="J466" s="107">
        <f>IF($I466="▲ ENTRÉE",$U466,"")</f>
        <v/>
      </c>
      <c r="K466" s="108">
        <f>IF($I466="▼ SORTIE",$U466,"")</f>
        <v/>
      </c>
      <c r="L466" s="109">
        <f>$L465+N($J466)-N($K466)</f>
        <v/>
      </c>
      <c r="M466" s="110" t="n"/>
      <c r="N466" s="54" t="n"/>
      <c r="O466" s="54" t="n"/>
      <c r="P466" s="54" t="n"/>
      <c r="Q466" s="110" t="n"/>
      <c r="R466" s="110" t="n"/>
      <c r="S466" s="54" t="n"/>
      <c r="T466" s="111">
        <f>IF($G466="","",IFERROR(INDEX(Taux_Devises,MATCH(IF($M466="",Devise_Base,$M466),Codes_Devises,0)),1))</f>
        <v/>
      </c>
      <c r="U466" s="112">
        <f>IF($G466="","",ROUND($G466*$T466,2))</f>
        <v/>
      </c>
      <c r="V466" s="113">
        <f>IF($B466="","",MONTH($B466))</f>
        <v/>
      </c>
      <c r="W466" s="113">
        <f>IF($B466="","",YEAR($B466))</f>
        <v/>
      </c>
    </row>
    <row r="467">
      <c r="B467" s="105" t="n"/>
      <c r="C467" s="54" t="n"/>
      <c r="D467" s="54" t="n"/>
      <c r="E467" s="54" t="n"/>
      <c r="F467" s="54" t="n"/>
      <c r="G467" s="65" t="n"/>
      <c r="H467" s="54" t="n"/>
      <c r="I467" s="106">
        <f>IF($C467="","",IFERROR(INDEX(Sens_Types,MATCH($C467,Liste_Types,0)),""))</f>
        <v/>
      </c>
      <c r="J467" s="107">
        <f>IF($I467="▲ ENTRÉE",$U467,"")</f>
        <v/>
      </c>
      <c r="K467" s="108">
        <f>IF($I467="▼ SORTIE",$U467,"")</f>
        <v/>
      </c>
      <c r="L467" s="109">
        <f>$L466+N($J467)-N($K467)</f>
        <v/>
      </c>
      <c r="M467" s="110" t="n"/>
      <c r="N467" s="54" t="n"/>
      <c r="O467" s="54" t="n"/>
      <c r="P467" s="54" t="n"/>
      <c r="Q467" s="110" t="n"/>
      <c r="R467" s="110" t="n"/>
      <c r="S467" s="54" t="n"/>
      <c r="T467" s="111">
        <f>IF($G467="","",IFERROR(INDEX(Taux_Devises,MATCH(IF($M467="",Devise_Base,$M467),Codes_Devises,0)),1))</f>
        <v/>
      </c>
      <c r="U467" s="112">
        <f>IF($G467="","",ROUND($G467*$T467,2))</f>
        <v/>
      </c>
      <c r="V467" s="113">
        <f>IF($B467="","",MONTH($B467))</f>
        <v/>
      </c>
      <c r="W467" s="113">
        <f>IF($B467="","",YEAR($B467))</f>
        <v/>
      </c>
    </row>
    <row r="468">
      <c r="B468" s="105" t="n"/>
      <c r="C468" s="54" t="n"/>
      <c r="D468" s="54" t="n"/>
      <c r="E468" s="54" t="n"/>
      <c r="F468" s="54" t="n"/>
      <c r="G468" s="65" t="n"/>
      <c r="H468" s="54" t="n"/>
      <c r="I468" s="106">
        <f>IF($C468="","",IFERROR(INDEX(Sens_Types,MATCH($C468,Liste_Types,0)),""))</f>
        <v/>
      </c>
      <c r="J468" s="107">
        <f>IF($I468="▲ ENTRÉE",$U468,"")</f>
        <v/>
      </c>
      <c r="K468" s="108">
        <f>IF($I468="▼ SORTIE",$U468,"")</f>
        <v/>
      </c>
      <c r="L468" s="109">
        <f>$L467+N($J468)-N($K468)</f>
        <v/>
      </c>
      <c r="M468" s="110" t="n"/>
      <c r="N468" s="54" t="n"/>
      <c r="O468" s="54" t="n"/>
      <c r="P468" s="54" t="n"/>
      <c r="Q468" s="110" t="n"/>
      <c r="R468" s="110" t="n"/>
      <c r="S468" s="54" t="n"/>
      <c r="T468" s="111">
        <f>IF($G468="","",IFERROR(INDEX(Taux_Devises,MATCH(IF($M468="",Devise_Base,$M468),Codes_Devises,0)),1))</f>
        <v/>
      </c>
      <c r="U468" s="112">
        <f>IF($G468="","",ROUND($G468*$T468,2))</f>
        <v/>
      </c>
      <c r="V468" s="113">
        <f>IF($B468="","",MONTH($B468))</f>
        <v/>
      </c>
      <c r="W468" s="113">
        <f>IF($B468="","",YEAR($B468))</f>
        <v/>
      </c>
    </row>
    <row r="469">
      <c r="B469" s="105" t="n"/>
      <c r="C469" s="54" t="n"/>
      <c r="D469" s="54" t="n"/>
      <c r="E469" s="54" t="n"/>
      <c r="F469" s="54" t="n"/>
      <c r="G469" s="65" t="n"/>
      <c r="H469" s="54" t="n"/>
      <c r="I469" s="106">
        <f>IF($C469="","",IFERROR(INDEX(Sens_Types,MATCH($C469,Liste_Types,0)),""))</f>
        <v/>
      </c>
      <c r="J469" s="107">
        <f>IF($I469="▲ ENTRÉE",$U469,"")</f>
        <v/>
      </c>
      <c r="K469" s="108">
        <f>IF($I469="▼ SORTIE",$U469,"")</f>
        <v/>
      </c>
      <c r="L469" s="109">
        <f>$L468+N($J469)-N($K469)</f>
        <v/>
      </c>
      <c r="M469" s="110" t="n"/>
      <c r="N469" s="54" t="n"/>
      <c r="O469" s="54" t="n"/>
      <c r="P469" s="54" t="n"/>
      <c r="Q469" s="110" t="n"/>
      <c r="R469" s="110" t="n"/>
      <c r="S469" s="54" t="n"/>
      <c r="T469" s="111">
        <f>IF($G469="","",IFERROR(INDEX(Taux_Devises,MATCH(IF($M469="",Devise_Base,$M469),Codes_Devises,0)),1))</f>
        <v/>
      </c>
      <c r="U469" s="112">
        <f>IF($G469="","",ROUND($G469*$T469,2))</f>
        <v/>
      </c>
      <c r="V469" s="113">
        <f>IF($B469="","",MONTH($B469))</f>
        <v/>
      </c>
      <c r="W469" s="113">
        <f>IF($B469="","",YEAR($B469))</f>
        <v/>
      </c>
    </row>
    <row r="470">
      <c r="B470" s="105" t="n"/>
      <c r="C470" s="54" t="n"/>
      <c r="D470" s="54" t="n"/>
      <c r="E470" s="54" t="n"/>
      <c r="F470" s="54" t="n"/>
      <c r="G470" s="65" t="n"/>
      <c r="H470" s="54" t="n"/>
      <c r="I470" s="106">
        <f>IF($C470="","",IFERROR(INDEX(Sens_Types,MATCH($C470,Liste_Types,0)),""))</f>
        <v/>
      </c>
      <c r="J470" s="107">
        <f>IF($I470="▲ ENTRÉE",$U470,"")</f>
        <v/>
      </c>
      <c r="K470" s="108">
        <f>IF($I470="▼ SORTIE",$U470,"")</f>
        <v/>
      </c>
      <c r="L470" s="109">
        <f>$L469+N($J470)-N($K470)</f>
        <v/>
      </c>
      <c r="M470" s="110" t="n"/>
      <c r="N470" s="54" t="n"/>
      <c r="O470" s="54" t="n"/>
      <c r="P470" s="54" t="n"/>
      <c r="Q470" s="110" t="n"/>
      <c r="R470" s="110" t="n"/>
      <c r="S470" s="54" t="n"/>
      <c r="T470" s="111">
        <f>IF($G470="","",IFERROR(INDEX(Taux_Devises,MATCH(IF($M470="",Devise_Base,$M470),Codes_Devises,0)),1))</f>
        <v/>
      </c>
      <c r="U470" s="112">
        <f>IF($G470="","",ROUND($G470*$T470,2))</f>
        <v/>
      </c>
      <c r="V470" s="113">
        <f>IF($B470="","",MONTH($B470))</f>
        <v/>
      </c>
      <c r="W470" s="113">
        <f>IF($B470="","",YEAR($B470))</f>
        <v/>
      </c>
    </row>
    <row r="471">
      <c r="B471" s="105" t="n"/>
      <c r="C471" s="54" t="n"/>
      <c r="D471" s="54" t="n"/>
      <c r="E471" s="54" t="n"/>
      <c r="F471" s="54" t="n"/>
      <c r="G471" s="65" t="n"/>
      <c r="H471" s="54" t="n"/>
      <c r="I471" s="106">
        <f>IF($C471="","",IFERROR(INDEX(Sens_Types,MATCH($C471,Liste_Types,0)),""))</f>
        <v/>
      </c>
      <c r="J471" s="107">
        <f>IF($I471="▲ ENTRÉE",$U471,"")</f>
        <v/>
      </c>
      <c r="K471" s="108">
        <f>IF($I471="▼ SORTIE",$U471,"")</f>
        <v/>
      </c>
      <c r="L471" s="109">
        <f>$L470+N($J471)-N($K471)</f>
        <v/>
      </c>
      <c r="M471" s="110" t="n"/>
      <c r="N471" s="54" t="n"/>
      <c r="O471" s="54" t="n"/>
      <c r="P471" s="54" t="n"/>
      <c r="Q471" s="110" t="n"/>
      <c r="R471" s="110" t="n"/>
      <c r="S471" s="54" t="n"/>
      <c r="T471" s="111">
        <f>IF($G471="","",IFERROR(INDEX(Taux_Devises,MATCH(IF($M471="",Devise_Base,$M471),Codes_Devises,0)),1))</f>
        <v/>
      </c>
      <c r="U471" s="112">
        <f>IF($G471="","",ROUND($G471*$T471,2))</f>
        <v/>
      </c>
      <c r="V471" s="113">
        <f>IF($B471="","",MONTH($B471))</f>
        <v/>
      </c>
      <c r="W471" s="113">
        <f>IF($B471="","",YEAR($B471))</f>
        <v/>
      </c>
    </row>
    <row r="472">
      <c r="B472" s="105" t="n"/>
      <c r="C472" s="54" t="n"/>
      <c r="D472" s="54" t="n"/>
      <c r="E472" s="54" t="n"/>
      <c r="F472" s="54" t="n"/>
      <c r="G472" s="65" t="n"/>
      <c r="H472" s="54" t="n"/>
      <c r="I472" s="106">
        <f>IF($C472="","",IFERROR(INDEX(Sens_Types,MATCH($C472,Liste_Types,0)),""))</f>
        <v/>
      </c>
      <c r="J472" s="107">
        <f>IF($I472="▲ ENTRÉE",$U472,"")</f>
        <v/>
      </c>
      <c r="K472" s="108">
        <f>IF($I472="▼ SORTIE",$U472,"")</f>
        <v/>
      </c>
      <c r="L472" s="109">
        <f>$L471+N($J472)-N($K472)</f>
        <v/>
      </c>
      <c r="M472" s="110" t="n"/>
      <c r="N472" s="54" t="n"/>
      <c r="O472" s="54" t="n"/>
      <c r="P472" s="54" t="n"/>
      <c r="Q472" s="110" t="n"/>
      <c r="R472" s="110" t="n"/>
      <c r="S472" s="54" t="n"/>
      <c r="T472" s="111">
        <f>IF($G472="","",IFERROR(INDEX(Taux_Devises,MATCH(IF($M472="",Devise_Base,$M472),Codes_Devises,0)),1))</f>
        <v/>
      </c>
      <c r="U472" s="112">
        <f>IF($G472="","",ROUND($G472*$T472,2))</f>
        <v/>
      </c>
      <c r="V472" s="113">
        <f>IF($B472="","",MONTH($B472))</f>
        <v/>
      </c>
      <c r="W472" s="113">
        <f>IF($B472="","",YEAR($B472))</f>
        <v/>
      </c>
    </row>
    <row r="473">
      <c r="B473" s="105" t="n"/>
      <c r="C473" s="54" t="n"/>
      <c r="D473" s="54" t="n"/>
      <c r="E473" s="54" t="n"/>
      <c r="F473" s="54" t="n"/>
      <c r="G473" s="65" t="n"/>
      <c r="H473" s="54" t="n"/>
      <c r="I473" s="106">
        <f>IF($C473="","",IFERROR(INDEX(Sens_Types,MATCH($C473,Liste_Types,0)),""))</f>
        <v/>
      </c>
      <c r="J473" s="107">
        <f>IF($I473="▲ ENTRÉE",$U473,"")</f>
        <v/>
      </c>
      <c r="K473" s="108">
        <f>IF($I473="▼ SORTIE",$U473,"")</f>
        <v/>
      </c>
      <c r="L473" s="109">
        <f>$L472+N($J473)-N($K473)</f>
        <v/>
      </c>
      <c r="M473" s="110" t="n"/>
      <c r="N473" s="54" t="n"/>
      <c r="O473" s="54" t="n"/>
      <c r="P473" s="54" t="n"/>
      <c r="Q473" s="110" t="n"/>
      <c r="R473" s="110" t="n"/>
      <c r="S473" s="54" t="n"/>
      <c r="T473" s="111">
        <f>IF($G473="","",IFERROR(INDEX(Taux_Devises,MATCH(IF($M473="",Devise_Base,$M473),Codes_Devises,0)),1))</f>
        <v/>
      </c>
      <c r="U473" s="112">
        <f>IF($G473="","",ROUND($G473*$T473,2))</f>
        <v/>
      </c>
      <c r="V473" s="113">
        <f>IF($B473="","",MONTH($B473))</f>
        <v/>
      </c>
      <c r="W473" s="113">
        <f>IF($B473="","",YEAR($B473))</f>
        <v/>
      </c>
    </row>
    <row r="474">
      <c r="B474" s="105" t="n"/>
      <c r="C474" s="54" t="n"/>
      <c r="D474" s="54" t="n"/>
      <c r="E474" s="54" t="n"/>
      <c r="F474" s="54" t="n"/>
      <c r="G474" s="65" t="n"/>
      <c r="H474" s="54" t="n"/>
      <c r="I474" s="106">
        <f>IF($C474="","",IFERROR(INDEX(Sens_Types,MATCH($C474,Liste_Types,0)),""))</f>
        <v/>
      </c>
      <c r="J474" s="107">
        <f>IF($I474="▲ ENTRÉE",$U474,"")</f>
        <v/>
      </c>
      <c r="K474" s="108">
        <f>IF($I474="▼ SORTIE",$U474,"")</f>
        <v/>
      </c>
      <c r="L474" s="109">
        <f>$L473+N($J474)-N($K474)</f>
        <v/>
      </c>
      <c r="M474" s="110" t="n"/>
      <c r="N474" s="54" t="n"/>
      <c r="O474" s="54" t="n"/>
      <c r="P474" s="54" t="n"/>
      <c r="Q474" s="110" t="n"/>
      <c r="R474" s="110" t="n"/>
      <c r="S474" s="54" t="n"/>
      <c r="T474" s="111">
        <f>IF($G474="","",IFERROR(INDEX(Taux_Devises,MATCH(IF($M474="",Devise_Base,$M474),Codes_Devises,0)),1))</f>
        <v/>
      </c>
      <c r="U474" s="112">
        <f>IF($G474="","",ROUND($G474*$T474,2))</f>
        <v/>
      </c>
      <c r="V474" s="113">
        <f>IF($B474="","",MONTH($B474))</f>
        <v/>
      </c>
      <c r="W474" s="113">
        <f>IF($B474="","",YEAR($B474))</f>
        <v/>
      </c>
    </row>
    <row r="475">
      <c r="B475" s="105" t="n"/>
      <c r="C475" s="54" t="n"/>
      <c r="D475" s="54" t="n"/>
      <c r="E475" s="54" t="n"/>
      <c r="F475" s="54" t="n"/>
      <c r="G475" s="65" t="n"/>
      <c r="H475" s="54" t="n"/>
      <c r="I475" s="106">
        <f>IF($C475="","",IFERROR(INDEX(Sens_Types,MATCH($C475,Liste_Types,0)),""))</f>
        <v/>
      </c>
      <c r="J475" s="107">
        <f>IF($I475="▲ ENTRÉE",$U475,"")</f>
        <v/>
      </c>
      <c r="K475" s="108">
        <f>IF($I475="▼ SORTIE",$U475,"")</f>
        <v/>
      </c>
      <c r="L475" s="109">
        <f>$L474+N($J475)-N($K475)</f>
        <v/>
      </c>
      <c r="M475" s="110" t="n"/>
      <c r="N475" s="54" t="n"/>
      <c r="O475" s="54" t="n"/>
      <c r="P475" s="54" t="n"/>
      <c r="Q475" s="110" t="n"/>
      <c r="R475" s="110" t="n"/>
      <c r="S475" s="54" t="n"/>
      <c r="T475" s="111">
        <f>IF($G475="","",IFERROR(INDEX(Taux_Devises,MATCH(IF($M475="",Devise_Base,$M475),Codes_Devises,0)),1))</f>
        <v/>
      </c>
      <c r="U475" s="112">
        <f>IF($G475="","",ROUND($G475*$T475,2))</f>
        <v/>
      </c>
      <c r="V475" s="113">
        <f>IF($B475="","",MONTH($B475))</f>
        <v/>
      </c>
      <c r="W475" s="113">
        <f>IF($B475="","",YEAR($B475))</f>
        <v/>
      </c>
    </row>
    <row r="476">
      <c r="B476" s="105" t="n"/>
      <c r="C476" s="54" t="n"/>
      <c r="D476" s="54" t="n"/>
      <c r="E476" s="54" t="n"/>
      <c r="F476" s="54" t="n"/>
      <c r="G476" s="65" t="n"/>
      <c r="H476" s="54" t="n"/>
      <c r="I476" s="106">
        <f>IF($C476="","",IFERROR(INDEX(Sens_Types,MATCH($C476,Liste_Types,0)),""))</f>
        <v/>
      </c>
      <c r="J476" s="107">
        <f>IF($I476="▲ ENTRÉE",$U476,"")</f>
        <v/>
      </c>
      <c r="K476" s="108">
        <f>IF($I476="▼ SORTIE",$U476,"")</f>
        <v/>
      </c>
      <c r="L476" s="109">
        <f>$L475+N($J476)-N($K476)</f>
        <v/>
      </c>
      <c r="M476" s="110" t="n"/>
      <c r="N476" s="54" t="n"/>
      <c r="O476" s="54" t="n"/>
      <c r="P476" s="54" t="n"/>
      <c r="Q476" s="110" t="n"/>
      <c r="R476" s="110" t="n"/>
      <c r="S476" s="54" t="n"/>
      <c r="T476" s="111">
        <f>IF($G476="","",IFERROR(INDEX(Taux_Devises,MATCH(IF($M476="",Devise_Base,$M476),Codes_Devises,0)),1))</f>
        <v/>
      </c>
      <c r="U476" s="112">
        <f>IF($G476="","",ROUND($G476*$T476,2))</f>
        <v/>
      </c>
      <c r="V476" s="113">
        <f>IF($B476="","",MONTH($B476))</f>
        <v/>
      </c>
      <c r="W476" s="113">
        <f>IF($B476="","",YEAR($B476))</f>
        <v/>
      </c>
    </row>
    <row r="477">
      <c r="B477" s="105" t="n"/>
      <c r="C477" s="54" t="n"/>
      <c r="D477" s="54" t="n"/>
      <c r="E477" s="54" t="n"/>
      <c r="F477" s="54" t="n"/>
      <c r="G477" s="65" t="n"/>
      <c r="H477" s="54" t="n"/>
      <c r="I477" s="106">
        <f>IF($C477="","",IFERROR(INDEX(Sens_Types,MATCH($C477,Liste_Types,0)),""))</f>
        <v/>
      </c>
      <c r="J477" s="107">
        <f>IF($I477="▲ ENTRÉE",$U477,"")</f>
        <v/>
      </c>
      <c r="K477" s="108">
        <f>IF($I477="▼ SORTIE",$U477,"")</f>
        <v/>
      </c>
      <c r="L477" s="109">
        <f>$L476+N($J477)-N($K477)</f>
        <v/>
      </c>
      <c r="M477" s="110" t="n"/>
      <c r="N477" s="54" t="n"/>
      <c r="O477" s="54" t="n"/>
      <c r="P477" s="54" t="n"/>
      <c r="Q477" s="110" t="n"/>
      <c r="R477" s="110" t="n"/>
      <c r="S477" s="54" t="n"/>
      <c r="T477" s="111">
        <f>IF($G477="","",IFERROR(INDEX(Taux_Devises,MATCH(IF($M477="",Devise_Base,$M477),Codes_Devises,0)),1))</f>
        <v/>
      </c>
      <c r="U477" s="112">
        <f>IF($G477="","",ROUND($G477*$T477,2))</f>
        <v/>
      </c>
      <c r="V477" s="113">
        <f>IF($B477="","",MONTH($B477))</f>
        <v/>
      </c>
      <c r="W477" s="113">
        <f>IF($B477="","",YEAR($B477))</f>
        <v/>
      </c>
    </row>
    <row r="478">
      <c r="B478" s="105" t="n"/>
      <c r="C478" s="54" t="n"/>
      <c r="D478" s="54" t="n"/>
      <c r="E478" s="54" t="n"/>
      <c r="F478" s="54" t="n"/>
      <c r="G478" s="65" t="n"/>
      <c r="H478" s="54" t="n"/>
      <c r="I478" s="106">
        <f>IF($C478="","",IFERROR(INDEX(Sens_Types,MATCH($C478,Liste_Types,0)),""))</f>
        <v/>
      </c>
      <c r="J478" s="107">
        <f>IF($I478="▲ ENTRÉE",$U478,"")</f>
        <v/>
      </c>
      <c r="K478" s="108">
        <f>IF($I478="▼ SORTIE",$U478,"")</f>
        <v/>
      </c>
      <c r="L478" s="109">
        <f>$L477+N($J478)-N($K478)</f>
        <v/>
      </c>
      <c r="M478" s="110" t="n"/>
      <c r="N478" s="54" t="n"/>
      <c r="O478" s="54" t="n"/>
      <c r="P478" s="54" t="n"/>
      <c r="Q478" s="110" t="n"/>
      <c r="R478" s="110" t="n"/>
      <c r="S478" s="54" t="n"/>
      <c r="T478" s="111">
        <f>IF($G478="","",IFERROR(INDEX(Taux_Devises,MATCH(IF($M478="",Devise_Base,$M478),Codes_Devises,0)),1))</f>
        <v/>
      </c>
      <c r="U478" s="112">
        <f>IF($G478="","",ROUND($G478*$T478,2))</f>
        <v/>
      </c>
      <c r="V478" s="113">
        <f>IF($B478="","",MONTH($B478))</f>
        <v/>
      </c>
      <c r="W478" s="113">
        <f>IF($B478="","",YEAR($B478))</f>
        <v/>
      </c>
    </row>
    <row r="479">
      <c r="B479" s="105" t="n"/>
      <c r="C479" s="54" t="n"/>
      <c r="D479" s="54" t="n"/>
      <c r="E479" s="54" t="n"/>
      <c r="F479" s="54" t="n"/>
      <c r="G479" s="65" t="n"/>
      <c r="H479" s="54" t="n"/>
      <c r="I479" s="106">
        <f>IF($C479="","",IFERROR(INDEX(Sens_Types,MATCH($C479,Liste_Types,0)),""))</f>
        <v/>
      </c>
      <c r="J479" s="107">
        <f>IF($I479="▲ ENTRÉE",$U479,"")</f>
        <v/>
      </c>
      <c r="K479" s="108">
        <f>IF($I479="▼ SORTIE",$U479,"")</f>
        <v/>
      </c>
      <c r="L479" s="109">
        <f>$L478+N($J479)-N($K479)</f>
        <v/>
      </c>
      <c r="M479" s="110" t="n"/>
      <c r="N479" s="54" t="n"/>
      <c r="O479" s="54" t="n"/>
      <c r="P479" s="54" t="n"/>
      <c r="Q479" s="110" t="n"/>
      <c r="R479" s="110" t="n"/>
      <c r="S479" s="54" t="n"/>
      <c r="T479" s="111">
        <f>IF($G479="","",IFERROR(INDEX(Taux_Devises,MATCH(IF($M479="",Devise_Base,$M479),Codes_Devises,0)),1))</f>
        <v/>
      </c>
      <c r="U479" s="112">
        <f>IF($G479="","",ROUND($G479*$T479,2))</f>
        <v/>
      </c>
      <c r="V479" s="113">
        <f>IF($B479="","",MONTH($B479))</f>
        <v/>
      </c>
      <c r="W479" s="113">
        <f>IF($B479="","",YEAR($B479))</f>
        <v/>
      </c>
    </row>
    <row r="480">
      <c r="B480" s="105" t="n"/>
      <c r="C480" s="54" t="n"/>
      <c r="D480" s="54" t="n"/>
      <c r="E480" s="54" t="n"/>
      <c r="F480" s="54" t="n"/>
      <c r="G480" s="65" t="n"/>
      <c r="H480" s="54" t="n"/>
      <c r="I480" s="106">
        <f>IF($C480="","",IFERROR(INDEX(Sens_Types,MATCH($C480,Liste_Types,0)),""))</f>
        <v/>
      </c>
      <c r="J480" s="107">
        <f>IF($I480="▲ ENTRÉE",$U480,"")</f>
        <v/>
      </c>
      <c r="K480" s="108">
        <f>IF($I480="▼ SORTIE",$U480,"")</f>
        <v/>
      </c>
      <c r="L480" s="109">
        <f>$L479+N($J480)-N($K480)</f>
        <v/>
      </c>
      <c r="M480" s="110" t="n"/>
      <c r="N480" s="54" t="n"/>
      <c r="O480" s="54" t="n"/>
      <c r="P480" s="54" t="n"/>
      <c r="Q480" s="110" t="n"/>
      <c r="R480" s="110" t="n"/>
      <c r="S480" s="54" t="n"/>
      <c r="T480" s="111">
        <f>IF($G480="","",IFERROR(INDEX(Taux_Devises,MATCH(IF($M480="",Devise_Base,$M480),Codes_Devises,0)),1))</f>
        <v/>
      </c>
      <c r="U480" s="112">
        <f>IF($G480="","",ROUND($G480*$T480,2))</f>
        <v/>
      </c>
      <c r="V480" s="113">
        <f>IF($B480="","",MONTH($B480))</f>
        <v/>
      </c>
      <c r="W480" s="113">
        <f>IF($B480="","",YEAR($B480))</f>
        <v/>
      </c>
    </row>
    <row r="481">
      <c r="B481" s="105" t="n"/>
      <c r="C481" s="54" t="n"/>
      <c r="D481" s="54" t="n"/>
      <c r="E481" s="54" t="n"/>
      <c r="F481" s="54" t="n"/>
      <c r="G481" s="65" t="n"/>
      <c r="H481" s="54" t="n"/>
      <c r="I481" s="106">
        <f>IF($C481="","",IFERROR(INDEX(Sens_Types,MATCH($C481,Liste_Types,0)),""))</f>
        <v/>
      </c>
      <c r="J481" s="107">
        <f>IF($I481="▲ ENTRÉE",$U481,"")</f>
        <v/>
      </c>
      <c r="K481" s="108">
        <f>IF($I481="▼ SORTIE",$U481,"")</f>
        <v/>
      </c>
      <c r="L481" s="109">
        <f>$L480+N($J481)-N($K481)</f>
        <v/>
      </c>
      <c r="M481" s="110" t="n"/>
      <c r="N481" s="54" t="n"/>
      <c r="O481" s="54" t="n"/>
      <c r="P481" s="54" t="n"/>
      <c r="Q481" s="110" t="n"/>
      <c r="R481" s="110" t="n"/>
      <c r="S481" s="54" t="n"/>
      <c r="T481" s="111">
        <f>IF($G481="","",IFERROR(INDEX(Taux_Devises,MATCH(IF($M481="",Devise_Base,$M481),Codes_Devises,0)),1))</f>
        <v/>
      </c>
      <c r="U481" s="112">
        <f>IF($G481="","",ROUND($G481*$T481,2))</f>
        <v/>
      </c>
      <c r="V481" s="113">
        <f>IF($B481="","",MONTH($B481))</f>
        <v/>
      </c>
      <c r="W481" s="113">
        <f>IF($B481="","",YEAR($B481))</f>
        <v/>
      </c>
    </row>
    <row r="482">
      <c r="B482" s="105" t="n"/>
      <c r="C482" s="54" t="n"/>
      <c r="D482" s="54" t="n"/>
      <c r="E482" s="54" t="n"/>
      <c r="F482" s="54" t="n"/>
      <c r="G482" s="65" t="n"/>
      <c r="H482" s="54" t="n"/>
      <c r="I482" s="106">
        <f>IF($C482="","",IFERROR(INDEX(Sens_Types,MATCH($C482,Liste_Types,0)),""))</f>
        <v/>
      </c>
      <c r="J482" s="107">
        <f>IF($I482="▲ ENTRÉE",$U482,"")</f>
        <v/>
      </c>
      <c r="K482" s="108">
        <f>IF($I482="▼ SORTIE",$U482,"")</f>
        <v/>
      </c>
      <c r="L482" s="109">
        <f>$L481+N($J482)-N($K482)</f>
        <v/>
      </c>
      <c r="M482" s="110" t="n"/>
      <c r="N482" s="54" t="n"/>
      <c r="O482" s="54" t="n"/>
      <c r="P482" s="54" t="n"/>
      <c r="Q482" s="110" t="n"/>
      <c r="R482" s="110" t="n"/>
      <c r="S482" s="54" t="n"/>
      <c r="T482" s="111">
        <f>IF($G482="","",IFERROR(INDEX(Taux_Devises,MATCH(IF($M482="",Devise_Base,$M482),Codes_Devises,0)),1))</f>
        <v/>
      </c>
      <c r="U482" s="112">
        <f>IF($G482="","",ROUND($G482*$T482,2))</f>
        <v/>
      </c>
      <c r="V482" s="113">
        <f>IF($B482="","",MONTH($B482))</f>
        <v/>
      </c>
      <c r="W482" s="113">
        <f>IF($B482="","",YEAR($B482))</f>
        <v/>
      </c>
    </row>
    <row r="483">
      <c r="B483" s="105" t="n"/>
      <c r="C483" s="54" t="n"/>
      <c r="D483" s="54" t="n"/>
      <c r="E483" s="54" t="n"/>
      <c r="F483" s="54" t="n"/>
      <c r="G483" s="65" t="n"/>
      <c r="H483" s="54" t="n"/>
      <c r="I483" s="106">
        <f>IF($C483="","",IFERROR(INDEX(Sens_Types,MATCH($C483,Liste_Types,0)),""))</f>
        <v/>
      </c>
      <c r="J483" s="107">
        <f>IF($I483="▲ ENTRÉE",$U483,"")</f>
        <v/>
      </c>
      <c r="K483" s="108">
        <f>IF($I483="▼ SORTIE",$U483,"")</f>
        <v/>
      </c>
      <c r="L483" s="109">
        <f>$L482+N($J483)-N($K483)</f>
        <v/>
      </c>
      <c r="M483" s="110" t="n"/>
      <c r="N483" s="54" t="n"/>
      <c r="O483" s="54" t="n"/>
      <c r="P483" s="54" t="n"/>
      <c r="Q483" s="110" t="n"/>
      <c r="R483" s="110" t="n"/>
      <c r="S483" s="54" t="n"/>
      <c r="T483" s="111">
        <f>IF($G483="","",IFERROR(INDEX(Taux_Devises,MATCH(IF($M483="",Devise_Base,$M483),Codes_Devises,0)),1))</f>
        <v/>
      </c>
      <c r="U483" s="112">
        <f>IF($G483="","",ROUND($G483*$T483,2))</f>
        <v/>
      </c>
      <c r="V483" s="113">
        <f>IF($B483="","",MONTH($B483))</f>
        <v/>
      </c>
      <c r="W483" s="113">
        <f>IF($B483="","",YEAR($B483))</f>
        <v/>
      </c>
    </row>
    <row r="484">
      <c r="B484" s="105" t="n"/>
      <c r="C484" s="54" t="n"/>
      <c r="D484" s="54" t="n"/>
      <c r="E484" s="54" t="n"/>
      <c r="F484" s="54" t="n"/>
      <c r="G484" s="65" t="n"/>
      <c r="H484" s="54" t="n"/>
      <c r="I484" s="106">
        <f>IF($C484="","",IFERROR(INDEX(Sens_Types,MATCH($C484,Liste_Types,0)),""))</f>
        <v/>
      </c>
      <c r="J484" s="107">
        <f>IF($I484="▲ ENTRÉE",$U484,"")</f>
        <v/>
      </c>
      <c r="K484" s="108">
        <f>IF($I484="▼ SORTIE",$U484,"")</f>
        <v/>
      </c>
      <c r="L484" s="109">
        <f>$L483+N($J484)-N($K484)</f>
        <v/>
      </c>
      <c r="M484" s="110" t="n"/>
      <c r="N484" s="54" t="n"/>
      <c r="O484" s="54" t="n"/>
      <c r="P484" s="54" t="n"/>
      <c r="Q484" s="110" t="n"/>
      <c r="R484" s="110" t="n"/>
      <c r="S484" s="54" t="n"/>
      <c r="T484" s="111">
        <f>IF($G484="","",IFERROR(INDEX(Taux_Devises,MATCH(IF($M484="",Devise_Base,$M484),Codes_Devises,0)),1))</f>
        <v/>
      </c>
      <c r="U484" s="112">
        <f>IF($G484="","",ROUND($G484*$T484,2))</f>
        <v/>
      </c>
      <c r="V484" s="113">
        <f>IF($B484="","",MONTH($B484))</f>
        <v/>
      </c>
      <c r="W484" s="113">
        <f>IF($B484="","",YEAR($B484))</f>
        <v/>
      </c>
    </row>
    <row r="485">
      <c r="B485" s="105" t="n"/>
      <c r="C485" s="54" t="n"/>
      <c r="D485" s="54" t="n"/>
      <c r="E485" s="54" t="n"/>
      <c r="F485" s="54" t="n"/>
      <c r="G485" s="65" t="n"/>
      <c r="H485" s="54" t="n"/>
      <c r="I485" s="106">
        <f>IF($C485="","",IFERROR(INDEX(Sens_Types,MATCH($C485,Liste_Types,0)),""))</f>
        <v/>
      </c>
      <c r="J485" s="107">
        <f>IF($I485="▲ ENTRÉE",$U485,"")</f>
        <v/>
      </c>
      <c r="K485" s="108">
        <f>IF($I485="▼ SORTIE",$U485,"")</f>
        <v/>
      </c>
      <c r="L485" s="109">
        <f>$L484+N($J485)-N($K485)</f>
        <v/>
      </c>
      <c r="M485" s="110" t="n"/>
      <c r="N485" s="54" t="n"/>
      <c r="O485" s="54" t="n"/>
      <c r="P485" s="54" t="n"/>
      <c r="Q485" s="110" t="n"/>
      <c r="R485" s="110" t="n"/>
      <c r="S485" s="54" t="n"/>
      <c r="T485" s="111">
        <f>IF($G485="","",IFERROR(INDEX(Taux_Devises,MATCH(IF($M485="",Devise_Base,$M485),Codes_Devises,0)),1))</f>
        <v/>
      </c>
      <c r="U485" s="112">
        <f>IF($G485="","",ROUND($G485*$T485,2))</f>
        <v/>
      </c>
      <c r="V485" s="113">
        <f>IF($B485="","",MONTH($B485))</f>
        <v/>
      </c>
      <c r="W485" s="113">
        <f>IF($B485="","",YEAR($B485))</f>
        <v/>
      </c>
    </row>
    <row r="486">
      <c r="B486" s="105" t="n"/>
      <c r="C486" s="54" t="n"/>
      <c r="D486" s="54" t="n"/>
      <c r="E486" s="54" t="n"/>
      <c r="F486" s="54" t="n"/>
      <c r="G486" s="65" t="n"/>
      <c r="H486" s="54" t="n"/>
      <c r="I486" s="106">
        <f>IF($C486="","",IFERROR(INDEX(Sens_Types,MATCH($C486,Liste_Types,0)),""))</f>
        <v/>
      </c>
      <c r="J486" s="107">
        <f>IF($I486="▲ ENTRÉE",$U486,"")</f>
        <v/>
      </c>
      <c r="K486" s="108">
        <f>IF($I486="▼ SORTIE",$U486,"")</f>
        <v/>
      </c>
      <c r="L486" s="109">
        <f>$L485+N($J486)-N($K486)</f>
        <v/>
      </c>
      <c r="M486" s="110" t="n"/>
      <c r="N486" s="54" t="n"/>
      <c r="O486" s="54" t="n"/>
      <c r="P486" s="54" t="n"/>
      <c r="Q486" s="110" t="n"/>
      <c r="R486" s="110" t="n"/>
      <c r="S486" s="54" t="n"/>
      <c r="T486" s="111">
        <f>IF($G486="","",IFERROR(INDEX(Taux_Devises,MATCH(IF($M486="",Devise_Base,$M486),Codes_Devises,0)),1))</f>
        <v/>
      </c>
      <c r="U486" s="112">
        <f>IF($G486="","",ROUND($G486*$T486,2))</f>
        <v/>
      </c>
      <c r="V486" s="113">
        <f>IF($B486="","",MONTH($B486))</f>
        <v/>
      </c>
      <c r="W486" s="113">
        <f>IF($B486="","",YEAR($B486))</f>
        <v/>
      </c>
    </row>
    <row r="487">
      <c r="B487" s="105" t="n"/>
      <c r="C487" s="54" t="n"/>
      <c r="D487" s="54" t="n"/>
      <c r="E487" s="54" t="n"/>
      <c r="F487" s="54" t="n"/>
      <c r="G487" s="65" t="n"/>
      <c r="H487" s="54" t="n"/>
      <c r="I487" s="106">
        <f>IF($C487="","",IFERROR(INDEX(Sens_Types,MATCH($C487,Liste_Types,0)),""))</f>
        <v/>
      </c>
      <c r="J487" s="107">
        <f>IF($I487="▲ ENTRÉE",$U487,"")</f>
        <v/>
      </c>
      <c r="K487" s="108">
        <f>IF($I487="▼ SORTIE",$U487,"")</f>
        <v/>
      </c>
      <c r="L487" s="109">
        <f>$L486+N($J487)-N($K487)</f>
        <v/>
      </c>
      <c r="M487" s="110" t="n"/>
      <c r="N487" s="54" t="n"/>
      <c r="O487" s="54" t="n"/>
      <c r="P487" s="54" t="n"/>
      <c r="Q487" s="110" t="n"/>
      <c r="R487" s="110" t="n"/>
      <c r="S487" s="54" t="n"/>
      <c r="T487" s="111">
        <f>IF($G487="","",IFERROR(INDEX(Taux_Devises,MATCH(IF($M487="",Devise_Base,$M487),Codes_Devises,0)),1))</f>
        <v/>
      </c>
      <c r="U487" s="112">
        <f>IF($G487="","",ROUND($G487*$T487,2))</f>
        <v/>
      </c>
      <c r="V487" s="113">
        <f>IF($B487="","",MONTH($B487))</f>
        <v/>
      </c>
      <c r="W487" s="113">
        <f>IF($B487="","",YEAR($B487))</f>
        <v/>
      </c>
    </row>
    <row r="488">
      <c r="B488" s="105" t="n"/>
      <c r="C488" s="54" t="n"/>
      <c r="D488" s="54" t="n"/>
      <c r="E488" s="54" t="n"/>
      <c r="F488" s="54" t="n"/>
      <c r="G488" s="65" t="n"/>
      <c r="H488" s="54" t="n"/>
      <c r="I488" s="106">
        <f>IF($C488="","",IFERROR(INDEX(Sens_Types,MATCH($C488,Liste_Types,0)),""))</f>
        <v/>
      </c>
      <c r="J488" s="107">
        <f>IF($I488="▲ ENTRÉE",$U488,"")</f>
        <v/>
      </c>
      <c r="K488" s="108">
        <f>IF($I488="▼ SORTIE",$U488,"")</f>
        <v/>
      </c>
      <c r="L488" s="109">
        <f>$L487+N($J488)-N($K488)</f>
        <v/>
      </c>
      <c r="M488" s="110" t="n"/>
      <c r="N488" s="54" t="n"/>
      <c r="O488" s="54" t="n"/>
      <c r="P488" s="54" t="n"/>
      <c r="Q488" s="110" t="n"/>
      <c r="R488" s="110" t="n"/>
      <c r="S488" s="54" t="n"/>
      <c r="T488" s="111">
        <f>IF($G488="","",IFERROR(INDEX(Taux_Devises,MATCH(IF($M488="",Devise_Base,$M488),Codes_Devises,0)),1))</f>
        <v/>
      </c>
      <c r="U488" s="112">
        <f>IF($G488="","",ROUND($G488*$T488,2))</f>
        <v/>
      </c>
      <c r="V488" s="113">
        <f>IF($B488="","",MONTH($B488))</f>
        <v/>
      </c>
      <c r="W488" s="113">
        <f>IF($B488="","",YEAR($B488))</f>
        <v/>
      </c>
    </row>
    <row r="489">
      <c r="B489" s="105" t="n"/>
      <c r="C489" s="54" t="n"/>
      <c r="D489" s="54" t="n"/>
      <c r="E489" s="54" t="n"/>
      <c r="F489" s="54" t="n"/>
      <c r="G489" s="65" t="n"/>
      <c r="H489" s="54" t="n"/>
      <c r="I489" s="106">
        <f>IF($C489="","",IFERROR(INDEX(Sens_Types,MATCH($C489,Liste_Types,0)),""))</f>
        <v/>
      </c>
      <c r="J489" s="107">
        <f>IF($I489="▲ ENTRÉE",$U489,"")</f>
        <v/>
      </c>
      <c r="K489" s="108">
        <f>IF($I489="▼ SORTIE",$U489,"")</f>
        <v/>
      </c>
      <c r="L489" s="109">
        <f>$L488+N($J489)-N($K489)</f>
        <v/>
      </c>
      <c r="M489" s="110" t="n"/>
      <c r="N489" s="54" t="n"/>
      <c r="O489" s="54" t="n"/>
      <c r="P489" s="54" t="n"/>
      <c r="Q489" s="110" t="n"/>
      <c r="R489" s="110" t="n"/>
      <c r="S489" s="54" t="n"/>
      <c r="T489" s="111">
        <f>IF($G489="","",IFERROR(INDEX(Taux_Devises,MATCH(IF($M489="",Devise_Base,$M489),Codes_Devises,0)),1))</f>
        <v/>
      </c>
      <c r="U489" s="112">
        <f>IF($G489="","",ROUND($G489*$T489,2))</f>
        <v/>
      </c>
      <c r="V489" s="113">
        <f>IF($B489="","",MONTH($B489))</f>
        <v/>
      </c>
      <c r="W489" s="113">
        <f>IF($B489="","",YEAR($B489))</f>
        <v/>
      </c>
    </row>
    <row r="490">
      <c r="B490" s="105" t="n"/>
      <c r="C490" s="54" t="n"/>
      <c r="D490" s="54" t="n"/>
      <c r="E490" s="54" t="n"/>
      <c r="F490" s="54" t="n"/>
      <c r="G490" s="65" t="n"/>
      <c r="H490" s="54" t="n"/>
      <c r="I490" s="106">
        <f>IF($C490="","",IFERROR(INDEX(Sens_Types,MATCH($C490,Liste_Types,0)),""))</f>
        <v/>
      </c>
      <c r="J490" s="107">
        <f>IF($I490="▲ ENTRÉE",$U490,"")</f>
        <v/>
      </c>
      <c r="K490" s="108">
        <f>IF($I490="▼ SORTIE",$U490,"")</f>
        <v/>
      </c>
      <c r="L490" s="109">
        <f>$L489+N($J490)-N($K490)</f>
        <v/>
      </c>
      <c r="M490" s="110" t="n"/>
      <c r="N490" s="54" t="n"/>
      <c r="O490" s="54" t="n"/>
      <c r="P490" s="54" t="n"/>
      <c r="Q490" s="110" t="n"/>
      <c r="R490" s="110" t="n"/>
      <c r="S490" s="54" t="n"/>
      <c r="T490" s="111">
        <f>IF($G490="","",IFERROR(INDEX(Taux_Devises,MATCH(IF($M490="",Devise_Base,$M490),Codes_Devises,0)),1))</f>
        <v/>
      </c>
      <c r="U490" s="112">
        <f>IF($G490="","",ROUND($G490*$T490,2))</f>
        <v/>
      </c>
      <c r="V490" s="113">
        <f>IF($B490="","",MONTH($B490))</f>
        <v/>
      </c>
      <c r="W490" s="113">
        <f>IF($B490="","",YEAR($B490))</f>
        <v/>
      </c>
    </row>
    <row r="491">
      <c r="B491" s="105" t="n"/>
      <c r="C491" s="54" t="n"/>
      <c r="D491" s="54" t="n"/>
      <c r="E491" s="54" t="n"/>
      <c r="F491" s="54" t="n"/>
      <c r="G491" s="65" t="n"/>
      <c r="H491" s="54" t="n"/>
      <c r="I491" s="106">
        <f>IF($C491="","",IFERROR(INDEX(Sens_Types,MATCH($C491,Liste_Types,0)),""))</f>
        <v/>
      </c>
      <c r="J491" s="107">
        <f>IF($I491="▲ ENTRÉE",$U491,"")</f>
        <v/>
      </c>
      <c r="K491" s="108">
        <f>IF($I491="▼ SORTIE",$U491,"")</f>
        <v/>
      </c>
      <c r="L491" s="109">
        <f>$L490+N($J491)-N($K491)</f>
        <v/>
      </c>
      <c r="M491" s="110" t="n"/>
      <c r="N491" s="54" t="n"/>
      <c r="O491" s="54" t="n"/>
      <c r="P491" s="54" t="n"/>
      <c r="Q491" s="110" t="n"/>
      <c r="R491" s="110" t="n"/>
      <c r="S491" s="54" t="n"/>
      <c r="T491" s="111">
        <f>IF($G491="","",IFERROR(INDEX(Taux_Devises,MATCH(IF($M491="",Devise_Base,$M491),Codes_Devises,0)),1))</f>
        <v/>
      </c>
      <c r="U491" s="112">
        <f>IF($G491="","",ROUND($G491*$T491,2))</f>
        <v/>
      </c>
      <c r="V491" s="113">
        <f>IF($B491="","",MONTH($B491))</f>
        <v/>
      </c>
      <c r="W491" s="113">
        <f>IF($B491="","",YEAR($B491))</f>
        <v/>
      </c>
    </row>
    <row r="492">
      <c r="B492" s="105" t="n"/>
      <c r="C492" s="54" t="n"/>
      <c r="D492" s="54" t="n"/>
      <c r="E492" s="54" t="n"/>
      <c r="F492" s="54" t="n"/>
      <c r="G492" s="65" t="n"/>
      <c r="H492" s="54" t="n"/>
      <c r="I492" s="106">
        <f>IF($C492="","",IFERROR(INDEX(Sens_Types,MATCH($C492,Liste_Types,0)),""))</f>
        <v/>
      </c>
      <c r="J492" s="107">
        <f>IF($I492="▲ ENTRÉE",$U492,"")</f>
        <v/>
      </c>
      <c r="K492" s="108">
        <f>IF($I492="▼ SORTIE",$U492,"")</f>
        <v/>
      </c>
      <c r="L492" s="109">
        <f>$L491+N($J492)-N($K492)</f>
        <v/>
      </c>
      <c r="M492" s="110" t="n"/>
      <c r="N492" s="54" t="n"/>
      <c r="O492" s="54" t="n"/>
      <c r="P492" s="54" t="n"/>
      <c r="Q492" s="110" t="n"/>
      <c r="R492" s="110" t="n"/>
      <c r="S492" s="54" t="n"/>
      <c r="T492" s="111">
        <f>IF($G492="","",IFERROR(INDEX(Taux_Devises,MATCH(IF($M492="",Devise_Base,$M492),Codes_Devises,0)),1))</f>
        <v/>
      </c>
      <c r="U492" s="112">
        <f>IF($G492="","",ROUND($G492*$T492,2))</f>
        <v/>
      </c>
      <c r="V492" s="113">
        <f>IF($B492="","",MONTH($B492))</f>
        <v/>
      </c>
      <c r="W492" s="113">
        <f>IF($B492="","",YEAR($B492))</f>
        <v/>
      </c>
    </row>
    <row r="493">
      <c r="B493" s="105" t="n"/>
      <c r="C493" s="54" t="n"/>
      <c r="D493" s="54" t="n"/>
      <c r="E493" s="54" t="n"/>
      <c r="F493" s="54" t="n"/>
      <c r="G493" s="65" t="n"/>
      <c r="H493" s="54" t="n"/>
      <c r="I493" s="106">
        <f>IF($C493="","",IFERROR(INDEX(Sens_Types,MATCH($C493,Liste_Types,0)),""))</f>
        <v/>
      </c>
      <c r="J493" s="107">
        <f>IF($I493="▲ ENTRÉE",$U493,"")</f>
        <v/>
      </c>
      <c r="K493" s="108">
        <f>IF($I493="▼ SORTIE",$U493,"")</f>
        <v/>
      </c>
      <c r="L493" s="109">
        <f>$L492+N($J493)-N($K493)</f>
        <v/>
      </c>
      <c r="M493" s="110" t="n"/>
      <c r="N493" s="54" t="n"/>
      <c r="O493" s="54" t="n"/>
      <c r="P493" s="54" t="n"/>
      <c r="Q493" s="110" t="n"/>
      <c r="R493" s="110" t="n"/>
      <c r="S493" s="54" t="n"/>
      <c r="T493" s="111">
        <f>IF($G493="","",IFERROR(INDEX(Taux_Devises,MATCH(IF($M493="",Devise_Base,$M493),Codes_Devises,0)),1))</f>
        <v/>
      </c>
      <c r="U493" s="112">
        <f>IF($G493="","",ROUND($G493*$T493,2))</f>
        <v/>
      </c>
      <c r="V493" s="113">
        <f>IF($B493="","",MONTH($B493))</f>
        <v/>
      </c>
      <c r="W493" s="113">
        <f>IF($B493="","",YEAR($B493))</f>
        <v/>
      </c>
    </row>
    <row r="494">
      <c r="B494" s="105" t="n"/>
      <c r="C494" s="54" t="n"/>
      <c r="D494" s="54" t="n"/>
      <c r="E494" s="54" t="n"/>
      <c r="F494" s="54" t="n"/>
      <c r="G494" s="65" t="n"/>
      <c r="H494" s="54" t="n"/>
      <c r="I494" s="106">
        <f>IF($C494="","",IFERROR(INDEX(Sens_Types,MATCH($C494,Liste_Types,0)),""))</f>
        <v/>
      </c>
      <c r="J494" s="107">
        <f>IF($I494="▲ ENTRÉE",$U494,"")</f>
        <v/>
      </c>
      <c r="K494" s="108">
        <f>IF($I494="▼ SORTIE",$U494,"")</f>
        <v/>
      </c>
      <c r="L494" s="109">
        <f>$L493+N($J494)-N($K494)</f>
        <v/>
      </c>
      <c r="M494" s="110" t="n"/>
      <c r="N494" s="54" t="n"/>
      <c r="O494" s="54" t="n"/>
      <c r="P494" s="54" t="n"/>
      <c r="Q494" s="110" t="n"/>
      <c r="R494" s="110" t="n"/>
      <c r="S494" s="54" t="n"/>
      <c r="T494" s="111">
        <f>IF($G494="","",IFERROR(INDEX(Taux_Devises,MATCH(IF($M494="",Devise_Base,$M494),Codes_Devises,0)),1))</f>
        <v/>
      </c>
      <c r="U494" s="112">
        <f>IF($G494="","",ROUND($G494*$T494,2))</f>
        <v/>
      </c>
      <c r="V494" s="113">
        <f>IF($B494="","",MONTH($B494))</f>
        <v/>
      </c>
      <c r="W494" s="113">
        <f>IF($B494="","",YEAR($B494))</f>
        <v/>
      </c>
    </row>
    <row r="495">
      <c r="B495" s="105" t="n"/>
      <c r="C495" s="54" t="n"/>
      <c r="D495" s="54" t="n"/>
      <c r="E495" s="54" t="n"/>
      <c r="F495" s="54" t="n"/>
      <c r="G495" s="65" t="n"/>
      <c r="H495" s="54" t="n"/>
      <c r="I495" s="106">
        <f>IF($C495="","",IFERROR(INDEX(Sens_Types,MATCH($C495,Liste_Types,0)),""))</f>
        <v/>
      </c>
      <c r="J495" s="107">
        <f>IF($I495="▲ ENTRÉE",$U495,"")</f>
        <v/>
      </c>
      <c r="K495" s="108">
        <f>IF($I495="▼ SORTIE",$U495,"")</f>
        <v/>
      </c>
      <c r="L495" s="109">
        <f>$L494+N($J495)-N($K495)</f>
        <v/>
      </c>
      <c r="M495" s="110" t="n"/>
      <c r="N495" s="54" t="n"/>
      <c r="O495" s="54" t="n"/>
      <c r="P495" s="54" t="n"/>
      <c r="Q495" s="110" t="n"/>
      <c r="R495" s="110" t="n"/>
      <c r="S495" s="54" t="n"/>
      <c r="T495" s="111">
        <f>IF($G495="","",IFERROR(INDEX(Taux_Devises,MATCH(IF($M495="",Devise_Base,$M495),Codes_Devises,0)),1))</f>
        <v/>
      </c>
      <c r="U495" s="112">
        <f>IF($G495="","",ROUND($G495*$T495,2))</f>
        <v/>
      </c>
      <c r="V495" s="113">
        <f>IF($B495="","",MONTH($B495))</f>
        <v/>
      </c>
      <c r="W495" s="113">
        <f>IF($B495="","",YEAR($B495))</f>
        <v/>
      </c>
    </row>
    <row r="496">
      <c r="B496" s="105" t="n"/>
      <c r="C496" s="54" t="n"/>
      <c r="D496" s="54" t="n"/>
      <c r="E496" s="54" t="n"/>
      <c r="F496" s="54" t="n"/>
      <c r="G496" s="65" t="n"/>
      <c r="H496" s="54" t="n"/>
      <c r="I496" s="106">
        <f>IF($C496="","",IFERROR(INDEX(Sens_Types,MATCH($C496,Liste_Types,0)),""))</f>
        <v/>
      </c>
      <c r="J496" s="107">
        <f>IF($I496="▲ ENTRÉE",$U496,"")</f>
        <v/>
      </c>
      <c r="K496" s="108">
        <f>IF($I496="▼ SORTIE",$U496,"")</f>
        <v/>
      </c>
      <c r="L496" s="109">
        <f>$L495+N($J496)-N($K496)</f>
        <v/>
      </c>
      <c r="M496" s="110" t="n"/>
      <c r="N496" s="54" t="n"/>
      <c r="O496" s="54" t="n"/>
      <c r="P496" s="54" t="n"/>
      <c r="Q496" s="110" t="n"/>
      <c r="R496" s="110" t="n"/>
      <c r="S496" s="54" t="n"/>
      <c r="T496" s="111">
        <f>IF($G496="","",IFERROR(INDEX(Taux_Devises,MATCH(IF($M496="",Devise_Base,$M496),Codes_Devises,0)),1))</f>
        <v/>
      </c>
      <c r="U496" s="112">
        <f>IF($G496="","",ROUND($G496*$T496,2))</f>
        <v/>
      </c>
      <c r="V496" s="113">
        <f>IF($B496="","",MONTH($B496))</f>
        <v/>
      </c>
      <c r="W496" s="113">
        <f>IF($B496="","",YEAR($B496))</f>
        <v/>
      </c>
    </row>
    <row r="497">
      <c r="B497" s="105" t="n"/>
      <c r="C497" s="54" t="n"/>
      <c r="D497" s="54" t="n"/>
      <c r="E497" s="54" t="n"/>
      <c r="F497" s="54" t="n"/>
      <c r="G497" s="65" t="n"/>
      <c r="H497" s="54" t="n"/>
      <c r="I497" s="106">
        <f>IF($C497="","",IFERROR(INDEX(Sens_Types,MATCH($C497,Liste_Types,0)),""))</f>
        <v/>
      </c>
      <c r="J497" s="107">
        <f>IF($I497="▲ ENTRÉE",$U497,"")</f>
        <v/>
      </c>
      <c r="K497" s="108">
        <f>IF($I497="▼ SORTIE",$U497,"")</f>
        <v/>
      </c>
      <c r="L497" s="109">
        <f>$L496+N($J497)-N($K497)</f>
        <v/>
      </c>
      <c r="M497" s="110" t="n"/>
      <c r="N497" s="54" t="n"/>
      <c r="O497" s="54" t="n"/>
      <c r="P497" s="54" t="n"/>
      <c r="Q497" s="110" t="n"/>
      <c r="R497" s="110" t="n"/>
      <c r="S497" s="54" t="n"/>
      <c r="T497" s="111">
        <f>IF($G497="","",IFERROR(INDEX(Taux_Devises,MATCH(IF($M497="",Devise_Base,$M497),Codes_Devises,0)),1))</f>
        <v/>
      </c>
      <c r="U497" s="112">
        <f>IF($G497="","",ROUND($G497*$T497,2))</f>
        <v/>
      </c>
      <c r="V497" s="113">
        <f>IF($B497="","",MONTH($B497))</f>
        <v/>
      </c>
      <c r="W497" s="113">
        <f>IF($B497="","",YEAR($B497))</f>
        <v/>
      </c>
    </row>
    <row r="498">
      <c r="B498" s="105" t="n"/>
      <c r="C498" s="54" t="n"/>
      <c r="D498" s="54" t="n"/>
      <c r="E498" s="54" t="n"/>
      <c r="F498" s="54" t="n"/>
      <c r="G498" s="65" t="n"/>
      <c r="H498" s="54" t="n"/>
      <c r="I498" s="106">
        <f>IF($C498="","",IFERROR(INDEX(Sens_Types,MATCH($C498,Liste_Types,0)),""))</f>
        <v/>
      </c>
      <c r="J498" s="107">
        <f>IF($I498="▲ ENTRÉE",$U498,"")</f>
        <v/>
      </c>
      <c r="K498" s="108">
        <f>IF($I498="▼ SORTIE",$U498,"")</f>
        <v/>
      </c>
      <c r="L498" s="109">
        <f>$L497+N($J498)-N($K498)</f>
        <v/>
      </c>
      <c r="M498" s="110" t="n"/>
      <c r="N498" s="54" t="n"/>
      <c r="O498" s="54" t="n"/>
      <c r="P498" s="54" t="n"/>
      <c r="Q498" s="110" t="n"/>
      <c r="R498" s="110" t="n"/>
      <c r="S498" s="54" t="n"/>
      <c r="T498" s="111">
        <f>IF($G498="","",IFERROR(INDEX(Taux_Devises,MATCH(IF($M498="",Devise_Base,$M498),Codes_Devises,0)),1))</f>
        <v/>
      </c>
      <c r="U498" s="112">
        <f>IF($G498="","",ROUND($G498*$T498,2))</f>
        <v/>
      </c>
      <c r="V498" s="113">
        <f>IF($B498="","",MONTH($B498))</f>
        <v/>
      </c>
      <c r="W498" s="113">
        <f>IF($B498="","",YEAR($B498))</f>
        <v/>
      </c>
    </row>
    <row r="499">
      <c r="B499" s="105" t="n"/>
      <c r="C499" s="54" t="n"/>
      <c r="D499" s="54" t="n"/>
      <c r="E499" s="54" t="n"/>
      <c r="F499" s="54" t="n"/>
      <c r="G499" s="65" t="n"/>
      <c r="H499" s="54" t="n"/>
      <c r="I499" s="106">
        <f>IF($C499="","",IFERROR(INDEX(Sens_Types,MATCH($C499,Liste_Types,0)),""))</f>
        <v/>
      </c>
      <c r="J499" s="107">
        <f>IF($I499="▲ ENTRÉE",$U499,"")</f>
        <v/>
      </c>
      <c r="K499" s="108">
        <f>IF($I499="▼ SORTIE",$U499,"")</f>
        <v/>
      </c>
      <c r="L499" s="109">
        <f>$L498+N($J499)-N($K499)</f>
        <v/>
      </c>
      <c r="M499" s="110" t="n"/>
      <c r="N499" s="54" t="n"/>
      <c r="O499" s="54" t="n"/>
      <c r="P499" s="54" t="n"/>
      <c r="Q499" s="110" t="n"/>
      <c r="R499" s="110" t="n"/>
      <c r="S499" s="54" t="n"/>
      <c r="T499" s="111">
        <f>IF($G499="","",IFERROR(INDEX(Taux_Devises,MATCH(IF($M499="",Devise_Base,$M499),Codes_Devises,0)),1))</f>
        <v/>
      </c>
      <c r="U499" s="112">
        <f>IF($G499="","",ROUND($G499*$T499,2))</f>
        <v/>
      </c>
      <c r="V499" s="113">
        <f>IF($B499="","",MONTH($B499))</f>
        <v/>
      </c>
      <c r="W499" s="113">
        <f>IF($B499="","",YEAR($B499))</f>
        <v/>
      </c>
    </row>
    <row r="500">
      <c r="B500" s="105" t="n"/>
      <c r="C500" s="54" t="n"/>
      <c r="D500" s="54" t="n"/>
      <c r="E500" s="54" t="n"/>
      <c r="F500" s="54" t="n"/>
      <c r="G500" s="65" t="n"/>
      <c r="H500" s="54" t="n"/>
      <c r="I500" s="106">
        <f>IF($C500="","",IFERROR(INDEX(Sens_Types,MATCH($C500,Liste_Types,0)),""))</f>
        <v/>
      </c>
      <c r="J500" s="107">
        <f>IF($I500="▲ ENTRÉE",$U500,"")</f>
        <v/>
      </c>
      <c r="K500" s="108">
        <f>IF($I500="▼ SORTIE",$U500,"")</f>
        <v/>
      </c>
      <c r="L500" s="109">
        <f>$L499+N($J500)-N($K500)</f>
        <v/>
      </c>
      <c r="M500" s="110" t="n"/>
      <c r="N500" s="54" t="n"/>
      <c r="O500" s="54" t="n"/>
      <c r="P500" s="54" t="n"/>
      <c r="Q500" s="110" t="n"/>
      <c r="R500" s="110" t="n"/>
      <c r="S500" s="54" t="n"/>
      <c r="T500" s="111">
        <f>IF($G500="","",IFERROR(INDEX(Taux_Devises,MATCH(IF($M500="",Devise_Base,$M500),Codes_Devises,0)),1))</f>
        <v/>
      </c>
      <c r="U500" s="112">
        <f>IF($G500="","",ROUND($G500*$T500,2))</f>
        <v/>
      </c>
      <c r="V500" s="113">
        <f>IF($B500="","",MONTH($B500))</f>
        <v/>
      </c>
      <c r="W500" s="113">
        <f>IF($B500="","",YEAR($B500))</f>
        <v/>
      </c>
    </row>
    <row r="501">
      <c r="B501" s="105" t="n"/>
      <c r="C501" s="54" t="n"/>
      <c r="D501" s="54" t="n"/>
      <c r="E501" s="54" t="n"/>
      <c r="F501" s="54" t="n"/>
      <c r="G501" s="65" t="n"/>
      <c r="H501" s="54" t="n"/>
      <c r="I501" s="106">
        <f>IF($C501="","",IFERROR(INDEX(Sens_Types,MATCH($C501,Liste_Types,0)),""))</f>
        <v/>
      </c>
      <c r="J501" s="107">
        <f>IF($I501="▲ ENTRÉE",$U501,"")</f>
        <v/>
      </c>
      <c r="K501" s="108">
        <f>IF($I501="▼ SORTIE",$U501,"")</f>
        <v/>
      </c>
      <c r="L501" s="109">
        <f>$L500+N($J501)-N($K501)</f>
        <v/>
      </c>
      <c r="M501" s="110" t="n"/>
      <c r="N501" s="54" t="n"/>
      <c r="O501" s="54" t="n"/>
      <c r="P501" s="54" t="n"/>
      <c r="Q501" s="110" t="n"/>
      <c r="R501" s="110" t="n"/>
      <c r="S501" s="54" t="n"/>
      <c r="T501" s="111">
        <f>IF($G501="","",IFERROR(INDEX(Taux_Devises,MATCH(IF($M501="",Devise_Base,$M501),Codes_Devises,0)),1))</f>
        <v/>
      </c>
      <c r="U501" s="112">
        <f>IF($G501="","",ROUND($G501*$T501,2))</f>
        <v/>
      </c>
      <c r="V501" s="113">
        <f>IF($B501="","",MONTH($B501))</f>
        <v/>
      </c>
      <c r="W501" s="113">
        <f>IF($B501="","",YEAR($B501))</f>
        <v/>
      </c>
    </row>
    <row r="502">
      <c r="B502" s="105" t="n"/>
      <c r="C502" s="54" t="n"/>
      <c r="D502" s="54" t="n"/>
      <c r="E502" s="54" t="n"/>
      <c r="F502" s="54" t="n"/>
      <c r="G502" s="65" t="n"/>
      <c r="H502" s="54" t="n"/>
      <c r="I502" s="106">
        <f>IF($C502="","",IFERROR(INDEX(Sens_Types,MATCH($C502,Liste_Types,0)),""))</f>
        <v/>
      </c>
      <c r="J502" s="107">
        <f>IF($I502="▲ ENTRÉE",$U502,"")</f>
        <v/>
      </c>
      <c r="K502" s="108">
        <f>IF($I502="▼ SORTIE",$U502,"")</f>
        <v/>
      </c>
      <c r="L502" s="109">
        <f>$L501+N($J502)-N($K502)</f>
        <v/>
      </c>
      <c r="M502" s="110" t="n"/>
      <c r="N502" s="54" t="n"/>
      <c r="O502" s="54" t="n"/>
      <c r="P502" s="54" t="n"/>
      <c r="Q502" s="110" t="n"/>
      <c r="R502" s="110" t="n"/>
      <c r="S502" s="54" t="n"/>
      <c r="T502" s="111">
        <f>IF($G502="","",IFERROR(INDEX(Taux_Devises,MATCH(IF($M502="",Devise_Base,$M502),Codes_Devises,0)),1))</f>
        <v/>
      </c>
      <c r="U502" s="112">
        <f>IF($G502="","",ROUND($G502*$T502,2))</f>
        <v/>
      </c>
      <c r="V502" s="113">
        <f>IF($B502="","",MONTH($B502))</f>
        <v/>
      </c>
      <c r="W502" s="113">
        <f>IF($B502="","",YEAR($B502))</f>
        <v/>
      </c>
    </row>
    <row r="503">
      <c r="B503" s="105" t="n"/>
      <c r="C503" s="54" t="n"/>
      <c r="D503" s="54" t="n"/>
      <c r="E503" s="54" t="n"/>
      <c r="F503" s="54" t="n"/>
      <c r="G503" s="65" t="n"/>
      <c r="H503" s="54" t="n"/>
      <c r="I503" s="106">
        <f>IF($C503="","",IFERROR(INDEX(Sens_Types,MATCH($C503,Liste_Types,0)),""))</f>
        <v/>
      </c>
      <c r="J503" s="107">
        <f>IF($I503="▲ ENTRÉE",$U503,"")</f>
        <v/>
      </c>
      <c r="K503" s="108">
        <f>IF($I503="▼ SORTIE",$U503,"")</f>
        <v/>
      </c>
      <c r="L503" s="109">
        <f>$L502+N($J503)-N($K503)</f>
        <v/>
      </c>
      <c r="M503" s="110" t="n"/>
      <c r="N503" s="54" t="n"/>
      <c r="O503" s="54" t="n"/>
      <c r="P503" s="54" t="n"/>
      <c r="Q503" s="110" t="n"/>
      <c r="R503" s="110" t="n"/>
      <c r="S503" s="54" t="n"/>
      <c r="T503" s="111">
        <f>IF($G503="","",IFERROR(INDEX(Taux_Devises,MATCH(IF($M503="",Devise_Base,$M503),Codes_Devises,0)),1))</f>
        <v/>
      </c>
      <c r="U503" s="112">
        <f>IF($G503="","",ROUND($G503*$T503,2))</f>
        <v/>
      </c>
      <c r="V503" s="113">
        <f>IF($B503="","",MONTH($B503))</f>
        <v/>
      </c>
      <c r="W503" s="113">
        <f>IF($B503="","",YEAR($B503))</f>
        <v/>
      </c>
    </row>
    <row r="504">
      <c r="B504" s="105" t="n"/>
      <c r="C504" s="54" t="n"/>
      <c r="D504" s="54" t="n"/>
      <c r="E504" s="54" t="n"/>
      <c r="F504" s="54" t="n"/>
      <c r="G504" s="65" t="n"/>
      <c r="H504" s="54" t="n"/>
      <c r="I504" s="106">
        <f>IF($C504="","",IFERROR(INDEX(Sens_Types,MATCH($C504,Liste_Types,0)),""))</f>
        <v/>
      </c>
      <c r="J504" s="107">
        <f>IF($I504="▲ ENTRÉE",$U504,"")</f>
        <v/>
      </c>
      <c r="K504" s="108">
        <f>IF($I504="▼ SORTIE",$U504,"")</f>
        <v/>
      </c>
      <c r="L504" s="109">
        <f>$L503+N($J504)-N($K504)</f>
        <v/>
      </c>
      <c r="M504" s="110" t="n"/>
      <c r="N504" s="54" t="n"/>
      <c r="O504" s="54" t="n"/>
      <c r="P504" s="54" t="n"/>
      <c r="Q504" s="110" t="n"/>
      <c r="R504" s="110" t="n"/>
      <c r="S504" s="54" t="n"/>
      <c r="T504" s="111">
        <f>IF($G504="","",IFERROR(INDEX(Taux_Devises,MATCH(IF($M504="",Devise_Base,$M504),Codes_Devises,0)),1))</f>
        <v/>
      </c>
      <c r="U504" s="112">
        <f>IF($G504="","",ROUND($G504*$T504,2))</f>
        <v/>
      </c>
      <c r="V504" s="113">
        <f>IF($B504="","",MONTH($B504))</f>
        <v/>
      </c>
      <c r="W504" s="113">
        <f>IF($B504="","",YEAR($B504))</f>
        <v/>
      </c>
    </row>
    <row r="505">
      <c r="B505" s="105" t="n"/>
      <c r="C505" s="54" t="n"/>
      <c r="D505" s="54" t="n"/>
      <c r="E505" s="54" t="n"/>
      <c r="F505" s="54" t="n"/>
      <c r="G505" s="65" t="n"/>
      <c r="H505" s="54" t="n"/>
      <c r="I505" s="106">
        <f>IF($C505="","",IFERROR(INDEX(Sens_Types,MATCH($C505,Liste_Types,0)),""))</f>
        <v/>
      </c>
      <c r="J505" s="107">
        <f>IF($I505="▲ ENTRÉE",$U505,"")</f>
        <v/>
      </c>
      <c r="K505" s="108">
        <f>IF($I505="▼ SORTIE",$U505,"")</f>
        <v/>
      </c>
      <c r="L505" s="109">
        <f>$L504+N($J505)-N($K505)</f>
        <v/>
      </c>
      <c r="M505" s="110" t="n"/>
      <c r="N505" s="54" t="n"/>
      <c r="O505" s="54" t="n"/>
      <c r="P505" s="54" t="n"/>
      <c r="Q505" s="110" t="n"/>
      <c r="R505" s="110" t="n"/>
      <c r="S505" s="54" t="n"/>
      <c r="T505" s="111">
        <f>IF($G505="","",IFERROR(INDEX(Taux_Devises,MATCH(IF($M505="",Devise_Base,$M505),Codes_Devises,0)),1))</f>
        <v/>
      </c>
      <c r="U505" s="112">
        <f>IF($G505="","",ROUND($G505*$T505,2))</f>
        <v/>
      </c>
      <c r="V505" s="113">
        <f>IF($B505="","",MONTH($B505))</f>
        <v/>
      </c>
      <c r="W505" s="113">
        <f>IF($B505="","",YEAR($B505))</f>
        <v/>
      </c>
    </row>
    <row r="506">
      <c r="B506" s="105" t="n"/>
      <c r="C506" s="54" t="n"/>
      <c r="D506" s="54" t="n"/>
      <c r="E506" s="54" t="n"/>
      <c r="F506" s="54" t="n"/>
      <c r="G506" s="65" t="n"/>
      <c r="H506" s="54" t="n"/>
      <c r="I506" s="106">
        <f>IF($C506="","",IFERROR(INDEX(Sens_Types,MATCH($C506,Liste_Types,0)),""))</f>
        <v/>
      </c>
      <c r="J506" s="107">
        <f>IF($I506="▲ ENTRÉE",$U506,"")</f>
        <v/>
      </c>
      <c r="K506" s="108">
        <f>IF($I506="▼ SORTIE",$U506,"")</f>
        <v/>
      </c>
      <c r="L506" s="109">
        <f>$L505+N($J506)-N($K506)</f>
        <v/>
      </c>
      <c r="M506" s="110" t="n"/>
      <c r="N506" s="54" t="n"/>
      <c r="O506" s="54" t="n"/>
      <c r="P506" s="54" t="n"/>
      <c r="Q506" s="110" t="n"/>
      <c r="R506" s="110" t="n"/>
      <c r="S506" s="54" t="n"/>
      <c r="T506" s="111">
        <f>IF($G506="","",IFERROR(INDEX(Taux_Devises,MATCH(IF($M506="",Devise_Base,$M506),Codes_Devises,0)),1))</f>
        <v/>
      </c>
      <c r="U506" s="112">
        <f>IF($G506="","",ROUND($G506*$T506,2))</f>
        <v/>
      </c>
      <c r="V506" s="113">
        <f>IF($B506="","",MONTH($B506))</f>
        <v/>
      </c>
      <c r="W506" s="113">
        <f>IF($B506="","",YEAR($B506))</f>
        <v/>
      </c>
    </row>
    <row r="507">
      <c r="B507" s="105" t="n"/>
      <c r="C507" s="54" t="n"/>
      <c r="D507" s="54" t="n"/>
      <c r="E507" s="54" t="n"/>
      <c r="F507" s="54" t="n"/>
      <c r="G507" s="65" t="n"/>
      <c r="H507" s="54" t="n"/>
      <c r="I507" s="106">
        <f>IF($C507="","",IFERROR(INDEX(Sens_Types,MATCH($C507,Liste_Types,0)),""))</f>
        <v/>
      </c>
      <c r="J507" s="107">
        <f>IF($I507="▲ ENTRÉE",$U507,"")</f>
        <v/>
      </c>
      <c r="K507" s="108">
        <f>IF($I507="▼ SORTIE",$U507,"")</f>
        <v/>
      </c>
      <c r="L507" s="109">
        <f>$L506+N($J507)-N($K507)</f>
        <v/>
      </c>
      <c r="M507" s="110" t="n"/>
      <c r="N507" s="54" t="n"/>
      <c r="O507" s="54" t="n"/>
      <c r="P507" s="54" t="n"/>
      <c r="Q507" s="110" t="n"/>
      <c r="R507" s="110" t="n"/>
      <c r="S507" s="54" t="n"/>
      <c r="T507" s="111">
        <f>IF($G507="","",IFERROR(INDEX(Taux_Devises,MATCH(IF($M507="",Devise_Base,$M507),Codes_Devises,0)),1))</f>
        <v/>
      </c>
      <c r="U507" s="112">
        <f>IF($G507="","",ROUND($G507*$T507,2))</f>
        <v/>
      </c>
      <c r="V507" s="113">
        <f>IF($B507="","",MONTH($B507))</f>
        <v/>
      </c>
      <c r="W507" s="113">
        <f>IF($B507="","",YEAR($B507))</f>
        <v/>
      </c>
    </row>
    <row r="508">
      <c r="B508" s="105" t="n"/>
      <c r="C508" s="54" t="n"/>
      <c r="D508" s="54" t="n"/>
      <c r="E508" s="54" t="n"/>
      <c r="F508" s="54" t="n"/>
      <c r="G508" s="65" t="n"/>
      <c r="H508" s="54" t="n"/>
      <c r="I508" s="106">
        <f>IF($C508="","",IFERROR(INDEX(Sens_Types,MATCH($C508,Liste_Types,0)),""))</f>
        <v/>
      </c>
      <c r="J508" s="107">
        <f>IF($I508="▲ ENTRÉE",$U508,"")</f>
        <v/>
      </c>
      <c r="K508" s="108">
        <f>IF($I508="▼ SORTIE",$U508,"")</f>
        <v/>
      </c>
      <c r="L508" s="109">
        <f>$L507+N($J508)-N($K508)</f>
        <v/>
      </c>
      <c r="M508" s="110" t="n"/>
      <c r="N508" s="54" t="n"/>
      <c r="O508" s="54" t="n"/>
      <c r="P508" s="54" t="n"/>
      <c r="Q508" s="110" t="n"/>
      <c r="R508" s="110" t="n"/>
      <c r="S508" s="54" t="n"/>
      <c r="T508" s="111">
        <f>IF($G508="","",IFERROR(INDEX(Taux_Devises,MATCH(IF($M508="",Devise_Base,$M508),Codes_Devises,0)),1))</f>
        <v/>
      </c>
      <c r="U508" s="112">
        <f>IF($G508="","",ROUND($G508*$T508,2))</f>
        <v/>
      </c>
      <c r="V508" s="113">
        <f>IF($B508="","",MONTH($B508))</f>
        <v/>
      </c>
      <c r="W508" s="113">
        <f>IF($B508="","",YEAR($B508))</f>
        <v/>
      </c>
    </row>
    <row r="509">
      <c r="B509" s="105" t="n"/>
      <c r="C509" s="54" t="n"/>
      <c r="D509" s="54" t="n"/>
      <c r="E509" s="54" t="n"/>
      <c r="F509" s="54" t="n"/>
      <c r="G509" s="65" t="n"/>
      <c r="H509" s="54" t="n"/>
      <c r="I509" s="106">
        <f>IF($C509="","",IFERROR(INDEX(Sens_Types,MATCH($C509,Liste_Types,0)),""))</f>
        <v/>
      </c>
      <c r="J509" s="107">
        <f>IF($I509="▲ ENTRÉE",$U509,"")</f>
        <v/>
      </c>
      <c r="K509" s="108">
        <f>IF($I509="▼ SORTIE",$U509,"")</f>
        <v/>
      </c>
      <c r="L509" s="109">
        <f>$L508+N($J509)-N($K509)</f>
        <v/>
      </c>
      <c r="M509" s="110" t="n"/>
      <c r="N509" s="54" t="n"/>
      <c r="O509" s="54" t="n"/>
      <c r="P509" s="54" t="n"/>
      <c r="Q509" s="110" t="n"/>
      <c r="R509" s="110" t="n"/>
      <c r="S509" s="54" t="n"/>
      <c r="T509" s="111">
        <f>IF($G509="","",IFERROR(INDEX(Taux_Devises,MATCH(IF($M509="",Devise_Base,$M509),Codes_Devises,0)),1))</f>
        <v/>
      </c>
      <c r="U509" s="112">
        <f>IF($G509="","",ROUND($G509*$T509,2))</f>
        <v/>
      </c>
      <c r="V509" s="113">
        <f>IF($B509="","",MONTH($B509))</f>
        <v/>
      </c>
      <c r="W509" s="113">
        <f>IF($B509="","",YEAR($B509))</f>
        <v/>
      </c>
    </row>
    <row r="510">
      <c r="B510" s="105" t="n"/>
      <c r="C510" s="54" t="n"/>
      <c r="D510" s="54" t="n"/>
      <c r="E510" s="54" t="n"/>
      <c r="F510" s="54" t="n"/>
      <c r="G510" s="65" t="n"/>
      <c r="H510" s="54" t="n"/>
      <c r="I510" s="106">
        <f>IF($C510="","",IFERROR(INDEX(Sens_Types,MATCH($C510,Liste_Types,0)),""))</f>
        <v/>
      </c>
      <c r="J510" s="107">
        <f>IF($I510="▲ ENTRÉE",$U510,"")</f>
        <v/>
      </c>
      <c r="K510" s="108">
        <f>IF($I510="▼ SORTIE",$U510,"")</f>
        <v/>
      </c>
      <c r="L510" s="109">
        <f>$L509+N($J510)-N($K510)</f>
        <v/>
      </c>
      <c r="M510" s="110" t="n"/>
      <c r="N510" s="54" t="n"/>
      <c r="O510" s="54" t="n"/>
      <c r="P510" s="54" t="n"/>
      <c r="Q510" s="110" t="n"/>
      <c r="R510" s="110" t="n"/>
      <c r="S510" s="54" t="n"/>
      <c r="T510" s="111">
        <f>IF($G510="","",IFERROR(INDEX(Taux_Devises,MATCH(IF($M510="",Devise_Base,$M510),Codes_Devises,0)),1))</f>
        <v/>
      </c>
      <c r="U510" s="112">
        <f>IF($G510="","",ROUND($G510*$T510,2))</f>
        <v/>
      </c>
      <c r="V510" s="113">
        <f>IF($B510="","",MONTH($B510))</f>
        <v/>
      </c>
      <c r="W510" s="113">
        <f>IF($B510="","",YEAR($B510))</f>
        <v/>
      </c>
    </row>
    <row r="511">
      <c r="B511" s="105" t="n"/>
      <c r="C511" s="54" t="n"/>
      <c r="D511" s="54" t="n"/>
      <c r="E511" s="54" t="n"/>
      <c r="F511" s="54" t="n"/>
      <c r="G511" s="65" t="n"/>
      <c r="H511" s="54" t="n"/>
      <c r="I511" s="106">
        <f>IF($C511="","",IFERROR(INDEX(Sens_Types,MATCH($C511,Liste_Types,0)),""))</f>
        <v/>
      </c>
      <c r="J511" s="107">
        <f>IF($I511="▲ ENTRÉE",$U511,"")</f>
        <v/>
      </c>
      <c r="K511" s="108">
        <f>IF($I511="▼ SORTIE",$U511,"")</f>
        <v/>
      </c>
      <c r="L511" s="109">
        <f>$L510+N($J511)-N($K511)</f>
        <v/>
      </c>
      <c r="M511" s="110" t="n"/>
      <c r="N511" s="54" t="n"/>
      <c r="O511" s="54" t="n"/>
      <c r="P511" s="54" t="n"/>
      <c r="Q511" s="110" t="n"/>
      <c r="R511" s="110" t="n"/>
      <c r="S511" s="54" t="n"/>
      <c r="T511" s="111">
        <f>IF($G511="","",IFERROR(INDEX(Taux_Devises,MATCH(IF($M511="",Devise_Base,$M511),Codes_Devises,0)),1))</f>
        <v/>
      </c>
      <c r="U511" s="112">
        <f>IF($G511="","",ROUND($G511*$T511,2))</f>
        <v/>
      </c>
      <c r="V511" s="113">
        <f>IF($B511="","",MONTH($B511))</f>
        <v/>
      </c>
      <c r="W511" s="113">
        <f>IF($B511="","",YEAR($B511))</f>
        <v/>
      </c>
    </row>
    <row r="512">
      <c r="B512" s="105" t="n"/>
      <c r="C512" s="54" t="n"/>
      <c r="D512" s="54" t="n"/>
      <c r="E512" s="54" t="n"/>
      <c r="F512" s="54" t="n"/>
      <c r="G512" s="65" t="n"/>
      <c r="H512" s="54" t="n"/>
      <c r="I512" s="106">
        <f>IF($C512="","",IFERROR(INDEX(Sens_Types,MATCH($C512,Liste_Types,0)),""))</f>
        <v/>
      </c>
      <c r="J512" s="107">
        <f>IF($I512="▲ ENTRÉE",$U512,"")</f>
        <v/>
      </c>
      <c r="K512" s="108">
        <f>IF($I512="▼ SORTIE",$U512,"")</f>
        <v/>
      </c>
      <c r="L512" s="109">
        <f>$L511+N($J512)-N($K512)</f>
        <v/>
      </c>
      <c r="M512" s="110" t="n"/>
      <c r="N512" s="54" t="n"/>
      <c r="O512" s="54" t="n"/>
      <c r="P512" s="54" t="n"/>
      <c r="Q512" s="110" t="n"/>
      <c r="R512" s="110" t="n"/>
      <c r="S512" s="54" t="n"/>
      <c r="T512" s="111">
        <f>IF($G512="","",IFERROR(INDEX(Taux_Devises,MATCH(IF($M512="",Devise_Base,$M512),Codes_Devises,0)),1))</f>
        <v/>
      </c>
      <c r="U512" s="112">
        <f>IF($G512="","",ROUND($G512*$T512,2))</f>
        <v/>
      </c>
      <c r="V512" s="113">
        <f>IF($B512="","",MONTH($B512))</f>
        <v/>
      </c>
      <c r="W512" s="113">
        <f>IF($B512="","",YEAR($B512))</f>
        <v/>
      </c>
    </row>
    <row r="513">
      <c r="B513" s="105" t="n"/>
      <c r="C513" s="54" t="n"/>
      <c r="D513" s="54" t="n"/>
      <c r="E513" s="54" t="n"/>
      <c r="F513" s="54" t="n"/>
      <c r="G513" s="65" t="n"/>
      <c r="H513" s="54" t="n"/>
      <c r="I513" s="106">
        <f>IF($C513="","",IFERROR(INDEX(Sens_Types,MATCH($C513,Liste_Types,0)),""))</f>
        <v/>
      </c>
      <c r="J513" s="107">
        <f>IF($I513="▲ ENTRÉE",$U513,"")</f>
        <v/>
      </c>
      <c r="K513" s="108">
        <f>IF($I513="▼ SORTIE",$U513,"")</f>
        <v/>
      </c>
      <c r="L513" s="109">
        <f>$L512+N($J513)-N($K513)</f>
        <v/>
      </c>
      <c r="M513" s="110" t="n"/>
      <c r="N513" s="54" t="n"/>
      <c r="O513" s="54" t="n"/>
      <c r="P513" s="54" t="n"/>
      <c r="Q513" s="110" t="n"/>
      <c r="R513" s="110" t="n"/>
      <c r="S513" s="54" t="n"/>
      <c r="T513" s="111">
        <f>IF($G513="","",IFERROR(INDEX(Taux_Devises,MATCH(IF($M513="",Devise_Base,$M513),Codes_Devises,0)),1))</f>
        <v/>
      </c>
      <c r="U513" s="112">
        <f>IF($G513="","",ROUND($G513*$T513,2))</f>
        <v/>
      </c>
      <c r="V513" s="113">
        <f>IF($B513="","",MONTH($B513))</f>
        <v/>
      </c>
      <c r="W513" s="113">
        <f>IF($B513="","",YEAR($B513))</f>
        <v/>
      </c>
    </row>
    <row r="514">
      <c r="B514" s="105" t="n"/>
      <c r="C514" s="54" t="n"/>
      <c r="D514" s="54" t="n"/>
      <c r="E514" s="54" t="n"/>
      <c r="F514" s="54" t="n"/>
      <c r="G514" s="65" t="n"/>
      <c r="H514" s="54" t="n"/>
      <c r="I514" s="106">
        <f>IF($C514="","",IFERROR(INDEX(Sens_Types,MATCH($C514,Liste_Types,0)),""))</f>
        <v/>
      </c>
      <c r="J514" s="107">
        <f>IF($I514="▲ ENTRÉE",$U514,"")</f>
        <v/>
      </c>
      <c r="K514" s="108">
        <f>IF($I514="▼ SORTIE",$U514,"")</f>
        <v/>
      </c>
      <c r="L514" s="109">
        <f>$L513+N($J514)-N($K514)</f>
        <v/>
      </c>
      <c r="M514" s="110" t="n"/>
      <c r="N514" s="54" t="n"/>
      <c r="O514" s="54" t="n"/>
      <c r="P514" s="54" t="n"/>
      <c r="Q514" s="110" t="n"/>
      <c r="R514" s="110" t="n"/>
      <c r="S514" s="54" t="n"/>
      <c r="T514" s="111">
        <f>IF($G514="","",IFERROR(INDEX(Taux_Devises,MATCH(IF($M514="",Devise_Base,$M514),Codes_Devises,0)),1))</f>
        <v/>
      </c>
      <c r="U514" s="112">
        <f>IF($G514="","",ROUND($G514*$T514,2))</f>
        <v/>
      </c>
      <c r="V514" s="113">
        <f>IF($B514="","",MONTH($B514))</f>
        <v/>
      </c>
      <c r="W514" s="113">
        <f>IF($B514="","",YEAR($B514))</f>
        <v/>
      </c>
    </row>
    <row r="515">
      <c r="B515" s="105" t="n"/>
      <c r="C515" s="54" t="n"/>
      <c r="D515" s="54" t="n"/>
      <c r="E515" s="54" t="n"/>
      <c r="F515" s="54" t="n"/>
      <c r="G515" s="65" t="n"/>
      <c r="H515" s="54" t="n"/>
      <c r="I515" s="106">
        <f>IF($C515="","",IFERROR(INDEX(Sens_Types,MATCH($C515,Liste_Types,0)),""))</f>
        <v/>
      </c>
      <c r="J515" s="107">
        <f>IF($I515="▲ ENTRÉE",$U515,"")</f>
        <v/>
      </c>
      <c r="K515" s="108">
        <f>IF($I515="▼ SORTIE",$U515,"")</f>
        <v/>
      </c>
      <c r="L515" s="109">
        <f>$L514+N($J515)-N($K515)</f>
        <v/>
      </c>
      <c r="M515" s="110" t="n"/>
      <c r="N515" s="54" t="n"/>
      <c r="O515" s="54" t="n"/>
      <c r="P515" s="54" t="n"/>
      <c r="Q515" s="110" t="n"/>
      <c r="R515" s="110" t="n"/>
      <c r="S515" s="54" t="n"/>
      <c r="T515" s="111">
        <f>IF($G515="","",IFERROR(INDEX(Taux_Devises,MATCH(IF($M515="",Devise_Base,$M515),Codes_Devises,0)),1))</f>
        <v/>
      </c>
      <c r="U515" s="112">
        <f>IF($G515="","",ROUND($G515*$T515,2))</f>
        <v/>
      </c>
      <c r="V515" s="113">
        <f>IF($B515="","",MONTH($B515))</f>
        <v/>
      </c>
      <c r="W515" s="113">
        <f>IF($B515="","",YEAR($B515))</f>
        <v/>
      </c>
    </row>
    <row r="516">
      <c r="B516" s="105" t="n"/>
      <c r="C516" s="54" t="n"/>
      <c r="D516" s="54" t="n"/>
      <c r="E516" s="54" t="n"/>
      <c r="F516" s="54" t="n"/>
      <c r="G516" s="65" t="n"/>
      <c r="H516" s="54" t="n"/>
      <c r="I516" s="106">
        <f>IF($C516="","",IFERROR(INDEX(Sens_Types,MATCH($C516,Liste_Types,0)),""))</f>
        <v/>
      </c>
      <c r="J516" s="107">
        <f>IF($I516="▲ ENTRÉE",$U516,"")</f>
        <v/>
      </c>
      <c r="K516" s="108">
        <f>IF($I516="▼ SORTIE",$U516,"")</f>
        <v/>
      </c>
      <c r="L516" s="109">
        <f>$L515+N($J516)-N($K516)</f>
        <v/>
      </c>
      <c r="M516" s="110" t="n"/>
      <c r="N516" s="54" t="n"/>
      <c r="O516" s="54" t="n"/>
      <c r="P516" s="54" t="n"/>
      <c r="Q516" s="110" t="n"/>
      <c r="R516" s="110" t="n"/>
      <c r="S516" s="54" t="n"/>
      <c r="T516" s="111">
        <f>IF($G516="","",IFERROR(INDEX(Taux_Devises,MATCH(IF($M516="",Devise_Base,$M516),Codes_Devises,0)),1))</f>
        <v/>
      </c>
      <c r="U516" s="112">
        <f>IF($G516="","",ROUND($G516*$T516,2))</f>
        <v/>
      </c>
      <c r="V516" s="113">
        <f>IF($B516="","",MONTH($B516))</f>
        <v/>
      </c>
      <c r="W516" s="113">
        <f>IF($B516="","",YEAR($B516))</f>
        <v/>
      </c>
    </row>
    <row r="517">
      <c r="B517" s="105" t="n"/>
      <c r="C517" s="54" t="n"/>
      <c r="D517" s="54" t="n"/>
      <c r="E517" s="54" t="n"/>
      <c r="F517" s="54" t="n"/>
      <c r="G517" s="65" t="n"/>
      <c r="H517" s="54" t="n"/>
      <c r="I517" s="106">
        <f>IF($C517="","",IFERROR(INDEX(Sens_Types,MATCH($C517,Liste_Types,0)),""))</f>
        <v/>
      </c>
      <c r="J517" s="107">
        <f>IF($I517="▲ ENTRÉE",$U517,"")</f>
        <v/>
      </c>
      <c r="K517" s="108">
        <f>IF($I517="▼ SORTIE",$U517,"")</f>
        <v/>
      </c>
      <c r="L517" s="109">
        <f>$L516+N($J517)-N($K517)</f>
        <v/>
      </c>
      <c r="M517" s="110" t="n"/>
      <c r="N517" s="54" t="n"/>
      <c r="O517" s="54" t="n"/>
      <c r="P517" s="54" t="n"/>
      <c r="Q517" s="110" t="n"/>
      <c r="R517" s="110" t="n"/>
      <c r="S517" s="54" t="n"/>
      <c r="T517" s="111">
        <f>IF($G517="","",IFERROR(INDEX(Taux_Devises,MATCH(IF($M517="",Devise_Base,$M517),Codes_Devises,0)),1))</f>
        <v/>
      </c>
      <c r="U517" s="112">
        <f>IF($G517="","",ROUND($G517*$T517,2))</f>
        <v/>
      </c>
      <c r="V517" s="113">
        <f>IF($B517="","",MONTH($B517))</f>
        <v/>
      </c>
      <c r="W517" s="113">
        <f>IF($B517="","",YEAR($B517))</f>
        <v/>
      </c>
    </row>
    <row r="518">
      <c r="B518" s="105" t="n"/>
      <c r="C518" s="54" t="n"/>
      <c r="D518" s="54" t="n"/>
      <c r="E518" s="54" t="n"/>
      <c r="F518" s="54" t="n"/>
      <c r="G518" s="65" t="n"/>
      <c r="H518" s="54" t="n"/>
      <c r="I518" s="106">
        <f>IF($C518="","",IFERROR(INDEX(Sens_Types,MATCH($C518,Liste_Types,0)),""))</f>
        <v/>
      </c>
      <c r="J518" s="107">
        <f>IF($I518="▲ ENTRÉE",$U518,"")</f>
        <v/>
      </c>
      <c r="K518" s="108">
        <f>IF($I518="▼ SORTIE",$U518,"")</f>
        <v/>
      </c>
      <c r="L518" s="109">
        <f>$L517+N($J518)-N($K518)</f>
        <v/>
      </c>
      <c r="M518" s="110" t="n"/>
      <c r="N518" s="54" t="n"/>
      <c r="O518" s="54" t="n"/>
      <c r="P518" s="54" t="n"/>
      <c r="Q518" s="110" t="n"/>
      <c r="R518" s="110" t="n"/>
      <c r="S518" s="54" t="n"/>
      <c r="T518" s="111">
        <f>IF($G518="","",IFERROR(INDEX(Taux_Devises,MATCH(IF($M518="",Devise_Base,$M518),Codes_Devises,0)),1))</f>
        <v/>
      </c>
      <c r="U518" s="112">
        <f>IF($G518="","",ROUND($G518*$T518,2))</f>
        <v/>
      </c>
      <c r="V518" s="113">
        <f>IF($B518="","",MONTH($B518))</f>
        <v/>
      </c>
      <c r="W518" s="113">
        <f>IF($B518="","",YEAR($B518))</f>
        <v/>
      </c>
    </row>
    <row r="519">
      <c r="B519" s="105" t="n"/>
      <c r="C519" s="54" t="n"/>
      <c r="D519" s="54" t="n"/>
      <c r="E519" s="54" t="n"/>
      <c r="F519" s="54" t="n"/>
      <c r="G519" s="65" t="n"/>
      <c r="H519" s="54" t="n"/>
      <c r="I519" s="106">
        <f>IF($C519="","",IFERROR(INDEX(Sens_Types,MATCH($C519,Liste_Types,0)),""))</f>
        <v/>
      </c>
      <c r="J519" s="107">
        <f>IF($I519="▲ ENTRÉE",$U519,"")</f>
        <v/>
      </c>
      <c r="K519" s="108">
        <f>IF($I519="▼ SORTIE",$U519,"")</f>
        <v/>
      </c>
      <c r="L519" s="109">
        <f>$L518+N($J519)-N($K519)</f>
        <v/>
      </c>
      <c r="M519" s="110" t="n"/>
      <c r="N519" s="54" t="n"/>
      <c r="O519" s="54" t="n"/>
      <c r="P519" s="54" t="n"/>
      <c r="Q519" s="110" t="n"/>
      <c r="R519" s="110" t="n"/>
      <c r="S519" s="54" t="n"/>
      <c r="T519" s="111">
        <f>IF($G519="","",IFERROR(INDEX(Taux_Devises,MATCH(IF($M519="",Devise_Base,$M519),Codes_Devises,0)),1))</f>
        <v/>
      </c>
      <c r="U519" s="112">
        <f>IF($G519="","",ROUND($G519*$T519,2))</f>
        <v/>
      </c>
      <c r="V519" s="113">
        <f>IF($B519="","",MONTH($B519))</f>
        <v/>
      </c>
      <c r="W519" s="113">
        <f>IF($B519="","",YEAR($B519))</f>
        <v/>
      </c>
    </row>
    <row r="520">
      <c r="B520" s="105" t="n"/>
      <c r="C520" s="54" t="n"/>
      <c r="D520" s="54" t="n"/>
      <c r="E520" s="54" t="n"/>
      <c r="F520" s="54" t="n"/>
      <c r="G520" s="65" t="n"/>
      <c r="H520" s="54" t="n"/>
      <c r="I520" s="106">
        <f>IF($C520="","",IFERROR(INDEX(Sens_Types,MATCH($C520,Liste_Types,0)),""))</f>
        <v/>
      </c>
      <c r="J520" s="107">
        <f>IF($I520="▲ ENTRÉE",$U520,"")</f>
        <v/>
      </c>
      <c r="K520" s="108">
        <f>IF($I520="▼ SORTIE",$U520,"")</f>
        <v/>
      </c>
      <c r="L520" s="109">
        <f>$L519+N($J520)-N($K520)</f>
        <v/>
      </c>
      <c r="M520" s="110" t="n"/>
      <c r="N520" s="54" t="n"/>
      <c r="O520" s="54" t="n"/>
      <c r="P520" s="54" t="n"/>
      <c r="Q520" s="110" t="n"/>
      <c r="R520" s="110" t="n"/>
      <c r="S520" s="54" t="n"/>
      <c r="T520" s="111">
        <f>IF($G520="","",IFERROR(INDEX(Taux_Devises,MATCH(IF($M520="",Devise_Base,$M520),Codes_Devises,0)),1))</f>
        <v/>
      </c>
      <c r="U520" s="112">
        <f>IF($G520="","",ROUND($G520*$T520,2))</f>
        <v/>
      </c>
      <c r="V520" s="113">
        <f>IF($B520="","",MONTH($B520))</f>
        <v/>
      </c>
      <c r="W520" s="113">
        <f>IF($B520="","",YEAR($B520))</f>
        <v/>
      </c>
    </row>
    <row r="521">
      <c r="B521" s="105" t="n"/>
      <c r="C521" s="54" t="n"/>
      <c r="D521" s="54" t="n"/>
      <c r="E521" s="54" t="n"/>
      <c r="F521" s="54" t="n"/>
      <c r="G521" s="65" t="n"/>
      <c r="H521" s="54" t="n"/>
      <c r="I521" s="106">
        <f>IF($C521="","",IFERROR(INDEX(Sens_Types,MATCH($C521,Liste_Types,0)),""))</f>
        <v/>
      </c>
      <c r="J521" s="107">
        <f>IF($I521="▲ ENTRÉE",$U521,"")</f>
        <v/>
      </c>
      <c r="K521" s="108">
        <f>IF($I521="▼ SORTIE",$U521,"")</f>
        <v/>
      </c>
      <c r="L521" s="109">
        <f>$L520+N($J521)-N($K521)</f>
        <v/>
      </c>
      <c r="M521" s="110" t="n"/>
      <c r="N521" s="54" t="n"/>
      <c r="O521" s="54" t="n"/>
      <c r="P521" s="54" t="n"/>
      <c r="Q521" s="110" t="n"/>
      <c r="R521" s="110" t="n"/>
      <c r="S521" s="54" t="n"/>
      <c r="T521" s="111">
        <f>IF($G521="","",IFERROR(INDEX(Taux_Devises,MATCH(IF($M521="",Devise_Base,$M521),Codes_Devises,0)),1))</f>
        <v/>
      </c>
      <c r="U521" s="112">
        <f>IF($G521="","",ROUND($G521*$T521,2))</f>
        <v/>
      </c>
      <c r="V521" s="113">
        <f>IF($B521="","",MONTH($B521))</f>
        <v/>
      </c>
      <c r="W521" s="113">
        <f>IF($B521="","",YEAR($B521))</f>
        <v/>
      </c>
    </row>
    <row r="522">
      <c r="B522" s="105" t="n"/>
      <c r="C522" s="54" t="n"/>
      <c r="D522" s="54" t="n"/>
      <c r="E522" s="54" t="n"/>
      <c r="F522" s="54" t="n"/>
      <c r="G522" s="65" t="n"/>
      <c r="H522" s="54" t="n"/>
      <c r="I522" s="106">
        <f>IF($C522="","",IFERROR(INDEX(Sens_Types,MATCH($C522,Liste_Types,0)),""))</f>
        <v/>
      </c>
      <c r="J522" s="107">
        <f>IF($I522="▲ ENTRÉE",$U522,"")</f>
        <v/>
      </c>
      <c r="K522" s="108">
        <f>IF($I522="▼ SORTIE",$U522,"")</f>
        <v/>
      </c>
      <c r="L522" s="109">
        <f>$L521+N($J522)-N($K522)</f>
        <v/>
      </c>
      <c r="M522" s="110" t="n"/>
      <c r="N522" s="54" t="n"/>
      <c r="O522" s="54" t="n"/>
      <c r="P522" s="54" t="n"/>
      <c r="Q522" s="110" t="n"/>
      <c r="R522" s="110" t="n"/>
      <c r="S522" s="54" t="n"/>
      <c r="T522" s="111">
        <f>IF($G522="","",IFERROR(INDEX(Taux_Devises,MATCH(IF($M522="",Devise_Base,$M522),Codes_Devises,0)),1))</f>
        <v/>
      </c>
      <c r="U522" s="112">
        <f>IF($G522="","",ROUND($G522*$T522,2))</f>
        <v/>
      </c>
      <c r="V522" s="113">
        <f>IF($B522="","",MONTH($B522))</f>
        <v/>
      </c>
      <c r="W522" s="113">
        <f>IF($B522="","",YEAR($B522))</f>
        <v/>
      </c>
    </row>
    <row r="523">
      <c r="B523" s="105" t="n"/>
      <c r="C523" s="54" t="n"/>
      <c r="D523" s="54" t="n"/>
      <c r="E523" s="54" t="n"/>
      <c r="F523" s="54" t="n"/>
      <c r="G523" s="65" t="n"/>
      <c r="H523" s="54" t="n"/>
      <c r="I523" s="106">
        <f>IF($C523="","",IFERROR(INDEX(Sens_Types,MATCH($C523,Liste_Types,0)),""))</f>
        <v/>
      </c>
      <c r="J523" s="107">
        <f>IF($I523="▲ ENTRÉE",$U523,"")</f>
        <v/>
      </c>
      <c r="K523" s="108">
        <f>IF($I523="▼ SORTIE",$U523,"")</f>
        <v/>
      </c>
      <c r="L523" s="109">
        <f>$L522+N($J523)-N($K523)</f>
        <v/>
      </c>
      <c r="M523" s="110" t="n"/>
      <c r="N523" s="54" t="n"/>
      <c r="O523" s="54" t="n"/>
      <c r="P523" s="54" t="n"/>
      <c r="Q523" s="110" t="n"/>
      <c r="R523" s="110" t="n"/>
      <c r="S523" s="54" t="n"/>
      <c r="T523" s="111">
        <f>IF($G523="","",IFERROR(INDEX(Taux_Devises,MATCH(IF($M523="",Devise_Base,$M523),Codes_Devises,0)),1))</f>
        <v/>
      </c>
      <c r="U523" s="112">
        <f>IF($G523="","",ROUND($G523*$T523,2))</f>
        <v/>
      </c>
      <c r="V523" s="113">
        <f>IF($B523="","",MONTH($B523))</f>
        <v/>
      </c>
      <c r="W523" s="113">
        <f>IF($B523="","",YEAR($B523))</f>
        <v/>
      </c>
    </row>
    <row r="524">
      <c r="B524" s="105" t="n"/>
      <c r="C524" s="54" t="n"/>
      <c r="D524" s="54" t="n"/>
      <c r="E524" s="54" t="n"/>
      <c r="F524" s="54" t="n"/>
      <c r="G524" s="65" t="n"/>
      <c r="H524" s="54" t="n"/>
      <c r="I524" s="106">
        <f>IF($C524="","",IFERROR(INDEX(Sens_Types,MATCH($C524,Liste_Types,0)),""))</f>
        <v/>
      </c>
      <c r="J524" s="107">
        <f>IF($I524="▲ ENTRÉE",$U524,"")</f>
        <v/>
      </c>
      <c r="K524" s="108">
        <f>IF($I524="▼ SORTIE",$U524,"")</f>
        <v/>
      </c>
      <c r="L524" s="109">
        <f>$L523+N($J524)-N($K524)</f>
        <v/>
      </c>
      <c r="M524" s="110" t="n"/>
      <c r="N524" s="54" t="n"/>
      <c r="O524" s="54" t="n"/>
      <c r="P524" s="54" t="n"/>
      <c r="Q524" s="110" t="n"/>
      <c r="R524" s="110" t="n"/>
      <c r="S524" s="54" t="n"/>
      <c r="T524" s="111">
        <f>IF($G524="","",IFERROR(INDEX(Taux_Devises,MATCH(IF($M524="",Devise_Base,$M524),Codes_Devises,0)),1))</f>
        <v/>
      </c>
      <c r="U524" s="112">
        <f>IF($G524="","",ROUND($G524*$T524,2))</f>
        <v/>
      </c>
      <c r="V524" s="113">
        <f>IF($B524="","",MONTH($B524))</f>
        <v/>
      </c>
      <c r="W524" s="113">
        <f>IF($B524="","",YEAR($B524))</f>
        <v/>
      </c>
    </row>
    <row r="525">
      <c r="B525" s="105" t="n"/>
      <c r="C525" s="54" t="n"/>
      <c r="D525" s="54" t="n"/>
      <c r="E525" s="54" t="n"/>
      <c r="F525" s="54" t="n"/>
      <c r="G525" s="65" t="n"/>
      <c r="H525" s="54" t="n"/>
      <c r="I525" s="106">
        <f>IF($C525="","",IFERROR(INDEX(Sens_Types,MATCH($C525,Liste_Types,0)),""))</f>
        <v/>
      </c>
      <c r="J525" s="107">
        <f>IF($I525="▲ ENTRÉE",$U525,"")</f>
        <v/>
      </c>
      <c r="K525" s="108">
        <f>IF($I525="▼ SORTIE",$U525,"")</f>
        <v/>
      </c>
      <c r="L525" s="109">
        <f>$L524+N($J525)-N($K525)</f>
        <v/>
      </c>
      <c r="M525" s="110" t="n"/>
      <c r="N525" s="54" t="n"/>
      <c r="O525" s="54" t="n"/>
      <c r="P525" s="54" t="n"/>
      <c r="Q525" s="110" t="n"/>
      <c r="R525" s="110" t="n"/>
      <c r="S525" s="54" t="n"/>
      <c r="T525" s="111">
        <f>IF($G525="","",IFERROR(INDEX(Taux_Devises,MATCH(IF($M525="",Devise_Base,$M525),Codes_Devises,0)),1))</f>
        <v/>
      </c>
      <c r="U525" s="112">
        <f>IF($G525="","",ROUND($G525*$T525,2))</f>
        <v/>
      </c>
      <c r="V525" s="113">
        <f>IF($B525="","",MONTH($B525))</f>
        <v/>
      </c>
      <c r="W525" s="113">
        <f>IF($B525="","",YEAR($B525))</f>
        <v/>
      </c>
    </row>
    <row r="526">
      <c r="B526" s="105" t="n"/>
      <c r="C526" s="54" t="n"/>
      <c r="D526" s="54" t="n"/>
      <c r="E526" s="54" t="n"/>
      <c r="F526" s="54" t="n"/>
      <c r="G526" s="65" t="n"/>
      <c r="H526" s="54" t="n"/>
      <c r="I526" s="106">
        <f>IF($C526="","",IFERROR(INDEX(Sens_Types,MATCH($C526,Liste_Types,0)),""))</f>
        <v/>
      </c>
      <c r="J526" s="107">
        <f>IF($I526="▲ ENTRÉE",$U526,"")</f>
        <v/>
      </c>
      <c r="K526" s="108">
        <f>IF($I526="▼ SORTIE",$U526,"")</f>
        <v/>
      </c>
      <c r="L526" s="109">
        <f>$L525+N($J526)-N($K526)</f>
        <v/>
      </c>
      <c r="M526" s="110" t="n"/>
      <c r="N526" s="54" t="n"/>
      <c r="O526" s="54" t="n"/>
      <c r="P526" s="54" t="n"/>
      <c r="Q526" s="110" t="n"/>
      <c r="R526" s="110" t="n"/>
      <c r="S526" s="54" t="n"/>
      <c r="T526" s="111">
        <f>IF($G526="","",IFERROR(INDEX(Taux_Devises,MATCH(IF($M526="",Devise_Base,$M526),Codes_Devises,0)),1))</f>
        <v/>
      </c>
      <c r="U526" s="112">
        <f>IF($G526="","",ROUND($G526*$T526,2))</f>
        <v/>
      </c>
      <c r="V526" s="113">
        <f>IF($B526="","",MONTH($B526))</f>
        <v/>
      </c>
      <c r="W526" s="113">
        <f>IF($B526="","",YEAR($B526))</f>
        <v/>
      </c>
    </row>
    <row r="527">
      <c r="B527" s="105" t="n"/>
      <c r="C527" s="54" t="n"/>
      <c r="D527" s="54" t="n"/>
      <c r="E527" s="54" t="n"/>
      <c r="F527" s="54" t="n"/>
      <c r="G527" s="65" t="n"/>
      <c r="H527" s="54" t="n"/>
      <c r="I527" s="106">
        <f>IF($C527="","",IFERROR(INDEX(Sens_Types,MATCH($C527,Liste_Types,0)),""))</f>
        <v/>
      </c>
      <c r="J527" s="107">
        <f>IF($I527="▲ ENTRÉE",$U527,"")</f>
        <v/>
      </c>
      <c r="K527" s="108">
        <f>IF($I527="▼ SORTIE",$U527,"")</f>
        <v/>
      </c>
      <c r="L527" s="109">
        <f>$L526+N($J527)-N($K527)</f>
        <v/>
      </c>
      <c r="M527" s="110" t="n"/>
      <c r="N527" s="54" t="n"/>
      <c r="O527" s="54" t="n"/>
      <c r="P527" s="54" t="n"/>
      <c r="Q527" s="110" t="n"/>
      <c r="R527" s="110" t="n"/>
      <c r="S527" s="54" t="n"/>
      <c r="T527" s="111">
        <f>IF($G527="","",IFERROR(INDEX(Taux_Devises,MATCH(IF($M527="",Devise_Base,$M527),Codes_Devises,0)),1))</f>
        <v/>
      </c>
      <c r="U527" s="112">
        <f>IF($G527="","",ROUND($G527*$T527,2))</f>
        <v/>
      </c>
      <c r="V527" s="113">
        <f>IF($B527="","",MONTH($B527))</f>
        <v/>
      </c>
      <c r="W527" s="113">
        <f>IF($B527="","",YEAR($B527))</f>
        <v/>
      </c>
    </row>
    <row r="528">
      <c r="B528" s="105" t="n"/>
      <c r="C528" s="54" t="n"/>
      <c r="D528" s="54" t="n"/>
      <c r="E528" s="54" t="n"/>
      <c r="F528" s="54" t="n"/>
      <c r="G528" s="65" t="n"/>
      <c r="H528" s="54" t="n"/>
      <c r="I528" s="106">
        <f>IF($C528="","",IFERROR(INDEX(Sens_Types,MATCH($C528,Liste_Types,0)),""))</f>
        <v/>
      </c>
      <c r="J528" s="107">
        <f>IF($I528="▲ ENTRÉE",$U528,"")</f>
        <v/>
      </c>
      <c r="K528" s="108">
        <f>IF($I528="▼ SORTIE",$U528,"")</f>
        <v/>
      </c>
      <c r="L528" s="109">
        <f>$L527+N($J528)-N($K528)</f>
        <v/>
      </c>
      <c r="M528" s="110" t="n"/>
      <c r="N528" s="54" t="n"/>
      <c r="O528" s="54" t="n"/>
      <c r="P528" s="54" t="n"/>
      <c r="Q528" s="110" t="n"/>
      <c r="R528" s="110" t="n"/>
      <c r="S528" s="54" t="n"/>
      <c r="T528" s="111">
        <f>IF($G528="","",IFERROR(INDEX(Taux_Devises,MATCH(IF($M528="",Devise_Base,$M528),Codes_Devises,0)),1))</f>
        <v/>
      </c>
      <c r="U528" s="112">
        <f>IF($G528="","",ROUND($G528*$T528,2))</f>
        <v/>
      </c>
      <c r="V528" s="113">
        <f>IF($B528="","",MONTH($B528))</f>
        <v/>
      </c>
      <c r="W528" s="113">
        <f>IF($B528="","",YEAR($B528))</f>
        <v/>
      </c>
    </row>
    <row r="529">
      <c r="B529" s="105" t="n"/>
      <c r="C529" s="54" t="n"/>
      <c r="D529" s="54" t="n"/>
      <c r="E529" s="54" t="n"/>
      <c r="F529" s="54" t="n"/>
      <c r="G529" s="65" t="n"/>
      <c r="H529" s="54" t="n"/>
      <c r="I529" s="106">
        <f>IF($C529="","",IFERROR(INDEX(Sens_Types,MATCH($C529,Liste_Types,0)),""))</f>
        <v/>
      </c>
      <c r="J529" s="107">
        <f>IF($I529="▲ ENTRÉE",$U529,"")</f>
        <v/>
      </c>
      <c r="K529" s="108">
        <f>IF($I529="▼ SORTIE",$U529,"")</f>
        <v/>
      </c>
      <c r="L529" s="109">
        <f>$L528+N($J529)-N($K529)</f>
        <v/>
      </c>
      <c r="M529" s="110" t="n"/>
      <c r="N529" s="54" t="n"/>
      <c r="O529" s="54" t="n"/>
      <c r="P529" s="54" t="n"/>
      <c r="Q529" s="110" t="n"/>
      <c r="R529" s="110" t="n"/>
      <c r="S529" s="54" t="n"/>
      <c r="T529" s="111">
        <f>IF($G529="","",IFERROR(INDEX(Taux_Devises,MATCH(IF($M529="",Devise_Base,$M529),Codes_Devises,0)),1))</f>
        <v/>
      </c>
      <c r="U529" s="112">
        <f>IF($G529="","",ROUND($G529*$T529,2))</f>
        <v/>
      </c>
      <c r="V529" s="113">
        <f>IF($B529="","",MONTH($B529))</f>
        <v/>
      </c>
      <c r="W529" s="113">
        <f>IF($B529="","",YEAR($B529))</f>
        <v/>
      </c>
    </row>
    <row r="530">
      <c r="B530" s="105" t="n"/>
      <c r="C530" s="54" t="n"/>
      <c r="D530" s="54" t="n"/>
      <c r="E530" s="54" t="n"/>
      <c r="F530" s="54" t="n"/>
      <c r="G530" s="65" t="n"/>
      <c r="H530" s="54" t="n"/>
      <c r="I530" s="106">
        <f>IF($C530="","",IFERROR(INDEX(Sens_Types,MATCH($C530,Liste_Types,0)),""))</f>
        <v/>
      </c>
      <c r="J530" s="107">
        <f>IF($I530="▲ ENTRÉE",$U530,"")</f>
        <v/>
      </c>
      <c r="K530" s="108">
        <f>IF($I530="▼ SORTIE",$U530,"")</f>
        <v/>
      </c>
      <c r="L530" s="109">
        <f>$L529+N($J530)-N($K530)</f>
        <v/>
      </c>
      <c r="M530" s="110" t="n"/>
      <c r="N530" s="54" t="n"/>
      <c r="O530" s="54" t="n"/>
      <c r="P530" s="54" t="n"/>
      <c r="Q530" s="110" t="n"/>
      <c r="R530" s="110" t="n"/>
      <c r="S530" s="54" t="n"/>
      <c r="T530" s="111">
        <f>IF($G530="","",IFERROR(INDEX(Taux_Devises,MATCH(IF($M530="",Devise_Base,$M530),Codes_Devises,0)),1))</f>
        <v/>
      </c>
      <c r="U530" s="112">
        <f>IF($G530="","",ROUND($G530*$T530,2))</f>
        <v/>
      </c>
      <c r="V530" s="113">
        <f>IF($B530="","",MONTH($B530))</f>
        <v/>
      </c>
      <c r="W530" s="113">
        <f>IF($B530="","",YEAR($B530))</f>
        <v/>
      </c>
    </row>
    <row r="531">
      <c r="B531" s="105" t="n"/>
      <c r="C531" s="54" t="n"/>
      <c r="D531" s="54" t="n"/>
      <c r="E531" s="54" t="n"/>
      <c r="F531" s="54" t="n"/>
      <c r="G531" s="65" t="n"/>
      <c r="H531" s="54" t="n"/>
      <c r="I531" s="106">
        <f>IF($C531="","",IFERROR(INDEX(Sens_Types,MATCH($C531,Liste_Types,0)),""))</f>
        <v/>
      </c>
      <c r="J531" s="107">
        <f>IF($I531="▲ ENTRÉE",$U531,"")</f>
        <v/>
      </c>
      <c r="K531" s="108">
        <f>IF($I531="▼ SORTIE",$U531,"")</f>
        <v/>
      </c>
      <c r="L531" s="109">
        <f>$L530+N($J531)-N($K531)</f>
        <v/>
      </c>
      <c r="M531" s="110" t="n"/>
      <c r="N531" s="54" t="n"/>
      <c r="O531" s="54" t="n"/>
      <c r="P531" s="54" t="n"/>
      <c r="Q531" s="110" t="n"/>
      <c r="R531" s="110" t="n"/>
      <c r="S531" s="54" t="n"/>
      <c r="T531" s="111">
        <f>IF($G531="","",IFERROR(INDEX(Taux_Devises,MATCH(IF($M531="",Devise_Base,$M531),Codes_Devises,0)),1))</f>
        <v/>
      </c>
      <c r="U531" s="112">
        <f>IF($G531="","",ROUND($G531*$T531,2))</f>
        <v/>
      </c>
      <c r="V531" s="113">
        <f>IF($B531="","",MONTH($B531))</f>
        <v/>
      </c>
      <c r="W531" s="113">
        <f>IF($B531="","",YEAR($B531))</f>
        <v/>
      </c>
    </row>
    <row r="532">
      <c r="B532" s="105" t="n"/>
      <c r="C532" s="54" t="n"/>
      <c r="D532" s="54" t="n"/>
      <c r="E532" s="54" t="n"/>
      <c r="F532" s="54" t="n"/>
      <c r="G532" s="65" t="n"/>
      <c r="H532" s="54" t="n"/>
      <c r="I532" s="106">
        <f>IF($C532="","",IFERROR(INDEX(Sens_Types,MATCH($C532,Liste_Types,0)),""))</f>
        <v/>
      </c>
      <c r="J532" s="107">
        <f>IF($I532="▲ ENTRÉE",$U532,"")</f>
        <v/>
      </c>
      <c r="K532" s="108">
        <f>IF($I532="▼ SORTIE",$U532,"")</f>
        <v/>
      </c>
      <c r="L532" s="109">
        <f>$L531+N($J532)-N($K532)</f>
        <v/>
      </c>
      <c r="M532" s="110" t="n"/>
      <c r="N532" s="54" t="n"/>
      <c r="O532" s="54" t="n"/>
      <c r="P532" s="54" t="n"/>
      <c r="Q532" s="110" t="n"/>
      <c r="R532" s="110" t="n"/>
      <c r="S532" s="54" t="n"/>
      <c r="T532" s="111">
        <f>IF($G532="","",IFERROR(INDEX(Taux_Devises,MATCH(IF($M532="",Devise_Base,$M532),Codes_Devises,0)),1))</f>
        <v/>
      </c>
      <c r="U532" s="112">
        <f>IF($G532="","",ROUND($G532*$T532,2))</f>
        <v/>
      </c>
      <c r="V532" s="113">
        <f>IF($B532="","",MONTH($B532))</f>
        <v/>
      </c>
      <c r="W532" s="113">
        <f>IF($B532="","",YEAR($B532))</f>
        <v/>
      </c>
    </row>
    <row r="533">
      <c r="B533" s="105" t="n"/>
      <c r="C533" s="54" t="n"/>
      <c r="D533" s="54" t="n"/>
      <c r="E533" s="54" t="n"/>
      <c r="F533" s="54" t="n"/>
      <c r="G533" s="65" t="n"/>
      <c r="H533" s="54" t="n"/>
      <c r="I533" s="106">
        <f>IF($C533="","",IFERROR(INDEX(Sens_Types,MATCH($C533,Liste_Types,0)),""))</f>
        <v/>
      </c>
      <c r="J533" s="107">
        <f>IF($I533="▲ ENTRÉE",$U533,"")</f>
        <v/>
      </c>
      <c r="K533" s="108">
        <f>IF($I533="▼ SORTIE",$U533,"")</f>
        <v/>
      </c>
      <c r="L533" s="109">
        <f>$L532+N($J533)-N($K533)</f>
        <v/>
      </c>
      <c r="M533" s="110" t="n"/>
      <c r="N533" s="54" t="n"/>
      <c r="O533" s="54" t="n"/>
      <c r="P533" s="54" t="n"/>
      <c r="Q533" s="110" t="n"/>
      <c r="R533" s="110" t="n"/>
      <c r="S533" s="54" t="n"/>
      <c r="T533" s="111">
        <f>IF($G533="","",IFERROR(INDEX(Taux_Devises,MATCH(IF($M533="",Devise_Base,$M533),Codes_Devises,0)),1))</f>
        <v/>
      </c>
      <c r="U533" s="112">
        <f>IF($G533="","",ROUND($G533*$T533,2))</f>
        <v/>
      </c>
      <c r="V533" s="113">
        <f>IF($B533="","",MONTH($B533))</f>
        <v/>
      </c>
      <c r="W533" s="113">
        <f>IF($B533="","",YEAR($B533))</f>
        <v/>
      </c>
    </row>
    <row r="534">
      <c r="B534" s="105" t="n"/>
      <c r="C534" s="54" t="n"/>
      <c r="D534" s="54" t="n"/>
      <c r="E534" s="54" t="n"/>
      <c r="F534" s="54" t="n"/>
      <c r="G534" s="65" t="n"/>
      <c r="H534" s="54" t="n"/>
      <c r="I534" s="106">
        <f>IF($C534="","",IFERROR(INDEX(Sens_Types,MATCH($C534,Liste_Types,0)),""))</f>
        <v/>
      </c>
      <c r="J534" s="107">
        <f>IF($I534="▲ ENTRÉE",$U534,"")</f>
        <v/>
      </c>
      <c r="K534" s="108">
        <f>IF($I534="▼ SORTIE",$U534,"")</f>
        <v/>
      </c>
      <c r="L534" s="109">
        <f>$L533+N($J534)-N($K534)</f>
        <v/>
      </c>
      <c r="M534" s="110" t="n"/>
      <c r="N534" s="54" t="n"/>
      <c r="O534" s="54" t="n"/>
      <c r="P534" s="54" t="n"/>
      <c r="Q534" s="110" t="n"/>
      <c r="R534" s="110" t="n"/>
      <c r="S534" s="54" t="n"/>
      <c r="T534" s="111">
        <f>IF($G534="","",IFERROR(INDEX(Taux_Devises,MATCH(IF($M534="",Devise_Base,$M534),Codes_Devises,0)),1))</f>
        <v/>
      </c>
      <c r="U534" s="112">
        <f>IF($G534="","",ROUND($G534*$T534,2))</f>
        <v/>
      </c>
      <c r="V534" s="113">
        <f>IF($B534="","",MONTH($B534))</f>
        <v/>
      </c>
      <c r="W534" s="113">
        <f>IF($B534="","",YEAR($B534))</f>
        <v/>
      </c>
    </row>
    <row r="535">
      <c r="B535" s="105" t="n"/>
      <c r="C535" s="54" t="n"/>
      <c r="D535" s="54" t="n"/>
      <c r="E535" s="54" t="n"/>
      <c r="F535" s="54" t="n"/>
      <c r="G535" s="65" t="n"/>
      <c r="H535" s="54" t="n"/>
      <c r="I535" s="106">
        <f>IF($C535="","",IFERROR(INDEX(Sens_Types,MATCH($C535,Liste_Types,0)),""))</f>
        <v/>
      </c>
      <c r="J535" s="107">
        <f>IF($I535="▲ ENTRÉE",$U535,"")</f>
        <v/>
      </c>
      <c r="K535" s="108">
        <f>IF($I535="▼ SORTIE",$U535,"")</f>
        <v/>
      </c>
      <c r="L535" s="109">
        <f>$L534+N($J535)-N($K535)</f>
        <v/>
      </c>
      <c r="M535" s="110" t="n"/>
      <c r="N535" s="54" t="n"/>
      <c r="O535" s="54" t="n"/>
      <c r="P535" s="54" t="n"/>
      <c r="Q535" s="110" t="n"/>
      <c r="R535" s="110" t="n"/>
      <c r="S535" s="54" t="n"/>
      <c r="T535" s="111">
        <f>IF($G535="","",IFERROR(INDEX(Taux_Devises,MATCH(IF($M535="",Devise_Base,$M535),Codes_Devises,0)),1))</f>
        <v/>
      </c>
      <c r="U535" s="112">
        <f>IF($G535="","",ROUND($G535*$T535,2))</f>
        <v/>
      </c>
      <c r="V535" s="113">
        <f>IF($B535="","",MONTH($B535))</f>
        <v/>
      </c>
      <c r="W535" s="113">
        <f>IF($B535="","",YEAR($B535))</f>
        <v/>
      </c>
    </row>
    <row r="536">
      <c r="B536" s="105" t="n"/>
      <c r="C536" s="54" t="n"/>
      <c r="D536" s="54" t="n"/>
      <c r="E536" s="54" t="n"/>
      <c r="F536" s="54" t="n"/>
      <c r="G536" s="65" t="n"/>
      <c r="H536" s="54" t="n"/>
      <c r="I536" s="106">
        <f>IF($C536="","",IFERROR(INDEX(Sens_Types,MATCH($C536,Liste_Types,0)),""))</f>
        <v/>
      </c>
      <c r="J536" s="107">
        <f>IF($I536="▲ ENTRÉE",$U536,"")</f>
        <v/>
      </c>
      <c r="K536" s="108">
        <f>IF($I536="▼ SORTIE",$U536,"")</f>
        <v/>
      </c>
      <c r="L536" s="109">
        <f>$L535+N($J536)-N($K536)</f>
        <v/>
      </c>
      <c r="M536" s="110" t="n"/>
      <c r="N536" s="54" t="n"/>
      <c r="O536" s="54" t="n"/>
      <c r="P536" s="54" t="n"/>
      <c r="Q536" s="110" t="n"/>
      <c r="R536" s="110" t="n"/>
      <c r="S536" s="54" t="n"/>
      <c r="T536" s="111">
        <f>IF($G536="","",IFERROR(INDEX(Taux_Devises,MATCH(IF($M536="",Devise_Base,$M536),Codes_Devises,0)),1))</f>
        <v/>
      </c>
      <c r="U536" s="112">
        <f>IF($G536="","",ROUND($G536*$T536,2))</f>
        <v/>
      </c>
      <c r="V536" s="113">
        <f>IF($B536="","",MONTH($B536))</f>
        <v/>
      </c>
      <c r="W536" s="113">
        <f>IF($B536="","",YEAR($B536))</f>
        <v/>
      </c>
    </row>
    <row r="537">
      <c r="B537" s="105" t="n"/>
      <c r="C537" s="54" t="n"/>
      <c r="D537" s="54" t="n"/>
      <c r="E537" s="54" t="n"/>
      <c r="F537" s="54" t="n"/>
      <c r="G537" s="65" t="n"/>
      <c r="H537" s="54" t="n"/>
      <c r="I537" s="106">
        <f>IF($C537="","",IFERROR(INDEX(Sens_Types,MATCH($C537,Liste_Types,0)),""))</f>
        <v/>
      </c>
      <c r="J537" s="107">
        <f>IF($I537="▲ ENTRÉE",$U537,"")</f>
        <v/>
      </c>
      <c r="K537" s="108">
        <f>IF($I537="▼ SORTIE",$U537,"")</f>
        <v/>
      </c>
      <c r="L537" s="109">
        <f>$L536+N($J537)-N($K537)</f>
        <v/>
      </c>
      <c r="M537" s="110" t="n"/>
      <c r="N537" s="54" t="n"/>
      <c r="O537" s="54" t="n"/>
      <c r="P537" s="54" t="n"/>
      <c r="Q537" s="110" t="n"/>
      <c r="R537" s="110" t="n"/>
      <c r="S537" s="54" t="n"/>
      <c r="T537" s="111">
        <f>IF($G537="","",IFERROR(INDEX(Taux_Devises,MATCH(IF($M537="",Devise_Base,$M537),Codes_Devises,0)),1))</f>
        <v/>
      </c>
      <c r="U537" s="112">
        <f>IF($G537="","",ROUND($G537*$T537,2))</f>
        <v/>
      </c>
      <c r="V537" s="113">
        <f>IF($B537="","",MONTH($B537))</f>
        <v/>
      </c>
      <c r="W537" s="113">
        <f>IF($B537="","",YEAR($B537))</f>
        <v/>
      </c>
    </row>
    <row r="538">
      <c r="B538" s="105" t="n"/>
      <c r="C538" s="54" t="n"/>
      <c r="D538" s="54" t="n"/>
      <c r="E538" s="54" t="n"/>
      <c r="F538" s="54" t="n"/>
      <c r="G538" s="65" t="n"/>
      <c r="H538" s="54" t="n"/>
      <c r="I538" s="106">
        <f>IF($C538="","",IFERROR(INDEX(Sens_Types,MATCH($C538,Liste_Types,0)),""))</f>
        <v/>
      </c>
      <c r="J538" s="107">
        <f>IF($I538="▲ ENTRÉE",$U538,"")</f>
        <v/>
      </c>
      <c r="K538" s="108">
        <f>IF($I538="▼ SORTIE",$U538,"")</f>
        <v/>
      </c>
      <c r="L538" s="109">
        <f>$L537+N($J538)-N($K538)</f>
        <v/>
      </c>
      <c r="M538" s="110" t="n"/>
      <c r="N538" s="54" t="n"/>
      <c r="O538" s="54" t="n"/>
      <c r="P538" s="54" t="n"/>
      <c r="Q538" s="110" t="n"/>
      <c r="R538" s="110" t="n"/>
      <c r="S538" s="54" t="n"/>
      <c r="T538" s="111">
        <f>IF($G538="","",IFERROR(INDEX(Taux_Devises,MATCH(IF($M538="",Devise_Base,$M538),Codes_Devises,0)),1))</f>
        <v/>
      </c>
      <c r="U538" s="112">
        <f>IF($G538="","",ROUND($G538*$T538,2))</f>
        <v/>
      </c>
      <c r="V538" s="113">
        <f>IF($B538="","",MONTH($B538))</f>
        <v/>
      </c>
      <c r="W538" s="113">
        <f>IF($B538="","",YEAR($B538))</f>
        <v/>
      </c>
    </row>
    <row r="539">
      <c r="B539" s="105" t="n"/>
      <c r="C539" s="54" t="n"/>
      <c r="D539" s="54" t="n"/>
      <c r="E539" s="54" t="n"/>
      <c r="F539" s="54" t="n"/>
      <c r="G539" s="65" t="n"/>
      <c r="H539" s="54" t="n"/>
      <c r="I539" s="106">
        <f>IF($C539="","",IFERROR(INDEX(Sens_Types,MATCH($C539,Liste_Types,0)),""))</f>
        <v/>
      </c>
      <c r="J539" s="107">
        <f>IF($I539="▲ ENTRÉE",$U539,"")</f>
        <v/>
      </c>
      <c r="K539" s="108">
        <f>IF($I539="▼ SORTIE",$U539,"")</f>
        <v/>
      </c>
      <c r="L539" s="109">
        <f>$L538+N($J539)-N($K539)</f>
        <v/>
      </c>
      <c r="M539" s="110" t="n"/>
      <c r="N539" s="54" t="n"/>
      <c r="O539" s="54" t="n"/>
      <c r="P539" s="54" t="n"/>
      <c r="Q539" s="110" t="n"/>
      <c r="R539" s="110" t="n"/>
      <c r="S539" s="54" t="n"/>
      <c r="T539" s="111">
        <f>IF($G539="","",IFERROR(INDEX(Taux_Devises,MATCH(IF($M539="",Devise_Base,$M539),Codes_Devises,0)),1))</f>
        <v/>
      </c>
      <c r="U539" s="112">
        <f>IF($G539="","",ROUND($G539*$T539,2))</f>
        <v/>
      </c>
      <c r="V539" s="113">
        <f>IF($B539="","",MONTH($B539))</f>
        <v/>
      </c>
      <c r="W539" s="113">
        <f>IF($B539="","",YEAR($B539))</f>
        <v/>
      </c>
    </row>
    <row r="540">
      <c r="B540" s="105" t="n"/>
      <c r="C540" s="54" t="n"/>
      <c r="D540" s="54" t="n"/>
      <c r="E540" s="54" t="n"/>
      <c r="F540" s="54" t="n"/>
      <c r="G540" s="65" t="n"/>
      <c r="H540" s="54" t="n"/>
      <c r="I540" s="106">
        <f>IF($C540="","",IFERROR(INDEX(Sens_Types,MATCH($C540,Liste_Types,0)),""))</f>
        <v/>
      </c>
      <c r="J540" s="107">
        <f>IF($I540="▲ ENTRÉE",$U540,"")</f>
        <v/>
      </c>
      <c r="K540" s="108">
        <f>IF($I540="▼ SORTIE",$U540,"")</f>
        <v/>
      </c>
      <c r="L540" s="109">
        <f>$L539+N($J540)-N($K540)</f>
        <v/>
      </c>
      <c r="M540" s="110" t="n"/>
      <c r="N540" s="54" t="n"/>
      <c r="O540" s="54" t="n"/>
      <c r="P540" s="54" t="n"/>
      <c r="Q540" s="110" t="n"/>
      <c r="R540" s="110" t="n"/>
      <c r="S540" s="54" t="n"/>
      <c r="T540" s="111">
        <f>IF($G540="","",IFERROR(INDEX(Taux_Devises,MATCH(IF($M540="",Devise_Base,$M540),Codes_Devises,0)),1))</f>
        <v/>
      </c>
      <c r="U540" s="112">
        <f>IF($G540="","",ROUND($G540*$T540,2))</f>
        <v/>
      </c>
      <c r="V540" s="113">
        <f>IF($B540="","",MONTH($B540))</f>
        <v/>
      </c>
      <c r="W540" s="113">
        <f>IF($B540="","",YEAR($B540))</f>
        <v/>
      </c>
    </row>
    <row r="541">
      <c r="B541" s="105" t="n"/>
      <c r="C541" s="54" t="n"/>
      <c r="D541" s="54" t="n"/>
      <c r="E541" s="54" t="n"/>
      <c r="F541" s="54" t="n"/>
      <c r="G541" s="65" t="n"/>
      <c r="H541" s="54" t="n"/>
      <c r="I541" s="106">
        <f>IF($C541="","",IFERROR(INDEX(Sens_Types,MATCH($C541,Liste_Types,0)),""))</f>
        <v/>
      </c>
      <c r="J541" s="107">
        <f>IF($I541="▲ ENTRÉE",$U541,"")</f>
        <v/>
      </c>
      <c r="K541" s="108">
        <f>IF($I541="▼ SORTIE",$U541,"")</f>
        <v/>
      </c>
      <c r="L541" s="109">
        <f>$L540+N($J541)-N($K541)</f>
        <v/>
      </c>
      <c r="M541" s="110" t="n"/>
      <c r="N541" s="54" t="n"/>
      <c r="O541" s="54" t="n"/>
      <c r="P541" s="54" t="n"/>
      <c r="Q541" s="110" t="n"/>
      <c r="R541" s="110" t="n"/>
      <c r="S541" s="54" t="n"/>
      <c r="T541" s="111">
        <f>IF($G541="","",IFERROR(INDEX(Taux_Devises,MATCH(IF($M541="",Devise_Base,$M541),Codes_Devises,0)),1))</f>
        <v/>
      </c>
      <c r="U541" s="112">
        <f>IF($G541="","",ROUND($G541*$T541,2))</f>
        <v/>
      </c>
      <c r="V541" s="113">
        <f>IF($B541="","",MONTH($B541))</f>
        <v/>
      </c>
      <c r="W541" s="113">
        <f>IF($B541="","",YEAR($B541))</f>
        <v/>
      </c>
    </row>
    <row r="542">
      <c r="B542" s="105" t="n"/>
      <c r="C542" s="54" t="n"/>
      <c r="D542" s="54" t="n"/>
      <c r="E542" s="54" t="n"/>
      <c r="F542" s="54" t="n"/>
      <c r="G542" s="65" t="n"/>
      <c r="H542" s="54" t="n"/>
      <c r="I542" s="106">
        <f>IF($C542="","",IFERROR(INDEX(Sens_Types,MATCH($C542,Liste_Types,0)),""))</f>
        <v/>
      </c>
      <c r="J542" s="107">
        <f>IF($I542="▲ ENTRÉE",$U542,"")</f>
        <v/>
      </c>
      <c r="K542" s="108">
        <f>IF($I542="▼ SORTIE",$U542,"")</f>
        <v/>
      </c>
      <c r="L542" s="109">
        <f>$L541+N($J542)-N($K542)</f>
        <v/>
      </c>
      <c r="M542" s="110" t="n"/>
      <c r="N542" s="54" t="n"/>
      <c r="O542" s="54" t="n"/>
      <c r="P542" s="54" t="n"/>
      <c r="Q542" s="110" t="n"/>
      <c r="R542" s="110" t="n"/>
      <c r="S542" s="54" t="n"/>
      <c r="T542" s="111">
        <f>IF($G542="","",IFERROR(INDEX(Taux_Devises,MATCH(IF($M542="",Devise_Base,$M542),Codes_Devises,0)),1))</f>
        <v/>
      </c>
      <c r="U542" s="112">
        <f>IF($G542="","",ROUND($G542*$T542,2))</f>
        <v/>
      </c>
      <c r="V542" s="113">
        <f>IF($B542="","",MONTH($B542))</f>
        <v/>
      </c>
      <c r="W542" s="113">
        <f>IF($B542="","",YEAR($B542))</f>
        <v/>
      </c>
    </row>
    <row r="543">
      <c r="B543" s="105" t="n"/>
      <c r="C543" s="54" t="n"/>
      <c r="D543" s="54" t="n"/>
      <c r="E543" s="54" t="n"/>
      <c r="F543" s="54" t="n"/>
      <c r="G543" s="65" t="n"/>
      <c r="H543" s="54" t="n"/>
      <c r="I543" s="106">
        <f>IF($C543="","",IFERROR(INDEX(Sens_Types,MATCH($C543,Liste_Types,0)),""))</f>
        <v/>
      </c>
      <c r="J543" s="107">
        <f>IF($I543="▲ ENTRÉE",$U543,"")</f>
        <v/>
      </c>
      <c r="K543" s="108">
        <f>IF($I543="▼ SORTIE",$U543,"")</f>
        <v/>
      </c>
      <c r="L543" s="109">
        <f>$L542+N($J543)-N($K543)</f>
        <v/>
      </c>
      <c r="M543" s="110" t="n"/>
      <c r="N543" s="54" t="n"/>
      <c r="O543" s="54" t="n"/>
      <c r="P543" s="54" t="n"/>
      <c r="Q543" s="110" t="n"/>
      <c r="R543" s="110" t="n"/>
      <c r="S543" s="54" t="n"/>
      <c r="T543" s="111">
        <f>IF($G543="","",IFERROR(INDEX(Taux_Devises,MATCH(IF($M543="",Devise_Base,$M543),Codes_Devises,0)),1))</f>
        <v/>
      </c>
      <c r="U543" s="112">
        <f>IF($G543="","",ROUND($G543*$T543,2))</f>
        <v/>
      </c>
      <c r="V543" s="113">
        <f>IF($B543="","",MONTH($B543))</f>
        <v/>
      </c>
      <c r="W543" s="113">
        <f>IF($B543="","",YEAR($B543))</f>
        <v/>
      </c>
    </row>
    <row r="544">
      <c r="B544" s="105" t="n"/>
      <c r="C544" s="54" t="n"/>
      <c r="D544" s="54" t="n"/>
      <c r="E544" s="54" t="n"/>
      <c r="F544" s="54" t="n"/>
      <c r="G544" s="65" t="n"/>
      <c r="H544" s="54" t="n"/>
      <c r="I544" s="106">
        <f>IF($C544="","",IFERROR(INDEX(Sens_Types,MATCH($C544,Liste_Types,0)),""))</f>
        <v/>
      </c>
      <c r="J544" s="107">
        <f>IF($I544="▲ ENTRÉE",$U544,"")</f>
        <v/>
      </c>
      <c r="K544" s="108">
        <f>IF($I544="▼ SORTIE",$U544,"")</f>
        <v/>
      </c>
      <c r="L544" s="109">
        <f>$L543+N($J544)-N($K544)</f>
        <v/>
      </c>
      <c r="M544" s="110" t="n"/>
      <c r="N544" s="54" t="n"/>
      <c r="O544" s="54" t="n"/>
      <c r="P544" s="54" t="n"/>
      <c r="Q544" s="110" t="n"/>
      <c r="R544" s="110" t="n"/>
      <c r="S544" s="54" t="n"/>
      <c r="T544" s="111">
        <f>IF($G544="","",IFERROR(INDEX(Taux_Devises,MATCH(IF($M544="",Devise_Base,$M544),Codes_Devises,0)),1))</f>
        <v/>
      </c>
      <c r="U544" s="112">
        <f>IF($G544="","",ROUND($G544*$T544,2))</f>
        <v/>
      </c>
      <c r="V544" s="113">
        <f>IF($B544="","",MONTH($B544))</f>
        <v/>
      </c>
      <c r="W544" s="113">
        <f>IF($B544="","",YEAR($B544))</f>
        <v/>
      </c>
    </row>
    <row r="545">
      <c r="B545" s="105" t="n"/>
      <c r="C545" s="54" t="n"/>
      <c r="D545" s="54" t="n"/>
      <c r="E545" s="54" t="n"/>
      <c r="F545" s="54" t="n"/>
      <c r="G545" s="65" t="n"/>
      <c r="H545" s="54" t="n"/>
      <c r="I545" s="106">
        <f>IF($C545="","",IFERROR(INDEX(Sens_Types,MATCH($C545,Liste_Types,0)),""))</f>
        <v/>
      </c>
      <c r="J545" s="107">
        <f>IF($I545="▲ ENTRÉE",$U545,"")</f>
        <v/>
      </c>
      <c r="K545" s="108">
        <f>IF($I545="▼ SORTIE",$U545,"")</f>
        <v/>
      </c>
      <c r="L545" s="109">
        <f>$L544+N($J545)-N($K545)</f>
        <v/>
      </c>
      <c r="M545" s="110" t="n"/>
      <c r="N545" s="54" t="n"/>
      <c r="O545" s="54" t="n"/>
      <c r="P545" s="54" t="n"/>
      <c r="Q545" s="110" t="n"/>
      <c r="R545" s="110" t="n"/>
      <c r="S545" s="54" t="n"/>
      <c r="T545" s="111">
        <f>IF($G545="","",IFERROR(INDEX(Taux_Devises,MATCH(IF($M545="",Devise_Base,$M545),Codes_Devises,0)),1))</f>
        <v/>
      </c>
      <c r="U545" s="112">
        <f>IF($G545="","",ROUND($G545*$T545,2))</f>
        <v/>
      </c>
      <c r="V545" s="113">
        <f>IF($B545="","",MONTH($B545))</f>
        <v/>
      </c>
      <c r="W545" s="113">
        <f>IF($B545="","",YEAR($B545))</f>
        <v/>
      </c>
    </row>
    <row r="546">
      <c r="B546" s="105" t="n"/>
      <c r="C546" s="54" t="n"/>
      <c r="D546" s="54" t="n"/>
      <c r="E546" s="54" t="n"/>
      <c r="F546" s="54" t="n"/>
      <c r="G546" s="65" t="n"/>
      <c r="H546" s="54" t="n"/>
      <c r="I546" s="106">
        <f>IF($C546="","",IFERROR(INDEX(Sens_Types,MATCH($C546,Liste_Types,0)),""))</f>
        <v/>
      </c>
      <c r="J546" s="107">
        <f>IF($I546="▲ ENTRÉE",$U546,"")</f>
        <v/>
      </c>
      <c r="K546" s="108">
        <f>IF($I546="▼ SORTIE",$U546,"")</f>
        <v/>
      </c>
      <c r="L546" s="109">
        <f>$L545+N($J546)-N($K546)</f>
        <v/>
      </c>
      <c r="M546" s="110" t="n"/>
      <c r="N546" s="54" t="n"/>
      <c r="O546" s="54" t="n"/>
      <c r="P546" s="54" t="n"/>
      <c r="Q546" s="110" t="n"/>
      <c r="R546" s="110" t="n"/>
      <c r="S546" s="54" t="n"/>
      <c r="T546" s="111">
        <f>IF($G546="","",IFERROR(INDEX(Taux_Devises,MATCH(IF($M546="",Devise_Base,$M546),Codes_Devises,0)),1))</f>
        <v/>
      </c>
      <c r="U546" s="112">
        <f>IF($G546="","",ROUND($G546*$T546,2))</f>
        <v/>
      </c>
      <c r="V546" s="113">
        <f>IF($B546="","",MONTH($B546))</f>
        <v/>
      </c>
      <c r="W546" s="113">
        <f>IF($B546="","",YEAR($B546))</f>
        <v/>
      </c>
    </row>
    <row r="547">
      <c r="B547" s="105" t="n"/>
      <c r="C547" s="54" t="n"/>
      <c r="D547" s="54" t="n"/>
      <c r="E547" s="54" t="n"/>
      <c r="F547" s="54" t="n"/>
      <c r="G547" s="65" t="n"/>
      <c r="H547" s="54" t="n"/>
      <c r="I547" s="106">
        <f>IF($C547="","",IFERROR(INDEX(Sens_Types,MATCH($C547,Liste_Types,0)),""))</f>
        <v/>
      </c>
      <c r="J547" s="107">
        <f>IF($I547="▲ ENTRÉE",$U547,"")</f>
        <v/>
      </c>
      <c r="K547" s="108">
        <f>IF($I547="▼ SORTIE",$U547,"")</f>
        <v/>
      </c>
      <c r="L547" s="109">
        <f>$L546+N($J547)-N($K547)</f>
        <v/>
      </c>
      <c r="M547" s="110" t="n"/>
      <c r="N547" s="54" t="n"/>
      <c r="O547" s="54" t="n"/>
      <c r="P547" s="54" t="n"/>
      <c r="Q547" s="110" t="n"/>
      <c r="R547" s="110" t="n"/>
      <c r="S547" s="54" t="n"/>
      <c r="T547" s="111">
        <f>IF($G547="","",IFERROR(INDEX(Taux_Devises,MATCH(IF($M547="",Devise_Base,$M547),Codes_Devises,0)),1))</f>
        <v/>
      </c>
      <c r="U547" s="112">
        <f>IF($G547="","",ROUND($G547*$T547,2))</f>
        <v/>
      </c>
      <c r="V547" s="113">
        <f>IF($B547="","",MONTH($B547))</f>
        <v/>
      </c>
      <c r="W547" s="113">
        <f>IF($B547="","",YEAR($B547))</f>
        <v/>
      </c>
    </row>
    <row r="548">
      <c r="B548" s="105" t="n"/>
      <c r="C548" s="54" t="n"/>
      <c r="D548" s="54" t="n"/>
      <c r="E548" s="54" t="n"/>
      <c r="F548" s="54" t="n"/>
      <c r="G548" s="65" t="n"/>
      <c r="H548" s="54" t="n"/>
      <c r="I548" s="106">
        <f>IF($C548="","",IFERROR(INDEX(Sens_Types,MATCH($C548,Liste_Types,0)),""))</f>
        <v/>
      </c>
      <c r="J548" s="107">
        <f>IF($I548="▲ ENTRÉE",$U548,"")</f>
        <v/>
      </c>
      <c r="K548" s="108">
        <f>IF($I548="▼ SORTIE",$U548,"")</f>
        <v/>
      </c>
      <c r="L548" s="109">
        <f>$L547+N($J548)-N($K548)</f>
        <v/>
      </c>
      <c r="M548" s="110" t="n"/>
      <c r="N548" s="54" t="n"/>
      <c r="O548" s="54" t="n"/>
      <c r="P548" s="54" t="n"/>
      <c r="Q548" s="110" t="n"/>
      <c r="R548" s="110" t="n"/>
      <c r="S548" s="54" t="n"/>
      <c r="T548" s="111">
        <f>IF($G548="","",IFERROR(INDEX(Taux_Devises,MATCH(IF($M548="",Devise_Base,$M548),Codes_Devises,0)),1))</f>
        <v/>
      </c>
      <c r="U548" s="112">
        <f>IF($G548="","",ROUND($G548*$T548,2))</f>
        <v/>
      </c>
      <c r="V548" s="113">
        <f>IF($B548="","",MONTH($B548))</f>
        <v/>
      </c>
      <c r="W548" s="113">
        <f>IF($B548="","",YEAR($B548))</f>
        <v/>
      </c>
    </row>
    <row r="549">
      <c r="B549" s="105" t="n"/>
      <c r="C549" s="54" t="n"/>
      <c r="D549" s="54" t="n"/>
      <c r="E549" s="54" t="n"/>
      <c r="F549" s="54" t="n"/>
      <c r="G549" s="65" t="n"/>
      <c r="H549" s="54" t="n"/>
      <c r="I549" s="106">
        <f>IF($C549="","",IFERROR(INDEX(Sens_Types,MATCH($C549,Liste_Types,0)),""))</f>
        <v/>
      </c>
      <c r="J549" s="107">
        <f>IF($I549="▲ ENTRÉE",$U549,"")</f>
        <v/>
      </c>
      <c r="K549" s="108">
        <f>IF($I549="▼ SORTIE",$U549,"")</f>
        <v/>
      </c>
      <c r="L549" s="109">
        <f>$L548+N($J549)-N($K549)</f>
        <v/>
      </c>
      <c r="M549" s="110" t="n"/>
      <c r="N549" s="54" t="n"/>
      <c r="O549" s="54" t="n"/>
      <c r="P549" s="54" t="n"/>
      <c r="Q549" s="110" t="n"/>
      <c r="R549" s="110" t="n"/>
      <c r="S549" s="54" t="n"/>
      <c r="T549" s="111">
        <f>IF($G549="","",IFERROR(INDEX(Taux_Devises,MATCH(IF($M549="",Devise_Base,$M549),Codes_Devises,0)),1))</f>
        <v/>
      </c>
      <c r="U549" s="112">
        <f>IF($G549="","",ROUND($G549*$T549,2))</f>
        <v/>
      </c>
      <c r="V549" s="113">
        <f>IF($B549="","",MONTH($B549))</f>
        <v/>
      </c>
      <c r="W549" s="113">
        <f>IF($B549="","",YEAR($B549))</f>
        <v/>
      </c>
    </row>
    <row r="550">
      <c r="B550" s="105" t="n"/>
      <c r="C550" s="54" t="n"/>
      <c r="D550" s="54" t="n"/>
      <c r="E550" s="54" t="n"/>
      <c r="F550" s="54" t="n"/>
      <c r="G550" s="65" t="n"/>
      <c r="H550" s="54" t="n"/>
      <c r="I550" s="106">
        <f>IF($C550="","",IFERROR(INDEX(Sens_Types,MATCH($C550,Liste_Types,0)),""))</f>
        <v/>
      </c>
      <c r="J550" s="107">
        <f>IF($I550="▲ ENTRÉE",$U550,"")</f>
        <v/>
      </c>
      <c r="K550" s="108">
        <f>IF($I550="▼ SORTIE",$U550,"")</f>
        <v/>
      </c>
      <c r="L550" s="109">
        <f>$L549+N($J550)-N($K550)</f>
        <v/>
      </c>
      <c r="M550" s="110" t="n"/>
      <c r="N550" s="54" t="n"/>
      <c r="O550" s="54" t="n"/>
      <c r="P550" s="54" t="n"/>
      <c r="Q550" s="110" t="n"/>
      <c r="R550" s="110" t="n"/>
      <c r="S550" s="54" t="n"/>
      <c r="T550" s="111">
        <f>IF($G550="","",IFERROR(INDEX(Taux_Devises,MATCH(IF($M550="",Devise_Base,$M550),Codes_Devises,0)),1))</f>
        <v/>
      </c>
      <c r="U550" s="112">
        <f>IF($G550="","",ROUND($G550*$T550,2))</f>
        <v/>
      </c>
      <c r="V550" s="113">
        <f>IF($B550="","",MONTH($B550))</f>
        <v/>
      </c>
      <c r="W550" s="113">
        <f>IF($B550="","",YEAR($B550))</f>
        <v/>
      </c>
    </row>
    <row r="551">
      <c r="B551" s="105" t="n"/>
      <c r="C551" s="54" t="n"/>
      <c r="D551" s="54" t="n"/>
      <c r="E551" s="54" t="n"/>
      <c r="F551" s="54" t="n"/>
      <c r="G551" s="65" t="n"/>
      <c r="H551" s="54" t="n"/>
      <c r="I551" s="106">
        <f>IF($C551="","",IFERROR(INDEX(Sens_Types,MATCH($C551,Liste_Types,0)),""))</f>
        <v/>
      </c>
      <c r="J551" s="107">
        <f>IF($I551="▲ ENTRÉE",$U551,"")</f>
        <v/>
      </c>
      <c r="K551" s="108">
        <f>IF($I551="▼ SORTIE",$U551,"")</f>
        <v/>
      </c>
      <c r="L551" s="109">
        <f>$L550+N($J551)-N($K551)</f>
        <v/>
      </c>
      <c r="M551" s="110" t="n"/>
      <c r="N551" s="54" t="n"/>
      <c r="O551" s="54" t="n"/>
      <c r="P551" s="54" t="n"/>
      <c r="Q551" s="110" t="n"/>
      <c r="R551" s="110" t="n"/>
      <c r="S551" s="54" t="n"/>
      <c r="T551" s="111">
        <f>IF($G551="","",IFERROR(INDEX(Taux_Devises,MATCH(IF($M551="",Devise_Base,$M551),Codes_Devises,0)),1))</f>
        <v/>
      </c>
      <c r="U551" s="112">
        <f>IF($G551="","",ROUND($G551*$T551,2))</f>
        <v/>
      </c>
      <c r="V551" s="113">
        <f>IF($B551="","",MONTH($B551))</f>
        <v/>
      </c>
      <c r="W551" s="113">
        <f>IF($B551="","",YEAR($B551))</f>
        <v/>
      </c>
    </row>
    <row r="552">
      <c r="B552" s="105" t="n"/>
      <c r="C552" s="54" t="n"/>
      <c r="D552" s="54" t="n"/>
      <c r="E552" s="54" t="n"/>
      <c r="F552" s="54" t="n"/>
      <c r="G552" s="65" t="n"/>
      <c r="H552" s="54" t="n"/>
      <c r="I552" s="106">
        <f>IF($C552="","",IFERROR(INDEX(Sens_Types,MATCH($C552,Liste_Types,0)),""))</f>
        <v/>
      </c>
      <c r="J552" s="107">
        <f>IF($I552="▲ ENTRÉE",$U552,"")</f>
        <v/>
      </c>
      <c r="K552" s="108">
        <f>IF($I552="▼ SORTIE",$U552,"")</f>
        <v/>
      </c>
      <c r="L552" s="109">
        <f>$L551+N($J552)-N($K552)</f>
        <v/>
      </c>
      <c r="M552" s="110" t="n"/>
      <c r="N552" s="54" t="n"/>
      <c r="O552" s="54" t="n"/>
      <c r="P552" s="54" t="n"/>
      <c r="Q552" s="110" t="n"/>
      <c r="R552" s="110" t="n"/>
      <c r="S552" s="54" t="n"/>
      <c r="T552" s="111">
        <f>IF($G552="","",IFERROR(INDEX(Taux_Devises,MATCH(IF($M552="",Devise_Base,$M552),Codes_Devises,0)),1))</f>
        <v/>
      </c>
      <c r="U552" s="112">
        <f>IF($G552="","",ROUND($G552*$T552,2))</f>
        <v/>
      </c>
      <c r="V552" s="113">
        <f>IF($B552="","",MONTH($B552))</f>
        <v/>
      </c>
      <c r="W552" s="113">
        <f>IF($B552="","",YEAR($B552))</f>
        <v/>
      </c>
    </row>
    <row r="553">
      <c r="B553" s="105" t="n"/>
      <c r="C553" s="54" t="n"/>
      <c r="D553" s="54" t="n"/>
      <c r="E553" s="54" t="n"/>
      <c r="F553" s="54" t="n"/>
      <c r="G553" s="65" t="n"/>
      <c r="H553" s="54" t="n"/>
      <c r="I553" s="106">
        <f>IF($C553="","",IFERROR(INDEX(Sens_Types,MATCH($C553,Liste_Types,0)),""))</f>
        <v/>
      </c>
      <c r="J553" s="107">
        <f>IF($I553="▲ ENTRÉE",$U553,"")</f>
        <v/>
      </c>
      <c r="K553" s="108">
        <f>IF($I553="▼ SORTIE",$U553,"")</f>
        <v/>
      </c>
      <c r="L553" s="109">
        <f>$L552+N($J553)-N($K553)</f>
        <v/>
      </c>
      <c r="M553" s="110" t="n"/>
      <c r="N553" s="54" t="n"/>
      <c r="O553" s="54" t="n"/>
      <c r="P553" s="54" t="n"/>
      <c r="Q553" s="110" t="n"/>
      <c r="R553" s="110" t="n"/>
      <c r="S553" s="54" t="n"/>
      <c r="T553" s="111">
        <f>IF($G553="","",IFERROR(INDEX(Taux_Devises,MATCH(IF($M553="",Devise_Base,$M553),Codes_Devises,0)),1))</f>
        <v/>
      </c>
      <c r="U553" s="112">
        <f>IF($G553="","",ROUND($G553*$T553,2))</f>
        <v/>
      </c>
      <c r="V553" s="113">
        <f>IF($B553="","",MONTH($B553))</f>
        <v/>
      </c>
      <c r="W553" s="113">
        <f>IF($B553="","",YEAR($B553))</f>
        <v/>
      </c>
    </row>
    <row r="554">
      <c r="B554" s="105" t="n"/>
      <c r="C554" s="54" t="n"/>
      <c r="D554" s="54" t="n"/>
      <c r="E554" s="54" t="n"/>
      <c r="F554" s="54" t="n"/>
      <c r="G554" s="65" t="n"/>
      <c r="H554" s="54" t="n"/>
      <c r="I554" s="106">
        <f>IF($C554="","",IFERROR(INDEX(Sens_Types,MATCH($C554,Liste_Types,0)),""))</f>
        <v/>
      </c>
      <c r="J554" s="107">
        <f>IF($I554="▲ ENTRÉE",$U554,"")</f>
        <v/>
      </c>
      <c r="K554" s="108">
        <f>IF($I554="▼ SORTIE",$U554,"")</f>
        <v/>
      </c>
      <c r="L554" s="109">
        <f>$L553+N($J554)-N($K554)</f>
        <v/>
      </c>
      <c r="M554" s="110" t="n"/>
      <c r="N554" s="54" t="n"/>
      <c r="O554" s="54" t="n"/>
      <c r="P554" s="54" t="n"/>
      <c r="Q554" s="110" t="n"/>
      <c r="R554" s="110" t="n"/>
      <c r="S554" s="54" t="n"/>
      <c r="T554" s="111">
        <f>IF($G554="","",IFERROR(INDEX(Taux_Devises,MATCH(IF($M554="",Devise_Base,$M554),Codes_Devises,0)),1))</f>
        <v/>
      </c>
      <c r="U554" s="112">
        <f>IF($G554="","",ROUND($G554*$T554,2))</f>
        <v/>
      </c>
      <c r="V554" s="113">
        <f>IF($B554="","",MONTH($B554))</f>
        <v/>
      </c>
      <c r="W554" s="113">
        <f>IF($B554="","",YEAR($B554))</f>
        <v/>
      </c>
    </row>
    <row r="555">
      <c r="B555" s="105" t="n"/>
      <c r="C555" s="54" t="n"/>
      <c r="D555" s="54" t="n"/>
      <c r="E555" s="54" t="n"/>
      <c r="F555" s="54" t="n"/>
      <c r="G555" s="65" t="n"/>
      <c r="H555" s="54" t="n"/>
      <c r="I555" s="106">
        <f>IF($C555="","",IFERROR(INDEX(Sens_Types,MATCH($C555,Liste_Types,0)),""))</f>
        <v/>
      </c>
      <c r="J555" s="107">
        <f>IF($I555="▲ ENTRÉE",$U555,"")</f>
        <v/>
      </c>
      <c r="K555" s="108">
        <f>IF($I555="▼ SORTIE",$U555,"")</f>
        <v/>
      </c>
      <c r="L555" s="109">
        <f>$L554+N($J555)-N($K555)</f>
        <v/>
      </c>
      <c r="M555" s="110" t="n"/>
      <c r="N555" s="54" t="n"/>
      <c r="O555" s="54" t="n"/>
      <c r="P555" s="54" t="n"/>
      <c r="Q555" s="110" t="n"/>
      <c r="R555" s="110" t="n"/>
      <c r="S555" s="54" t="n"/>
      <c r="T555" s="111">
        <f>IF($G555="","",IFERROR(INDEX(Taux_Devises,MATCH(IF($M555="",Devise_Base,$M555),Codes_Devises,0)),1))</f>
        <v/>
      </c>
      <c r="U555" s="112">
        <f>IF($G555="","",ROUND($G555*$T555,2))</f>
        <v/>
      </c>
      <c r="V555" s="113">
        <f>IF($B555="","",MONTH($B555))</f>
        <v/>
      </c>
      <c r="W555" s="113">
        <f>IF($B555="","",YEAR($B555))</f>
        <v/>
      </c>
    </row>
    <row r="556">
      <c r="B556" s="105" t="n"/>
      <c r="C556" s="54" t="n"/>
      <c r="D556" s="54" t="n"/>
      <c r="E556" s="54" t="n"/>
      <c r="F556" s="54" t="n"/>
      <c r="G556" s="65" t="n"/>
      <c r="H556" s="54" t="n"/>
      <c r="I556" s="106">
        <f>IF($C556="","",IFERROR(INDEX(Sens_Types,MATCH($C556,Liste_Types,0)),""))</f>
        <v/>
      </c>
      <c r="J556" s="107">
        <f>IF($I556="▲ ENTRÉE",$U556,"")</f>
        <v/>
      </c>
      <c r="K556" s="108">
        <f>IF($I556="▼ SORTIE",$U556,"")</f>
        <v/>
      </c>
      <c r="L556" s="109">
        <f>$L555+N($J556)-N($K556)</f>
        <v/>
      </c>
      <c r="M556" s="110" t="n"/>
      <c r="N556" s="54" t="n"/>
      <c r="O556" s="54" t="n"/>
      <c r="P556" s="54" t="n"/>
      <c r="Q556" s="110" t="n"/>
      <c r="R556" s="110" t="n"/>
      <c r="S556" s="54" t="n"/>
      <c r="T556" s="111">
        <f>IF($G556="","",IFERROR(INDEX(Taux_Devises,MATCH(IF($M556="",Devise_Base,$M556),Codes_Devises,0)),1))</f>
        <v/>
      </c>
      <c r="U556" s="112">
        <f>IF($G556="","",ROUND($G556*$T556,2))</f>
        <v/>
      </c>
      <c r="V556" s="113">
        <f>IF($B556="","",MONTH($B556))</f>
        <v/>
      </c>
      <c r="W556" s="113">
        <f>IF($B556="","",YEAR($B556))</f>
        <v/>
      </c>
    </row>
    <row r="557">
      <c r="B557" s="105" t="n"/>
      <c r="C557" s="54" t="n"/>
      <c r="D557" s="54" t="n"/>
      <c r="E557" s="54" t="n"/>
      <c r="F557" s="54" t="n"/>
      <c r="G557" s="65" t="n"/>
      <c r="H557" s="54" t="n"/>
      <c r="I557" s="106">
        <f>IF($C557="","",IFERROR(INDEX(Sens_Types,MATCH($C557,Liste_Types,0)),""))</f>
        <v/>
      </c>
      <c r="J557" s="107">
        <f>IF($I557="▲ ENTRÉE",$U557,"")</f>
        <v/>
      </c>
      <c r="K557" s="108">
        <f>IF($I557="▼ SORTIE",$U557,"")</f>
        <v/>
      </c>
      <c r="L557" s="109">
        <f>$L556+N($J557)-N($K557)</f>
        <v/>
      </c>
      <c r="M557" s="110" t="n"/>
      <c r="N557" s="54" t="n"/>
      <c r="O557" s="54" t="n"/>
      <c r="P557" s="54" t="n"/>
      <c r="Q557" s="110" t="n"/>
      <c r="R557" s="110" t="n"/>
      <c r="S557" s="54" t="n"/>
      <c r="T557" s="111">
        <f>IF($G557="","",IFERROR(INDEX(Taux_Devises,MATCH(IF($M557="",Devise_Base,$M557),Codes_Devises,0)),1))</f>
        <v/>
      </c>
      <c r="U557" s="112">
        <f>IF($G557="","",ROUND($G557*$T557,2))</f>
        <v/>
      </c>
      <c r="V557" s="113">
        <f>IF($B557="","",MONTH($B557))</f>
        <v/>
      </c>
      <c r="W557" s="113">
        <f>IF($B557="","",YEAR($B557))</f>
        <v/>
      </c>
    </row>
    <row r="558">
      <c r="B558" s="105" t="n"/>
      <c r="C558" s="54" t="n"/>
      <c r="D558" s="54" t="n"/>
      <c r="E558" s="54" t="n"/>
      <c r="F558" s="54" t="n"/>
      <c r="G558" s="65" t="n"/>
      <c r="H558" s="54" t="n"/>
      <c r="I558" s="106">
        <f>IF($C558="","",IFERROR(INDEX(Sens_Types,MATCH($C558,Liste_Types,0)),""))</f>
        <v/>
      </c>
      <c r="J558" s="107">
        <f>IF($I558="▲ ENTRÉE",$U558,"")</f>
        <v/>
      </c>
      <c r="K558" s="108">
        <f>IF($I558="▼ SORTIE",$U558,"")</f>
        <v/>
      </c>
      <c r="L558" s="109">
        <f>$L557+N($J558)-N($K558)</f>
        <v/>
      </c>
      <c r="M558" s="110" t="n"/>
      <c r="N558" s="54" t="n"/>
      <c r="O558" s="54" t="n"/>
      <c r="P558" s="54" t="n"/>
      <c r="Q558" s="110" t="n"/>
      <c r="R558" s="110" t="n"/>
      <c r="S558" s="54" t="n"/>
      <c r="T558" s="111">
        <f>IF($G558="","",IFERROR(INDEX(Taux_Devises,MATCH(IF($M558="",Devise_Base,$M558),Codes_Devises,0)),1))</f>
        <v/>
      </c>
      <c r="U558" s="112">
        <f>IF($G558="","",ROUND($G558*$T558,2))</f>
        <v/>
      </c>
      <c r="V558" s="113">
        <f>IF($B558="","",MONTH($B558))</f>
        <v/>
      </c>
      <c r="W558" s="113">
        <f>IF($B558="","",YEAR($B558))</f>
        <v/>
      </c>
    </row>
    <row r="559">
      <c r="B559" s="105" t="n"/>
      <c r="C559" s="54" t="n"/>
      <c r="D559" s="54" t="n"/>
      <c r="E559" s="54" t="n"/>
      <c r="F559" s="54" t="n"/>
      <c r="G559" s="65" t="n"/>
      <c r="H559" s="54" t="n"/>
      <c r="I559" s="106">
        <f>IF($C559="","",IFERROR(INDEX(Sens_Types,MATCH($C559,Liste_Types,0)),""))</f>
        <v/>
      </c>
      <c r="J559" s="107">
        <f>IF($I559="▲ ENTRÉE",$U559,"")</f>
        <v/>
      </c>
      <c r="K559" s="108">
        <f>IF($I559="▼ SORTIE",$U559,"")</f>
        <v/>
      </c>
      <c r="L559" s="109">
        <f>$L558+N($J559)-N($K559)</f>
        <v/>
      </c>
      <c r="M559" s="110" t="n"/>
      <c r="N559" s="54" t="n"/>
      <c r="O559" s="54" t="n"/>
      <c r="P559" s="54" t="n"/>
      <c r="Q559" s="110" t="n"/>
      <c r="R559" s="110" t="n"/>
      <c r="S559" s="54" t="n"/>
      <c r="T559" s="111">
        <f>IF($G559="","",IFERROR(INDEX(Taux_Devises,MATCH(IF($M559="",Devise_Base,$M559),Codes_Devises,0)),1))</f>
        <v/>
      </c>
      <c r="U559" s="112">
        <f>IF($G559="","",ROUND($G559*$T559,2))</f>
        <v/>
      </c>
      <c r="V559" s="113">
        <f>IF($B559="","",MONTH($B559))</f>
        <v/>
      </c>
      <c r="W559" s="113">
        <f>IF($B559="","",YEAR($B559))</f>
        <v/>
      </c>
    </row>
    <row r="560">
      <c r="B560" s="105" t="n"/>
      <c r="C560" s="54" t="n"/>
      <c r="D560" s="54" t="n"/>
      <c r="E560" s="54" t="n"/>
      <c r="F560" s="54" t="n"/>
      <c r="G560" s="65" t="n"/>
      <c r="H560" s="54" t="n"/>
      <c r="I560" s="106">
        <f>IF($C560="","",IFERROR(INDEX(Sens_Types,MATCH($C560,Liste_Types,0)),""))</f>
        <v/>
      </c>
      <c r="J560" s="107">
        <f>IF($I560="▲ ENTRÉE",$U560,"")</f>
        <v/>
      </c>
      <c r="K560" s="108">
        <f>IF($I560="▼ SORTIE",$U560,"")</f>
        <v/>
      </c>
      <c r="L560" s="109">
        <f>$L559+N($J560)-N($K560)</f>
        <v/>
      </c>
      <c r="M560" s="110" t="n"/>
      <c r="N560" s="54" t="n"/>
      <c r="O560" s="54" t="n"/>
      <c r="P560" s="54" t="n"/>
      <c r="Q560" s="110" t="n"/>
      <c r="R560" s="110" t="n"/>
      <c r="S560" s="54" t="n"/>
      <c r="T560" s="111">
        <f>IF($G560="","",IFERROR(INDEX(Taux_Devises,MATCH(IF($M560="",Devise_Base,$M560),Codes_Devises,0)),1))</f>
        <v/>
      </c>
      <c r="U560" s="112">
        <f>IF($G560="","",ROUND($G560*$T560,2))</f>
        <v/>
      </c>
      <c r="V560" s="113">
        <f>IF($B560="","",MONTH($B560))</f>
        <v/>
      </c>
      <c r="W560" s="113">
        <f>IF($B560="","",YEAR($B560))</f>
        <v/>
      </c>
    </row>
    <row r="561">
      <c r="B561" s="105" t="n"/>
      <c r="C561" s="54" t="n"/>
      <c r="D561" s="54" t="n"/>
      <c r="E561" s="54" t="n"/>
      <c r="F561" s="54" t="n"/>
      <c r="G561" s="65" t="n"/>
      <c r="H561" s="54" t="n"/>
      <c r="I561" s="106">
        <f>IF($C561="","",IFERROR(INDEX(Sens_Types,MATCH($C561,Liste_Types,0)),""))</f>
        <v/>
      </c>
      <c r="J561" s="107">
        <f>IF($I561="▲ ENTRÉE",$U561,"")</f>
        <v/>
      </c>
      <c r="K561" s="108">
        <f>IF($I561="▼ SORTIE",$U561,"")</f>
        <v/>
      </c>
      <c r="L561" s="109">
        <f>$L560+N($J561)-N($K561)</f>
        <v/>
      </c>
      <c r="M561" s="110" t="n"/>
      <c r="N561" s="54" t="n"/>
      <c r="O561" s="54" t="n"/>
      <c r="P561" s="54" t="n"/>
      <c r="Q561" s="110" t="n"/>
      <c r="R561" s="110" t="n"/>
      <c r="S561" s="54" t="n"/>
      <c r="T561" s="111">
        <f>IF($G561="","",IFERROR(INDEX(Taux_Devises,MATCH(IF($M561="",Devise_Base,$M561),Codes_Devises,0)),1))</f>
        <v/>
      </c>
      <c r="U561" s="112">
        <f>IF($G561="","",ROUND($G561*$T561,2))</f>
        <v/>
      </c>
      <c r="V561" s="113">
        <f>IF($B561="","",MONTH($B561))</f>
        <v/>
      </c>
      <c r="W561" s="113">
        <f>IF($B561="","",YEAR($B561))</f>
        <v/>
      </c>
    </row>
    <row r="562">
      <c r="B562" s="105" t="n"/>
      <c r="C562" s="54" t="n"/>
      <c r="D562" s="54" t="n"/>
      <c r="E562" s="54" t="n"/>
      <c r="F562" s="54" t="n"/>
      <c r="G562" s="65" t="n"/>
      <c r="H562" s="54" t="n"/>
      <c r="I562" s="106">
        <f>IF($C562="","",IFERROR(INDEX(Sens_Types,MATCH($C562,Liste_Types,0)),""))</f>
        <v/>
      </c>
      <c r="J562" s="107">
        <f>IF($I562="▲ ENTRÉE",$U562,"")</f>
        <v/>
      </c>
      <c r="K562" s="108">
        <f>IF($I562="▼ SORTIE",$U562,"")</f>
        <v/>
      </c>
      <c r="L562" s="109">
        <f>$L561+N($J562)-N($K562)</f>
        <v/>
      </c>
      <c r="M562" s="110" t="n"/>
      <c r="N562" s="54" t="n"/>
      <c r="O562" s="54" t="n"/>
      <c r="P562" s="54" t="n"/>
      <c r="Q562" s="110" t="n"/>
      <c r="R562" s="110" t="n"/>
      <c r="S562" s="54" t="n"/>
      <c r="T562" s="111">
        <f>IF($G562="","",IFERROR(INDEX(Taux_Devises,MATCH(IF($M562="",Devise_Base,$M562),Codes_Devises,0)),1))</f>
        <v/>
      </c>
      <c r="U562" s="112">
        <f>IF($G562="","",ROUND($G562*$T562,2))</f>
        <v/>
      </c>
      <c r="V562" s="113">
        <f>IF($B562="","",MONTH($B562))</f>
        <v/>
      </c>
      <c r="W562" s="113">
        <f>IF($B562="","",YEAR($B562))</f>
        <v/>
      </c>
    </row>
    <row r="563">
      <c r="B563" s="105" t="n"/>
      <c r="C563" s="54" t="n"/>
      <c r="D563" s="54" t="n"/>
      <c r="E563" s="54" t="n"/>
      <c r="F563" s="54" t="n"/>
      <c r="G563" s="65" t="n"/>
      <c r="H563" s="54" t="n"/>
      <c r="I563" s="106">
        <f>IF($C563="","",IFERROR(INDEX(Sens_Types,MATCH($C563,Liste_Types,0)),""))</f>
        <v/>
      </c>
      <c r="J563" s="107">
        <f>IF($I563="▲ ENTRÉE",$U563,"")</f>
        <v/>
      </c>
      <c r="K563" s="108">
        <f>IF($I563="▼ SORTIE",$U563,"")</f>
        <v/>
      </c>
      <c r="L563" s="109">
        <f>$L562+N($J563)-N($K563)</f>
        <v/>
      </c>
      <c r="M563" s="110" t="n"/>
      <c r="N563" s="54" t="n"/>
      <c r="O563" s="54" t="n"/>
      <c r="P563" s="54" t="n"/>
      <c r="Q563" s="110" t="n"/>
      <c r="R563" s="110" t="n"/>
      <c r="S563" s="54" t="n"/>
      <c r="T563" s="111">
        <f>IF($G563="","",IFERROR(INDEX(Taux_Devises,MATCH(IF($M563="",Devise_Base,$M563),Codes_Devises,0)),1))</f>
        <v/>
      </c>
      <c r="U563" s="112">
        <f>IF($G563="","",ROUND($G563*$T563,2))</f>
        <v/>
      </c>
      <c r="V563" s="113">
        <f>IF($B563="","",MONTH($B563))</f>
        <v/>
      </c>
      <c r="W563" s="113">
        <f>IF($B563="","",YEAR($B563))</f>
        <v/>
      </c>
    </row>
    <row r="564">
      <c r="B564" s="105" t="n"/>
      <c r="C564" s="54" t="n"/>
      <c r="D564" s="54" t="n"/>
      <c r="E564" s="54" t="n"/>
      <c r="F564" s="54" t="n"/>
      <c r="G564" s="65" t="n"/>
      <c r="H564" s="54" t="n"/>
      <c r="I564" s="106">
        <f>IF($C564="","",IFERROR(INDEX(Sens_Types,MATCH($C564,Liste_Types,0)),""))</f>
        <v/>
      </c>
      <c r="J564" s="107">
        <f>IF($I564="▲ ENTRÉE",$U564,"")</f>
        <v/>
      </c>
      <c r="K564" s="108">
        <f>IF($I564="▼ SORTIE",$U564,"")</f>
        <v/>
      </c>
      <c r="L564" s="109">
        <f>$L563+N($J564)-N($K564)</f>
        <v/>
      </c>
      <c r="M564" s="110" t="n"/>
      <c r="N564" s="54" t="n"/>
      <c r="O564" s="54" t="n"/>
      <c r="P564" s="54" t="n"/>
      <c r="Q564" s="110" t="n"/>
      <c r="R564" s="110" t="n"/>
      <c r="S564" s="54" t="n"/>
      <c r="T564" s="111">
        <f>IF($G564="","",IFERROR(INDEX(Taux_Devises,MATCH(IF($M564="",Devise_Base,$M564),Codes_Devises,0)),1))</f>
        <v/>
      </c>
      <c r="U564" s="112">
        <f>IF($G564="","",ROUND($G564*$T564,2))</f>
        <v/>
      </c>
      <c r="V564" s="113">
        <f>IF($B564="","",MONTH($B564))</f>
        <v/>
      </c>
      <c r="W564" s="113">
        <f>IF($B564="","",YEAR($B564))</f>
        <v/>
      </c>
    </row>
    <row r="565">
      <c r="B565" s="105" t="n"/>
      <c r="C565" s="54" t="n"/>
      <c r="D565" s="54" t="n"/>
      <c r="E565" s="54" t="n"/>
      <c r="F565" s="54" t="n"/>
      <c r="G565" s="65" t="n"/>
      <c r="H565" s="54" t="n"/>
      <c r="I565" s="106">
        <f>IF($C565="","",IFERROR(INDEX(Sens_Types,MATCH($C565,Liste_Types,0)),""))</f>
        <v/>
      </c>
      <c r="J565" s="107">
        <f>IF($I565="▲ ENTRÉE",$U565,"")</f>
        <v/>
      </c>
      <c r="K565" s="108">
        <f>IF($I565="▼ SORTIE",$U565,"")</f>
        <v/>
      </c>
      <c r="L565" s="109">
        <f>$L564+N($J565)-N($K565)</f>
        <v/>
      </c>
      <c r="M565" s="110" t="n"/>
      <c r="N565" s="54" t="n"/>
      <c r="O565" s="54" t="n"/>
      <c r="P565" s="54" t="n"/>
      <c r="Q565" s="110" t="n"/>
      <c r="R565" s="110" t="n"/>
      <c r="S565" s="54" t="n"/>
      <c r="T565" s="111">
        <f>IF($G565="","",IFERROR(INDEX(Taux_Devises,MATCH(IF($M565="",Devise_Base,$M565),Codes_Devises,0)),1))</f>
        <v/>
      </c>
      <c r="U565" s="112">
        <f>IF($G565="","",ROUND($G565*$T565,2))</f>
        <v/>
      </c>
      <c r="V565" s="113">
        <f>IF($B565="","",MONTH($B565))</f>
        <v/>
      </c>
      <c r="W565" s="113">
        <f>IF($B565="","",YEAR($B565))</f>
        <v/>
      </c>
    </row>
    <row r="566">
      <c r="B566" s="105" t="n"/>
      <c r="C566" s="54" t="n"/>
      <c r="D566" s="54" t="n"/>
      <c r="E566" s="54" t="n"/>
      <c r="F566" s="54" t="n"/>
      <c r="G566" s="65" t="n"/>
      <c r="H566" s="54" t="n"/>
      <c r="I566" s="106">
        <f>IF($C566="","",IFERROR(INDEX(Sens_Types,MATCH($C566,Liste_Types,0)),""))</f>
        <v/>
      </c>
      <c r="J566" s="107">
        <f>IF($I566="▲ ENTRÉE",$U566,"")</f>
        <v/>
      </c>
      <c r="K566" s="108">
        <f>IF($I566="▼ SORTIE",$U566,"")</f>
        <v/>
      </c>
      <c r="L566" s="109">
        <f>$L565+N($J566)-N($K566)</f>
        <v/>
      </c>
      <c r="M566" s="110" t="n"/>
      <c r="N566" s="54" t="n"/>
      <c r="O566" s="54" t="n"/>
      <c r="P566" s="54" t="n"/>
      <c r="Q566" s="110" t="n"/>
      <c r="R566" s="110" t="n"/>
      <c r="S566" s="54" t="n"/>
      <c r="T566" s="111">
        <f>IF($G566="","",IFERROR(INDEX(Taux_Devises,MATCH(IF($M566="",Devise_Base,$M566),Codes_Devises,0)),1))</f>
        <v/>
      </c>
      <c r="U566" s="112">
        <f>IF($G566="","",ROUND($G566*$T566,2))</f>
        <v/>
      </c>
      <c r="V566" s="113">
        <f>IF($B566="","",MONTH($B566))</f>
        <v/>
      </c>
      <c r="W566" s="113">
        <f>IF($B566="","",YEAR($B566))</f>
        <v/>
      </c>
    </row>
    <row r="567">
      <c r="B567" s="105" t="n"/>
      <c r="C567" s="54" t="n"/>
      <c r="D567" s="54" t="n"/>
      <c r="E567" s="54" t="n"/>
      <c r="F567" s="54" t="n"/>
      <c r="G567" s="65" t="n"/>
      <c r="H567" s="54" t="n"/>
      <c r="I567" s="106">
        <f>IF($C567="","",IFERROR(INDEX(Sens_Types,MATCH($C567,Liste_Types,0)),""))</f>
        <v/>
      </c>
      <c r="J567" s="107">
        <f>IF($I567="▲ ENTRÉE",$U567,"")</f>
        <v/>
      </c>
      <c r="K567" s="108">
        <f>IF($I567="▼ SORTIE",$U567,"")</f>
        <v/>
      </c>
      <c r="L567" s="109">
        <f>$L566+N($J567)-N($K567)</f>
        <v/>
      </c>
      <c r="M567" s="110" t="n"/>
      <c r="N567" s="54" t="n"/>
      <c r="O567" s="54" t="n"/>
      <c r="P567" s="54" t="n"/>
      <c r="Q567" s="110" t="n"/>
      <c r="R567" s="110" t="n"/>
      <c r="S567" s="54" t="n"/>
      <c r="T567" s="111">
        <f>IF($G567="","",IFERROR(INDEX(Taux_Devises,MATCH(IF($M567="",Devise_Base,$M567),Codes_Devises,0)),1))</f>
        <v/>
      </c>
      <c r="U567" s="112">
        <f>IF($G567="","",ROUND($G567*$T567,2))</f>
        <v/>
      </c>
      <c r="V567" s="113">
        <f>IF($B567="","",MONTH($B567))</f>
        <v/>
      </c>
      <c r="W567" s="113">
        <f>IF($B567="","",YEAR($B567))</f>
        <v/>
      </c>
    </row>
    <row r="568">
      <c r="B568" s="105" t="n"/>
      <c r="C568" s="54" t="n"/>
      <c r="D568" s="54" t="n"/>
      <c r="E568" s="54" t="n"/>
      <c r="F568" s="54" t="n"/>
      <c r="G568" s="65" t="n"/>
      <c r="H568" s="54" t="n"/>
      <c r="I568" s="106">
        <f>IF($C568="","",IFERROR(INDEX(Sens_Types,MATCH($C568,Liste_Types,0)),""))</f>
        <v/>
      </c>
      <c r="J568" s="107">
        <f>IF($I568="▲ ENTRÉE",$U568,"")</f>
        <v/>
      </c>
      <c r="K568" s="108">
        <f>IF($I568="▼ SORTIE",$U568,"")</f>
        <v/>
      </c>
      <c r="L568" s="109">
        <f>$L567+N($J568)-N($K568)</f>
        <v/>
      </c>
      <c r="M568" s="110" t="n"/>
      <c r="N568" s="54" t="n"/>
      <c r="O568" s="54" t="n"/>
      <c r="P568" s="54" t="n"/>
      <c r="Q568" s="110" t="n"/>
      <c r="R568" s="110" t="n"/>
      <c r="S568" s="54" t="n"/>
      <c r="T568" s="111">
        <f>IF($G568="","",IFERROR(INDEX(Taux_Devises,MATCH(IF($M568="",Devise_Base,$M568),Codes_Devises,0)),1))</f>
        <v/>
      </c>
      <c r="U568" s="112">
        <f>IF($G568="","",ROUND($G568*$T568,2))</f>
        <v/>
      </c>
      <c r="V568" s="113">
        <f>IF($B568="","",MONTH($B568))</f>
        <v/>
      </c>
      <c r="W568" s="113">
        <f>IF($B568="","",YEAR($B568))</f>
        <v/>
      </c>
    </row>
    <row r="569">
      <c r="B569" s="105" t="n"/>
      <c r="C569" s="54" t="n"/>
      <c r="D569" s="54" t="n"/>
      <c r="E569" s="54" t="n"/>
      <c r="F569" s="54" t="n"/>
      <c r="G569" s="65" t="n"/>
      <c r="H569" s="54" t="n"/>
      <c r="I569" s="106">
        <f>IF($C569="","",IFERROR(INDEX(Sens_Types,MATCH($C569,Liste_Types,0)),""))</f>
        <v/>
      </c>
      <c r="J569" s="107">
        <f>IF($I569="▲ ENTRÉE",$U569,"")</f>
        <v/>
      </c>
      <c r="K569" s="108">
        <f>IF($I569="▼ SORTIE",$U569,"")</f>
        <v/>
      </c>
      <c r="L569" s="109">
        <f>$L568+N($J569)-N($K569)</f>
        <v/>
      </c>
      <c r="M569" s="110" t="n"/>
      <c r="N569" s="54" t="n"/>
      <c r="O569" s="54" t="n"/>
      <c r="P569" s="54" t="n"/>
      <c r="Q569" s="110" t="n"/>
      <c r="R569" s="110" t="n"/>
      <c r="S569" s="54" t="n"/>
      <c r="T569" s="111">
        <f>IF($G569="","",IFERROR(INDEX(Taux_Devises,MATCH(IF($M569="",Devise_Base,$M569),Codes_Devises,0)),1))</f>
        <v/>
      </c>
      <c r="U569" s="112">
        <f>IF($G569="","",ROUND($G569*$T569,2))</f>
        <v/>
      </c>
      <c r="V569" s="113">
        <f>IF($B569="","",MONTH($B569))</f>
        <v/>
      </c>
      <c r="W569" s="113">
        <f>IF($B569="","",YEAR($B569))</f>
        <v/>
      </c>
    </row>
    <row r="570">
      <c r="B570" s="105" t="n"/>
      <c r="C570" s="54" t="n"/>
      <c r="D570" s="54" t="n"/>
      <c r="E570" s="54" t="n"/>
      <c r="F570" s="54" t="n"/>
      <c r="G570" s="65" t="n"/>
      <c r="H570" s="54" t="n"/>
      <c r="I570" s="106">
        <f>IF($C570="","",IFERROR(INDEX(Sens_Types,MATCH($C570,Liste_Types,0)),""))</f>
        <v/>
      </c>
      <c r="J570" s="107">
        <f>IF($I570="▲ ENTRÉE",$U570,"")</f>
        <v/>
      </c>
      <c r="K570" s="108">
        <f>IF($I570="▼ SORTIE",$U570,"")</f>
        <v/>
      </c>
      <c r="L570" s="109">
        <f>$L569+N($J570)-N($K570)</f>
        <v/>
      </c>
      <c r="M570" s="110" t="n"/>
      <c r="N570" s="54" t="n"/>
      <c r="O570" s="54" t="n"/>
      <c r="P570" s="54" t="n"/>
      <c r="Q570" s="110" t="n"/>
      <c r="R570" s="110" t="n"/>
      <c r="S570" s="54" t="n"/>
      <c r="T570" s="111">
        <f>IF($G570="","",IFERROR(INDEX(Taux_Devises,MATCH(IF($M570="",Devise_Base,$M570),Codes_Devises,0)),1))</f>
        <v/>
      </c>
      <c r="U570" s="112">
        <f>IF($G570="","",ROUND($G570*$T570,2))</f>
        <v/>
      </c>
      <c r="V570" s="113">
        <f>IF($B570="","",MONTH($B570))</f>
        <v/>
      </c>
      <c r="W570" s="113">
        <f>IF($B570="","",YEAR($B570))</f>
        <v/>
      </c>
    </row>
    <row r="571">
      <c r="B571" s="105" t="n"/>
      <c r="C571" s="54" t="n"/>
      <c r="D571" s="54" t="n"/>
      <c r="E571" s="54" t="n"/>
      <c r="F571" s="54" t="n"/>
      <c r="G571" s="65" t="n"/>
      <c r="H571" s="54" t="n"/>
      <c r="I571" s="106">
        <f>IF($C571="","",IFERROR(INDEX(Sens_Types,MATCH($C571,Liste_Types,0)),""))</f>
        <v/>
      </c>
      <c r="J571" s="107">
        <f>IF($I571="▲ ENTRÉE",$U571,"")</f>
        <v/>
      </c>
      <c r="K571" s="108">
        <f>IF($I571="▼ SORTIE",$U571,"")</f>
        <v/>
      </c>
      <c r="L571" s="109">
        <f>$L570+N($J571)-N($K571)</f>
        <v/>
      </c>
      <c r="M571" s="110" t="n"/>
      <c r="N571" s="54" t="n"/>
      <c r="O571" s="54" t="n"/>
      <c r="P571" s="54" t="n"/>
      <c r="Q571" s="110" t="n"/>
      <c r="R571" s="110" t="n"/>
      <c r="S571" s="54" t="n"/>
      <c r="T571" s="111">
        <f>IF($G571="","",IFERROR(INDEX(Taux_Devises,MATCH(IF($M571="",Devise_Base,$M571),Codes_Devises,0)),1))</f>
        <v/>
      </c>
      <c r="U571" s="112">
        <f>IF($G571="","",ROUND($G571*$T571,2))</f>
        <v/>
      </c>
      <c r="V571" s="113">
        <f>IF($B571="","",MONTH($B571))</f>
        <v/>
      </c>
      <c r="W571" s="113">
        <f>IF($B571="","",YEAR($B571))</f>
        <v/>
      </c>
    </row>
    <row r="572">
      <c r="B572" s="105" t="n"/>
      <c r="C572" s="54" t="n"/>
      <c r="D572" s="54" t="n"/>
      <c r="E572" s="54" t="n"/>
      <c r="F572" s="54" t="n"/>
      <c r="G572" s="65" t="n"/>
      <c r="H572" s="54" t="n"/>
      <c r="I572" s="106">
        <f>IF($C572="","",IFERROR(INDEX(Sens_Types,MATCH($C572,Liste_Types,0)),""))</f>
        <v/>
      </c>
      <c r="J572" s="107">
        <f>IF($I572="▲ ENTRÉE",$U572,"")</f>
        <v/>
      </c>
      <c r="K572" s="108">
        <f>IF($I572="▼ SORTIE",$U572,"")</f>
        <v/>
      </c>
      <c r="L572" s="109">
        <f>$L571+N($J572)-N($K572)</f>
        <v/>
      </c>
      <c r="M572" s="110" t="n"/>
      <c r="N572" s="54" t="n"/>
      <c r="O572" s="54" t="n"/>
      <c r="P572" s="54" t="n"/>
      <c r="Q572" s="110" t="n"/>
      <c r="R572" s="110" t="n"/>
      <c r="S572" s="54" t="n"/>
      <c r="T572" s="111">
        <f>IF($G572="","",IFERROR(INDEX(Taux_Devises,MATCH(IF($M572="",Devise_Base,$M572),Codes_Devises,0)),1))</f>
        <v/>
      </c>
      <c r="U572" s="112">
        <f>IF($G572="","",ROUND($G572*$T572,2))</f>
        <v/>
      </c>
      <c r="V572" s="113">
        <f>IF($B572="","",MONTH($B572))</f>
        <v/>
      </c>
      <c r="W572" s="113">
        <f>IF($B572="","",YEAR($B572))</f>
        <v/>
      </c>
    </row>
    <row r="573">
      <c r="B573" s="105" t="n"/>
      <c r="C573" s="54" t="n"/>
      <c r="D573" s="54" t="n"/>
      <c r="E573" s="54" t="n"/>
      <c r="F573" s="54" t="n"/>
      <c r="G573" s="65" t="n"/>
      <c r="H573" s="54" t="n"/>
      <c r="I573" s="106">
        <f>IF($C573="","",IFERROR(INDEX(Sens_Types,MATCH($C573,Liste_Types,0)),""))</f>
        <v/>
      </c>
      <c r="J573" s="107">
        <f>IF($I573="▲ ENTRÉE",$U573,"")</f>
        <v/>
      </c>
      <c r="K573" s="108">
        <f>IF($I573="▼ SORTIE",$U573,"")</f>
        <v/>
      </c>
      <c r="L573" s="109">
        <f>$L572+N($J573)-N($K573)</f>
        <v/>
      </c>
      <c r="M573" s="110" t="n"/>
      <c r="N573" s="54" t="n"/>
      <c r="O573" s="54" t="n"/>
      <c r="P573" s="54" t="n"/>
      <c r="Q573" s="110" t="n"/>
      <c r="R573" s="110" t="n"/>
      <c r="S573" s="54" t="n"/>
      <c r="T573" s="111">
        <f>IF($G573="","",IFERROR(INDEX(Taux_Devises,MATCH(IF($M573="",Devise_Base,$M573),Codes_Devises,0)),1))</f>
        <v/>
      </c>
      <c r="U573" s="112">
        <f>IF($G573="","",ROUND($G573*$T573,2))</f>
        <v/>
      </c>
      <c r="V573" s="113">
        <f>IF($B573="","",MONTH($B573))</f>
        <v/>
      </c>
      <c r="W573" s="113">
        <f>IF($B573="","",YEAR($B573))</f>
        <v/>
      </c>
    </row>
    <row r="574">
      <c r="B574" s="105" t="n"/>
      <c r="C574" s="54" t="n"/>
      <c r="D574" s="54" t="n"/>
      <c r="E574" s="54" t="n"/>
      <c r="F574" s="54" t="n"/>
      <c r="G574" s="65" t="n"/>
      <c r="H574" s="54" t="n"/>
      <c r="I574" s="106">
        <f>IF($C574="","",IFERROR(INDEX(Sens_Types,MATCH($C574,Liste_Types,0)),""))</f>
        <v/>
      </c>
      <c r="J574" s="107">
        <f>IF($I574="▲ ENTRÉE",$U574,"")</f>
        <v/>
      </c>
      <c r="K574" s="108">
        <f>IF($I574="▼ SORTIE",$U574,"")</f>
        <v/>
      </c>
      <c r="L574" s="109">
        <f>$L573+N($J574)-N($K574)</f>
        <v/>
      </c>
      <c r="M574" s="110" t="n"/>
      <c r="N574" s="54" t="n"/>
      <c r="O574" s="54" t="n"/>
      <c r="P574" s="54" t="n"/>
      <c r="Q574" s="110" t="n"/>
      <c r="R574" s="110" t="n"/>
      <c r="S574" s="54" t="n"/>
      <c r="T574" s="111">
        <f>IF($G574="","",IFERROR(INDEX(Taux_Devises,MATCH(IF($M574="",Devise_Base,$M574),Codes_Devises,0)),1))</f>
        <v/>
      </c>
      <c r="U574" s="112">
        <f>IF($G574="","",ROUND($G574*$T574,2))</f>
        <v/>
      </c>
      <c r="V574" s="113">
        <f>IF($B574="","",MONTH($B574))</f>
        <v/>
      </c>
      <c r="W574" s="113">
        <f>IF($B574="","",YEAR($B574))</f>
        <v/>
      </c>
    </row>
    <row r="575">
      <c r="B575" s="105" t="n"/>
      <c r="C575" s="54" t="n"/>
      <c r="D575" s="54" t="n"/>
      <c r="E575" s="54" t="n"/>
      <c r="F575" s="54" t="n"/>
      <c r="G575" s="65" t="n"/>
      <c r="H575" s="54" t="n"/>
      <c r="I575" s="106">
        <f>IF($C575="","",IFERROR(INDEX(Sens_Types,MATCH($C575,Liste_Types,0)),""))</f>
        <v/>
      </c>
      <c r="J575" s="107">
        <f>IF($I575="▲ ENTRÉE",$U575,"")</f>
        <v/>
      </c>
      <c r="K575" s="108">
        <f>IF($I575="▼ SORTIE",$U575,"")</f>
        <v/>
      </c>
      <c r="L575" s="109">
        <f>$L574+N($J575)-N($K575)</f>
        <v/>
      </c>
      <c r="M575" s="110" t="n"/>
      <c r="N575" s="54" t="n"/>
      <c r="O575" s="54" t="n"/>
      <c r="P575" s="54" t="n"/>
      <c r="Q575" s="110" t="n"/>
      <c r="R575" s="110" t="n"/>
      <c r="S575" s="54" t="n"/>
      <c r="T575" s="111">
        <f>IF($G575="","",IFERROR(INDEX(Taux_Devises,MATCH(IF($M575="",Devise_Base,$M575),Codes_Devises,0)),1))</f>
        <v/>
      </c>
      <c r="U575" s="112">
        <f>IF($G575="","",ROUND($G575*$T575,2))</f>
        <v/>
      </c>
      <c r="V575" s="113">
        <f>IF($B575="","",MONTH($B575))</f>
        <v/>
      </c>
      <c r="W575" s="113">
        <f>IF($B575="","",YEAR($B575))</f>
        <v/>
      </c>
    </row>
    <row r="576">
      <c r="B576" s="105" t="n"/>
      <c r="C576" s="54" t="n"/>
      <c r="D576" s="54" t="n"/>
      <c r="E576" s="54" t="n"/>
      <c r="F576" s="54" t="n"/>
      <c r="G576" s="65" t="n"/>
      <c r="H576" s="54" t="n"/>
      <c r="I576" s="106">
        <f>IF($C576="","",IFERROR(INDEX(Sens_Types,MATCH($C576,Liste_Types,0)),""))</f>
        <v/>
      </c>
      <c r="J576" s="107">
        <f>IF($I576="▲ ENTRÉE",$U576,"")</f>
        <v/>
      </c>
      <c r="K576" s="108">
        <f>IF($I576="▼ SORTIE",$U576,"")</f>
        <v/>
      </c>
      <c r="L576" s="109">
        <f>$L575+N($J576)-N($K576)</f>
        <v/>
      </c>
      <c r="M576" s="110" t="n"/>
      <c r="N576" s="54" t="n"/>
      <c r="O576" s="54" t="n"/>
      <c r="P576" s="54" t="n"/>
      <c r="Q576" s="110" t="n"/>
      <c r="R576" s="110" t="n"/>
      <c r="S576" s="54" t="n"/>
      <c r="T576" s="111">
        <f>IF($G576="","",IFERROR(INDEX(Taux_Devises,MATCH(IF($M576="",Devise_Base,$M576),Codes_Devises,0)),1))</f>
        <v/>
      </c>
      <c r="U576" s="112">
        <f>IF($G576="","",ROUND($G576*$T576,2))</f>
        <v/>
      </c>
      <c r="V576" s="113">
        <f>IF($B576="","",MONTH($B576))</f>
        <v/>
      </c>
      <c r="W576" s="113">
        <f>IF($B576="","",YEAR($B576))</f>
        <v/>
      </c>
    </row>
    <row r="577">
      <c r="B577" s="105" t="n"/>
      <c r="C577" s="54" t="n"/>
      <c r="D577" s="54" t="n"/>
      <c r="E577" s="54" t="n"/>
      <c r="F577" s="54" t="n"/>
      <c r="G577" s="65" t="n"/>
      <c r="H577" s="54" t="n"/>
      <c r="I577" s="106">
        <f>IF($C577="","",IFERROR(INDEX(Sens_Types,MATCH($C577,Liste_Types,0)),""))</f>
        <v/>
      </c>
      <c r="J577" s="107">
        <f>IF($I577="▲ ENTRÉE",$U577,"")</f>
        <v/>
      </c>
      <c r="K577" s="108">
        <f>IF($I577="▼ SORTIE",$U577,"")</f>
        <v/>
      </c>
      <c r="L577" s="109">
        <f>$L576+N($J577)-N($K577)</f>
        <v/>
      </c>
      <c r="M577" s="110" t="n"/>
      <c r="N577" s="54" t="n"/>
      <c r="O577" s="54" t="n"/>
      <c r="P577" s="54" t="n"/>
      <c r="Q577" s="110" t="n"/>
      <c r="R577" s="110" t="n"/>
      <c r="S577" s="54" t="n"/>
      <c r="T577" s="111">
        <f>IF($G577="","",IFERROR(INDEX(Taux_Devises,MATCH(IF($M577="",Devise_Base,$M577),Codes_Devises,0)),1))</f>
        <v/>
      </c>
      <c r="U577" s="112">
        <f>IF($G577="","",ROUND($G577*$T577,2))</f>
        <v/>
      </c>
      <c r="V577" s="113">
        <f>IF($B577="","",MONTH($B577))</f>
        <v/>
      </c>
      <c r="W577" s="113">
        <f>IF($B577="","",YEAR($B577))</f>
        <v/>
      </c>
    </row>
    <row r="578">
      <c r="B578" s="105" t="n"/>
      <c r="C578" s="54" t="n"/>
      <c r="D578" s="54" t="n"/>
      <c r="E578" s="54" t="n"/>
      <c r="F578" s="54" t="n"/>
      <c r="G578" s="65" t="n"/>
      <c r="H578" s="54" t="n"/>
      <c r="I578" s="106">
        <f>IF($C578="","",IFERROR(INDEX(Sens_Types,MATCH($C578,Liste_Types,0)),""))</f>
        <v/>
      </c>
      <c r="J578" s="107">
        <f>IF($I578="▲ ENTRÉE",$U578,"")</f>
        <v/>
      </c>
      <c r="K578" s="108">
        <f>IF($I578="▼ SORTIE",$U578,"")</f>
        <v/>
      </c>
      <c r="L578" s="109">
        <f>$L577+N($J578)-N($K578)</f>
        <v/>
      </c>
      <c r="M578" s="110" t="n"/>
      <c r="N578" s="54" t="n"/>
      <c r="O578" s="54" t="n"/>
      <c r="P578" s="54" t="n"/>
      <c r="Q578" s="110" t="n"/>
      <c r="R578" s="110" t="n"/>
      <c r="S578" s="54" t="n"/>
      <c r="T578" s="111">
        <f>IF($G578="","",IFERROR(INDEX(Taux_Devises,MATCH(IF($M578="",Devise_Base,$M578),Codes_Devises,0)),1))</f>
        <v/>
      </c>
      <c r="U578" s="112">
        <f>IF($G578="","",ROUND($G578*$T578,2))</f>
        <v/>
      </c>
      <c r="V578" s="113">
        <f>IF($B578="","",MONTH($B578))</f>
        <v/>
      </c>
      <c r="W578" s="113">
        <f>IF($B578="","",YEAR($B578))</f>
        <v/>
      </c>
    </row>
    <row r="579">
      <c r="B579" s="105" t="n"/>
      <c r="C579" s="54" t="n"/>
      <c r="D579" s="54" t="n"/>
      <c r="E579" s="54" t="n"/>
      <c r="F579" s="54" t="n"/>
      <c r="G579" s="65" t="n"/>
      <c r="H579" s="54" t="n"/>
      <c r="I579" s="106">
        <f>IF($C579="","",IFERROR(INDEX(Sens_Types,MATCH($C579,Liste_Types,0)),""))</f>
        <v/>
      </c>
      <c r="J579" s="107">
        <f>IF($I579="▲ ENTRÉE",$U579,"")</f>
        <v/>
      </c>
      <c r="K579" s="108">
        <f>IF($I579="▼ SORTIE",$U579,"")</f>
        <v/>
      </c>
      <c r="L579" s="109">
        <f>$L578+N($J579)-N($K579)</f>
        <v/>
      </c>
      <c r="M579" s="110" t="n"/>
      <c r="N579" s="54" t="n"/>
      <c r="O579" s="54" t="n"/>
      <c r="P579" s="54" t="n"/>
      <c r="Q579" s="110" t="n"/>
      <c r="R579" s="110" t="n"/>
      <c r="S579" s="54" t="n"/>
      <c r="T579" s="111">
        <f>IF($G579="","",IFERROR(INDEX(Taux_Devises,MATCH(IF($M579="",Devise_Base,$M579),Codes_Devises,0)),1))</f>
        <v/>
      </c>
      <c r="U579" s="112">
        <f>IF($G579="","",ROUND($G579*$T579,2))</f>
        <v/>
      </c>
      <c r="V579" s="113">
        <f>IF($B579="","",MONTH($B579))</f>
        <v/>
      </c>
      <c r="W579" s="113">
        <f>IF($B579="","",YEAR($B579))</f>
        <v/>
      </c>
    </row>
    <row r="580">
      <c r="B580" s="105" t="n"/>
      <c r="C580" s="54" t="n"/>
      <c r="D580" s="54" t="n"/>
      <c r="E580" s="54" t="n"/>
      <c r="F580" s="54" t="n"/>
      <c r="G580" s="65" t="n"/>
      <c r="H580" s="54" t="n"/>
      <c r="I580" s="106">
        <f>IF($C580="","",IFERROR(INDEX(Sens_Types,MATCH($C580,Liste_Types,0)),""))</f>
        <v/>
      </c>
      <c r="J580" s="107">
        <f>IF($I580="▲ ENTRÉE",$U580,"")</f>
        <v/>
      </c>
      <c r="K580" s="108">
        <f>IF($I580="▼ SORTIE",$U580,"")</f>
        <v/>
      </c>
      <c r="L580" s="109">
        <f>$L579+N($J580)-N($K580)</f>
        <v/>
      </c>
      <c r="M580" s="110" t="n"/>
      <c r="N580" s="54" t="n"/>
      <c r="O580" s="54" t="n"/>
      <c r="P580" s="54" t="n"/>
      <c r="Q580" s="110" t="n"/>
      <c r="R580" s="110" t="n"/>
      <c r="S580" s="54" t="n"/>
      <c r="T580" s="111">
        <f>IF($G580="","",IFERROR(INDEX(Taux_Devises,MATCH(IF($M580="",Devise_Base,$M580),Codes_Devises,0)),1))</f>
        <v/>
      </c>
      <c r="U580" s="112">
        <f>IF($G580="","",ROUND($G580*$T580,2))</f>
        <v/>
      </c>
      <c r="V580" s="113">
        <f>IF($B580="","",MONTH($B580))</f>
        <v/>
      </c>
      <c r="W580" s="113">
        <f>IF($B580="","",YEAR($B580))</f>
        <v/>
      </c>
    </row>
    <row r="581">
      <c r="B581" s="105" t="n"/>
      <c r="C581" s="54" t="n"/>
      <c r="D581" s="54" t="n"/>
      <c r="E581" s="54" t="n"/>
      <c r="F581" s="54" t="n"/>
      <c r="G581" s="65" t="n"/>
      <c r="H581" s="54" t="n"/>
      <c r="I581" s="106">
        <f>IF($C581="","",IFERROR(INDEX(Sens_Types,MATCH($C581,Liste_Types,0)),""))</f>
        <v/>
      </c>
      <c r="J581" s="107">
        <f>IF($I581="▲ ENTRÉE",$U581,"")</f>
        <v/>
      </c>
      <c r="K581" s="108">
        <f>IF($I581="▼ SORTIE",$U581,"")</f>
        <v/>
      </c>
      <c r="L581" s="109">
        <f>$L580+N($J581)-N($K581)</f>
        <v/>
      </c>
      <c r="M581" s="110" t="n"/>
      <c r="N581" s="54" t="n"/>
      <c r="O581" s="54" t="n"/>
      <c r="P581" s="54" t="n"/>
      <c r="Q581" s="110" t="n"/>
      <c r="R581" s="110" t="n"/>
      <c r="S581" s="54" t="n"/>
      <c r="T581" s="111">
        <f>IF($G581="","",IFERROR(INDEX(Taux_Devises,MATCH(IF($M581="",Devise_Base,$M581),Codes_Devises,0)),1))</f>
        <v/>
      </c>
      <c r="U581" s="112">
        <f>IF($G581="","",ROUND($G581*$T581,2))</f>
        <v/>
      </c>
      <c r="V581" s="113">
        <f>IF($B581="","",MONTH($B581))</f>
        <v/>
      </c>
      <c r="W581" s="113">
        <f>IF($B581="","",YEAR($B581))</f>
        <v/>
      </c>
    </row>
    <row r="582">
      <c r="B582" s="105" t="n"/>
      <c r="C582" s="54" t="n"/>
      <c r="D582" s="54" t="n"/>
      <c r="E582" s="54" t="n"/>
      <c r="F582" s="54" t="n"/>
      <c r="G582" s="65" t="n"/>
      <c r="H582" s="54" t="n"/>
      <c r="I582" s="106">
        <f>IF($C582="","",IFERROR(INDEX(Sens_Types,MATCH($C582,Liste_Types,0)),""))</f>
        <v/>
      </c>
      <c r="J582" s="107">
        <f>IF($I582="▲ ENTRÉE",$U582,"")</f>
        <v/>
      </c>
      <c r="K582" s="108">
        <f>IF($I582="▼ SORTIE",$U582,"")</f>
        <v/>
      </c>
      <c r="L582" s="109">
        <f>$L581+N($J582)-N($K582)</f>
        <v/>
      </c>
      <c r="M582" s="110" t="n"/>
      <c r="N582" s="54" t="n"/>
      <c r="O582" s="54" t="n"/>
      <c r="P582" s="54" t="n"/>
      <c r="Q582" s="110" t="n"/>
      <c r="R582" s="110" t="n"/>
      <c r="S582" s="54" t="n"/>
      <c r="T582" s="111">
        <f>IF($G582="","",IFERROR(INDEX(Taux_Devises,MATCH(IF($M582="",Devise_Base,$M582),Codes_Devises,0)),1))</f>
        <v/>
      </c>
      <c r="U582" s="112">
        <f>IF($G582="","",ROUND($G582*$T582,2))</f>
        <v/>
      </c>
      <c r="V582" s="113">
        <f>IF($B582="","",MONTH($B582))</f>
        <v/>
      </c>
      <c r="W582" s="113">
        <f>IF($B582="","",YEAR($B582))</f>
        <v/>
      </c>
    </row>
    <row r="583">
      <c r="B583" s="105" t="n"/>
      <c r="C583" s="54" t="n"/>
      <c r="D583" s="54" t="n"/>
      <c r="E583" s="54" t="n"/>
      <c r="F583" s="54" t="n"/>
      <c r="G583" s="65" t="n"/>
      <c r="H583" s="54" t="n"/>
      <c r="I583" s="106">
        <f>IF($C583="","",IFERROR(INDEX(Sens_Types,MATCH($C583,Liste_Types,0)),""))</f>
        <v/>
      </c>
      <c r="J583" s="107">
        <f>IF($I583="▲ ENTRÉE",$U583,"")</f>
        <v/>
      </c>
      <c r="K583" s="108">
        <f>IF($I583="▼ SORTIE",$U583,"")</f>
        <v/>
      </c>
      <c r="L583" s="109">
        <f>$L582+N($J583)-N($K583)</f>
        <v/>
      </c>
      <c r="M583" s="110" t="n"/>
      <c r="N583" s="54" t="n"/>
      <c r="O583" s="54" t="n"/>
      <c r="P583" s="54" t="n"/>
      <c r="Q583" s="110" t="n"/>
      <c r="R583" s="110" t="n"/>
      <c r="S583" s="54" t="n"/>
      <c r="T583" s="111">
        <f>IF($G583="","",IFERROR(INDEX(Taux_Devises,MATCH(IF($M583="",Devise_Base,$M583),Codes_Devises,0)),1))</f>
        <v/>
      </c>
      <c r="U583" s="112">
        <f>IF($G583="","",ROUND($G583*$T583,2))</f>
        <v/>
      </c>
      <c r="V583" s="113">
        <f>IF($B583="","",MONTH($B583))</f>
        <v/>
      </c>
      <c r="W583" s="113">
        <f>IF($B583="","",YEAR($B583))</f>
        <v/>
      </c>
    </row>
    <row r="584">
      <c r="B584" s="105" t="n"/>
      <c r="C584" s="54" t="n"/>
      <c r="D584" s="54" t="n"/>
      <c r="E584" s="54" t="n"/>
      <c r="F584" s="54" t="n"/>
      <c r="G584" s="65" t="n"/>
      <c r="H584" s="54" t="n"/>
      <c r="I584" s="106">
        <f>IF($C584="","",IFERROR(INDEX(Sens_Types,MATCH($C584,Liste_Types,0)),""))</f>
        <v/>
      </c>
      <c r="J584" s="107">
        <f>IF($I584="▲ ENTRÉE",$U584,"")</f>
        <v/>
      </c>
      <c r="K584" s="108">
        <f>IF($I584="▼ SORTIE",$U584,"")</f>
        <v/>
      </c>
      <c r="L584" s="109">
        <f>$L583+N($J584)-N($K584)</f>
        <v/>
      </c>
      <c r="M584" s="110" t="n"/>
      <c r="N584" s="54" t="n"/>
      <c r="O584" s="54" t="n"/>
      <c r="P584" s="54" t="n"/>
      <c r="Q584" s="110" t="n"/>
      <c r="R584" s="110" t="n"/>
      <c r="S584" s="54" t="n"/>
      <c r="T584" s="111">
        <f>IF($G584="","",IFERROR(INDEX(Taux_Devises,MATCH(IF($M584="",Devise_Base,$M584),Codes_Devises,0)),1))</f>
        <v/>
      </c>
      <c r="U584" s="112">
        <f>IF($G584="","",ROUND($G584*$T584,2))</f>
        <v/>
      </c>
      <c r="V584" s="113">
        <f>IF($B584="","",MONTH($B584))</f>
        <v/>
      </c>
      <c r="W584" s="113">
        <f>IF($B584="","",YEAR($B584))</f>
        <v/>
      </c>
    </row>
    <row r="585">
      <c r="B585" s="105" t="n"/>
      <c r="C585" s="54" t="n"/>
      <c r="D585" s="54" t="n"/>
      <c r="E585" s="54" t="n"/>
      <c r="F585" s="54" t="n"/>
      <c r="G585" s="65" t="n"/>
      <c r="H585" s="54" t="n"/>
      <c r="I585" s="106">
        <f>IF($C585="","",IFERROR(INDEX(Sens_Types,MATCH($C585,Liste_Types,0)),""))</f>
        <v/>
      </c>
      <c r="J585" s="107">
        <f>IF($I585="▲ ENTRÉE",$U585,"")</f>
        <v/>
      </c>
      <c r="K585" s="108">
        <f>IF($I585="▼ SORTIE",$U585,"")</f>
        <v/>
      </c>
      <c r="L585" s="109">
        <f>$L584+N($J585)-N($K585)</f>
        <v/>
      </c>
      <c r="M585" s="110" t="n"/>
      <c r="N585" s="54" t="n"/>
      <c r="O585" s="54" t="n"/>
      <c r="P585" s="54" t="n"/>
      <c r="Q585" s="110" t="n"/>
      <c r="R585" s="110" t="n"/>
      <c r="S585" s="54" t="n"/>
      <c r="T585" s="111">
        <f>IF($G585="","",IFERROR(INDEX(Taux_Devises,MATCH(IF($M585="",Devise_Base,$M585),Codes_Devises,0)),1))</f>
        <v/>
      </c>
      <c r="U585" s="112">
        <f>IF($G585="","",ROUND($G585*$T585,2))</f>
        <v/>
      </c>
      <c r="V585" s="113">
        <f>IF($B585="","",MONTH($B585))</f>
        <v/>
      </c>
      <c r="W585" s="113">
        <f>IF($B585="","",YEAR($B585))</f>
        <v/>
      </c>
    </row>
    <row r="586">
      <c r="B586" s="105" t="n"/>
      <c r="C586" s="54" t="n"/>
      <c r="D586" s="54" t="n"/>
      <c r="E586" s="54" t="n"/>
      <c r="F586" s="54" t="n"/>
      <c r="G586" s="65" t="n"/>
      <c r="H586" s="54" t="n"/>
      <c r="I586" s="106">
        <f>IF($C586="","",IFERROR(INDEX(Sens_Types,MATCH($C586,Liste_Types,0)),""))</f>
        <v/>
      </c>
      <c r="J586" s="107">
        <f>IF($I586="▲ ENTRÉE",$U586,"")</f>
        <v/>
      </c>
      <c r="K586" s="108">
        <f>IF($I586="▼ SORTIE",$U586,"")</f>
        <v/>
      </c>
      <c r="L586" s="109">
        <f>$L585+N($J586)-N($K586)</f>
        <v/>
      </c>
      <c r="M586" s="110" t="n"/>
      <c r="N586" s="54" t="n"/>
      <c r="O586" s="54" t="n"/>
      <c r="P586" s="54" t="n"/>
      <c r="Q586" s="110" t="n"/>
      <c r="R586" s="110" t="n"/>
      <c r="S586" s="54" t="n"/>
      <c r="T586" s="111">
        <f>IF($G586="","",IFERROR(INDEX(Taux_Devises,MATCH(IF($M586="",Devise_Base,$M586),Codes_Devises,0)),1))</f>
        <v/>
      </c>
      <c r="U586" s="112">
        <f>IF($G586="","",ROUND($G586*$T586,2))</f>
        <v/>
      </c>
      <c r="V586" s="113">
        <f>IF($B586="","",MONTH($B586))</f>
        <v/>
      </c>
      <c r="W586" s="113">
        <f>IF($B586="","",YEAR($B586))</f>
        <v/>
      </c>
    </row>
    <row r="587">
      <c r="B587" s="105" t="n"/>
      <c r="C587" s="54" t="n"/>
      <c r="D587" s="54" t="n"/>
      <c r="E587" s="54" t="n"/>
      <c r="F587" s="54" t="n"/>
      <c r="G587" s="65" t="n"/>
      <c r="H587" s="54" t="n"/>
      <c r="I587" s="106">
        <f>IF($C587="","",IFERROR(INDEX(Sens_Types,MATCH($C587,Liste_Types,0)),""))</f>
        <v/>
      </c>
      <c r="J587" s="107">
        <f>IF($I587="▲ ENTRÉE",$U587,"")</f>
        <v/>
      </c>
      <c r="K587" s="108">
        <f>IF($I587="▼ SORTIE",$U587,"")</f>
        <v/>
      </c>
      <c r="L587" s="109">
        <f>$L586+N($J587)-N($K587)</f>
        <v/>
      </c>
      <c r="M587" s="110" t="n"/>
      <c r="N587" s="54" t="n"/>
      <c r="O587" s="54" t="n"/>
      <c r="P587" s="54" t="n"/>
      <c r="Q587" s="110" t="n"/>
      <c r="R587" s="110" t="n"/>
      <c r="S587" s="54" t="n"/>
      <c r="T587" s="111">
        <f>IF($G587="","",IFERROR(INDEX(Taux_Devises,MATCH(IF($M587="",Devise_Base,$M587),Codes_Devises,0)),1))</f>
        <v/>
      </c>
      <c r="U587" s="112">
        <f>IF($G587="","",ROUND($G587*$T587,2))</f>
        <v/>
      </c>
      <c r="V587" s="113">
        <f>IF($B587="","",MONTH($B587))</f>
        <v/>
      </c>
      <c r="W587" s="113">
        <f>IF($B587="","",YEAR($B587))</f>
        <v/>
      </c>
    </row>
    <row r="588">
      <c r="B588" s="105" t="n"/>
      <c r="C588" s="54" t="n"/>
      <c r="D588" s="54" t="n"/>
      <c r="E588" s="54" t="n"/>
      <c r="F588" s="54" t="n"/>
      <c r="G588" s="65" t="n"/>
      <c r="H588" s="54" t="n"/>
      <c r="I588" s="106">
        <f>IF($C588="","",IFERROR(INDEX(Sens_Types,MATCH($C588,Liste_Types,0)),""))</f>
        <v/>
      </c>
      <c r="J588" s="107">
        <f>IF($I588="▲ ENTRÉE",$U588,"")</f>
        <v/>
      </c>
      <c r="K588" s="108">
        <f>IF($I588="▼ SORTIE",$U588,"")</f>
        <v/>
      </c>
      <c r="L588" s="109">
        <f>$L587+N($J588)-N($K588)</f>
        <v/>
      </c>
      <c r="M588" s="110" t="n"/>
      <c r="N588" s="54" t="n"/>
      <c r="O588" s="54" t="n"/>
      <c r="P588" s="54" t="n"/>
      <c r="Q588" s="110" t="n"/>
      <c r="R588" s="110" t="n"/>
      <c r="S588" s="54" t="n"/>
      <c r="T588" s="111">
        <f>IF($G588="","",IFERROR(INDEX(Taux_Devises,MATCH(IF($M588="",Devise_Base,$M588),Codes_Devises,0)),1))</f>
        <v/>
      </c>
      <c r="U588" s="112">
        <f>IF($G588="","",ROUND($G588*$T588,2))</f>
        <v/>
      </c>
      <c r="V588" s="113">
        <f>IF($B588="","",MONTH($B588))</f>
        <v/>
      </c>
      <c r="W588" s="113">
        <f>IF($B588="","",YEAR($B588))</f>
        <v/>
      </c>
    </row>
    <row r="589">
      <c r="B589" s="105" t="n"/>
      <c r="C589" s="54" t="n"/>
      <c r="D589" s="54" t="n"/>
      <c r="E589" s="54" t="n"/>
      <c r="F589" s="54" t="n"/>
      <c r="G589" s="65" t="n"/>
      <c r="H589" s="54" t="n"/>
      <c r="I589" s="106">
        <f>IF($C589="","",IFERROR(INDEX(Sens_Types,MATCH($C589,Liste_Types,0)),""))</f>
        <v/>
      </c>
      <c r="J589" s="107">
        <f>IF($I589="▲ ENTRÉE",$U589,"")</f>
        <v/>
      </c>
      <c r="K589" s="108">
        <f>IF($I589="▼ SORTIE",$U589,"")</f>
        <v/>
      </c>
      <c r="L589" s="109">
        <f>$L588+N($J589)-N($K589)</f>
        <v/>
      </c>
      <c r="M589" s="110" t="n"/>
      <c r="N589" s="54" t="n"/>
      <c r="O589" s="54" t="n"/>
      <c r="P589" s="54" t="n"/>
      <c r="Q589" s="110" t="n"/>
      <c r="R589" s="110" t="n"/>
      <c r="S589" s="54" t="n"/>
      <c r="T589" s="111">
        <f>IF($G589="","",IFERROR(INDEX(Taux_Devises,MATCH(IF($M589="",Devise_Base,$M589),Codes_Devises,0)),1))</f>
        <v/>
      </c>
      <c r="U589" s="112">
        <f>IF($G589="","",ROUND($G589*$T589,2))</f>
        <v/>
      </c>
      <c r="V589" s="113">
        <f>IF($B589="","",MONTH($B589))</f>
        <v/>
      </c>
      <c r="W589" s="113">
        <f>IF($B589="","",YEAR($B589))</f>
        <v/>
      </c>
    </row>
    <row r="590">
      <c r="B590" s="105" t="n"/>
      <c r="C590" s="54" t="n"/>
      <c r="D590" s="54" t="n"/>
      <c r="E590" s="54" t="n"/>
      <c r="F590" s="54" t="n"/>
      <c r="G590" s="65" t="n"/>
      <c r="H590" s="54" t="n"/>
      <c r="I590" s="106">
        <f>IF($C590="","",IFERROR(INDEX(Sens_Types,MATCH($C590,Liste_Types,0)),""))</f>
        <v/>
      </c>
      <c r="J590" s="107">
        <f>IF($I590="▲ ENTRÉE",$U590,"")</f>
        <v/>
      </c>
      <c r="K590" s="108">
        <f>IF($I590="▼ SORTIE",$U590,"")</f>
        <v/>
      </c>
      <c r="L590" s="109">
        <f>$L589+N($J590)-N($K590)</f>
        <v/>
      </c>
      <c r="M590" s="110" t="n"/>
      <c r="N590" s="54" t="n"/>
      <c r="O590" s="54" t="n"/>
      <c r="P590" s="54" t="n"/>
      <c r="Q590" s="110" t="n"/>
      <c r="R590" s="110" t="n"/>
      <c r="S590" s="54" t="n"/>
      <c r="T590" s="111">
        <f>IF($G590="","",IFERROR(INDEX(Taux_Devises,MATCH(IF($M590="",Devise_Base,$M590),Codes_Devises,0)),1))</f>
        <v/>
      </c>
      <c r="U590" s="112">
        <f>IF($G590="","",ROUND($G590*$T590,2))</f>
        <v/>
      </c>
      <c r="V590" s="113">
        <f>IF($B590="","",MONTH($B590))</f>
        <v/>
      </c>
      <c r="W590" s="113">
        <f>IF($B590="","",YEAR($B590))</f>
        <v/>
      </c>
    </row>
    <row r="591">
      <c r="B591" s="105" t="n"/>
      <c r="C591" s="54" t="n"/>
      <c r="D591" s="54" t="n"/>
      <c r="E591" s="54" t="n"/>
      <c r="F591" s="54" t="n"/>
      <c r="G591" s="65" t="n"/>
      <c r="H591" s="54" t="n"/>
      <c r="I591" s="106">
        <f>IF($C591="","",IFERROR(INDEX(Sens_Types,MATCH($C591,Liste_Types,0)),""))</f>
        <v/>
      </c>
      <c r="J591" s="107">
        <f>IF($I591="▲ ENTRÉE",$U591,"")</f>
        <v/>
      </c>
      <c r="K591" s="108">
        <f>IF($I591="▼ SORTIE",$U591,"")</f>
        <v/>
      </c>
      <c r="L591" s="109">
        <f>$L590+N($J591)-N($K591)</f>
        <v/>
      </c>
      <c r="M591" s="110" t="n"/>
      <c r="N591" s="54" t="n"/>
      <c r="O591" s="54" t="n"/>
      <c r="P591" s="54" t="n"/>
      <c r="Q591" s="110" t="n"/>
      <c r="R591" s="110" t="n"/>
      <c r="S591" s="54" t="n"/>
      <c r="T591" s="111">
        <f>IF($G591="","",IFERROR(INDEX(Taux_Devises,MATCH(IF($M591="",Devise_Base,$M591),Codes_Devises,0)),1))</f>
        <v/>
      </c>
      <c r="U591" s="112">
        <f>IF($G591="","",ROUND($G591*$T591,2))</f>
        <v/>
      </c>
      <c r="V591" s="113">
        <f>IF($B591="","",MONTH($B591))</f>
        <v/>
      </c>
      <c r="W591" s="113">
        <f>IF($B591="","",YEAR($B591))</f>
        <v/>
      </c>
    </row>
    <row r="592">
      <c r="B592" s="105" t="n"/>
      <c r="C592" s="54" t="n"/>
      <c r="D592" s="54" t="n"/>
      <c r="E592" s="54" t="n"/>
      <c r="F592" s="54" t="n"/>
      <c r="G592" s="65" t="n"/>
      <c r="H592" s="54" t="n"/>
      <c r="I592" s="106">
        <f>IF($C592="","",IFERROR(INDEX(Sens_Types,MATCH($C592,Liste_Types,0)),""))</f>
        <v/>
      </c>
      <c r="J592" s="107">
        <f>IF($I592="▲ ENTRÉE",$U592,"")</f>
        <v/>
      </c>
      <c r="K592" s="108">
        <f>IF($I592="▼ SORTIE",$U592,"")</f>
        <v/>
      </c>
      <c r="L592" s="109">
        <f>$L591+N($J592)-N($K592)</f>
        <v/>
      </c>
      <c r="M592" s="110" t="n"/>
      <c r="N592" s="54" t="n"/>
      <c r="O592" s="54" t="n"/>
      <c r="P592" s="54" t="n"/>
      <c r="Q592" s="110" t="n"/>
      <c r="R592" s="110" t="n"/>
      <c r="S592" s="54" t="n"/>
      <c r="T592" s="111">
        <f>IF($G592="","",IFERROR(INDEX(Taux_Devises,MATCH(IF($M592="",Devise_Base,$M592),Codes_Devises,0)),1))</f>
        <v/>
      </c>
      <c r="U592" s="112">
        <f>IF($G592="","",ROUND($G592*$T592,2))</f>
        <v/>
      </c>
      <c r="V592" s="113">
        <f>IF($B592="","",MONTH($B592))</f>
        <v/>
      </c>
      <c r="W592" s="113">
        <f>IF($B592="","",YEAR($B592))</f>
        <v/>
      </c>
    </row>
    <row r="593">
      <c r="B593" s="105" t="n"/>
      <c r="C593" s="54" t="n"/>
      <c r="D593" s="54" t="n"/>
      <c r="E593" s="54" t="n"/>
      <c r="F593" s="54" t="n"/>
      <c r="G593" s="65" t="n"/>
      <c r="H593" s="54" t="n"/>
      <c r="I593" s="106">
        <f>IF($C593="","",IFERROR(INDEX(Sens_Types,MATCH($C593,Liste_Types,0)),""))</f>
        <v/>
      </c>
      <c r="J593" s="107">
        <f>IF($I593="▲ ENTRÉE",$U593,"")</f>
        <v/>
      </c>
      <c r="K593" s="108">
        <f>IF($I593="▼ SORTIE",$U593,"")</f>
        <v/>
      </c>
      <c r="L593" s="109">
        <f>$L592+N($J593)-N($K593)</f>
        <v/>
      </c>
      <c r="M593" s="110" t="n"/>
      <c r="N593" s="54" t="n"/>
      <c r="O593" s="54" t="n"/>
      <c r="P593" s="54" t="n"/>
      <c r="Q593" s="110" t="n"/>
      <c r="R593" s="110" t="n"/>
      <c r="S593" s="54" t="n"/>
      <c r="T593" s="111">
        <f>IF($G593="","",IFERROR(INDEX(Taux_Devises,MATCH(IF($M593="",Devise_Base,$M593),Codes_Devises,0)),1))</f>
        <v/>
      </c>
      <c r="U593" s="112">
        <f>IF($G593="","",ROUND($G593*$T593,2))</f>
        <v/>
      </c>
      <c r="V593" s="113">
        <f>IF($B593="","",MONTH($B593))</f>
        <v/>
      </c>
      <c r="W593" s="113">
        <f>IF($B593="","",YEAR($B593))</f>
        <v/>
      </c>
    </row>
    <row r="594">
      <c r="B594" s="105" t="n"/>
      <c r="C594" s="54" t="n"/>
      <c r="D594" s="54" t="n"/>
      <c r="E594" s="54" t="n"/>
      <c r="F594" s="54" t="n"/>
      <c r="G594" s="65" t="n"/>
      <c r="H594" s="54" t="n"/>
      <c r="I594" s="106">
        <f>IF($C594="","",IFERROR(INDEX(Sens_Types,MATCH($C594,Liste_Types,0)),""))</f>
        <v/>
      </c>
      <c r="J594" s="107">
        <f>IF($I594="▲ ENTRÉE",$U594,"")</f>
        <v/>
      </c>
      <c r="K594" s="108">
        <f>IF($I594="▼ SORTIE",$U594,"")</f>
        <v/>
      </c>
      <c r="L594" s="109">
        <f>$L593+N($J594)-N($K594)</f>
        <v/>
      </c>
      <c r="M594" s="110" t="n"/>
      <c r="N594" s="54" t="n"/>
      <c r="O594" s="54" t="n"/>
      <c r="P594" s="54" t="n"/>
      <c r="Q594" s="110" t="n"/>
      <c r="R594" s="110" t="n"/>
      <c r="S594" s="54" t="n"/>
      <c r="T594" s="111">
        <f>IF($G594="","",IFERROR(INDEX(Taux_Devises,MATCH(IF($M594="",Devise_Base,$M594),Codes_Devises,0)),1))</f>
        <v/>
      </c>
      <c r="U594" s="112">
        <f>IF($G594="","",ROUND($G594*$T594,2))</f>
        <v/>
      </c>
      <c r="V594" s="113">
        <f>IF($B594="","",MONTH($B594))</f>
        <v/>
      </c>
      <c r="W594" s="113">
        <f>IF($B594="","",YEAR($B594))</f>
        <v/>
      </c>
    </row>
    <row r="595">
      <c r="B595" s="105" t="n"/>
      <c r="C595" s="54" t="n"/>
      <c r="D595" s="54" t="n"/>
      <c r="E595" s="54" t="n"/>
      <c r="F595" s="54" t="n"/>
      <c r="G595" s="65" t="n"/>
      <c r="H595" s="54" t="n"/>
      <c r="I595" s="106">
        <f>IF($C595="","",IFERROR(INDEX(Sens_Types,MATCH($C595,Liste_Types,0)),""))</f>
        <v/>
      </c>
      <c r="J595" s="107">
        <f>IF($I595="▲ ENTRÉE",$U595,"")</f>
        <v/>
      </c>
      <c r="K595" s="108">
        <f>IF($I595="▼ SORTIE",$U595,"")</f>
        <v/>
      </c>
      <c r="L595" s="109">
        <f>$L594+N($J595)-N($K595)</f>
        <v/>
      </c>
      <c r="M595" s="110" t="n"/>
      <c r="N595" s="54" t="n"/>
      <c r="O595" s="54" t="n"/>
      <c r="P595" s="54" t="n"/>
      <c r="Q595" s="110" t="n"/>
      <c r="R595" s="110" t="n"/>
      <c r="S595" s="54" t="n"/>
      <c r="T595" s="111">
        <f>IF($G595="","",IFERROR(INDEX(Taux_Devises,MATCH(IF($M595="",Devise_Base,$M595),Codes_Devises,0)),1))</f>
        <v/>
      </c>
      <c r="U595" s="112">
        <f>IF($G595="","",ROUND($G595*$T595,2))</f>
        <v/>
      </c>
      <c r="V595" s="113">
        <f>IF($B595="","",MONTH($B595))</f>
        <v/>
      </c>
      <c r="W595" s="113">
        <f>IF($B595="","",YEAR($B595))</f>
        <v/>
      </c>
    </row>
    <row r="596">
      <c r="B596" s="105" t="n"/>
      <c r="C596" s="54" t="n"/>
      <c r="D596" s="54" t="n"/>
      <c r="E596" s="54" t="n"/>
      <c r="F596" s="54" t="n"/>
      <c r="G596" s="65" t="n"/>
      <c r="H596" s="54" t="n"/>
      <c r="I596" s="106">
        <f>IF($C596="","",IFERROR(INDEX(Sens_Types,MATCH($C596,Liste_Types,0)),""))</f>
        <v/>
      </c>
      <c r="J596" s="107">
        <f>IF($I596="▲ ENTRÉE",$U596,"")</f>
        <v/>
      </c>
      <c r="K596" s="108">
        <f>IF($I596="▼ SORTIE",$U596,"")</f>
        <v/>
      </c>
      <c r="L596" s="109">
        <f>$L595+N($J596)-N($K596)</f>
        <v/>
      </c>
      <c r="M596" s="110" t="n"/>
      <c r="N596" s="54" t="n"/>
      <c r="O596" s="54" t="n"/>
      <c r="P596" s="54" t="n"/>
      <c r="Q596" s="110" t="n"/>
      <c r="R596" s="110" t="n"/>
      <c r="S596" s="54" t="n"/>
      <c r="T596" s="111">
        <f>IF($G596="","",IFERROR(INDEX(Taux_Devises,MATCH(IF($M596="",Devise_Base,$M596),Codes_Devises,0)),1))</f>
        <v/>
      </c>
      <c r="U596" s="112">
        <f>IF($G596="","",ROUND($G596*$T596,2))</f>
        <v/>
      </c>
      <c r="V596" s="113">
        <f>IF($B596="","",MONTH($B596))</f>
        <v/>
      </c>
      <c r="W596" s="113">
        <f>IF($B596="","",YEAR($B596))</f>
        <v/>
      </c>
    </row>
    <row r="597">
      <c r="B597" s="105" t="n"/>
      <c r="C597" s="54" t="n"/>
      <c r="D597" s="54" t="n"/>
      <c r="E597" s="54" t="n"/>
      <c r="F597" s="54" t="n"/>
      <c r="G597" s="65" t="n"/>
      <c r="H597" s="54" t="n"/>
      <c r="I597" s="106">
        <f>IF($C597="","",IFERROR(INDEX(Sens_Types,MATCH($C597,Liste_Types,0)),""))</f>
        <v/>
      </c>
      <c r="J597" s="107">
        <f>IF($I597="▲ ENTRÉE",$U597,"")</f>
        <v/>
      </c>
      <c r="K597" s="108">
        <f>IF($I597="▼ SORTIE",$U597,"")</f>
        <v/>
      </c>
      <c r="L597" s="109">
        <f>$L596+N($J597)-N($K597)</f>
        <v/>
      </c>
      <c r="M597" s="110" t="n"/>
      <c r="N597" s="54" t="n"/>
      <c r="O597" s="54" t="n"/>
      <c r="P597" s="54" t="n"/>
      <c r="Q597" s="110" t="n"/>
      <c r="R597" s="110" t="n"/>
      <c r="S597" s="54" t="n"/>
      <c r="T597" s="111">
        <f>IF($G597="","",IFERROR(INDEX(Taux_Devises,MATCH(IF($M597="",Devise_Base,$M597),Codes_Devises,0)),1))</f>
        <v/>
      </c>
      <c r="U597" s="112">
        <f>IF($G597="","",ROUND($G597*$T597,2))</f>
        <v/>
      </c>
      <c r="V597" s="113">
        <f>IF($B597="","",MONTH($B597))</f>
        <v/>
      </c>
      <c r="W597" s="113">
        <f>IF($B597="","",YEAR($B597))</f>
        <v/>
      </c>
    </row>
    <row r="598">
      <c r="B598" s="105" t="n"/>
      <c r="C598" s="54" t="n"/>
      <c r="D598" s="54" t="n"/>
      <c r="E598" s="54" t="n"/>
      <c r="F598" s="54" t="n"/>
      <c r="G598" s="65" t="n"/>
      <c r="H598" s="54" t="n"/>
      <c r="I598" s="106">
        <f>IF($C598="","",IFERROR(INDEX(Sens_Types,MATCH($C598,Liste_Types,0)),""))</f>
        <v/>
      </c>
      <c r="J598" s="107">
        <f>IF($I598="▲ ENTRÉE",$U598,"")</f>
        <v/>
      </c>
      <c r="K598" s="108">
        <f>IF($I598="▼ SORTIE",$U598,"")</f>
        <v/>
      </c>
      <c r="L598" s="109">
        <f>$L597+N($J598)-N($K598)</f>
        <v/>
      </c>
      <c r="M598" s="110" t="n"/>
      <c r="N598" s="54" t="n"/>
      <c r="O598" s="54" t="n"/>
      <c r="P598" s="54" t="n"/>
      <c r="Q598" s="110" t="n"/>
      <c r="R598" s="110" t="n"/>
      <c r="S598" s="54" t="n"/>
      <c r="T598" s="111">
        <f>IF($G598="","",IFERROR(INDEX(Taux_Devises,MATCH(IF($M598="",Devise_Base,$M598),Codes_Devises,0)),1))</f>
        <v/>
      </c>
      <c r="U598" s="112">
        <f>IF($G598="","",ROUND($G598*$T598,2))</f>
        <v/>
      </c>
      <c r="V598" s="113">
        <f>IF($B598="","",MONTH($B598))</f>
        <v/>
      </c>
      <c r="W598" s="113">
        <f>IF($B598="","",YEAR($B598))</f>
        <v/>
      </c>
    </row>
    <row r="599">
      <c r="B599" s="105" t="n"/>
      <c r="C599" s="54" t="n"/>
      <c r="D599" s="54" t="n"/>
      <c r="E599" s="54" t="n"/>
      <c r="F599" s="54" t="n"/>
      <c r="G599" s="65" t="n"/>
      <c r="H599" s="54" t="n"/>
      <c r="I599" s="106">
        <f>IF($C599="","",IFERROR(INDEX(Sens_Types,MATCH($C599,Liste_Types,0)),""))</f>
        <v/>
      </c>
      <c r="J599" s="107">
        <f>IF($I599="▲ ENTRÉE",$U599,"")</f>
        <v/>
      </c>
      <c r="K599" s="108">
        <f>IF($I599="▼ SORTIE",$U599,"")</f>
        <v/>
      </c>
      <c r="L599" s="109">
        <f>$L598+N($J599)-N($K599)</f>
        <v/>
      </c>
      <c r="M599" s="110" t="n"/>
      <c r="N599" s="54" t="n"/>
      <c r="O599" s="54" t="n"/>
      <c r="P599" s="54" t="n"/>
      <c r="Q599" s="110" t="n"/>
      <c r="R599" s="110" t="n"/>
      <c r="S599" s="54" t="n"/>
      <c r="T599" s="111">
        <f>IF($G599="","",IFERROR(INDEX(Taux_Devises,MATCH(IF($M599="",Devise_Base,$M599),Codes_Devises,0)),1))</f>
        <v/>
      </c>
      <c r="U599" s="112">
        <f>IF($G599="","",ROUND($G599*$T599,2))</f>
        <v/>
      </c>
      <c r="V599" s="113">
        <f>IF($B599="","",MONTH($B599))</f>
        <v/>
      </c>
      <c r="W599" s="113">
        <f>IF($B599="","",YEAR($B599))</f>
        <v/>
      </c>
    </row>
    <row r="600">
      <c r="B600" s="105" t="n"/>
      <c r="C600" s="54" t="n"/>
      <c r="D600" s="54" t="n"/>
      <c r="E600" s="54" t="n"/>
      <c r="F600" s="54" t="n"/>
      <c r="G600" s="65" t="n"/>
      <c r="H600" s="54" t="n"/>
      <c r="I600" s="106">
        <f>IF($C600="","",IFERROR(INDEX(Sens_Types,MATCH($C600,Liste_Types,0)),""))</f>
        <v/>
      </c>
      <c r="J600" s="107">
        <f>IF($I600="▲ ENTRÉE",$U600,"")</f>
        <v/>
      </c>
      <c r="K600" s="108">
        <f>IF($I600="▼ SORTIE",$U600,"")</f>
        <v/>
      </c>
      <c r="L600" s="109">
        <f>$L599+N($J600)-N($K600)</f>
        <v/>
      </c>
      <c r="M600" s="110" t="n"/>
      <c r="N600" s="54" t="n"/>
      <c r="O600" s="54" t="n"/>
      <c r="P600" s="54" t="n"/>
      <c r="Q600" s="110" t="n"/>
      <c r="R600" s="110" t="n"/>
      <c r="S600" s="54" t="n"/>
      <c r="T600" s="111">
        <f>IF($G600="","",IFERROR(INDEX(Taux_Devises,MATCH(IF($M600="",Devise_Base,$M600),Codes_Devises,0)),1))</f>
        <v/>
      </c>
      <c r="U600" s="112">
        <f>IF($G600="","",ROUND($G600*$T600,2))</f>
        <v/>
      </c>
      <c r="V600" s="113">
        <f>IF($B600="","",MONTH($B600))</f>
        <v/>
      </c>
      <c r="W600" s="113">
        <f>IF($B600="","",YEAR($B600))</f>
        <v/>
      </c>
    </row>
    <row r="601">
      <c r="B601" s="105" t="n"/>
      <c r="C601" s="54" t="n"/>
      <c r="D601" s="54" t="n"/>
      <c r="E601" s="54" t="n"/>
      <c r="F601" s="54" t="n"/>
      <c r="G601" s="65" t="n"/>
      <c r="H601" s="54" t="n"/>
      <c r="I601" s="106">
        <f>IF($C601="","",IFERROR(INDEX(Sens_Types,MATCH($C601,Liste_Types,0)),""))</f>
        <v/>
      </c>
      <c r="J601" s="107">
        <f>IF($I601="▲ ENTRÉE",$U601,"")</f>
        <v/>
      </c>
      <c r="K601" s="108">
        <f>IF($I601="▼ SORTIE",$U601,"")</f>
        <v/>
      </c>
      <c r="L601" s="109">
        <f>$L600+N($J601)-N($K601)</f>
        <v/>
      </c>
      <c r="M601" s="110" t="n"/>
      <c r="N601" s="54" t="n"/>
      <c r="O601" s="54" t="n"/>
      <c r="P601" s="54" t="n"/>
      <c r="Q601" s="110" t="n"/>
      <c r="R601" s="110" t="n"/>
      <c r="S601" s="54" t="n"/>
      <c r="T601" s="111">
        <f>IF($G601="","",IFERROR(INDEX(Taux_Devises,MATCH(IF($M601="",Devise_Base,$M601),Codes_Devises,0)),1))</f>
        <v/>
      </c>
      <c r="U601" s="112">
        <f>IF($G601="","",ROUND($G601*$T601,2))</f>
        <v/>
      </c>
      <c r="V601" s="113">
        <f>IF($B601="","",MONTH($B601))</f>
        <v/>
      </c>
      <c r="W601" s="113">
        <f>IF($B601="","",YEAR($B601))</f>
        <v/>
      </c>
    </row>
    <row r="602">
      <c r="B602" s="105" t="n"/>
      <c r="C602" s="54" t="n"/>
      <c r="D602" s="54" t="n"/>
      <c r="E602" s="54" t="n"/>
      <c r="F602" s="54" t="n"/>
      <c r="G602" s="65" t="n"/>
      <c r="H602" s="54" t="n"/>
      <c r="I602" s="106">
        <f>IF($C602="","",IFERROR(INDEX(Sens_Types,MATCH($C602,Liste_Types,0)),""))</f>
        <v/>
      </c>
      <c r="J602" s="107">
        <f>IF($I602="▲ ENTRÉE",$U602,"")</f>
        <v/>
      </c>
      <c r="K602" s="108">
        <f>IF($I602="▼ SORTIE",$U602,"")</f>
        <v/>
      </c>
      <c r="L602" s="109">
        <f>$L601+N($J602)-N($K602)</f>
        <v/>
      </c>
      <c r="M602" s="110" t="n"/>
      <c r="N602" s="54" t="n"/>
      <c r="O602" s="54" t="n"/>
      <c r="P602" s="54" t="n"/>
      <c r="Q602" s="110" t="n"/>
      <c r="R602" s="110" t="n"/>
      <c r="S602" s="54" t="n"/>
      <c r="T602" s="111">
        <f>IF($G602="","",IFERROR(INDEX(Taux_Devises,MATCH(IF($M602="",Devise_Base,$M602),Codes_Devises,0)),1))</f>
        <v/>
      </c>
      <c r="U602" s="112">
        <f>IF($G602="","",ROUND($G602*$T602,2))</f>
        <v/>
      </c>
      <c r="V602" s="113">
        <f>IF($B602="","",MONTH($B602))</f>
        <v/>
      </c>
      <c r="W602" s="113">
        <f>IF($B602="","",YEAR($B602))</f>
        <v/>
      </c>
    </row>
    <row r="603">
      <c r="B603" s="105" t="n"/>
      <c r="C603" s="54" t="n"/>
      <c r="D603" s="54" t="n"/>
      <c r="E603" s="54" t="n"/>
      <c r="F603" s="54" t="n"/>
      <c r="G603" s="65" t="n"/>
      <c r="H603" s="54" t="n"/>
      <c r="I603" s="106">
        <f>IF($C603="","",IFERROR(INDEX(Sens_Types,MATCH($C603,Liste_Types,0)),""))</f>
        <v/>
      </c>
      <c r="J603" s="107">
        <f>IF($I603="▲ ENTRÉE",$U603,"")</f>
        <v/>
      </c>
      <c r="K603" s="108">
        <f>IF($I603="▼ SORTIE",$U603,"")</f>
        <v/>
      </c>
      <c r="L603" s="109">
        <f>$L602+N($J603)-N($K603)</f>
        <v/>
      </c>
      <c r="M603" s="110" t="n"/>
      <c r="N603" s="54" t="n"/>
      <c r="O603" s="54" t="n"/>
      <c r="P603" s="54" t="n"/>
      <c r="Q603" s="110" t="n"/>
      <c r="R603" s="110" t="n"/>
      <c r="S603" s="54" t="n"/>
      <c r="T603" s="111">
        <f>IF($G603="","",IFERROR(INDEX(Taux_Devises,MATCH(IF($M603="",Devise_Base,$M603),Codes_Devises,0)),1))</f>
        <v/>
      </c>
      <c r="U603" s="112">
        <f>IF($G603="","",ROUND($G603*$T603,2))</f>
        <v/>
      </c>
      <c r="V603" s="113">
        <f>IF($B603="","",MONTH($B603))</f>
        <v/>
      </c>
      <c r="W603" s="113">
        <f>IF($B603="","",YEAR($B603))</f>
        <v/>
      </c>
    </row>
    <row r="604">
      <c r="B604" s="105" t="n"/>
      <c r="C604" s="54" t="n"/>
      <c r="D604" s="54" t="n"/>
      <c r="E604" s="54" t="n"/>
      <c r="F604" s="54" t="n"/>
      <c r="G604" s="65" t="n"/>
      <c r="H604" s="54" t="n"/>
      <c r="I604" s="106">
        <f>IF($C604="","",IFERROR(INDEX(Sens_Types,MATCH($C604,Liste_Types,0)),""))</f>
        <v/>
      </c>
      <c r="J604" s="107">
        <f>IF($I604="▲ ENTRÉE",$U604,"")</f>
        <v/>
      </c>
      <c r="K604" s="108">
        <f>IF($I604="▼ SORTIE",$U604,"")</f>
        <v/>
      </c>
      <c r="L604" s="109">
        <f>$L603+N($J604)-N($K604)</f>
        <v/>
      </c>
      <c r="M604" s="110" t="n"/>
      <c r="N604" s="54" t="n"/>
      <c r="O604" s="54" t="n"/>
      <c r="P604" s="54" t="n"/>
      <c r="Q604" s="110" t="n"/>
      <c r="R604" s="110" t="n"/>
      <c r="S604" s="54" t="n"/>
      <c r="T604" s="111">
        <f>IF($G604="","",IFERROR(INDEX(Taux_Devises,MATCH(IF($M604="",Devise_Base,$M604),Codes_Devises,0)),1))</f>
        <v/>
      </c>
      <c r="U604" s="112">
        <f>IF($G604="","",ROUND($G604*$T604,2))</f>
        <v/>
      </c>
      <c r="V604" s="113">
        <f>IF($B604="","",MONTH($B604))</f>
        <v/>
      </c>
      <c r="W604" s="113">
        <f>IF($B604="","",YEAR($B604))</f>
        <v/>
      </c>
    </row>
    <row r="605">
      <c r="B605" s="105" t="n"/>
      <c r="C605" s="54" t="n"/>
      <c r="D605" s="54" t="n"/>
      <c r="E605" s="54" t="n"/>
      <c r="F605" s="54" t="n"/>
      <c r="G605" s="65" t="n"/>
      <c r="H605" s="54" t="n"/>
      <c r="I605" s="106">
        <f>IF($C605="","",IFERROR(INDEX(Sens_Types,MATCH($C605,Liste_Types,0)),""))</f>
        <v/>
      </c>
      <c r="J605" s="107">
        <f>IF($I605="▲ ENTRÉE",$U605,"")</f>
        <v/>
      </c>
      <c r="K605" s="108">
        <f>IF($I605="▼ SORTIE",$U605,"")</f>
        <v/>
      </c>
      <c r="L605" s="109">
        <f>$L604+N($J605)-N($K605)</f>
        <v/>
      </c>
      <c r="M605" s="110" t="n"/>
      <c r="N605" s="54" t="n"/>
      <c r="O605" s="54" t="n"/>
      <c r="P605" s="54" t="n"/>
      <c r="Q605" s="110" t="n"/>
      <c r="R605" s="110" t="n"/>
      <c r="S605" s="54" t="n"/>
      <c r="T605" s="111">
        <f>IF($G605="","",IFERROR(INDEX(Taux_Devises,MATCH(IF($M605="",Devise_Base,$M605),Codes_Devises,0)),1))</f>
        <v/>
      </c>
      <c r="U605" s="112">
        <f>IF($G605="","",ROUND($G605*$T605,2))</f>
        <v/>
      </c>
      <c r="V605" s="113">
        <f>IF($B605="","",MONTH($B605))</f>
        <v/>
      </c>
      <c r="W605" s="113">
        <f>IF($B605="","",YEAR($B605))</f>
        <v/>
      </c>
    </row>
    <row r="606">
      <c r="B606" s="105" t="n"/>
      <c r="C606" s="54" t="n"/>
      <c r="D606" s="54" t="n"/>
      <c r="E606" s="54" t="n"/>
      <c r="F606" s="54" t="n"/>
      <c r="G606" s="65" t="n"/>
      <c r="H606" s="54" t="n"/>
      <c r="I606" s="106">
        <f>IF($C606="","",IFERROR(INDEX(Sens_Types,MATCH($C606,Liste_Types,0)),""))</f>
        <v/>
      </c>
      <c r="J606" s="107">
        <f>IF($I606="▲ ENTRÉE",$U606,"")</f>
        <v/>
      </c>
      <c r="K606" s="108">
        <f>IF($I606="▼ SORTIE",$U606,"")</f>
        <v/>
      </c>
      <c r="L606" s="109">
        <f>$L605+N($J606)-N($K606)</f>
        <v/>
      </c>
      <c r="M606" s="110" t="n"/>
      <c r="N606" s="54" t="n"/>
      <c r="O606" s="54" t="n"/>
      <c r="P606" s="54" t="n"/>
      <c r="Q606" s="110" t="n"/>
      <c r="R606" s="110" t="n"/>
      <c r="S606" s="54" t="n"/>
      <c r="T606" s="111">
        <f>IF($G606="","",IFERROR(INDEX(Taux_Devises,MATCH(IF($M606="",Devise_Base,$M606),Codes_Devises,0)),1))</f>
        <v/>
      </c>
      <c r="U606" s="112">
        <f>IF($G606="","",ROUND($G606*$T606,2))</f>
        <v/>
      </c>
      <c r="V606" s="113">
        <f>IF($B606="","",MONTH($B606))</f>
        <v/>
      </c>
      <c r="W606" s="113">
        <f>IF($B606="","",YEAR($B606))</f>
        <v/>
      </c>
    </row>
    <row r="607">
      <c r="B607" s="105" t="n"/>
      <c r="C607" s="54" t="n"/>
      <c r="D607" s="54" t="n"/>
      <c r="E607" s="54" t="n"/>
      <c r="F607" s="54" t="n"/>
      <c r="G607" s="65" t="n"/>
      <c r="H607" s="54" t="n"/>
      <c r="I607" s="106">
        <f>IF($C607="","",IFERROR(INDEX(Sens_Types,MATCH($C607,Liste_Types,0)),""))</f>
        <v/>
      </c>
      <c r="J607" s="107">
        <f>IF($I607="▲ ENTRÉE",$U607,"")</f>
        <v/>
      </c>
      <c r="K607" s="108">
        <f>IF($I607="▼ SORTIE",$U607,"")</f>
        <v/>
      </c>
      <c r="L607" s="109">
        <f>$L606+N($J607)-N($K607)</f>
        <v/>
      </c>
      <c r="M607" s="110" t="n"/>
      <c r="N607" s="54" t="n"/>
      <c r="O607" s="54" t="n"/>
      <c r="P607" s="54" t="n"/>
      <c r="Q607" s="110" t="n"/>
      <c r="R607" s="110" t="n"/>
      <c r="S607" s="54" t="n"/>
      <c r="T607" s="111">
        <f>IF($G607="","",IFERROR(INDEX(Taux_Devises,MATCH(IF($M607="",Devise_Base,$M607),Codes_Devises,0)),1))</f>
        <v/>
      </c>
      <c r="U607" s="112">
        <f>IF($G607="","",ROUND($G607*$T607,2))</f>
        <v/>
      </c>
      <c r="V607" s="113">
        <f>IF($B607="","",MONTH($B607))</f>
        <v/>
      </c>
      <c r="W607" s="113">
        <f>IF($B607="","",YEAR($B607))</f>
        <v/>
      </c>
    </row>
    <row r="608">
      <c r="B608" s="105" t="n"/>
      <c r="C608" s="54" t="n"/>
      <c r="D608" s="54" t="n"/>
      <c r="E608" s="54" t="n"/>
      <c r="F608" s="54" t="n"/>
      <c r="G608" s="65" t="n"/>
      <c r="H608" s="54" t="n"/>
      <c r="I608" s="106">
        <f>IF($C608="","",IFERROR(INDEX(Sens_Types,MATCH($C608,Liste_Types,0)),""))</f>
        <v/>
      </c>
      <c r="J608" s="107">
        <f>IF($I608="▲ ENTRÉE",$U608,"")</f>
        <v/>
      </c>
      <c r="K608" s="108">
        <f>IF($I608="▼ SORTIE",$U608,"")</f>
        <v/>
      </c>
      <c r="L608" s="109">
        <f>$L607+N($J608)-N($K608)</f>
        <v/>
      </c>
      <c r="M608" s="110" t="n"/>
      <c r="N608" s="54" t="n"/>
      <c r="O608" s="54" t="n"/>
      <c r="P608" s="54" t="n"/>
      <c r="Q608" s="110" t="n"/>
      <c r="R608" s="110" t="n"/>
      <c r="S608" s="54" t="n"/>
      <c r="T608" s="111">
        <f>IF($G608="","",IFERROR(INDEX(Taux_Devises,MATCH(IF($M608="",Devise_Base,$M608),Codes_Devises,0)),1))</f>
        <v/>
      </c>
      <c r="U608" s="112">
        <f>IF($G608="","",ROUND($G608*$T608,2))</f>
        <v/>
      </c>
      <c r="V608" s="113">
        <f>IF($B608="","",MONTH($B608))</f>
        <v/>
      </c>
      <c r="W608" s="113">
        <f>IF($B608="","",YEAR($B608))</f>
        <v/>
      </c>
    </row>
    <row r="609">
      <c r="B609" s="105" t="n"/>
      <c r="C609" s="54" t="n"/>
      <c r="D609" s="54" t="n"/>
      <c r="E609" s="54" t="n"/>
      <c r="F609" s="54" t="n"/>
      <c r="G609" s="65" t="n"/>
      <c r="H609" s="54" t="n"/>
      <c r="I609" s="106">
        <f>IF($C609="","",IFERROR(INDEX(Sens_Types,MATCH($C609,Liste_Types,0)),""))</f>
        <v/>
      </c>
      <c r="J609" s="107">
        <f>IF($I609="▲ ENTRÉE",$U609,"")</f>
        <v/>
      </c>
      <c r="K609" s="108">
        <f>IF($I609="▼ SORTIE",$U609,"")</f>
        <v/>
      </c>
      <c r="L609" s="109">
        <f>$L608+N($J609)-N($K609)</f>
        <v/>
      </c>
      <c r="M609" s="110" t="n"/>
      <c r="N609" s="54" t="n"/>
      <c r="O609" s="54" t="n"/>
      <c r="P609" s="54" t="n"/>
      <c r="Q609" s="110" t="n"/>
      <c r="R609" s="110" t="n"/>
      <c r="S609" s="54" t="n"/>
      <c r="T609" s="111">
        <f>IF($G609="","",IFERROR(INDEX(Taux_Devises,MATCH(IF($M609="",Devise_Base,$M609),Codes_Devises,0)),1))</f>
        <v/>
      </c>
      <c r="U609" s="112">
        <f>IF($G609="","",ROUND($G609*$T609,2))</f>
        <v/>
      </c>
      <c r="V609" s="113">
        <f>IF($B609="","",MONTH($B609))</f>
        <v/>
      </c>
      <c r="W609" s="113">
        <f>IF($B609="","",YEAR($B609))</f>
        <v/>
      </c>
    </row>
    <row r="610">
      <c r="B610" s="105" t="n"/>
      <c r="C610" s="54" t="n"/>
      <c r="D610" s="54" t="n"/>
      <c r="E610" s="54" t="n"/>
      <c r="F610" s="54" t="n"/>
      <c r="G610" s="65" t="n"/>
      <c r="H610" s="54" t="n"/>
      <c r="I610" s="106">
        <f>IF($C610="","",IFERROR(INDEX(Sens_Types,MATCH($C610,Liste_Types,0)),""))</f>
        <v/>
      </c>
      <c r="J610" s="107">
        <f>IF($I610="▲ ENTRÉE",$U610,"")</f>
        <v/>
      </c>
      <c r="K610" s="108">
        <f>IF($I610="▼ SORTIE",$U610,"")</f>
        <v/>
      </c>
      <c r="L610" s="109">
        <f>$L609+N($J610)-N($K610)</f>
        <v/>
      </c>
      <c r="M610" s="110" t="n"/>
      <c r="N610" s="54" t="n"/>
      <c r="O610" s="54" t="n"/>
      <c r="P610" s="54" t="n"/>
      <c r="Q610" s="110" t="n"/>
      <c r="R610" s="110" t="n"/>
      <c r="S610" s="54" t="n"/>
      <c r="T610" s="111">
        <f>IF($G610="","",IFERROR(INDEX(Taux_Devises,MATCH(IF($M610="",Devise_Base,$M610),Codes_Devises,0)),1))</f>
        <v/>
      </c>
      <c r="U610" s="112">
        <f>IF($G610="","",ROUND($G610*$T610,2))</f>
        <v/>
      </c>
      <c r="V610" s="113">
        <f>IF($B610="","",MONTH($B610))</f>
        <v/>
      </c>
      <c r="W610" s="113">
        <f>IF($B610="","",YEAR($B610))</f>
        <v/>
      </c>
    </row>
    <row r="611">
      <c r="B611" s="105" t="n"/>
      <c r="C611" s="54" t="n"/>
      <c r="D611" s="54" t="n"/>
      <c r="E611" s="54" t="n"/>
      <c r="F611" s="54" t="n"/>
      <c r="G611" s="65" t="n"/>
      <c r="H611" s="54" t="n"/>
      <c r="I611" s="106">
        <f>IF($C611="","",IFERROR(INDEX(Sens_Types,MATCH($C611,Liste_Types,0)),""))</f>
        <v/>
      </c>
      <c r="J611" s="107">
        <f>IF($I611="▲ ENTRÉE",$U611,"")</f>
        <v/>
      </c>
      <c r="K611" s="108">
        <f>IF($I611="▼ SORTIE",$U611,"")</f>
        <v/>
      </c>
      <c r="L611" s="109">
        <f>$L610+N($J611)-N($K611)</f>
        <v/>
      </c>
      <c r="M611" s="110" t="n"/>
      <c r="N611" s="54" t="n"/>
      <c r="O611" s="54" t="n"/>
      <c r="P611" s="54" t="n"/>
      <c r="Q611" s="110" t="n"/>
      <c r="R611" s="110" t="n"/>
      <c r="S611" s="54" t="n"/>
      <c r="T611" s="111">
        <f>IF($G611="","",IFERROR(INDEX(Taux_Devises,MATCH(IF($M611="",Devise_Base,$M611),Codes_Devises,0)),1))</f>
        <v/>
      </c>
      <c r="U611" s="112">
        <f>IF($G611="","",ROUND($G611*$T611,2))</f>
        <v/>
      </c>
      <c r="V611" s="113">
        <f>IF($B611="","",MONTH($B611))</f>
        <v/>
      </c>
      <c r="W611" s="113">
        <f>IF($B611="","",YEAR($B611))</f>
        <v/>
      </c>
    </row>
    <row r="612">
      <c r="B612" s="105" t="n"/>
      <c r="C612" s="54" t="n"/>
      <c r="D612" s="54" t="n"/>
      <c r="E612" s="54" t="n"/>
      <c r="F612" s="54" t="n"/>
      <c r="G612" s="65" t="n"/>
      <c r="H612" s="54" t="n"/>
      <c r="I612" s="106">
        <f>IF($C612="","",IFERROR(INDEX(Sens_Types,MATCH($C612,Liste_Types,0)),""))</f>
        <v/>
      </c>
      <c r="J612" s="107">
        <f>IF($I612="▲ ENTRÉE",$U612,"")</f>
        <v/>
      </c>
      <c r="K612" s="108">
        <f>IF($I612="▼ SORTIE",$U612,"")</f>
        <v/>
      </c>
      <c r="L612" s="109">
        <f>$L611+N($J612)-N($K612)</f>
        <v/>
      </c>
      <c r="M612" s="110" t="n"/>
      <c r="N612" s="54" t="n"/>
      <c r="O612" s="54" t="n"/>
      <c r="P612" s="54" t="n"/>
      <c r="Q612" s="110" t="n"/>
      <c r="R612" s="110" t="n"/>
      <c r="S612" s="54" t="n"/>
      <c r="T612" s="111">
        <f>IF($G612="","",IFERROR(INDEX(Taux_Devises,MATCH(IF($M612="",Devise_Base,$M612),Codes_Devises,0)),1))</f>
        <v/>
      </c>
      <c r="U612" s="112">
        <f>IF($G612="","",ROUND($G612*$T612,2))</f>
        <v/>
      </c>
      <c r="V612" s="113">
        <f>IF($B612="","",MONTH($B612))</f>
        <v/>
      </c>
      <c r="W612" s="113">
        <f>IF($B612="","",YEAR($B612))</f>
        <v/>
      </c>
    </row>
    <row r="613">
      <c r="B613" s="105" t="n"/>
      <c r="C613" s="54" t="n"/>
      <c r="D613" s="54" t="n"/>
      <c r="E613" s="54" t="n"/>
      <c r="F613" s="54" t="n"/>
      <c r="G613" s="65" t="n"/>
      <c r="H613" s="54" t="n"/>
      <c r="I613" s="106">
        <f>IF($C613="","",IFERROR(INDEX(Sens_Types,MATCH($C613,Liste_Types,0)),""))</f>
        <v/>
      </c>
      <c r="J613" s="107">
        <f>IF($I613="▲ ENTRÉE",$U613,"")</f>
        <v/>
      </c>
      <c r="K613" s="108">
        <f>IF($I613="▼ SORTIE",$U613,"")</f>
        <v/>
      </c>
      <c r="L613" s="109">
        <f>$L612+N($J613)-N($K613)</f>
        <v/>
      </c>
      <c r="M613" s="110" t="n"/>
      <c r="N613" s="54" t="n"/>
      <c r="O613" s="54" t="n"/>
      <c r="P613" s="54" t="n"/>
      <c r="Q613" s="110" t="n"/>
      <c r="R613" s="110" t="n"/>
      <c r="S613" s="54" t="n"/>
      <c r="T613" s="111">
        <f>IF($G613="","",IFERROR(INDEX(Taux_Devises,MATCH(IF($M613="",Devise_Base,$M613),Codes_Devises,0)),1))</f>
        <v/>
      </c>
      <c r="U613" s="112">
        <f>IF($G613="","",ROUND($G613*$T613,2))</f>
        <v/>
      </c>
      <c r="V613" s="113">
        <f>IF($B613="","",MONTH($B613))</f>
        <v/>
      </c>
      <c r="W613" s="113">
        <f>IF($B613="","",YEAR($B613))</f>
        <v/>
      </c>
    </row>
    <row r="614">
      <c r="B614" s="105" t="n"/>
      <c r="C614" s="54" t="n"/>
      <c r="D614" s="54" t="n"/>
      <c r="E614" s="54" t="n"/>
      <c r="F614" s="54" t="n"/>
      <c r="G614" s="65" t="n"/>
      <c r="H614" s="54" t="n"/>
      <c r="I614" s="106">
        <f>IF($C614="","",IFERROR(INDEX(Sens_Types,MATCH($C614,Liste_Types,0)),""))</f>
        <v/>
      </c>
      <c r="J614" s="107">
        <f>IF($I614="▲ ENTRÉE",$U614,"")</f>
        <v/>
      </c>
      <c r="K614" s="108">
        <f>IF($I614="▼ SORTIE",$U614,"")</f>
        <v/>
      </c>
      <c r="L614" s="109">
        <f>$L613+N($J614)-N($K614)</f>
        <v/>
      </c>
      <c r="M614" s="110" t="n"/>
      <c r="N614" s="54" t="n"/>
      <c r="O614" s="54" t="n"/>
      <c r="P614" s="54" t="n"/>
      <c r="Q614" s="110" t="n"/>
      <c r="R614" s="110" t="n"/>
      <c r="S614" s="54" t="n"/>
      <c r="T614" s="111">
        <f>IF($G614="","",IFERROR(INDEX(Taux_Devises,MATCH(IF($M614="",Devise_Base,$M614),Codes_Devises,0)),1))</f>
        <v/>
      </c>
      <c r="U614" s="112">
        <f>IF($G614="","",ROUND($G614*$T614,2))</f>
        <v/>
      </c>
      <c r="V614" s="113">
        <f>IF($B614="","",MONTH($B614))</f>
        <v/>
      </c>
      <c r="W614" s="113">
        <f>IF($B614="","",YEAR($B614))</f>
        <v/>
      </c>
    </row>
    <row r="615">
      <c r="B615" s="105" t="n"/>
      <c r="C615" s="54" t="n"/>
      <c r="D615" s="54" t="n"/>
      <c r="E615" s="54" t="n"/>
      <c r="F615" s="54" t="n"/>
      <c r="G615" s="65" t="n"/>
      <c r="H615" s="54" t="n"/>
      <c r="I615" s="106">
        <f>IF($C615="","",IFERROR(INDEX(Sens_Types,MATCH($C615,Liste_Types,0)),""))</f>
        <v/>
      </c>
      <c r="J615" s="107">
        <f>IF($I615="▲ ENTRÉE",$U615,"")</f>
        <v/>
      </c>
      <c r="K615" s="108">
        <f>IF($I615="▼ SORTIE",$U615,"")</f>
        <v/>
      </c>
      <c r="L615" s="109">
        <f>$L614+N($J615)-N($K615)</f>
        <v/>
      </c>
      <c r="M615" s="110" t="n"/>
      <c r="N615" s="54" t="n"/>
      <c r="O615" s="54" t="n"/>
      <c r="P615" s="54" t="n"/>
      <c r="Q615" s="110" t="n"/>
      <c r="R615" s="110" t="n"/>
      <c r="S615" s="54" t="n"/>
      <c r="T615" s="111">
        <f>IF($G615="","",IFERROR(INDEX(Taux_Devises,MATCH(IF($M615="",Devise_Base,$M615),Codes_Devises,0)),1))</f>
        <v/>
      </c>
      <c r="U615" s="112">
        <f>IF($G615="","",ROUND($G615*$T615,2))</f>
        <v/>
      </c>
      <c r="V615" s="113">
        <f>IF($B615="","",MONTH($B615))</f>
        <v/>
      </c>
      <c r="W615" s="113">
        <f>IF($B615="","",YEAR($B615))</f>
        <v/>
      </c>
    </row>
    <row r="616">
      <c r="B616" s="105" t="n"/>
      <c r="C616" s="54" t="n"/>
      <c r="D616" s="54" t="n"/>
      <c r="E616" s="54" t="n"/>
      <c r="F616" s="54" t="n"/>
      <c r="G616" s="65" t="n"/>
      <c r="H616" s="54" t="n"/>
      <c r="I616" s="106">
        <f>IF($C616="","",IFERROR(INDEX(Sens_Types,MATCH($C616,Liste_Types,0)),""))</f>
        <v/>
      </c>
      <c r="J616" s="107">
        <f>IF($I616="▲ ENTRÉE",$U616,"")</f>
        <v/>
      </c>
      <c r="K616" s="108">
        <f>IF($I616="▼ SORTIE",$U616,"")</f>
        <v/>
      </c>
      <c r="L616" s="109">
        <f>$L615+N($J616)-N($K616)</f>
        <v/>
      </c>
      <c r="M616" s="110" t="n"/>
      <c r="N616" s="54" t="n"/>
      <c r="O616" s="54" t="n"/>
      <c r="P616" s="54" t="n"/>
      <c r="Q616" s="110" t="n"/>
      <c r="R616" s="110" t="n"/>
      <c r="S616" s="54" t="n"/>
      <c r="T616" s="111">
        <f>IF($G616="","",IFERROR(INDEX(Taux_Devises,MATCH(IF($M616="",Devise_Base,$M616),Codes_Devises,0)),1))</f>
        <v/>
      </c>
      <c r="U616" s="112">
        <f>IF($G616="","",ROUND($G616*$T616,2))</f>
        <v/>
      </c>
      <c r="V616" s="113">
        <f>IF($B616="","",MONTH($B616))</f>
        <v/>
      </c>
      <c r="W616" s="113">
        <f>IF($B616="","",YEAR($B616))</f>
        <v/>
      </c>
    </row>
    <row r="617">
      <c r="B617" s="105" t="n"/>
      <c r="C617" s="54" t="n"/>
      <c r="D617" s="54" t="n"/>
      <c r="E617" s="54" t="n"/>
      <c r="F617" s="54" t="n"/>
      <c r="G617" s="65" t="n"/>
      <c r="H617" s="54" t="n"/>
      <c r="I617" s="106">
        <f>IF($C617="","",IFERROR(INDEX(Sens_Types,MATCH($C617,Liste_Types,0)),""))</f>
        <v/>
      </c>
      <c r="J617" s="107">
        <f>IF($I617="▲ ENTRÉE",$U617,"")</f>
        <v/>
      </c>
      <c r="K617" s="108">
        <f>IF($I617="▼ SORTIE",$U617,"")</f>
        <v/>
      </c>
      <c r="L617" s="109">
        <f>$L616+N($J617)-N($K617)</f>
        <v/>
      </c>
      <c r="M617" s="110" t="n"/>
      <c r="N617" s="54" t="n"/>
      <c r="O617" s="54" t="n"/>
      <c r="P617" s="54" t="n"/>
      <c r="Q617" s="110" t="n"/>
      <c r="R617" s="110" t="n"/>
      <c r="S617" s="54" t="n"/>
      <c r="T617" s="111">
        <f>IF($G617="","",IFERROR(INDEX(Taux_Devises,MATCH(IF($M617="",Devise_Base,$M617),Codes_Devises,0)),1))</f>
        <v/>
      </c>
      <c r="U617" s="112">
        <f>IF($G617="","",ROUND($G617*$T617,2))</f>
        <v/>
      </c>
      <c r="V617" s="113">
        <f>IF($B617="","",MONTH($B617))</f>
        <v/>
      </c>
      <c r="W617" s="113">
        <f>IF($B617="","",YEAR($B617))</f>
        <v/>
      </c>
    </row>
    <row r="618">
      <c r="B618" s="105" t="n"/>
      <c r="C618" s="54" t="n"/>
      <c r="D618" s="54" t="n"/>
      <c r="E618" s="54" t="n"/>
      <c r="F618" s="54" t="n"/>
      <c r="G618" s="65" t="n"/>
      <c r="H618" s="54" t="n"/>
      <c r="I618" s="106">
        <f>IF($C618="","",IFERROR(INDEX(Sens_Types,MATCH($C618,Liste_Types,0)),""))</f>
        <v/>
      </c>
      <c r="J618" s="107">
        <f>IF($I618="▲ ENTRÉE",$U618,"")</f>
        <v/>
      </c>
      <c r="K618" s="108">
        <f>IF($I618="▼ SORTIE",$U618,"")</f>
        <v/>
      </c>
      <c r="L618" s="109">
        <f>$L617+N($J618)-N($K618)</f>
        <v/>
      </c>
      <c r="M618" s="110" t="n"/>
      <c r="N618" s="54" t="n"/>
      <c r="O618" s="54" t="n"/>
      <c r="P618" s="54" t="n"/>
      <c r="Q618" s="110" t="n"/>
      <c r="R618" s="110" t="n"/>
      <c r="S618" s="54" t="n"/>
      <c r="T618" s="111">
        <f>IF($G618="","",IFERROR(INDEX(Taux_Devises,MATCH(IF($M618="",Devise_Base,$M618),Codes_Devises,0)),1))</f>
        <v/>
      </c>
      <c r="U618" s="112">
        <f>IF($G618="","",ROUND($G618*$T618,2))</f>
        <v/>
      </c>
      <c r="V618" s="113">
        <f>IF($B618="","",MONTH($B618))</f>
        <v/>
      </c>
      <c r="W618" s="113">
        <f>IF($B618="","",YEAR($B618))</f>
        <v/>
      </c>
    </row>
    <row r="619">
      <c r="B619" s="105" t="n"/>
      <c r="C619" s="54" t="n"/>
      <c r="D619" s="54" t="n"/>
      <c r="E619" s="54" t="n"/>
      <c r="F619" s="54" t="n"/>
      <c r="G619" s="65" t="n"/>
      <c r="H619" s="54" t="n"/>
      <c r="I619" s="106">
        <f>IF($C619="","",IFERROR(INDEX(Sens_Types,MATCH($C619,Liste_Types,0)),""))</f>
        <v/>
      </c>
      <c r="J619" s="107">
        <f>IF($I619="▲ ENTRÉE",$U619,"")</f>
        <v/>
      </c>
      <c r="K619" s="108">
        <f>IF($I619="▼ SORTIE",$U619,"")</f>
        <v/>
      </c>
      <c r="L619" s="109">
        <f>$L618+N($J619)-N($K619)</f>
        <v/>
      </c>
      <c r="M619" s="110" t="n"/>
      <c r="N619" s="54" t="n"/>
      <c r="O619" s="54" t="n"/>
      <c r="P619" s="54" t="n"/>
      <c r="Q619" s="110" t="n"/>
      <c r="R619" s="110" t="n"/>
      <c r="S619" s="54" t="n"/>
      <c r="T619" s="111">
        <f>IF($G619="","",IFERROR(INDEX(Taux_Devises,MATCH(IF($M619="",Devise_Base,$M619),Codes_Devises,0)),1))</f>
        <v/>
      </c>
      <c r="U619" s="112">
        <f>IF($G619="","",ROUND($G619*$T619,2))</f>
        <v/>
      </c>
      <c r="V619" s="113">
        <f>IF($B619="","",MONTH($B619))</f>
        <v/>
      </c>
      <c r="W619" s="113">
        <f>IF($B619="","",YEAR($B619))</f>
        <v/>
      </c>
    </row>
    <row r="620">
      <c r="B620" s="105" t="n"/>
      <c r="C620" s="54" t="n"/>
      <c r="D620" s="54" t="n"/>
      <c r="E620" s="54" t="n"/>
      <c r="F620" s="54" t="n"/>
      <c r="G620" s="65" t="n"/>
      <c r="H620" s="54" t="n"/>
      <c r="I620" s="106">
        <f>IF($C620="","",IFERROR(INDEX(Sens_Types,MATCH($C620,Liste_Types,0)),""))</f>
        <v/>
      </c>
      <c r="J620" s="107">
        <f>IF($I620="▲ ENTRÉE",$U620,"")</f>
        <v/>
      </c>
      <c r="K620" s="108">
        <f>IF($I620="▼ SORTIE",$U620,"")</f>
        <v/>
      </c>
      <c r="L620" s="109">
        <f>$L619+N($J620)-N($K620)</f>
        <v/>
      </c>
      <c r="M620" s="110" t="n"/>
      <c r="N620" s="54" t="n"/>
      <c r="O620" s="54" t="n"/>
      <c r="P620" s="54" t="n"/>
      <c r="Q620" s="110" t="n"/>
      <c r="R620" s="110" t="n"/>
      <c r="S620" s="54" t="n"/>
      <c r="T620" s="111">
        <f>IF($G620="","",IFERROR(INDEX(Taux_Devises,MATCH(IF($M620="",Devise_Base,$M620),Codes_Devises,0)),1))</f>
        <v/>
      </c>
      <c r="U620" s="112">
        <f>IF($G620="","",ROUND($G620*$T620,2))</f>
        <v/>
      </c>
      <c r="V620" s="113">
        <f>IF($B620="","",MONTH($B620))</f>
        <v/>
      </c>
      <c r="W620" s="113">
        <f>IF($B620="","",YEAR($B620))</f>
        <v/>
      </c>
    </row>
    <row r="621">
      <c r="B621" s="105" t="n"/>
      <c r="C621" s="54" t="n"/>
      <c r="D621" s="54" t="n"/>
      <c r="E621" s="54" t="n"/>
      <c r="F621" s="54" t="n"/>
      <c r="G621" s="65" t="n"/>
      <c r="H621" s="54" t="n"/>
      <c r="I621" s="106">
        <f>IF($C621="","",IFERROR(INDEX(Sens_Types,MATCH($C621,Liste_Types,0)),""))</f>
        <v/>
      </c>
      <c r="J621" s="107">
        <f>IF($I621="▲ ENTRÉE",$U621,"")</f>
        <v/>
      </c>
      <c r="K621" s="108">
        <f>IF($I621="▼ SORTIE",$U621,"")</f>
        <v/>
      </c>
      <c r="L621" s="109">
        <f>$L620+N($J621)-N($K621)</f>
        <v/>
      </c>
      <c r="M621" s="110" t="n"/>
      <c r="N621" s="54" t="n"/>
      <c r="O621" s="54" t="n"/>
      <c r="P621" s="54" t="n"/>
      <c r="Q621" s="110" t="n"/>
      <c r="R621" s="110" t="n"/>
      <c r="S621" s="54" t="n"/>
      <c r="T621" s="111">
        <f>IF($G621="","",IFERROR(INDEX(Taux_Devises,MATCH(IF($M621="",Devise_Base,$M621),Codes_Devises,0)),1))</f>
        <v/>
      </c>
      <c r="U621" s="112">
        <f>IF($G621="","",ROUND($G621*$T621,2))</f>
        <v/>
      </c>
      <c r="V621" s="113">
        <f>IF($B621="","",MONTH($B621))</f>
        <v/>
      </c>
      <c r="W621" s="113">
        <f>IF($B621="","",YEAR($B621))</f>
        <v/>
      </c>
    </row>
    <row r="622">
      <c r="B622" s="105" t="n"/>
      <c r="C622" s="54" t="n"/>
      <c r="D622" s="54" t="n"/>
      <c r="E622" s="54" t="n"/>
      <c r="F622" s="54" t="n"/>
      <c r="G622" s="65" t="n"/>
      <c r="H622" s="54" t="n"/>
      <c r="I622" s="106">
        <f>IF($C622="","",IFERROR(INDEX(Sens_Types,MATCH($C622,Liste_Types,0)),""))</f>
        <v/>
      </c>
      <c r="J622" s="107">
        <f>IF($I622="▲ ENTRÉE",$U622,"")</f>
        <v/>
      </c>
      <c r="K622" s="108">
        <f>IF($I622="▼ SORTIE",$U622,"")</f>
        <v/>
      </c>
      <c r="L622" s="109">
        <f>$L621+N($J622)-N($K622)</f>
        <v/>
      </c>
      <c r="M622" s="110" t="n"/>
      <c r="N622" s="54" t="n"/>
      <c r="O622" s="54" t="n"/>
      <c r="P622" s="54" t="n"/>
      <c r="Q622" s="110" t="n"/>
      <c r="R622" s="110" t="n"/>
      <c r="S622" s="54" t="n"/>
      <c r="T622" s="111">
        <f>IF($G622="","",IFERROR(INDEX(Taux_Devises,MATCH(IF($M622="",Devise_Base,$M622),Codes_Devises,0)),1))</f>
        <v/>
      </c>
      <c r="U622" s="112">
        <f>IF($G622="","",ROUND($G622*$T622,2))</f>
        <v/>
      </c>
      <c r="V622" s="113">
        <f>IF($B622="","",MONTH($B622))</f>
        <v/>
      </c>
      <c r="W622" s="113">
        <f>IF($B622="","",YEAR($B622))</f>
        <v/>
      </c>
    </row>
    <row r="623">
      <c r="B623" s="105" t="n"/>
      <c r="C623" s="54" t="n"/>
      <c r="D623" s="54" t="n"/>
      <c r="E623" s="54" t="n"/>
      <c r="F623" s="54" t="n"/>
      <c r="G623" s="65" t="n"/>
      <c r="H623" s="54" t="n"/>
      <c r="I623" s="106">
        <f>IF($C623="","",IFERROR(INDEX(Sens_Types,MATCH($C623,Liste_Types,0)),""))</f>
        <v/>
      </c>
      <c r="J623" s="107">
        <f>IF($I623="▲ ENTRÉE",$U623,"")</f>
        <v/>
      </c>
      <c r="K623" s="108">
        <f>IF($I623="▼ SORTIE",$U623,"")</f>
        <v/>
      </c>
      <c r="L623" s="109">
        <f>$L622+N($J623)-N($K623)</f>
        <v/>
      </c>
      <c r="M623" s="110" t="n"/>
      <c r="N623" s="54" t="n"/>
      <c r="O623" s="54" t="n"/>
      <c r="P623" s="54" t="n"/>
      <c r="Q623" s="110" t="n"/>
      <c r="R623" s="110" t="n"/>
      <c r="S623" s="54" t="n"/>
      <c r="T623" s="111">
        <f>IF($G623="","",IFERROR(INDEX(Taux_Devises,MATCH(IF($M623="",Devise_Base,$M623),Codes_Devises,0)),1))</f>
        <v/>
      </c>
      <c r="U623" s="112">
        <f>IF($G623="","",ROUND($G623*$T623,2))</f>
        <v/>
      </c>
      <c r="V623" s="113">
        <f>IF($B623="","",MONTH($B623))</f>
        <v/>
      </c>
      <c r="W623" s="113">
        <f>IF($B623="","",YEAR($B623))</f>
        <v/>
      </c>
    </row>
    <row r="624">
      <c r="B624" s="105" t="n"/>
      <c r="C624" s="54" t="n"/>
      <c r="D624" s="54" t="n"/>
      <c r="E624" s="54" t="n"/>
      <c r="F624" s="54" t="n"/>
      <c r="G624" s="65" t="n"/>
      <c r="H624" s="54" t="n"/>
      <c r="I624" s="106">
        <f>IF($C624="","",IFERROR(INDEX(Sens_Types,MATCH($C624,Liste_Types,0)),""))</f>
        <v/>
      </c>
      <c r="J624" s="107">
        <f>IF($I624="▲ ENTRÉE",$U624,"")</f>
        <v/>
      </c>
      <c r="K624" s="108">
        <f>IF($I624="▼ SORTIE",$U624,"")</f>
        <v/>
      </c>
      <c r="L624" s="109">
        <f>$L623+N($J624)-N($K624)</f>
        <v/>
      </c>
      <c r="M624" s="110" t="n"/>
      <c r="N624" s="54" t="n"/>
      <c r="O624" s="54" t="n"/>
      <c r="P624" s="54" t="n"/>
      <c r="Q624" s="110" t="n"/>
      <c r="R624" s="110" t="n"/>
      <c r="S624" s="54" t="n"/>
      <c r="T624" s="111">
        <f>IF($G624="","",IFERROR(INDEX(Taux_Devises,MATCH(IF($M624="",Devise_Base,$M624),Codes_Devises,0)),1))</f>
        <v/>
      </c>
      <c r="U624" s="112">
        <f>IF($G624="","",ROUND($G624*$T624,2))</f>
        <v/>
      </c>
      <c r="V624" s="113">
        <f>IF($B624="","",MONTH($B624))</f>
        <v/>
      </c>
      <c r="W624" s="113">
        <f>IF($B624="","",YEAR($B624))</f>
        <v/>
      </c>
    </row>
    <row r="625">
      <c r="B625" s="105" t="n"/>
      <c r="C625" s="54" t="n"/>
      <c r="D625" s="54" t="n"/>
      <c r="E625" s="54" t="n"/>
      <c r="F625" s="54" t="n"/>
      <c r="G625" s="65" t="n"/>
      <c r="H625" s="54" t="n"/>
      <c r="I625" s="106">
        <f>IF($C625="","",IFERROR(INDEX(Sens_Types,MATCH($C625,Liste_Types,0)),""))</f>
        <v/>
      </c>
      <c r="J625" s="107">
        <f>IF($I625="▲ ENTRÉE",$U625,"")</f>
        <v/>
      </c>
      <c r="K625" s="108">
        <f>IF($I625="▼ SORTIE",$U625,"")</f>
        <v/>
      </c>
      <c r="L625" s="109">
        <f>$L624+N($J625)-N($K625)</f>
        <v/>
      </c>
      <c r="M625" s="110" t="n"/>
      <c r="N625" s="54" t="n"/>
      <c r="O625" s="54" t="n"/>
      <c r="P625" s="54" t="n"/>
      <c r="Q625" s="110" t="n"/>
      <c r="R625" s="110" t="n"/>
      <c r="S625" s="54" t="n"/>
      <c r="T625" s="111">
        <f>IF($G625="","",IFERROR(INDEX(Taux_Devises,MATCH(IF($M625="",Devise_Base,$M625),Codes_Devises,0)),1))</f>
        <v/>
      </c>
      <c r="U625" s="112">
        <f>IF($G625="","",ROUND($G625*$T625,2))</f>
        <v/>
      </c>
      <c r="V625" s="113">
        <f>IF($B625="","",MONTH($B625))</f>
        <v/>
      </c>
      <c r="W625" s="113">
        <f>IF($B625="","",YEAR($B625))</f>
        <v/>
      </c>
    </row>
    <row r="626">
      <c r="B626" s="105" t="n"/>
      <c r="C626" s="54" t="n"/>
      <c r="D626" s="54" t="n"/>
      <c r="E626" s="54" t="n"/>
      <c r="F626" s="54" t="n"/>
      <c r="G626" s="65" t="n"/>
      <c r="H626" s="54" t="n"/>
      <c r="I626" s="106">
        <f>IF($C626="","",IFERROR(INDEX(Sens_Types,MATCH($C626,Liste_Types,0)),""))</f>
        <v/>
      </c>
      <c r="J626" s="107">
        <f>IF($I626="▲ ENTRÉE",$U626,"")</f>
        <v/>
      </c>
      <c r="K626" s="108">
        <f>IF($I626="▼ SORTIE",$U626,"")</f>
        <v/>
      </c>
      <c r="L626" s="109">
        <f>$L625+N($J626)-N($K626)</f>
        <v/>
      </c>
      <c r="M626" s="110" t="n"/>
      <c r="N626" s="54" t="n"/>
      <c r="O626" s="54" t="n"/>
      <c r="P626" s="54" t="n"/>
      <c r="Q626" s="110" t="n"/>
      <c r="R626" s="110" t="n"/>
      <c r="S626" s="54" t="n"/>
      <c r="T626" s="111">
        <f>IF($G626="","",IFERROR(INDEX(Taux_Devises,MATCH(IF($M626="",Devise_Base,$M626),Codes_Devises,0)),1))</f>
        <v/>
      </c>
      <c r="U626" s="112">
        <f>IF($G626="","",ROUND($G626*$T626,2))</f>
        <v/>
      </c>
      <c r="V626" s="113">
        <f>IF($B626="","",MONTH($B626))</f>
        <v/>
      </c>
      <c r="W626" s="113">
        <f>IF($B626="","",YEAR($B626))</f>
        <v/>
      </c>
    </row>
    <row r="627">
      <c r="B627" s="105" t="n"/>
      <c r="C627" s="54" t="n"/>
      <c r="D627" s="54" t="n"/>
      <c r="E627" s="54" t="n"/>
      <c r="F627" s="54" t="n"/>
      <c r="G627" s="65" t="n"/>
      <c r="H627" s="54" t="n"/>
      <c r="I627" s="106">
        <f>IF($C627="","",IFERROR(INDEX(Sens_Types,MATCH($C627,Liste_Types,0)),""))</f>
        <v/>
      </c>
      <c r="J627" s="107">
        <f>IF($I627="▲ ENTRÉE",$U627,"")</f>
        <v/>
      </c>
      <c r="K627" s="108">
        <f>IF($I627="▼ SORTIE",$U627,"")</f>
        <v/>
      </c>
      <c r="L627" s="109">
        <f>$L626+N($J627)-N($K627)</f>
        <v/>
      </c>
      <c r="M627" s="110" t="n"/>
      <c r="N627" s="54" t="n"/>
      <c r="O627" s="54" t="n"/>
      <c r="P627" s="54" t="n"/>
      <c r="Q627" s="110" t="n"/>
      <c r="R627" s="110" t="n"/>
      <c r="S627" s="54" t="n"/>
      <c r="T627" s="111">
        <f>IF($G627="","",IFERROR(INDEX(Taux_Devises,MATCH(IF($M627="",Devise_Base,$M627),Codes_Devises,0)),1))</f>
        <v/>
      </c>
      <c r="U627" s="112">
        <f>IF($G627="","",ROUND($G627*$T627,2))</f>
        <v/>
      </c>
      <c r="V627" s="113">
        <f>IF($B627="","",MONTH($B627))</f>
        <v/>
      </c>
      <c r="W627" s="113">
        <f>IF($B627="","",YEAR($B627))</f>
        <v/>
      </c>
    </row>
    <row r="628">
      <c r="B628" s="105" t="n"/>
      <c r="C628" s="54" t="n"/>
      <c r="D628" s="54" t="n"/>
      <c r="E628" s="54" t="n"/>
      <c r="F628" s="54" t="n"/>
      <c r="G628" s="65" t="n"/>
      <c r="H628" s="54" t="n"/>
      <c r="I628" s="106">
        <f>IF($C628="","",IFERROR(INDEX(Sens_Types,MATCH($C628,Liste_Types,0)),""))</f>
        <v/>
      </c>
      <c r="J628" s="107">
        <f>IF($I628="▲ ENTRÉE",$U628,"")</f>
        <v/>
      </c>
      <c r="K628" s="108">
        <f>IF($I628="▼ SORTIE",$U628,"")</f>
        <v/>
      </c>
      <c r="L628" s="109">
        <f>$L627+N($J628)-N($K628)</f>
        <v/>
      </c>
      <c r="M628" s="110" t="n"/>
      <c r="N628" s="54" t="n"/>
      <c r="O628" s="54" t="n"/>
      <c r="P628" s="54" t="n"/>
      <c r="Q628" s="110" t="n"/>
      <c r="R628" s="110" t="n"/>
      <c r="S628" s="54" t="n"/>
      <c r="T628" s="111">
        <f>IF($G628="","",IFERROR(INDEX(Taux_Devises,MATCH(IF($M628="",Devise_Base,$M628),Codes_Devises,0)),1))</f>
        <v/>
      </c>
      <c r="U628" s="112">
        <f>IF($G628="","",ROUND($G628*$T628,2))</f>
        <v/>
      </c>
      <c r="V628" s="113">
        <f>IF($B628="","",MONTH($B628))</f>
        <v/>
      </c>
      <c r="W628" s="113">
        <f>IF($B628="","",YEAR($B628))</f>
        <v/>
      </c>
    </row>
    <row r="629">
      <c r="B629" s="105" t="n"/>
      <c r="C629" s="54" t="n"/>
      <c r="D629" s="54" t="n"/>
      <c r="E629" s="54" t="n"/>
      <c r="F629" s="54" t="n"/>
      <c r="G629" s="65" t="n"/>
      <c r="H629" s="54" t="n"/>
      <c r="I629" s="106">
        <f>IF($C629="","",IFERROR(INDEX(Sens_Types,MATCH($C629,Liste_Types,0)),""))</f>
        <v/>
      </c>
      <c r="J629" s="107">
        <f>IF($I629="▲ ENTRÉE",$U629,"")</f>
        <v/>
      </c>
      <c r="K629" s="108">
        <f>IF($I629="▼ SORTIE",$U629,"")</f>
        <v/>
      </c>
      <c r="L629" s="109">
        <f>$L628+N($J629)-N($K629)</f>
        <v/>
      </c>
      <c r="M629" s="110" t="n"/>
      <c r="N629" s="54" t="n"/>
      <c r="O629" s="54" t="n"/>
      <c r="P629" s="54" t="n"/>
      <c r="Q629" s="110" t="n"/>
      <c r="R629" s="110" t="n"/>
      <c r="S629" s="54" t="n"/>
      <c r="T629" s="111">
        <f>IF($G629="","",IFERROR(INDEX(Taux_Devises,MATCH(IF($M629="",Devise_Base,$M629),Codes_Devises,0)),1))</f>
        <v/>
      </c>
      <c r="U629" s="112">
        <f>IF($G629="","",ROUND($G629*$T629,2))</f>
        <v/>
      </c>
      <c r="V629" s="113">
        <f>IF($B629="","",MONTH($B629))</f>
        <v/>
      </c>
      <c r="W629" s="113">
        <f>IF($B629="","",YEAR($B629))</f>
        <v/>
      </c>
    </row>
    <row r="630">
      <c r="B630" s="105" t="n"/>
      <c r="C630" s="54" t="n"/>
      <c r="D630" s="54" t="n"/>
      <c r="E630" s="54" t="n"/>
      <c r="F630" s="54" t="n"/>
      <c r="G630" s="65" t="n"/>
      <c r="H630" s="54" t="n"/>
      <c r="I630" s="106">
        <f>IF($C630="","",IFERROR(INDEX(Sens_Types,MATCH($C630,Liste_Types,0)),""))</f>
        <v/>
      </c>
      <c r="J630" s="107">
        <f>IF($I630="▲ ENTRÉE",$U630,"")</f>
        <v/>
      </c>
      <c r="K630" s="108">
        <f>IF($I630="▼ SORTIE",$U630,"")</f>
        <v/>
      </c>
      <c r="L630" s="109">
        <f>$L629+N($J630)-N($K630)</f>
        <v/>
      </c>
      <c r="M630" s="110" t="n"/>
      <c r="N630" s="54" t="n"/>
      <c r="O630" s="54" t="n"/>
      <c r="P630" s="54" t="n"/>
      <c r="Q630" s="110" t="n"/>
      <c r="R630" s="110" t="n"/>
      <c r="S630" s="54" t="n"/>
      <c r="T630" s="111">
        <f>IF($G630="","",IFERROR(INDEX(Taux_Devises,MATCH(IF($M630="",Devise_Base,$M630),Codes_Devises,0)),1))</f>
        <v/>
      </c>
      <c r="U630" s="112">
        <f>IF($G630="","",ROUND($G630*$T630,2))</f>
        <v/>
      </c>
      <c r="V630" s="113">
        <f>IF($B630="","",MONTH($B630))</f>
        <v/>
      </c>
      <c r="W630" s="113">
        <f>IF($B630="","",YEAR($B630))</f>
        <v/>
      </c>
    </row>
    <row r="631">
      <c r="B631" s="105" t="n"/>
      <c r="C631" s="54" t="n"/>
      <c r="D631" s="54" t="n"/>
      <c r="E631" s="54" t="n"/>
      <c r="F631" s="54" t="n"/>
      <c r="G631" s="65" t="n"/>
      <c r="H631" s="54" t="n"/>
      <c r="I631" s="106">
        <f>IF($C631="","",IFERROR(INDEX(Sens_Types,MATCH($C631,Liste_Types,0)),""))</f>
        <v/>
      </c>
      <c r="J631" s="107">
        <f>IF($I631="▲ ENTRÉE",$U631,"")</f>
        <v/>
      </c>
      <c r="K631" s="108">
        <f>IF($I631="▼ SORTIE",$U631,"")</f>
        <v/>
      </c>
      <c r="L631" s="109">
        <f>$L630+N($J631)-N($K631)</f>
        <v/>
      </c>
      <c r="M631" s="110" t="n"/>
      <c r="N631" s="54" t="n"/>
      <c r="O631" s="54" t="n"/>
      <c r="P631" s="54" t="n"/>
      <c r="Q631" s="110" t="n"/>
      <c r="R631" s="110" t="n"/>
      <c r="S631" s="54" t="n"/>
      <c r="T631" s="111">
        <f>IF($G631="","",IFERROR(INDEX(Taux_Devises,MATCH(IF($M631="",Devise_Base,$M631),Codes_Devises,0)),1))</f>
        <v/>
      </c>
      <c r="U631" s="112">
        <f>IF($G631="","",ROUND($G631*$T631,2))</f>
        <v/>
      </c>
      <c r="V631" s="113">
        <f>IF($B631="","",MONTH($B631))</f>
        <v/>
      </c>
      <c r="W631" s="113">
        <f>IF($B631="","",YEAR($B631))</f>
        <v/>
      </c>
    </row>
    <row r="632">
      <c r="B632" s="105" t="n"/>
      <c r="C632" s="54" t="n"/>
      <c r="D632" s="54" t="n"/>
      <c r="E632" s="54" t="n"/>
      <c r="F632" s="54" t="n"/>
      <c r="G632" s="65" t="n"/>
      <c r="H632" s="54" t="n"/>
      <c r="I632" s="106">
        <f>IF($C632="","",IFERROR(INDEX(Sens_Types,MATCH($C632,Liste_Types,0)),""))</f>
        <v/>
      </c>
      <c r="J632" s="107">
        <f>IF($I632="▲ ENTRÉE",$U632,"")</f>
        <v/>
      </c>
      <c r="K632" s="108">
        <f>IF($I632="▼ SORTIE",$U632,"")</f>
        <v/>
      </c>
      <c r="L632" s="109">
        <f>$L631+N($J632)-N($K632)</f>
        <v/>
      </c>
      <c r="M632" s="110" t="n"/>
      <c r="N632" s="54" t="n"/>
      <c r="O632" s="54" t="n"/>
      <c r="P632" s="54" t="n"/>
      <c r="Q632" s="110" t="n"/>
      <c r="R632" s="110" t="n"/>
      <c r="S632" s="54" t="n"/>
      <c r="T632" s="111">
        <f>IF($G632="","",IFERROR(INDEX(Taux_Devises,MATCH(IF($M632="",Devise_Base,$M632),Codes_Devises,0)),1))</f>
        <v/>
      </c>
      <c r="U632" s="112">
        <f>IF($G632="","",ROUND($G632*$T632,2))</f>
        <v/>
      </c>
      <c r="V632" s="113">
        <f>IF($B632="","",MONTH($B632))</f>
        <v/>
      </c>
      <c r="W632" s="113">
        <f>IF($B632="","",YEAR($B632))</f>
        <v/>
      </c>
    </row>
    <row r="633">
      <c r="B633" s="105" t="n"/>
      <c r="C633" s="54" t="n"/>
      <c r="D633" s="54" t="n"/>
      <c r="E633" s="54" t="n"/>
      <c r="F633" s="54" t="n"/>
      <c r="G633" s="65" t="n"/>
      <c r="H633" s="54" t="n"/>
      <c r="I633" s="106">
        <f>IF($C633="","",IFERROR(INDEX(Sens_Types,MATCH($C633,Liste_Types,0)),""))</f>
        <v/>
      </c>
      <c r="J633" s="107">
        <f>IF($I633="▲ ENTRÉE",$U633,"")</f>
        <v/>
      </c>
      <c r="K633" s="108">
        <f>IF($I633="▼ SORTIE",$U633,"")</f>
        <v/>
      </c>
      <c r="L633" s="109">
        <f>$L632+N($J633)-N($K633)</f>
        <v/>
      </c>
      <c r="M633" s="110" t="n"/>
      <c r="N633" s="54" t="n"/>
      <c r="O633" s="54" t="n"/>
      <c r="P633" s="54" t="n"/>
      <c r="Q633" s="110" t="n"/>
      <c r="R633" s="110" t="n"/>
      <c r="S633" s="54" t="n"/>
      <c r="T633" s="111">
        <f>IF($G633="","",IFERROR(INDEX(Taux_Devises,MATCH(IF($M633="",Devise_Base,$M633),Codes_Devises,0)),1))</f>
        <v/>
      </c>
      <c r="U633" s="112">
        <f>IF($G633="","",ROUND($G633*$T633,2))</f>
        <v/>
      </c>
      <c r="V633" s="113">
        <f>IF($B633="","",MONTH($B633))</f>
        <v/>
      </c>
      <c r="W633" s="113">
        <f>IF($B633="","",YEAR($B633))</f>
        <v/>
      </c>
    </row>
    <row r="634">
      <c r="B634" s="105" t="n"/>
      <c r="C634" s="54" t="n"/>
      <c r="D634" s="54" t="n"/>
      <c r="E634" s="54" t="n"/>
      <c r="F634" s="54" t="n"/>
      <c r="G634" s="65" t="n"/>
      <c r="H634" s="54" t="n"/>
      <c r="I634" s="106">
        <f>IF($C634="","",IFERROR(INDEX(Sens_Types,MATCH($C634,Liste_Types,0)),""))</f>
        <v/>
      </c>
      <c r="J634" s="107">
        <f>IF($I634="▲ ENTRÉE",$U634,"")</f>
        <v/>
      </c>
      <c r="K634" s="108">
        <f>IF($I634="▼ SORTIE",$U634,"")</f>
        <v/>
      </c>
      <c r="L634" s="109">
        <f>$L633+N($J634)-N($K634)</f>
        <v/>
      </c>
      <c r="M634" s="110" t="n"/>
      <c r="N634" s="54" t="n"/>
      <c r="O634" s="54" t="n"/>
      <c r="P634" s="54" t="n"/>
      <c r="Q634" s="110" t="n"/>
      <c r="R634" s="110" t="n"/>
      <c r="S634" s="54" t="n"/>
      <c r="T634" s="111">
        <f>IF($G634="","",IFERROR(INDEX(Taux_Devises,MATCH(IF($M634="",Devise_Base,$M634),Codes_Devises,0)),1))</f>
        <v/>
      </c>
      <c r="U634" s="112">
        <f>IF($G634="","",ROUND($G634*$T634,2))</f>
        <v/>
      </c>
      <c r="V634" s="113">
        <f>IF($B634="","",MONTH($B634))</f>
        <v/>
      </c>
      <c r="W634" s="113">
        <f>IF($B634="","",YEAR($B634))</f>
        <v/>
      </c>
    </row>
    <row r="635">
      <c r="B635" s="105" t="n"/>
      <c r="C635" s="54" t="n"/>
      <c r="D635" s="54" t="n"/>
      <c r="E635" s="54" t="n"/>
      <c r="F635" s="54" t="n"/>
      <c r="G635" s="65" t="n"/>
      <c r="H635" s="54" t="n"/>
      <c r="I635" s="106">
        <f>IF($C635="","",IFERROR(INDEX(Sens_Types,MATCH($C635,Liste_Types,0)),""))</f>
        <v/>
      </c>
      <c r="J635" s="107">
        <f>IF($I635="▲ ENTRÉE",$U635,"")</f>
        <v/>
      </c>
      <c r="K635" s="108">
        <f>IF($I635="▼ SORTIE",$U635,"")</f>
        <v/>
      </c>
      <c r="L635" s="109">
        <f>$L634+N($J635)-N($K635)</f>
        <v/>
      </c>
      <c r="M635" s="110" t="n"/>
      <c r="N635" s="54" t="n"/>
      <c r="O635" s="54" t="n"/>
      <c r="P635" s="54" t="n"/>
      <c r="Q635" s="110" t="n"/>
      <c r="R635" s="110" t="n"/>
      <c r="S635" s="54" t="n"/>
      <c r="T635" s="111">
        <f>IF($G635="","",IFERROR(INDEX(Taux_Devises,MATCH(IF($M635="",Devise_Base,$M635),Codes_Devises,0)),1))</f>
        <v/>
      </c>
      <c r="U635" s="112">
        <f>IF($G635="","",ROUND($G635*$T635,2))</f>
        <v/>
      </c>
      <c r="V635" s="113">
        <f>IF($B635="","",MONTH($B635))</f>
        <v/>
      </c>
      <c r="W635" s="113">
        <f>IF($B635="","",YEAR($B635))</f>
        <v/>
      </c>
    </row>
    <row r="636">
      <c r="B636" s="105" t="n"/>
      <c r="C636" s="54" t="n"/>
      <c r="D636" s="54" t="n"/>
      <c r="E636" s="54" t="n"/>
      <c r="F636" s="54" t="n"/>
      <c r="G636" s="65" t="n"/>
      <c r="H636" s="54" t="n"/>
      <c r="I636" s="106">
        <f>IF($C636="","",IFERROR(INDEX(Sens_Types,MATCH($C636,Liste_Types,0)),""))</f>
        <v/>
      </c>
      <c r="J636" s="107">
        <f>IF($I636="▲ ENTRÉE",$U636,"")</f>
        <v/>
      </c>
      <c r="K636" s="108">
        <f>IF($I636="▼ SORTIE",$U636,"")</f>
        <v/>
      </c>
      <c r="L636" s="109">
        <f>$L635+N($J636)-N($K636)</f>
        <v/>
      </c>
      <c r="M636" s="110" t="n"/>
      <c r="N636" s="54" t="n"/>
      <c r="O636" s="54" t="n"/>
      <c r="P636" s="54" t="n"/>
      <c r="Q636" s="110" t="n"/>
      <c r="R636" s="110" t="n"/>
      <c r="S636" s="54" t="n"/>
      <c r="T636" s="111">
        <f>IF($G636="","",IFERROR(INDEX(Taux_Devises,MATCH(IF($M636="",Devise_Base,$M636),Codes_Devises,0)),1))</f>
        <v/>
      </c>
      <c r="U636" s="112">
        <f>IF($G636="","",ROUND($G636*$T636,2))</f>
        <v/>
      </c>
      <c r="V636" s="113">
        <f>IF($B636="","",MONTH($B636))</f>
        <v/>
      </c>
      <c r="W636" s="113">
        <f>IF($B636="","",YEAR($B636))</f>
        <v/>
      </c>
    </row>
    <row r="637">
      <c r="B637" s="105" t="n"/>
      <c r="C637" s="54" t="n"/>
      <c r="D637" s="54" t="n"/>
      <c r="E637" s="54" t="n"/>
      <c r="F637" s="54" t="n"/>
      <c r="G637" s="65" t="n"/>
      <c r="H637" s="54" t="n"/>
      <c r="I637" s="106">
        <f>IF($C637="","",IFERROR(INDEX(Sens_Types,MATCH($C637,Liste_Types,0)),""))</f>
        <v/>
      </c>
      <c r="J637" s="107">
        <f>IF($I637="▲ ENTRÉE",$U637,"")</f>
        <v/>
      </c>
      <c r="K637" s="108">
        <f>IF($I637="▼ SORTIE",$U637,"")</f>
        <v/>
      </c>
      <c r="L637" s="109">
        <f>$L636+N($J637)-N($K637)</f>
        <v/>
      </c>
      <c r="M637" s="110" t="n"/>
      <c r="N637" s="54" t="n"/>
      <c r="O637" s="54" t="n"/>
      <c r="P637" s="54" t="n"/>
      <c r="Q637" s="110" t="n"/>
      <c r="R637" s="110" t="n"/>
      <c r="S637" s="54" t="n"/>
      <c r="T637" s="111">
        <f>IF($G637="","",IFERROR(INDEX(Taux_Devises,MATCH(IF($M637="",Devise_Base,$M637),Codes_Devises,0)),1))</f>
        <v/>
      </c>
      <c r="U637" s="112">
        <f>IF($G637="","",ROUND($G637*$T637,2))</f>
        <v/>
      </c>
      <c r="V637" s="113">
        <f>IF($B637="","",MONTH($B637))</f>
        <v/>
      </c>
      <c r="W637" s="113">
        <f>IF($B637="","",YEAR($B637))</f>
        <v/>
      </c>
    </row>
    <row r="638">
      <c r="B638" s="105" t="n"/>
      <c r="C638" s="54" t="n"/>
      <c r="D638" s="54" t="n"/>
      <c r="E638" s="54" t="n"/>
      <c r="F638" s="54" t="n"/>
      <c r="G638" s="65" t="n"/>
      <c r="H638" s="54" t="n"/>
      <c r="I638" s="106">
        <f>IF($C638="","",IFERROR(INDEX(Sens_Types,MATCH($C638,Liste_Types,0)),""))</f>
        <v/>
      </c>
      <c r="J638" s="107">
        <f>IF($I638="▲ ENTRÉE",$U638,"")</f>
        <v/>
      </c>
      <c r="K638" s="108">
        <f>IF($I638="▼ SORTIE",$U638,"")</f>
        <v/>
      </c>
      <c r="L638" s="109">
        <f>$L637+N($J638)-N($K638)</f>
        <v/>
      </c>
      <c r="M638" s="110" t="n"/>
      <c r="N638" s="54" t="n"/>
      <c r="O638" s="54" t="n"/>
      <c r="P638" s="54" t="n"/>
      <c r="Q638" s="110" t="n"/>
      <c r="R638" s="110" t="n"/>
      <c r="S638" s="54" t="n"/>
      <c r="T638" s="111">
        <f>IF($G638="","",IFERROR(INDEX(Taux_Devises,MATCH(IF($M638="",Devise_Base,$M638),Codes_Devises,0)),1))</f>
        <v/>
      </c>
      <c r="U638" s="112">
        <f>IF($G638="","",ROUND($G638*$T638,2))</f>
        <v/>
      </c>
      <c r="V638" s="113">
        <f>IF($B638="","",MONTH($B638))</f>
        <v/>
      </c>
      <c r="W638" s="113">
        <f>IF($B638="","",YEAR($B638))</f>
        <v/>
      </c>
    </row>
    <row r="639">
      <c r="B639" s="105" t="n"/>
      <c r="C639" s="54" t="n"/>
      <c r="D639" s="54" t="n"/>
      <c r="E639" s="54" t="n"/>
      <c r="F639" s="54" t="n"/>
      <c r="G639" s="65" t="n"/>
      <c r="H639" s="54" t="n"/>
      <c r="I639" s="106">
        <f>IF($C639="","",IFERROR(INDEX(Sens_Types,MATCH($C639,Liste_Types,0)),""))</f>
        <v/>
      </c>
      <c r="J639" s="107">
        <f>IF($I639="▲ ENTRÉE",$U639,"")</f>
        <v/>
      </c>
      <c r="K639" s="108">
        <f>IF($I639="▼ SORTIE",$U639,"")</f>
        <v/>
      </c>
      <c r="L639" s="109">
        <f>$L638+N($J639)-N($K639)</f>
        <v/>
      </c>
      <c r="M639" s="110" t="n"/>
      <c r="N639" s="54" t="n"/>
      <c r="O639" s="54" t="n"/>
      <c r="P639" s="54" t="n"/>
      <c r="Q639" s="110" t="n"/>
      <c r="R639" s="110" t="n"/>
      <c r="S639" s="54" t="n"/>
      <c r="T639" s="111">
        <f>IF($G639="","",IFERROR(INDEX(Taux_Devises,MATCH(IF($M639="",Devise_Base,$M639),Codes_Devises,0)),1))</f>
        <v/>
      </c>
      <c r="U639" s="112">
        <f>IF($G639="","",ROUND($G639*$T639,2))</f>
        <v/>
      </c>
      <c r="V639" s="113">
        <f>IF($B639="","",MONTH($B639))</f>
        <v/>
      </c>
      <c r="W639" s="113">
        <f>IF($B639="","",YEAR($B639))</f>
        <v/>
      </c>
    </row>
    <row r="640">
      <c r="B640" s="105" t="n"/>
      <c r="C640" s="54" t="n"/>
      <c r="D640" s="54" t="n"/>
      <c r="E640" s="54" t="n"/>
      <c r="F640" s="54" t="n"/>
      <c r="G640" s="65" t="n"/>
      <c r="H640" s="54" t="n"/>
      <c r="I640" s="106">
        <f>IF($C640="","",IFERROR(INDEX(Sens_Types,MATCH($C640,Liste_Types,0)),""))</f>
        <v/>
      </c>
      <c r="J640" s="107">
        <f>IF($I640="▲ ENTRÉE",$U640,"")</f>
        <v/>
      </c>
      <c r="K640" s="108">
        <f>IF($I640="▼ SORTIE",$U640,"")</f>
        <v/>
      </c>
      <c r="L640" s="109">
        <f>$L639+N($J640)-N($K640)</f>
        <v/>
      </c>
      <c r="M640" s="110" t="n"/>
      <c r="N640" s="54" t="n"/>
      <c r="O640" s="54" t="n"/>
      <c r="P640" s="54" t="n"/>
      <c r="Q640" s="110" t="n"/>
      <c r="R640" s="110" t="n"/>
      <c r="S640" s="54" t="n"/>
      <c r="T640" s="111">
        <f>IF($G640="","",IFERROR(INDEX(Taux_Devises,MATCH(IF($M640="",Devise_Base,$M640),Codes_Devises,0)),1))</f>
        <v/>
      </c>
      <c r="U640" s="112">
        <f>IF($G640="","",ROUND($G640*$T640,2))</f>
        <v/>
      </c>
      <c r="V640" s="113">
        <f>IF($B640="","",MONTH($B640))</f>
        <v/>
      </c>
      <c r="W640" s="113">
        <f>IF($B640="","",YEAR($B640))</f>
        <v/>
      </c>
    </row>
    <row r="641">
      <c r="B641" s="105" t="n"/>
      <c r="C641" s="54" t="n"/>
      <c r="D641" s="54" t="n"/>
      <c r="E641" s="54" t="n"/>
      <c r="F641" s="54" t="n"/>
      <c r="G641" s="65" t="n"/>
      <c r="H641" s="54" t="n"/>
      <c r="I641" s="106">
        <f>IF($C641="","",IFERROR(INDEX(Sens_Types,MATCH($C641,Liste_Types,0)),""))</f>
        <v/>
      </c>
      <c r="J641" s="107">
        <f>IF($I641="▲ ENTRÉE",$U641,"")</f>
        <v/>
      </c>
      <c r="K641" s="108">
        <f>IF($I641="▼ SORTIE",$U641,"")</f>
        <v/>
      </c>
      <c r="L641" s="109">
        <f>$L640+N($J641)-N($K641)</f>
        <v/>
      </c>
      <c r="M641" s="110" t="n"/>
      <c r="N641" s="54" t="n"/>
      <c r="O641" s="54" t="n"/>
      <c r="P641" s="54" t="n"/>
      <c r="Q641" s="110" t="n"/>
      <c r="R641" s="110" t="n"/>
      <c r="S641" s="54" t="n"/>
      <c r="T641" s="111">
        <f>IF($G641="","",IFERROR(INDEX(Taux_Devises,MATCH(IF($M641="",Devise_Base,$M641),Codes_Devises,0)),1))</f>
        <v/>
      </c>
      <c r="U641" s="112">
        <f>IF($G641="","",ROUND($G641*$T641,2))</f>
        <v/>
      </c>
      <c r="V641" s="113">
        <f>IF($B641="","",MONTH($B641))</f>
        <v/>
      </c>
      <c r="W641" s="113">
        <f>IF($B641="","",YEAR($B641))</f>
        <v/>
      </c>
    </row>
    <row r="642">
      <c r="B642" s="105" t="n"/>
      <c r="C642" s="54" t="n"/>
      <c r="D642" s="54" t="n"/>
      <c r="E642" s="54" t="n"/>
      <c r="F642" s="54" t="n"/>
      <c r="G642" s="65" t="n"/>
      <c r="H642" s="54" t="n"/>
      <c r="I642" s="106">
        <f>IF($C642="","",IFERROR(INDEX(Sens_Types,MATCH($C642,Liste_Types,0)),""))</f>
        <v/>
      </c>
      <c r="J642" s="107">
        <f>IF($I642="▲ ENTRÉE",$U642,"")</f>
        <v/>
      </c>
      <c r="K642" s="108">
        <f>IF($I642="▼ SORTIE",$U642,"")</f>
        <v/>
      </c>
      <c r="L642" s="109">
        <f>$L641+N($J642)-N($K642)</f>
        <v/>
      </c>
      <c r="M642" s="110" t="n"/>
      <c r="N642" s="54" t="n"/>
      <c r="O642" s="54" t="n"/>
      <c r="P642" s="54" t="n"/>
      <c r="Q642" s="110" t="n"/>
      <c r="R642" s="110" t="n"/>
      <c r="S642" s="54" t="n"/>
      <c r="T642" s="111">
        <f>IF($G642="","",IFERROR(INDEX(Taux_Devises,MATCH(IF($M642="",Devise_Base,$M642),Codes_Devises,0)),1))</f>
        <v/>
      </c>
      <c r="U642" s="112">
        <f>IF($G642="","",ROUND($G642*$T642,2))</f>
        <v/>
      </c>
      <c r="V642" s="113">
        <f>IF($B642="","",MONTH($B642))</f>
        <v/>
      </c>
      <c r="W642" s="113">
        <f>IF($B642="","",YEAR($B642))</f>
        <v/>
      </c>
    </row>
    <row r="643">
      <c r="B643" s="105" t="n"/>
      <c r="C643" s="54" t="n"/>
      <c r="D643" s="54" t="n"/>
      <c r="E643" s="54" t="n"/>
      <c r="F643" s="54" t="n"/>
      <c r="G643" s="65" t="n"/>
      <c r="H643" s="54" t="n"/>
      <c r="I643" s="106">
        <f>IF($C643="","",IFERROR(INDEX(Sens_Types,MATCH($C643,Liste_Types,0)),""))</f>
        <v/>
      </c>
      <c r="J643" s="107">
        <f>IF($I643="▲ ENTRÉE",$U643,"")</f>
        <v/>
      </c>
      <c r="K643" s="108">
        <f>IF($I643="▼ SORTIE",$U643,"")</f>
        <v/>
      </c>
      <c r="L643" s="109">
        <f>$L642+N($J643)-N($K643)</f>
        <v/>
      </c>
      <c r="M643" s="110" t="n"/>
      <c r="N643" s="54" t="n"/>
      <c r="O643" s="54" t="n"/>
      <c r="P643" s="54" t="n"/>
      <c r="Q643" s="110" t="n"/>
      <c r="R643" s="110" t="n"/>
      <c r="S643" s="54" t="n"/>
      <c r="T643" s="111">
        <f>IF($G643="","",IFERROR(INDEX(Taux_Devises,MATCH(IF($M643="",Devise_Base,$M643),Codes_Devises,0)),1))</f>
        <v/>
      </c>
      <c r="U643" s="112">
        <f>IF($G643="","",ROUND($G643*$T643,2))</f>
        <v/>
      </c>
      <c r="V643" s="113">
        <f>IF($B643="","",MONTH($B643))</f>
        <v/>
      </c>
      <c r="W643" s="113">
        <f>IF($B643="","",YEAR($B643))</f>
        <v/>
      </c>
    </row>
    <row r="644">
      <c r="B644" s="105" t="n"/>
      <c r="C644" s="54" t="n"/>
      <c r="D644" s="54" t="n"/>
      <c r="E644" s="54" t="n"/>
      <c r="F644" s="54" t="n"/>
      <c r="G644" s="65" t="n"/>
      <c r="H644" s="54" t="n"/>
      <c r="I644" s="106">
        <f>IF($C644="","",IFERROR(INDEX(Sens_Types,MATCH($C644,Liste_Types,0)),""))</f>
        <v/>
      </c>
      <c r="J644" s="107">
        <f>IF($I644="▲ ENTRÉE",$U644,"")</f>
        <v/>
      </c>
      <c r="K644" s="108">
        <f>IF($I644="▼ SORTIE",$U644,"")</f>
        <v/>
      </c>
      <c r="L644" s="109">
        <f>$L643+N($J644)-N($K644)</f>
        <v/>
      </c>
      <c r="M644" s="110" t="n"/>
      <c r="N644" s="54" t="n"/>
      <c r="O644" s="54" t="n"/>
      <c r="P644" s="54" t="n"/>
      <c r="Q644" s="110" t="n"/>
      <c r="R644" s="110" t="n"/>
      <c r="S644" s="54" t="n"/>
      <c r="T644" s="111">
        <f>IF($G644="","",IFERROR(INDEX(Taux_Devises,MATCH(IF($M644="",Devise_Base,$M644),Codes_Devises,0)),1))</f>
        <v/>
      </c>
      <c r="U644" s="112">
        <f>IF($G644="","",ROUND($G644*$T644,2))</f>
        <v/>
      </c>
      <c r="V644" s="113">
        <f>IF($B644="","",MONTH($B644))</f>
        <v/>
      </c>
      <c r="W644" s="113">
        <f>IF($B644="","",YEAR($B644))</f>
        <v/>
      </c>
    </row>
    <row r="645">
      <c r="B645" s="105" t="n"/>
      <c r="C645" s="54" t="n"/>
      <c r="D645" s="54" t="n"/>
      <c r="E645" s="54" t="n"/>
      <c r="F645" s="54" t="n"/>
      <c r="G645" s="65" t="n"/>
      <c r="H645" s="54" t="n"/>
      <c r="I645" s="106">
        <f>IF($C645="","",IFERROR(INDEX(Sens_Types,MATCH($C645,Liste_Types,0)),""))</f>
        <v/>
      </c>
      <c r="J645" s="107">
        <f>IF($I645="▲ ENTRÉE",$U645,"")</f>
        <v/>
      </c>
      <c r="K645" s="108">
        <f>IF($I645="▼ SORTIE",$U645,"")</f>
        <v/>
      </c>
      <c r="L645" s="109">
        <f>$L644+N($J645)-N($K645)</f>
        <v/>
      </c>
      <c r="M645" s="110" t="n"/>
      <c r="N645" s="54" t="n"/>
      <c r="O645" s="54" t="n"/>
      <c r="P645" s="54" t="n"/>
      <c r="Q645" s="110" t="n"/>
      <c r="R645" s="110" t="n"/>
      <c r="S645" s="54" t="n"/>
      <c r="T645" s="111">
        <f>IF($G645="","",IFERROR(INDEX(Taux_Devises,MATCH(IF($M645="",Devise_Base,$M645),Codes_Devises,0)),1))</f>
        <v/>
      </c>
      <c r="U645" s="112">
        <f>IF($G645="","",ROUND($G645*$T645,2))</f>
        <v/>
      </c>
      <c r="V645" s="113">
        <f>IF($B645="","",MONTH($B645))</f>
        <v/>
      </c>
      <c r="W645" s="113">
        <f>IF($B645="","",YEAR($B645))</f>
        <v/>
      </c>
    </row>
    <row r="646">
      <c r="B646" s="105" t="n"/>
      <c r="C646" s="54" t="n"/>
      <c r="D646" s="54" t="n"/>
      <c r="E646" s="54" t="n"/>
      <c r="F646" s="54" t="n"/>
      <c r="G646" s="65" t="n"/>
      <c r="H646" s="54" t="n"/>
      <c r="I646" s="106">
        <f>IF($C646="","",IFERROR(INDEX(Sens_Types,MATCH($C646,Liste_Types,0)),""))</f>
        <v/>
      </c>
      <c r="J646" s="107">
        <f>IF($I646="▲ ENTRÉE",$U646,"")</f>
        <v/>
      </c>
      <c r="K646" s="108">
        <f>IF($I646="▼ SORTIE",$U646,"")</f>
        <v/>
      </c>
      <c r="L646" s="109">
        <f>$L645+N($J646)-N($K646)</f>
        <v/>
      </c>
      <c r="M646" s="110" t="n"/>
      <c r="N646" s="54" t="n"/>
      <c r="O646" s="54" t="n"/>
      <c r="P646" s="54" t="n"/>
      <c r="Q646" s="110" t="n"/>
      <c r="R646" s="110" t="n"/>
      <c r="S646" s="54" t="n"/>
      <c r="T646" s="111">
        <f>IF($G646="","",IFERROR(INDEX(Taux_Devises,MATCH(IF($M646="",Devise_Base,$M646),Codes_Devises,0)),1))</f>
        <v/>
      </c>
      <c r="U646" s="112">
        <f>IF($G646="","",ROUND($G646*$T646,2))</f>
        <v/>
      </c>
      <c r="V646" s="113">
        <f>IF($B646="","",MONTH($B646))</f>
        <v/>
      </c>
      <c r="W646" s="113">
        <f>IF($B646="","",YEAR($B646))</f>
        <v/>
      </c>
    </row>
    <row r="647">
      <c r="B647" s="105" t="n"/>
      <c r="C647" s="54" t="n"/>
      <c r="D647" s="54" t="n"/>
      <c r="E647" s="54" t="n"/>
      <c r="F647" s="54" t="n"/>
      <c r="G647" s="65" t="n"/>
      <c r="H647" s="54" t="n"/>
      <c r="I647" s="106">
        <f>IF($C647="","",IFERROR(INDEX(Sens_Types,MATCH($C647,Liste_Types,0)),""))</f>
        <v/>
      </c>
      <c r="J647" s="107">
        <f>IF($I647="▲ ENTRÉE",$U647,"")</f>
        <v/>
      </c>
      <c r="K647" s="108">
        <f>IF($I647="▼ SORTIE",$U647,"")</f>
        <v/>
      </c>
      <c r="L647" s="109">
        <f>$L646+N($J647)-N($K647)</f>
        <v/>
      </c>
      <c r="M647" s="110" t="n"/>
      <c r="N647" s="54" t="n"/>
      <c r="O647" s="54" t="n"/>
      <c r="P647" s="54" t="n"/>
      <c r="Q647" s="110" t="n"/>
      <c r="R647" s="110" t="n"/>
      <c r="S647" s="54" t="n"/>
      <c r="T647" s="111">
        <f>IF($G647="","",IFERROR(INDEX(Taux_Devises,MATCH(IF($M647="",Devise_Base,$M647),Codes_Devises,0)),1))</f>
        <v/>
      </c>
      <c r="U647" s="112">
        <f>IF($G647="","",ROUND($G647*$T647,2))</f>
        <v/>
      </c>
      <c r="V647" s="113">
        <f>IF($B647="","",MONTH($B647))</f>
        <v/>
      </c>
      <c r="W647" s="113">
        <f>IF($B647="","",YEAR($B647))</f>
        <v/>
      </c>
    </row>
    <row r="648">
      <c r="B648" s="105" t="n"/>
      <c r="C648" s="54" t="n"/>
      <c r="D648" s="54" t="n"/>
      <c r="E648" s="54" t="n"/>
      <c r="F648" s="54" t="n"/>
      <c r="G648" s="65" t="n"/>
      <c r="H648" s="54" t="n"/>
      <c r="I648" s="106">
        <f>IF($C648="","",IFERROR(INDEX(Sens_Types,MATCH($C648,Liste_Types,0)),""))</f>
        <v/>
      </c>
      <c r="J648" s="107">
        <f>IF($I648="▲ ENTRÉE",$U648,"")</f>
        <v/>
      </c>
      <c r="K648" s="108">
        <f>IF($I648="▼ SORTIE",$U648,"")</f>
        <v/>
      </c>
      <c r="L648" s="109">
        <f>$L647+N($J648)-N($K648)</f>
        <v/>
      </c>
      <c r="M648" s="110" t="n"/>
      <c r="N648" s="54" t="n"/>
      <c r="O648" s="54" t="n"/>
      <c r="P648" s="54" t="n"/>
      <c r="Q648" s="110" t="n"/>
      <c r="R648" s="110" t="n"/>
      <c r="S648" s="54" t="n"/>
      <c r="T648" s="111">
        <f>IF($G648="","",IFERROR(INDEX(Taux_Devises,MATCH(IF($M648="",Devise_Base,$M648),Codes_Devises,0)),1))</f>
        <v/>
      </c>
      <c r="U648" s="112">
        <f>IF($G648="","",ROUND($G648*$T648,2))</f>
        <v/>
      </c>
      <c r="V648" s="113">
        <f>IF($B648="","",MONTH($B648))</f>
        <v/>
      </c>
      <c r="W648" s="113">
        <f>IF($B648="","",YEAR($B648))</f>
        <v/>
      </c>
    </row>
    <row r="649">
      <c r="B649" s="105" t="n"/>
      <c r="C649" s="54" t="n"/>
      <c r="D649" s="54" t="n"/>
      <c r="E649" s="54" t="n"/>
      <c r="F649" s="54" t="n"/>
      <c r="G649" s="65" t="n"/>
      <c r="H649" s="54" t="n"/>
      <c r="I649" s="106">
        <f>IF($C649="","",IFERROR(INDEX(Sens_Types,MATCH($C649,Liste_Types,0)),""))</f>
        <v/>
      </c>
      <c r="J649" s="107">
        <f>IF($I649="▲ ENTRÉE",$U649,"")</f>
        <v/>
      </c>
      <c r="K649" s="108">
        <f>IF($I649="▼ SORTIE",$U649,"")</f>
        <v/>
      </c>
      <c r="L649" s="109">
        <f>$L648+N($J649)-N($K649)</f>
        <v/>
      </c>
      <c r="M649" s="110" t="n"/>
      <c r="N649" s="54" t="n"/>
      <c r="O649" s="54" t="n"/>
      <c r="P649" s="54" t="n"/>
      <c r="Q649" s="110" t="n"/>
      <c r="R649" s="110" t="n"/>
      <c r="S649" s="54" t="n"/>
      <c r="T649" s="111">
        <f>IF($G649="","",IFERROR(INDEX(Taux_Devises,MATCH(IF($M649="",Devise_Base,$M649),Codes_Devises,0)),1))</f>
        <v/>
      </c>
      <c r="U649" s="112">
        <f>IF($G649="","",ROUND($G649*$T649,2))</f>
        <v/>
      </c>
      <c r="V649" s="113">
        <f>IF($B649="","",MONTH($B649))</f>
        <v/>
      </c>
      <c r="W649" s="113">
        <f>IF($B649="","",YEAR($B649))</f>
        <v/>
      </c>
    </row>
    <row r="650">
      <c r="B650" s="105" t="n"/>
      <c r="C650" s="54" t="n"/>
      <c r="D650" s="54" t="n"/>
      <c r="E650" s="54" t="n"/>
      <c r="F650" s="54" t="n"/>
      <c r="G650" s="65" t="n"/>
      <c r="H650" s="54" t="n"/>
      <c r="I650" s="106">
        <f>IF($C650="","",IFERROR(INDEX(Sens_Types,MATCH($C650,Liste_Types,0)),""))</f>
        <v/>
      </c>
      <c r="J650" s="107">
        <f>IF($I650="▲ ENTRÉE",$U650,"")</f>
        <v/>
      </c>
      <c r="K650" s="108">
        <f>IF($I650="▼ SORTIE",$U650,"")</f>
        <v/>
      </c>
      <c r="L650" s="109">
        <f>$L649+N($J650)-N($K650)</f>
        <v/>
      </c>
      <c r="M650" s="110" t="n"/>
      <c r="N650" s="54" t="n"/>
      <c r="O650" s="54" t="n"/>
      <c r="P650" s="54" t="n"/>
      <c r="Q650" s="110" t="n"/>
      <c r="R650" s="110" t="n"/>
      <c r="S650" s="54" t="n"/>
      <c r="T650" s="111">
        <f>IF($G650="","",IFERROR(INDEX(Taux_Devises,MATCH(IF($M650="",Devise_Base,$M650),Codes_Devises,0)),1))</f>
        <v/>
      </c>
      <c r="U650" s="112">
        <f>IF($G650="","",ROUND($G650*$T650,2))</f>
        <v/>
      </c>
      <c r="V650" s="113">
        <f>IF($B650="","",MONTH($B650))</f>
        <v/>
      </c>
      <c r="W650" s="113">
        <f>IF($B650="","",YEAR($B650))</f>
        <v/>
      </c>
    </row>
    <row r="651">
      <c r="B651" s="105" t="n"/>
      <c r="C651" s="54" t="n"/>
      <c r="D651" s="54" t="n"/>
      <c r="E651" s="54" t="n"/>
      <c r="F651" s="54" t="n"/>
      <c r="G651" s="65" t="n"/>
      <c r="H651" s="54" t="n"/>
      <c r="I651" s="106">
        <f>IF($C651="","",IFERROR(INDEX(Sens_Types,MATCH($C651,Liste_Types,0)),""))</f>
        <v/>
      </c>
      <c r="J651" s="107">
        <f>IF($I651="▲ ENTRÉE",$U651,"")</f>
        <v/>
      </c>
      <c r="K651" s="108">
        <f>IF($I651="▼ SORTIE",$U651,"")</f>
        <v/>
      </c>
      <c r="L651" s="109">
        <f>$L650+N($J651)-N($K651)</f>
        <v/>
      </c>
      <c r="M651" s="110" t="n"/>
      <c r="N651" s="54" t="n"/>
      <c r="O651" s="54" t="n"/>
      <c r="P651" s="54" t="n"/>
      <c r="Q651" s="110" t="n"/>
      <c r="R651" s="110" t="n"/>
      <c r="S651" s="54" t="n"/>
      <c r="T651" s="111">
        <f>IF($G651="","",IFERROR(INDEX(Taux_Devises,MATCH(IF($M651="",Devise_Base,$M651),Codes_Devises,0)),1))</f>
        <v/>
      </c>
      <c r="U651" s="112">
        <f>IF($G651="","",ROUND($G651*$T651,2))</f>
        <v/>
      </c>
      <c r="V651" s="113">
        <f>IF($B651="","",MONTH($B651))</f>
        <v/>
      </c>
      <c r="W651" s="113">
        <f>IF($B651="","",YEAR($B651))</f>
        <v/>
      </c>
    </row>
    <row r="652">
      <c r="B652" s="105" t="n"/>
      <c r="C652" s="54" t="n"/>
      <c r="D652" s="54" t="n"/>
      <c r="E652" s="54" t="n"/>
      <c r="F652" s="54" t="n"/>
      <c r="G652" s="65" t="n"/>
      <c r="H652" s="54" t="n"/>
      <c r="I652" s="106">
        <f>IF($C652="","",IFERROR(INDEX(Sens_Types,MATCH($C652,Liste_Types,0)),""))</f>
        <v/>
      </c>
      <c r="J652" s="107">
        <f>IF($I652="▲ ENTRÉE",$U652,"")</f>
        <v/>
      </c>
      <c r="K652" s="108">
        <f>IF($I652="▼ SORTIE",$U652,"")</f>
        <v/>
      </c>
      <c r="L652" s="109">
        <f>$L651+N($J652)-N($K652)</f>
        <v/>
      </c>
      <c r="M652" s="110" t="n"/>
      <c r="N652" s="54" t="n"/>
      <c r="O652" s="54" t="n"/>
      <c r="P652" s="54" t="n"/>
      <c r="Q652" s="110" t="n"/>
      <c r="R652" s="110" t="n"/>
      <c r="S652" s="54" t="n"/>
      <c r="T652" s="111">
        <f>IF($G652="","",IFERROR(INDEX(Taux_Devises,MATCH(IF($M652="",Devise_Base,$M652),Codes_Devises,0)),1))</f>
        <v/>
      </c>
      <c r="U652" s="112">
        <f>IF($G652="","",ROUND($G652*$T652,2))</f>
        <v/>
      </c>
      <c r="V652" s="113">
        <f>IF($B652="","",MONTH($B652))</f>
        <v/>
      </c>
      <c r="W652" s="113">
        <f>IF($B652="","",YEAR($B652))</f>
        <v/>
      </c>
    </row>
    <row r="653">
      <c r="B653" s="105" t="n"/>
      <c r="C653" s="54" t="n"/>
      <c r="D653" s="54" t="n"/>
      <c r="E653" s="54" t="n"/>
      <c r="F653" s="54" t="n"/>
      <c r="G653" s="65" t="n"/>
      <c r="H653" s="54" t="n"/>
      <c r="I653" s="106">
        <f>IF($C653="","",IFERROR(INDEX(Sens_Types,MATCH($C653,Liste_Types,0)),""))</f>
        <v/>
      </c>
      <c r="J653" s="107">
        <f>IF($I653="▲ ENTRÉE",$U653,"")</f>
        <v/>
      </c>
      <c r="K653" s="108">
        <f>IF($I653="▼ SORTIE",$U653,"")</f>
        <v/>
      </c>
      <c r="L653" s="109">
        <f>$L652+N($J653)-N($K653)</f>
        <v/>
      </c>
      <c r="M653" s="110" t="n"/>
      <c r="N653" s="54" t="n"/>
      <c r="O653" s="54" t="n"/>
      <c r="P653" s="54" t="n"/>
      <c r="Q653" s="110" t="n"/>
      <c r="R653" s="110" t="n"/>
      <c r="S653" s="54" t="n"/>
      <c r="T653" s="111">
        <f>IF($G653="","",IFERROR(INDEX(Taux_Devises,MATCH(IF($M653="",Devise_Base,$M653),Codes_Devises,0)),1))</f>
        <v/>
      </c>
      <c r="U653" s="112">
        <f>IF($G653="","",ROUND($G653*$T653,2))</f>
        <v/>
      </c>
      <c r="V653" s="113">
        <f>IF($B653="","",MONTH($B653))</f>
        <v/>
      </c>
      <c r="W653" s="113">
        <f>IF($B653="","",YEAR($B653))</f>
        <v/>
      </c>
    </row>
    <row r="654">
      <c r="B654" s="105" t="n"/>
      <c r="C654" s="54" t="n"/>
      <c r="D654" s="54" t="n"/>
      <c r="E654" s="54" t="n"/>
      <c r="F654" s="54" t="n"/>
      <c r="G654" s="65" t="n"/>
      <c r="H654" s="54" t="n"/>
      <c r="I654" s="106">
        <f>IF($C654="","",IFERROR(INDEX(Sens_Types,MATCH($C654,Liste_Types,0)),""))</f>
        <v/>
      </c>
      <c r="J654" s="107">
        <f>IF($I654="▲ ENTRÉE",$U654,"")</f>
        <v/>
      </c>
      <c r="K654" s="108">
        <f>IF($I654="▼ SORTIE",$U654,"")</f>
        <v/>
      </c>
      <c r="L654" s="109">
        <f>$L653+N($J654)-N($K654)</f>
        <v/>
      </c>
      <c r="M654" s="110" t="n"/>
      <c r="N654" s="54" t="n"/>
      <c r="O654" s="54" t="n"/>
      <c r="P654" s="54" t="n"/>
      <c r="Q654" s="110" t="n"/>
      <c r="R654" s="110" t="n"/>
      <c r="S654" s="54" t="n"/>
      <c r="T654" s="111">
        <f>IF($G654="","",IFERROR(INDEX(Taux_Devises,MATCH(IF($M654="",Devise_Base,$M654),Codes_Devises,0)),1))</f>
        <v/>
      </c>
      <c r="U654" s="112">
        <f>IF($G654="","",ROUND($G654*$T654,2))</f>
        <v/>
      </c>
      <c r="V654" s="113">
        <f>IF($B654="","",MONTH($B654))</f>
        <v/>
      </c>
      <c r="W654" s="113">
        <f>IF($B654="","",YEAR($B654))</f>
        <v/>
      </c>
    </row>
    <row r="655">
      <c r="B655" s="105" t="n"/>
      <c r="C655" s="54" t="n"/>
      <c r="D655" s="54" t="n"/>
      <c r="E655" s="54" t="n"/>
      <c r="F655" s="54" t="n"/>
      <c r="G655" s="65" t="n"/>
      <c r="H655" s="54" t="n"/>
      <c r="I655" s="106">
        <f>IF($C655="","",IFERROR(INDEX(Sens_Types,MATCH($C655,Liste_Types,0)),""))</f>
        <v/>
      </c>
      <c r="J655" s="107">
        <f>IF($I655="▲ ENTRÉE",$U655,"")</f>
        <v/>
      </c>
      <c r="K655" s="108">
        <f>IF($I655="▼ SORTIE",$U655,"")</f>
        <v/>
      </c>
      <c r="L655" s="109">
        <f>$L654+N($J655)-N($K655)</f>
        <v/>
      </c>
      <c r="M655" s="110" t="n"/>
      <c r="N655" s="54" t="n"/>
      <c r="O655" s="54" t="n"/>
      <c r="P655" s="54" t="n"/>
      <c r="Q655" s="110" t="n"/>
      <c r="R655" s="110" t="n"/>
      <c r="S655" s="54" t="n"/>
      <c r="T655" s="111">
        <f>IF($G655="","",IFERROR(INDEX(Taux_Devises,MATCH(IF($M655="",Devise_Base,$M655),Codes_Devises,0)),1))</f>
        <v/>
      </c>
      <c r="U655" s="112">
        <f>IF($G655="","",ROUND($G655*$T655,2))</f>
        <v/>
      </c>
      <c r="V655" s="113">
        <f>IF($B655="","",MONTH($B655))</f>
        <v/>
      </c>
      <c r="W655" s="113">
        <f>IF($B655="","",YEAR($B655))</f>
        <v/>
      </c>
    </row>
    <row r="656">
      <c r="B656" s="105" t="n"/>
      <c r="C656" s="54" t="n"/>
      <c r="D656" s="54" t="n"/>
      <c r="E656" s="54" t="n"/>
      <c r="F656" s="54" t="n"/>
      <c r="G656" s="65" t="n"/>
      <c r="H656" s="54" t="n"/>
      <c r="I656" s="106">
        <f>IF($C656="","",IFERROR(INDEX(Sens_Types,MATCH($C656,Liste_Types,0)),""))</f>
        <v/>
      </c>
      <c r="J656" s="107">
        <f>IF($I656="▲ ENTRÉE",$U656,"")</f>
        <v/>
      </c>
      <c r="K656" s="108">
        <f>IF($I656="▼ SORTIE",$U656,"")</f>
        <v/>
      </c>
      <c r="L656" s="109">
        <f>$L655+N($J656)-N($K656)</f>
        <v/>
      </c>
      <c r="M656" s="110" t="n"/>
      <c r="N656" s="54" t="n"/>
      <c r="O656" s="54" t="n"/>
      <c r="P656" s="54" t="n"/>
      <c r="Q656" s="110" t="n"/>
      <c r="R656" s="110" t="n"/>
      <c r="S656" s="54" t="n"/>
      <c r="T656" s="111">
        <f>IF($G656="","",IFERROR(INDEX(Taux_Devises,MATCH(IF($M656="",Devise_Base,$M656),Codes_Devises,0)),1))</f>
        <v/>
      </c>
      <c r="U656" s="112">
        <f>IF($G656="","",ROUND($G656*$T656,2))</f>
        <v/>
      </c>
      <c r="V656" s="113">
        <f>IF($B656="","",MONTH($B656))</f>
        <v/>
      </c>
      <c r="W656" s="113">
        <f>IF($B656="","",YEAR($B656))</f>
        <v/>
      </c>
    </row>
    <row r="657">
      <c r="B657" s="105" t="n"/>
      <c r="C657" s="54" t="n"/>
      <c r="D657" s="54" t="n"/>
      <c r="E657" s="54" t="n"/>
      <c r="F657" s="54" t="n"/>
      <c r="G657" s="65" t="n"/>
      <c r="H657" s="54" t="n"/>
      <c r="I657" s="106">
        <f>IF($C657="","",IFERROR(INDEX(Sens_Types,MATCH($C657,Liste_Types,0)),""))</f>
        <v/>
      </c>
      <c r="J657" s="107">
        <f>IF($I657="▲ ENTRÉE",$U657,"")</f>
        <v/>
      </c>
      <c r="K657" s="108">
        <f>IF($I657="▼ SORTIE",$U657,"")</f>
        <v/>
      </c>
      <c r="L657" s="109">
        <f>$L656+N($J657)-N($K657)</f>
        <v/>
      </c>
      <c r="M657" s="110" t="n"/>
      <c r="N657" s="54" t="n"/>
      <c r="O657" s="54" t="n"/>
      <c r="P657" s="54" t="n"/>
      <c r="Q657" s="110" t="n"/>
      <c r="R657" s="110" t="n"/>
      <c r="S657" s="54" t="n"/>
      <c r="T657" s="111">
        <f>IF($G657="","",IFERROR(INDEX(Taux_Devises,MATCH(IF($M657="",Devise_Base,$M657),Codes_Devises,0)),1))</f>
        <v/>
      </c>
      <c r="U657" s="112">
        <f>IF($G657="","",ROUND($G657*$T657,2))</f>
        <v/>
      </c>
      <c r="V657" s="113">
        <f>IF($B657="","",MONTH($B657))</f>
        <v/>
      </c>
      <c r="W657" s="113">
        <f>IF($B657="","",YEAR($B657))</f>
        <v/>
      </c>
    </row>
    <row r="658">
      <c r="B658" s="105" t="n"/>
      <c r="C658" s="54" t="n"/>
      <c r="D658" s="54" t="n"/>
      <c r="E658" s="54" t="n"/>
      <c r="F658" s="54" t="n"/>
      <c r="G658" s="65" t="n"/>
      <c r="H658" s="54" t="n"/>
      <c r="I658" s="106">
        <f>IF($C658="","",IFERROR(INDEX(Sens_Types,MATCH($C658,Liste_Types,0)),""))</f>
        <v/>
      </c>
      <c r="J658" s="107">
        <f>IF($I658="▲ ENTRÉE",$U658,"")</f>
        <v/>
      </c>
      <c r="K658" s="108">
        <f>IF($I658="▼ SORTIE",$U658,"")</f>
        <v/>
      </c>
      <c r="L658" s="109">
        <f>$L657+N($J658)-N($K658)</f>
        <v/>
      </c>
      <c r="M658" s="110" t="n"/>
      <c r="N658" s="54" t="n"/>
      <c r="O658" s="54" t="n"/>
      <c r="P658" s="54" t="n"/>
      <c r="Q658" s="110" t="n"/>
      <c r="R658" s="110" t="n"/>
      <c r="S658" s="54" t="n"/>
      <c r="T658" s="111">
        <f>IF($G658="","",IFERROR(INDEX(Taux_Devises,MATCH(IF($M658="",Devise_Base,$M658),Codes_Devises,0)),1))</f>
        <v/>
      </c>
      <c r="U658" s="112">
        <f>IF($G658="","",ROUND($G658*$T658,2))</f>
        <v/>
      </c>
      <c r="V658" s="113">
        <f>IF($B658="","",MONTH($B658))</f>
        <v/>
      </c>
      <c r="W658" s="113">
        <f>IF($B658="","",YEAR($B658))</f>
        <v/>
      </c>
    </row>
    <row r="659">
      <c r="B659" s="105" t="n"/>
      <c r="C659" s="54" t="n"/>
      <c r="D659" s="54" t="n"/>
      <c r="E659" s="54" t="n"/>
      <c r="F659" s="54" t="n"/>
      <c r="G659" s="65" t="n"/>
      <c r="H659" s="54" t="n"/>
      <c r="I659" s="106">
        <f>IF($C659="","",IFERROR(INDEX(Sens_Types,MATCH($C659,Liste_Types,0)),""))</f>
        <v/>
      </c>
      <c r="J659" s="107">
        <f>IF($I659="▲ ENTRÉE",$U659,"")</f>
        <v/>
      </c>
      <c r="K659" s="108">
        <f>IF($I659="▼ SORTIE",$U659,"")</f>
        <v/>
      </c>
      <c r="L659" s="109">
        <f>$L658+N($J659)-N($K659)</f>
        <v/>
      </c>
      <c r="M659" s="110" t="n"/>
      <c r="N659" s="54" t="n"/>
      <c r="O659" s="54" t="n"/>
      <c r="P659" s="54" t="n"/>
      <c r="Q659" s="110" t="n"/>
      <c r="R659" s="110" t="n"/>
      <c r="S659" s="54" t="n"/>
      <c r="T659" s="111">
        <f>IF($G659="","",IFERROR(INDEX(Taux_Devises,MATCH(IF($M659="",Devise_Base,$M659),Codes_Devises,0)),1))</f>
        <v/>
      </c>
      <c r="U659" s="112">
        <f>IF($G659="","",ROUND($G659*$T659,2))</f>
        <v/>
      </c>
      <c r="V659" s="113">
        <f>IF($B659="","",MONTH($B659))</f>
        <v/>
      </c>
      <c r="W659" s="113">
        <f>IF($B659="","",YEAR($B659))</f>
        <v/>
      </c>
    </row>
    <row r="660">
      <c r="B660" s="105" t="n"/>
      <c r="C660" s="54" t="n"/>
      <c r="D660" s="54" t="n"/>
      <c r="E660" s="54" t="n"/>
      <c r="F660" s="54" t="n"/>
      <c r="G660" s="65" t="n"/>
      <c r="H660" s="54" t="n"/>
      <c r="I660" s="106">
        <f>IF($C660="","",IFERROR(INDEX(Sens_Types,MATCH($C660,Liste_Types,0)),""))</f>
        <v/>
      </c>
      <c r="J660" s="107">
        <f>IF($I660="▲ ENTRÉE",$U660,"")</f>
        <v/>
      </c>
      <c r="K660" s="108">
        <f>IF($I660="▼ SORTIE",$U660,"")</f>
        <v/>
      </c>
      <c r="L660" s="109">
        <f>$L659+N($J660)-N($K660)</f>
        <v/>
      </c>
      <c r="M660" s="110" t="n"/>
      <c r="N660" s="54" t="n"/>
      <c r="O660" s="54" t="n"/>
      <c r="P660" s="54" t="n"/>
      <c r="Q660" s="110" t="n"/>
      <c r="R660" s="110" t="n"/>
      <c r="S660" s="54" t="n"/>
      <c r="T660" s="111">
        <f>IF($G660="","",IFERROR(INDEX(Taux_Devises,MATCH(IF($M660="",Devise_Base,$M660),Codes_Devises,0)),1))</f>
        <v/>
      </c>
      <c r="U660" s="112">
        <f>IF($G660="","",ROUND($G660*$T660,2))</f>
        <v/>
      </c>
      <c r="V660" s="113">
        <f>IF($B660="","",MONTH($B660))</f>
        <v/>
      </c>
      <c r="W660" s="113">
        <f>IF($B660="","",YEAR($B660))</f>
        <v/>
      </c>
    </row>
    <row r="661">
      <c r="B661" s="105" t="n"/>
      <c r="C661" s="54" t="n"/>
      <c r="D661" s="54" t="n"/>
      <c r="E661" s="54" t="n"/>
      <c r="F661" s="54" t="n"/>
      <c r="G661" s="65" t="n"/>
      <c r="H661" s="54" t="n"/>
      <c r="I661" s="106">
        <f>IF($C661="","",IFERROR(INDEX(Sens_Types,MATCH($C661,Liste_Types,0)),""))</f>
        <v/>
      </c>
      <c r="J661" s="107">
        <f>IF($I661="▲ ENTRÉE",$U661,"")</f>
        <v/>
      </c>
      <c r="K661" s="108">
        <f>IF($I661="▼ SORTIE",$U661,"")</f>
        <v/>
      </c>
      <c r="L661" s="109">
        <f>$L660+N($J661)-N($K661)</f>
        <v/>
      </c>
      <c r="M661" s="110" t="n"/>
      <c r="N661" s="54" t="n"/>
      <c r="O661" s="54" t="n"/>
      <c r="P661" s="54" t="n"/>
      <c r="Q661" s="110" t="n"/>
      <c r="R661" s="110" t="n"/>
      <c r="S661" s="54" t="n"/>
      <c r="T661" s="111">
        <f>IF($G661="","",IFERROR(INDEX(Taux_Devises,MATCH(IF($M661="",Devise_Base,$M661),Codes_Devises,0)),1))</f>
        <v/>
      </c>
      <c r="U661" s="112">
        <f>IF($G661="","",ROUND($G661*$T661,2))</f>
        <v/>
      </c>
      <c r="V661" s="113">
        <f>IF($B661="","",MONTH($B661))</f>
        <v/>
      </c>
      <c r="W661" s="113">
        <f>IF($B661="","",YEAR($B661))</f>
        <v/>
      </c>
    </row>
    <row r="662">
      <c r="B662" s="105" t="n"/>
      <c r="C662" s="54" t="n"/>
      <c r="D662" s="54" t="n"/>
      <c r="E662" s="54" t="n"/>
      <c r="F662" s="54" t="n"/>
      <c r="G662" s="65" t="n"/>
      <c r="H662" s="54" t="n"/>
      <c r="I662" s="106">
        <f>IF($C662="","",IFERROR(INDEX(Sens_Types,MATCH($C662,Liste_Types,0)),""))</f>
        <v/>
      </c>
      <c r="J662" s="107">
        <f>IF($I662="▲ ENTRÉE",$U662,"")</f>
        <v/>
      </c>
      <c r="K662" s="108">
        <f>IF($I662="▼ SORTIE",$U662,"")</f>
        <v/>
      </c>
      <c r="L662" s="109">
        <f>$L661+N($J662)-N($K662)</f>
        <v/>
      </c>
      <c r="M662" s="110" t="n"/>
      <c r="N662" s="54" t="n"/>
      <c r="O662" s="54" t="n"/>
      <c r="P662" s="54" t="n"/>
      <c r="Q662" s="110" t="n"/>
      <c r="R662" s="110" t="n"/>
      <c r="S662" s="54" t="n"/>
      <c r="T662" s="111">
        <f>IF($G662="","",IFERROR(INDEX(Taux_Devises,MATCH(IF($M662="",Devise_Base,$M662),Codes_Devises,0)),1))</f>
        <v/>
      </c>
      <c r="U662" s="112">
        <f>IF($G662="","",ROUND($G662*$T662,2))</f>
        <v/>
      </c>
      <c r="V662" s="113">
        <f>IF($B662="","",MONTH($B662))</f>
        <v/>
      </c>
      <c r="W662" s="113">
        <f>IF($B662="","",YEAR($B662))</f>
        <v/>
      </c>
    </row>
    <row r="663">
      <c r="B663" s="105" t="n"/>
      <c r="C663" s="54" t="n"/>
      <c r="D663" s="54" t="n"/>
      <c r="E663" s="54" t="n"/>
      <c r="F663" s="54" t="n"/>
      <c r="G663" s="65" t="n"/>
      <c r="H663" s="54" t="n"/>
      <c r="I663" s="106">
        <f>IF($C663="","",IFERROR(INDEX(Sens_Types,MATCH($C663,Liste_Types,0)),""))</f>
        <v/>
      </c>
      <c r="J663" s="107">
        <f>IF($I663="▲ ENTRÉE",$U663,"")</f>
        <v/>
      </c>
      <c r="K663" s="108">
        <f>IF($I663="▼ SORTIE",$U663,"")</f>
        <v/>
      </c>
      <c r="L663" s="109">
        <f>$L662+N($J663)-N($K663)</f>
        <v/>
      </c>
      <c r="M663" s="110" t="n"/>
      <c r="N663" s="54" t="n"/>
      <c r="O663" s="54" t="n"/>
      <c r="P663" s="54" t="n"/>
      <c r="Q663" s="110" t="n"/>
      <c r="R663" s="110" t="n"/>
      <c r="S663" s="54" t="n"/>
      <c r="T663" s="111">
        <f>IF($G663="","",IFERROR(INDEX(Taux_Devises,MATCH(IF($M663="",Devise_Base,$M663),Codes_Devises,0)),1))</f>
        <v/>
      </c>
      <c r="U663" s="112">
        <f>IF($G663="","",ROUND($G663*$T663,2))</f>
        <v/>
      </c>
      <c r="V663" s="113">
        <f>IF($B663="","",MONTH($B663))</f>
        <v/>
      </c>
      <c r="W663" s="113">
        <f>IF($B663="","",YEAR($B663))</f>
        <v/>
      </c>
    </row>
    <row r="664">
      <c r="B664" s="105" t="n"/>
      <c r="C664" s="54" t="n"/>
      <c r="D664" s="54" t="n"/>
      <c r="E664" s="54" t="n"/>
      <c r="F664" s="54" t="n"/>
      <c r="G664" s="65" t="n"/>
      <c r="H664" s="54" t="n"/>
      <c r="I664" s="106">
        <f>IF($C664="","",IFERROR(INDEX(Sens_Types,MATCH($C664,Liste_Types,0)),""))</f>
        <v/>
      </c>
      <c r="J664" s="107">
        <f>IF($I664="▲ ENTRÉE",$U664,"")</f>
        <v/>
      </c>
      <c r="K664" s="108">
        <f>IF($I664="▼ SORTIE",$U664,"")</f>
        <v/>
      </c>
      <c r="L664" s="109">
        <f>$L663+N($J664)-N($K664)</f>
        <v/>
      </c>
      <c r="M664" s="110" t="n"/>
      <c r="N664" s="54" t="n"/>
      <c r="O664" s="54" t="n"/>
      <c r="P664" s="54" t="n"/>
      <c r="Q664" s="110" t="n"/>
      <c r="R664" s="110" t="n"/>
      <c r="S664" s="54" t="n"/>
      <c r="T664" s="111">
        <f>IF($G664="","",IFERROR(INDEX(Taux_Devises,MATCH(IF($M664="",Devise_Base,$M664),Codes_Devises,0)),1))</f>
        <v/>
      </c>
      <c r="U664" s="112">
        <f>IF($G664="","",ROUND($G664*$T664,2))</f>
        <v/>
      </c>
      <c r="V664" s="113">
        <f>IF($B664="","",MONTH($B664))</f>
        <v/>
      </c>
      <c r="W664" s="113">
        <f>IF($B664="","",YEAR($B664))</f>
        <v/>
      </c>
    </row>
    <row r="665">
      <c r="B665" s="105" t="n"/>
      <c r="C665" s="54" t="n"/>
      <c r="D665" s="54" t="n"/>
      <c r="E665" s="54" t="n"/>
      <c r="F665" s="54" t="n"/>
      <c r="G665" s="65" t="n"/>
      <c r="H665" s="54" t="n"/>
      <c r="I665" s="106">
        <f>IF($C665="","",IFERROR(INDEX(Sens_Types,MATCH($C665,Liste_Types,0)),""))</f>
        <v/>
      </c>
      <c r="J665" s="107">
        <f>IF($I665="▲ ENTRÉE",$U665,"")</f>
        <v/>
      </c>
      <c r="K665" s="108">
        <f>IF($I665="▼ SORTIE",$U665,"")</f>
        <v/>
      </c>
      <c r="L665" s="109">
        <f>$L664+N($J665)-N($K665)</f>
        <v/>
      </c>
      <c r="M665" s="110" t="n"/>
      <c r="N665" s="54" t="n"/>
      <c r="O665" s="54" t="n"/>
      <c r="P665" s="54" t="n"/>
      <c r="Q665" s="110" t="n"/>
      <c r="R665" s="110" t="n"/>
      <c r="S665" s="54" t="n"/>
      <c r="T665" s="111">
        <f>IF($G665="","",IFERROR(INDEX(Taux_Devises,MATCH(IF($M665="",Devise_Base,$M665),Codes_Devises,0)),1))</f>
        <v/>
      </c>
      <c r="U665" s="112">
        <f>IF($G665="","",ROUND($G665*$T665,2))</f>
        <v/>
      </c>
      <c r="V665" s="113">
        <f>IF($B665="","",MONTH($B665))</f>
        <v/>
      </c>
      <c r="W665" s="113">
        <f>IF($B665="","",YEAR($B665))</f>
        <v/>
      </c>
    </row>
    <row r="666">
      <c r="B666" s="105" t="n"/>
      <c r="C666" s="54" t="n"/>
      <c r="D666" s="54" t="n"/>
      <c r="E666" s="54" t="n"/>
      <c r="F666" s="54" t="n"/>
      <c r="G666" s="65" t="n"/>
      <c r="H666" s="54" t="n"/>
      <c r="I666" s="106">
        <f>IF($C666="","",IFERROR(INDEX(Sens_Types,MATCH($C666,Liste_Types,0)),""))</f>
        <v/>
      </c>
      <c r="J666" s="107">
        <f>IF($I666="▲ ENTRÉE",$U666,"")</f>
        <v/>
      </c>
      <c r="K666" s="108">
        <f>IF($I666="▼ SORTIE",$U666,"")</f>
        <v/>
      </c>
      <c r="L666" s="109">
        <f>$L665+N($J666)-N($K666)</f>
        <v/>
      </c>
      <c r="M666" s="110" t="n"/>
      <c r="N666" s="54" t="n"/>
      <c r="O666" s="54" t="n"/>
      <c r="P666" s="54" t="n"/>
      <c r="Q666" s="110" t="n"/>
      <c r="R666" s="110" t="n"/>
      <c r="S666" s="54" t="n"/>
      <c r="T666" s="111">
        <f>IF($G666="","",IFERROR(INDEX(Taux_Devises,MATCH(IF($M666="",Devise_Base,$M666),Codes_Devises,0)),1))</f>
        <v/>
      </c>
      <c r="U666" s="112">
        <f>IF($G666="","",ROUND($G666*$T666,2))</f>
        <v/>
      </c>
      <c r="V666" s="113">
        <f>IF($B666="","",MONTH($B666))</f>
        <v/>
      </c>
      <c r="W666" s="113">
        <f>IF($B666="","",YEAR($B666))</f>
        <v/>
      </c>
    </row>
    <row r="667">
      <c r="B667" s="105" t="n"/>
      <c r="C667" s="54" t="n"/>
      <c r="D667" s="54" t="n"/>
      <c r="E667" s="54" t="n"/>
      <c r="F667" s="54" t="n"/>
      <c r="G667" s="65" t="n"/>
      <c r="H667" s="54" t="n"/>
      <c r="I667" s="106">
        <f>IF($C667="","",IFERROR(INDEX(Sens_Types,MATCH($C667,Liste_Types,0)),""))</f>
        <v/>
      </c>
      <c r="J667" s="107">
        <f>IF($I667="▲ ENTRÉE",$U667,"")</f>
        <v/>
      </c>
      <c r="K667" s="108">
        <f>IF($I667="▼ SORTIE",$U667,"")</f>
        <v/>
      </c>
      <c r="L667" s="109">
        <f>$L666+N($J667)-N($K667)</f>
        <v/>
      </c>
      <c r="M667" s="110" t="n"/>
      <c r="N667" s="54" t="n"/>
      <c r="O667" s="54" t="n"/>
      <c r="P667" s="54" t="n"/>
      <c r="Q667" s="110" t="n"/>
      <c r="R667" s="110" t="n"/>
      <c r="S667" s="54" t="n"/>
      <c r="T667" s="111">
        <f>IF($G667="","",IFERROR(INDEX(Taux_Devises,MATCH(IF($M667="",Devise_Base,$M667),Codes_Devises,0)),1))</f>
        <v/>
      </c>
      <c r="U667" s="112">
        <f>IF($G667="","",ROUND($G667*$T667,2))</f>
        <v/>
      </c>
      <c r="V667" s="113">
        <f>IF($B667="","",MONTH($B667))</f>
        <v/>
      </c>
      <c r="W667" s="113">
        <f>IF($B667="","",YEAR($B667))</f>
        <v/>
      </c>
    </row>
    <row r="668">
      <c r="B668" s="105" t="n"/>
      <c r="C668" s="54" t="n"/>
      <c r="D668" s="54" t="n"/>
      <c r="E668" s="54" t="n"/>
      <c r="F668" s="54" t="n"/>
      <c r="G668" s="65" t="n"/>
      <c r="H668" s="54" t="n"/>
      <c r="I668" s="106">
        <f>IF($C668="","",IFERROR(INDEX(Sens_Types,MATCH($C668,Liste_Types,0)),""))</f>
        <v/>
      </c>
      <c r="J668" s="107">
        <f>IF($I668="▲ ENTRÉE",$U668,"")</f>
        <v/>
      </c>
      <c r="K668" s="108">
        <f>IF($I668="▼ SORTIE",$U668,"")</f>
        <v/>
      </c>
      <c r="L668" s="109">
        <f>$L667+N($J668)-N($K668)</f>
        <v/>
      </c>
      <c r="M668" s="110" t="n"/>
      <c r="N668" s="54" t="n"/>
      <c r="O668" s="54" t="n"/>
      <c r="P668" s="54" t="n"/>
      <c r="Q668" s="110" t="n"/>
      <c r="R668" s="110" t="n"/>
      <c r="S668" s="54" t="n"/>
      <c r="T668" s="111">
        <f>IF($G668="","",IFERROR(INDEX(Taux_Devises,MATCH(IF($M668="",Devise_Base,$M668),Codes_Devises,0)),1))</f>
        <v/>
      </c>
      <c r="U668" s="112">
        <f>IF($G668="","",ROUND($G668*$T668,2))</f>
        <v/>
      </c>
      <c r="V668" s="113">
        <f>IF($B668="","",MONTH($B668))</f>
        <v/>
      </c>
      <c r="W668" s="113">
        <f>IF($B668="","",YEAR($B668))</f>
        <v/>
      </c>
    </row>
    <row r="669">
      <c r="B669" s="105" t="n"/>
      <c r="C669" s="54" t="n"/>
      <c r="D669" s="54" t="n"/>
      <c r="E669" s="54" t="n"/>
      <c r="F669" s="54" t="n"/>
      <c r="G669" s="65" t="n"/>
      <c r="H669" s="54" t="n"/>
      <c r="I669" s="106">
        <f>IF($C669="","",IFERROR(INDEX(Sens_Types,MATCH($C669,Liste_Types,0)),""))</f>
        <v/>
      </c>
      <c r="J669" s="107">
        <f>IF($I669="▲ ENTRÉE",$U669,"")</f>
        <v/>
      </c>
      <c r="K669" s="108">
        <f>IF($I669="▼ SORTIE",$U669,"")</f>
        <v/>
      </c>
      <c r="L669" s="109">
        <f>$L668+N($J669)-N($K669)</f>
        <v/>
      </c>
      <c r="M669" s="110" t="n"/>
      <c r="N669" s="54" t="n"/>
      <c r="O669" s="54" t="n"/>
      <c r="P669" s="54" t="n"/>
      <c r="Q669" s="110" t="n"/>
      <c r="R669" s="110" t="n"/>
      <c r="S669" s="54" t="n"/>
      <c r="T669" s="111">
        <f>IF($G669="","",IFERROR(INDEX(Taux_Devises,MATCH(IF($M669="",Devise_Base,$M669),Codes_Devises,0)),1))</f>
        <v/>
      </c>
      <c r="U669" s="112">
        <f>IF($G669="","",ROUND($G669*$T669,2))</f>
        <v/>
      </c>
      <c r="V669" s="113">
        <f>IF($B669="","",MONTH($B669))</f>
        <v/>
      </c>
      <c r="W669" s="113">
        <f>IF($B669="","",YEAR($B669))</f>
        <v/>
      </c>
    </row>
    <row r="670">
      <c r="B670" s="105" t="n"/>
      <c r="C670" s="54" t="n"/>
      <c r="D670" s="54" t="n"/>
      <c r="E670" s="54" t="n"/>
      <c r="F670" s="54" t="n"/>
      <c r="G670" s="65" t="n"/>
      <c r="H670" s="54" t="n"/>
      <c r="I670" s="106">
        <f>IF($C670="","",IFERROR(INDEX(Sens_Types,MATCH($C670,Liste_Types,0)),""))</f>
        <v/>
      </c>
      <c r="J670" s="107">
        <f>IF($I670="▲ ENTRÉE",$U670,"")</f>
        <v/>
      </c>
      <c r="K670" s="108">
        <f>IF($I670="▼ SORTIE",$U670,"")</f>
        <v/>
      </c>
      <c r="L670" s="109">
        <f>$L669+N($J670)-N($K670)</f>
        <v/>
      </c>
      <c r="M670" s="110" t="n"/>
      <c r="N670" s="54" t="n"/>
      <c r="O670" s="54" t="n"/>
      <c r="P670" s="54" t="n"/>
      <c r="Q670" s="110" t="n"/>
      <c r="R670" s="110" t="n"/>
      <c r="S670" s="54" t="n"/>
      <c r="T670" s="111">
        <f>IF($G670="","",IFERROR(INDEX(Taux_Devises,MATCH(IF($M670="",Devise_Base,$M670),Codes_Devises,0)),1))</f>
        <v/>
      </c>
      <c r="U670" s="112">
        <f>IF($G670="","",ROUND($G670*$T670,2))</f>
        <v/>
      </c>
      <c r="V670" s="113">
        <f>IF($B670="","",MONTH($B670))</f>
        <v/>
      </c>
      <c r="W670" s="113">
        <f>IF($B670="","",YEAR($B670))</f>
        <v/>
      </c>
    </row>
    <row r="671">
      <c r="B671" s="105" t="n"/>
      <c r="C671" s="54" t="n"/>
      <c r="D671" s="54" t="n"/>
      <c r="E671" s="54" t="n"/>
      <c r="F671" s="54" t="n"/>
      <c r="G671" s="65" t="n"/>
      <c r="H671" s="54" t="n"/>
      <c r="I671" s="106">
        <f>IF($C671="","",IFERROR(INDEX(Sens_Types,MATCH($C671,Liste_Types,0)),""))</f>
        <v/>
      </c>
      <c r="J671" s="107">
        <f>IF($I671="▲ ENTRÉE",$U671,"")</f>
        <v/>
      </c>
      <c r="K671" s="108">
        <f>IF($I671="▼ SORTIE",$U671,"")</f>
        <v/>
      </c>
      <c r="L671" s="109">
        <f>$L670+N($J671)-N($K671)</f>
        <v/>
      </c>
      <c r="M671" s="110" t="n"/>
      <c r="N671" s="54" t="n"/>
      <c r="O671" s="54" t="n"/>
      <c r="P671" s="54" t="n"/>
      <c r="Q671" s="110" t="n"/>
      <c r="R671" s="110" t="n"/>
      <c r="S671" s="54" t="n"/>
      <c r="T671" s="111">
        <f>IF($G671="","",IFERROR(INDEX(Taux_Devises,MATCH(IF($M671="",Devise_Base,$M671),Codes_Devises,0)),1))</f>
        <v/>
      </c>
      <c r="U671" s="112">
        <f>IF($G671="","",ROUND($G671*$T671,2))</f>
        <v/>
      </c>
      <c r="V671" s="113">
        <f>IF($B671="","",MONTH($B671))</f>
        <v/>
      </c>
      <c r="W671" s="113">
        <f>IF($B671="","",YEAR($B671))</f>
        <v/>
      </c>
    </row>
    <row r="672">
      <c r="B672" s="105" t="n"/>
      <c r="C672" s="54" t="n"/>
      <c r="D672" s="54" t="n"/>
      <c r="E672" s="54" t="n"/>
      <c r="F672" s="54" t="n"/>
      <c r="G672" s="65" t="n"/>
      <c r="H672" s="54" t="n"/>
      <c r="I672" s="106">
        <f>IF($C672="","",IFERROR(INDEX(Sens_Types,MATCH($C672,Liste_Types,0)),""))</f>
        <v/>
      </c>
      <c r="J672" s="107">
        <f>IF($I672="▲ ENTRÉE",$U672,"")</f>
        <v/>
      </c>
      <c r="K672" s="108">
        <f>IF($I672="▼ SORTIE",$U672,"")</f>
        <v/>
      </c>
      <c r="L672" s="109">
        <f>$L671+N($J672)-N($K672)</f>
        <v/>
      </c>
      <c r="M672" s="110" t="n"/>
      <c r="N672" s="54" t="n"/>
      <c r="O672" s="54" t="n"/>
      <c r="P672" s="54" t="n"/>
      <c r="Q672" s="110" t="n"/>
      <c r="R672" s="110" t="n"/>
      <c r="S672" s="54" t="n"/>
      <c r="T672" s="111">
        <f>IF($G672="","",IFERROR(INDEX(Taux_Devises,MATCH(IF($M672="",Devise_Base,$M672),Codes_Devises,0)),1))</f>
        <v/>
      </c>
      <c r="U672" s="112">
        <f>IF($G672="","",ROUND($G672*$T672,2))</f>
        <v/>
      </c>
      <c r="V672" s="113">
        <f>IF($B672="","",MONTH($B672))</f>
        <v/>
      </c>
      <c r="W672" s="113">
        <f>IF($B672="","",YEAR($B672))</f>
        <v/>
      </c>
    </row>
    <row r="673">
      <c r="B673" s="105" t="n"/>
      <c r="C673" s="54" t="n"/>
      <c r="D673" s="54" t="n"/>
      <c r="E673" s="54" t="n"/>
      <c r="F673" s="54" t="n"/>
      <c r="G673" s="65" t="n"/>
      <c r="H673" s="54" t="n"/>
      <c r="I673" s="106">
        <f>IF($C673="","",IFERROR(INDEX(Sens_Types,MATCH($C673,Liste_Types,0)),""))</f>
        <v/>
      </c>
      <c r="J673" s="107">
        <f>IF($I673="▲ ENTRÉE",$U673,"")</f>
        <v/>
      </c>
      <c r="K673" s="108">
        <f>IF($I673="▼ SORTIE",$U673,"")</f>
        <v/>
      </c>
      <c r="L673" s="109">
        <f>$L672+N($J673)-N($K673)</f>
        <v/>
      </c>
      <c r="M673" s="110" t="n"/>
      <c r="N673" s="54" t="n"/>
      <c r="O673" s="54" t="n"/>
      <c r="P673" s="54" t="n"/>
      <c r="Q673" s="110" t="n"/>
      <c r="R673" s="110" t="n"/>
      <c r="S673" s="54" t="n"/>
      <c r="T673" s="111">
        <f>IF($G673="","",IFERROR(INDEX(Taux_Devises,MATCH(IF($M673="",Devise_Base,$M673),Codes_Devises,0)),1))</f>
        <v/>
      </c>
      <c r="U673" s="112">
        <f>IF($G673="","",ROUND($G673*$T673,2))</f>
        <v/>
      </c>
      <c r="V673" s="113">
        <f>IF($B673="","",MONTH($B673))</f>
        <v/>
      </c>
      <c r="W673" s="113">
        <f>IF($B673="","",YEAR($B673))</f>
        <v/>
      </c>
    </row>
    <row r="674">
      <c r="B674" s="105" t="n"/>
      <c r="C674" s="54" t="n"/>
      <c r="D674" s="54" t="n"/>
      <c r="E674" s="54" t="n"/>
      <c r="F674" s="54" t="n"/>
      <c r="G674" s="65" t="n"/>
      <c r="H674" s="54" t="n"/>
      <c r="I674" s="106">
        <f>IF($C674="","",IFERROR(INDEX(Sens_Types,MATCH($C674,Liste_Types,0)),""))</f>
        <v/>
      </c>
      <c r="J674" s="107">
        <f>IF($I674="▲ ENTRÉE",$U674,"")</f>
        <v/>
      </c>
      <c r="K674" s="108">
        <f>IF($I674="▼ SORTIE",$U674,"")</f>
        <v/>
      </c>
      <c r="L674" s="109">
        <f>$L673+N($J674)-N($K674)</f>
        <v/>
      </c>
      <c r="M674" s="110" t="n"/>
      <c r="N674" s="54" t="n"/>
      <c r="O674" s="54" t="n"/>
      <c r="P674" s="54" t="n"/>
      <c r="Q674" s="110" t="n"/>
      <c r="R674" s="110" t="n"/>
      <c r="S674" s="54" t="n"/>
      <c r="T674" s="111">
        <f>IF($G674="","",IFERROR(INDEX(Taux_Devises,MATCH(IF($M674="",Devise_Base,$M674),Codes_Devises,0)),1))</f>
        <v/>
      </c>
      <c r="U674" s="112">
        <f>IF($G674="","",ROUND($G674*$T674,2))</f>
        <v/>
      </c>
      <c r="V674" s="113">
        <f>IF($B674="","",MONTH($B674))</f>
        <v/>
      </c>
      <c r="W674" s="113">
        <f>IF($B674="","",YEAR($B674))</f>
        <v/>
      </c>
    </row>
    <row r="675">
      <c r="B675" s="105" t="n"/>
      <c r="C675" s="54" t="n"/>
      <c r="D675" s="54" t="n"/>
      <c r="E675" s="54" t="n"/>
      <c r="F675" s="54" t="n"/>
      <c r="G675" s="65" t="n"/>
      <c r="H675" s="54" t="n"/>
      <c r="I675" s="106">
        <f>IF($C675="","",IFERROR(INDEX(Sens_Types,MATCH($C675,Liste_Types,0)),""))</f>
        <v/>
      </c>
      <c r="J675" s="107">
        <f>IF($I675="▲ ENTRÉE",$U675,"")</f>
        <v/>
      </c>
      <c r="K675" s="108">
        <f>IF($I675="▼ SORTIE",$U675,"")</f>
        <v/>
      </c>
      <c r="L675" s="109">
        <f>$L674+N($J675)-N($K675)</f>
        <v/>
      </c>
      <c r="M675" s="110" t="n"/>
      <c r="N675" s="54" t="n"/>
      <c r="O675" s="54" t="n"/>
      <c r="P675" s="54" t="n"/>
      <c r="Q675" s="110" t="n"/>
      <c r="R675" s="110" t="n"/>
      <c r="S675" s="54" t="n"/>
      <c r="T675" s="111">
        <f>IF($G675="","",IFERROR(INDEX(Taux_Devises,MATCH(IF($M675="",Devise_Base,$M675),Codes_Devises,0)),1))</f>
        <v/>
      </c>
      <c r="U675" s="112">
        <f>IF($G675="","",ROUND($G675*$T675,2))</f>
        <v/>
      </c>
      <c r="V675" s="113">
        <f>IF($B675="","",MONTH($B675))</f>
        <v/>
      </c>
      <c r="W675" s="113">
        <f>IF($B675="","",YEAR($B675))</f>
        <v/>
      </c>
    </row>
    <row r="676">
      <c r="B676" s="105" t="n"/>
      <c r="C676" s="54" t="n"/>
      <c r="D676" s="54" t="n"/>
      <c r="E676" s="54" t="n"/>
      <c r="F676" s="54" t="n"/>
      <c r="G676" s="65" t="n"/>
      <c r="H676" s="54" t="n"/>
      <c r="I676" s="106">
        <f>IF($C676="","",IFERROR(INDEX(Sens_Types,MATCH($C676,Liste_Types,0)),""))</f>
        <v/>
      </c>
      <c r="J676" s="107">
        <f>IF($I676="▲ ENTRÉE",$U676,"")</f>
        <v/>
      </c>
      <c r="K676" s="108">
        <f>IF($I676="▼ SORTIE",$U676,"")</f>
        <v/>
      </c>
      <c r="L676" s="109">
        <f>$L675+N($J676)-N($K676)</f>
        <v/>
      </c>
      <c r="M676" s="110" t="n"/>
      <c r="N676" s="54" t="n"/>
      <c r="O676" s="54" t="n"/>
      <c r="P676" s="54" t="n"/>
      <c r="Q676" s="110" t="n"/>
      <c r="R676" s="110" t="n"/>
      <c r="S676" s="54" t="n"/>
      <c r="T676" s="111">
        <f>IF($G676="","",IFERROR(INDEX(Taux_Devises,MATCH(IF($M676="",Devise_Base,$M676),Codes_Devises,0)),1))</f>
        <v/>
      </c>
      <c r="U676" s="112">
        <f>IF($G676="","",ROUND($G676*$T676,2))</f>
        <v/>
      </c>
      <c r="V676" s="113">
        <f>IF($B676="","",MONTH($B676))</f>
        <v/>
      </c>
      <c r="W676" s="113">
        <f>IF($B676="","",YEAR($B676))</f>
        <v/>
      </c>
    </row>
    <row r="677">
      <c r="B677" s="105" t="n"/>
      <c r="C677" s="54" t="n"/>
      <c r="D677" s="54" t="n"/>
      <c r="E677" s="54" t="n"/>
      <c r="F677" s="54" t="n"/>
      <c r="G677" s="65" t="n"/>
      <c r="H677" s="54" t="n"/>
      <c r="I677" s="106">
        <f>IF($C677="","",IFERROR(INDEX(Sens_Types,MATCH($C677,Liste_Types,0)),""))</f>
        <v/>
      </c>
      <c r="J677" s="107">
        <f>IF($I677="▲ ENTRÉE",$U677,"")</f>
        <v/>
      </c>
      <c r="K677" s="108">
        <f>IF($I677="▼ SORTIE",$U677,"")</f>
        <v/>
      </c>
      <c r="L677" s="109">
        <f>$L676+N($J677)-N($K677)</f>
        <v/>
      </c>
      <c r="M677" s="110" t="n"/>
      <c r="N677" s="54" t="n"/>
      <c r="O677" s="54" t="n"/>
      <c r="P677" s="54" t="n"/>
      <c r="Q677" s="110" t="n"/>
      <c r="R677" s="110" t="n"/>
      <c r="S677" s="54" t="n"/>
      <c r="T677" s="111">
        <f>IF($G677="","",IFERROR(INDEX(Taux_Devises,MATCH(IF($M677="",Devise_Base,$M677),Codes_Devises,0)),1))</f>
        <v/>
      </c>
      <c r="U677" s="112">
        <f>IF($G677="","",ROUND($G677*$T677,2))</f>
        <v/>
      </c>
      <c r="V677" s="113">
        <f>IF($B677="","",MONTH($B677))</f>
        <v/>
      </c>
      <c r="W677" s="113">
        <f>IF($B677="","",YEAR($B677))</f>
        <v/>
      </c>
    </row>
    <row r="678">
      <c r="B678" s="105" t="n"/>
      <c r="C678" s="54" t="n"/>
      <c r="D678" s="54" t="n"/>
      <c r="E678" s="54" t="n"/>
      <c r="F678" s="54" t="n"/>
      <c r="G678" s="65" t="n"/>
      <c r="H678" s="54" t="n"/>
      <c r="I678" s="106">
        <f>IF($C678="","",IFERROR(INDEX(Sens_Types,MATCH($C678,Liste_Types,0)),""))</f>
        <v/>
      </c>
      <c r="J678" s="107">
        <f>IF($I678="▲ ENTRÉE",$U678,"")</f>
        <v/>
      </c>
      <c r="K678" s="108">
        <f>IF($I678="▼ SORTIE",$U678,"")</f>
        <v/>
      </c>
      <c r="L678" s="109">
        <f>$L677+N($J678)-N($K678)</f>
        <v/>
      </c>
      <c r="M678" s="110" t="n"/>
      <c r="N678" s="54" t="n"/>
      <c r="O678" s="54" t="n"/>
      <c r="P678" s="54" t="n"/>
      <c r="Q678" s="110" t="n"/>
      <c r="R678" s="110" t="n"/>
      <c r="S678" s="54" t="n"/>
      <c r="T678" s="111">
        <f>IF($G678="","",IFERROR(INDEX(Taux_Devises,MATCH(IF($M678="",Devise_Base,$M678),Codes_Devises,0)),1))</f>
        <v/>
      </c>
      <c r="U678" s="112">
        <f>IF($G678="","",ROUND($G678*$T678,2))</f>
        <v/>
      </c>
      <c r="V678" s="113">
        <f>IF($B678="","",MONTH($B678))</f>
        <v/>
      </c>
      <c r="W678" s="113">
        <f>IF($B678="","",YEAR($B678))</f>
        <v/>
      </c>
    </row>
    <row r="679">
      <c r="B679" s="105" t="n"/>
      <c r="C679" s="54" t="n"/>
      <c r="D679" s="54" t="n"/>
      <c r="E679" s="54" t="n"/>
      <c r="F679" s="54" t="n"/>
      <c r="G679" s="65" t="n"/>
      <c r="H679" s="54" t="n"/>
      <c r="I679" s="106">
        <f>IF($C679="","",IFERROR(INDEX(Sens_Types,MATCH($C679,Liste_Types,0)),""))</f>
        <v/>
      </c>
      <c r="J679" s="107">
        <f>IF($I679="▲ ENTRÉE",$U679,"")</f>
        <v/>
      </c>
      <c r="K679" s="108">
        <f>IF($I679="▼ SORTIE",$U679,"")</f>
        <v/>
      </c>
      <c r="L679" s="109">
        <f>$L678+N($J679)-N($K679)</f>
        <v/>
      </c>
      <c r="M679" s="110" t="n"/>
      <c r="N679" s="54" t="n"/>
      <c r="O679" s="54" t="n"/>
      <c r="P679" s="54" t="n"/>
      <c r="Q679" s="110" t="n"/>
      <c r="R679" s="110" t="n"/>
      <c r="S679" s="54" t="n"/>
      <c r="T679" s="111">
        <f>IF($G679="","",IFERROR(INDEX(Taux_Devises,MATCH(IF($M679="",Devise_Base,$M679),Codes_Devises,0)),1))</f>
        <v/>
      </c>
      <c r="U679" s="112">
        <f>IF($G679="","",ROUND($G679*$T679,2))</f>
        <v/>
      </c>
      <c r="V679" s="113">
        <f>IF($B679="","",MONTH($B679))</f>
        <v/>
      </c>
      <c r="W679" s="113">
        <f>IF($B679="","",YEAR($B679))</f>
        <v/>
      </c>
    </row>
    <row r="680">
      <c r="B680" s="105" t="n"/>
      <c r="C680" s="54" t="n"/>
      <c r="D680" s="54" t="n"/>
      <c r="E680" s="54" t="n"/>
      <c r="F680" s="54" t="n"/>
      <c r="G680" s="65" t="n"/>
      <c r="H680" s="54" t="n"/>
      <c r="I680" s="106">
        <f>IF($C680="","",IFERROR(INDEX(Sens_Types,MATCH($C680,Liste_Types,0)),""))</f>
        <v/>
      </c>
      <c r="J680" s="107">
        <f>IF($I680="▲ ENTRÉE",$U680,"")</f>
        <v/>
      </c>
      <c r="K680" s="108">
        <f>IF($I680="▼ SORTIE",$U680,"")</f>
        <v/>
      </c>
      <c r="L680" s="109">
        <f>$L679+N($J680)-N($K680)</f>
        <v/>
      </c>
      <c r="M680" s="110" t="n"/>
      <c r="N680" s="54" t="n"/>
      <c r="O680" s="54" t="n"/>
      <c r="P680" s="54" t="n"/>
      <c r="Q680" s="110" t="n"/>
      <c r="R680" s="110" t="n"/>
      <c r="S680" s="54" t="n"/>
      <c r="T680" s="111">
        <f>IF($G680="","",IFERROR(INDEX(Taux_Devises,MATCH(IF($M680="",Devise_Base,$M680),Codes_Devises,0)),1))</f>
        <v/>
      </c>
      <c r="U680" s="112">
        <f>IF($G680="","",ROUND($G680*$T680,2))</f>
        <v/>
      </c>
      <c r="V680" s="113">
        <f>IF($B680="","",MONTH($B680))</f>
        <v/>
      </c>
      <c r="W680" s="113">
        <f>IF($B680="","",YEAR($B680))</f>
        <v/>
      </c>
    </row>
    <row r="681">
      <c r="B681" s="105" t="n"/>
      <c r="C681" s="54" t="n"/>
      <c r="D681" s="54" t="n"/>
      <c r="E681" s="54" t="n"/>
      <c r="F681" s="54" t="n"/>
      <c r="G681" s="65" t="n"/>
      <c r="H681" s="54" t="n"/>
      <c r="I681" s="106">
        <f>IF($C681="","",IFERROR(INDEX(Sens_Types,MATCH($C681,Liste_Types,0)),""))</f>
        <v/>
      </c>
      <c r="J681" s="107">
        <f>IF($I681="▲ ENTRÉE",$U681,"")</f>
        <v/>
      </c>
      <c r="K681" s="108">
        <f>IF($I681="▼ SORTIE",$U681,"")</f>
        <v/>
      </c>
      <c r="L681" s="109">
        <f>$L680+N($J681)-N($K681)</f>
        <v/>
      </c>
      <c r="M681" s="110" t="n"/>
      <c r="N681" s="54" t="n"/>
      <c r="O681" s="54" t="n"/>
      <c r="P681" s="54" t="n"/>
      <c r="Q681" s="110" t="n"/>
      <c r="R681" s="110" t="n"/>
      <c r="S681" s="54" t="n"/>
      <c r="T681" s="111">
        <f>IF($G681="","",IFERROR(INDEX(Taux_Devises,MATCH(IF($M681="",Devise_Base,$M681),Codes_Devises,0)),1))</f>
        <v/>
      </c>
      <c r="U681" s="112">
        <f>IF($G681="","",ROUND($G681*$T681,2))</f>
        <v/>
      </c>
      <c r="V681" s="113">
        <f>IF($B681="","",MONTH($B681))</f>
        <v/>
      </c>
      <c r="W681" s="113">
        <f>IF($B681="","",YEAR($B681))</f>
        <v/>
      </c>
    </row>
    <row r="682">
      <c r="B682" s="105" t="n"/>
      <c r="C682" s="54" t="n"/>
      <c r="D682" s="54" t="n"/>
      <c r="E682" s="54" t="n"/>
      <c r="F682" s="54" t="n"/>
      <c r="G682" s="65" t="n"/>
      <c r="H682" s="54" t="n"/>
      <c r="I682" s="106">
        <f>IF($C682="","",IFERROR(INDEX(Sens_Types,MATCH($C682,Liste_Types,0)),""))</f>
        <v/>
      </c>
      <c r="J682" s="107">
        <f>IF($I682="▲ ENTRÉE",$U682,"")</f>
        <v/>
      </c>
      <c r="K682" s="108">
        <f>IF($I682="▼ SORTIE",$U682,"")</f>
        <v/>
      </c>
      <c r="L682" s="109">
        <f>$L681+N($J682)-N($K682)</f>
        <v/>
      </c>
      <c r="M682" s="110" t="n"/>
      <c r="N682" s="54" t="n"/>
      <c r="O682" s="54" t="n"/>
      <c r="P682" s="54" t="n"/>
      <c r="Q682" s="110" t="n"/>
      <c r="R682" s="110" t="n"/>
      <c r="S682" s="54" t="n"/>
      <c r="T682" s="111">
        <f>IF($G682="","",IFERROR(INDEX(Taux_Devises,MATCH(IF($M682="",Devise_Base,$M682),Codes_Devises,0)),1))</f>
        <v/>
      </c>
      <c r="U682" s="112">
        <f>IF($G682="","",ROUND($G682*$T682,2))</f>
        <v/>
      </c>
      <c r="V682" s="113">
        <f>IF($B682="","",MONTH($B682))</f>
        <v/>
      </c>
      <c r="W682" s="113">
        <f>IF($B682="","",YEAR($B682))</f>
        <v/>
      </c>
    </row>
    <row r="683">
      <c r="B683" s="105" t="n"/>
      <c r="C683" s="54" t="n"/>
      <c r="D683" s="54" t="n"/>
      <c r="E683" s="54" t="n"/>
      <c r="F683" s="54" t="n"/>
      <c r="G683" s="65" t="n"/>
      <c r="H683" s="54" t="n"/>
      <c r="I683" s="106">
        <f>IF($C683="","",IFERROR(INDEX(Sens_Types,MATCH($C683,Liste_Types,0)),""))</f>
        <v/>
      </c>
      <c r="J683" s="107">
        <f>IF($I683="▲ ENTRÉE",$U683,"")</f>
        <v/>
      </c>
      <c r="K683" s="108">
        <f>IF($I683="▼ SORTIE",$U683,"")</f>
        <v/>
      </c>
      <c r="L683" s="109">
        <f>$L682+N($J683)-N($K683)</f>
        <v/>
      </c>
      <c r="M683" s="110" t="n"/>
      <c r="N683" s="54" t="n"/>
      <c r="O683" s="54" t="n"/>
      <c r="P683" s="54" t="n"/>
      <c r="Q683" s="110" t="n"/>
      <c r="R683" s="110" t="n"/>
      <c r="S683" s="54" t="n"/>
      <c r="T683" s="111">
        <f>IF($G683="","",IFERROR(INDEX(Taux_Devises,MATCH(IF($M683="",Devise_Base,$M683),Codes_Devises,0)),1))</f>
        <v/>
      </c>
      <c r="U683" s="112">
        <f>IF($G683="","",ROUND($G683*$T683,2))</f>
        <v/>
      </c>
      <c r="V683" s="113">
        <f>IF($B683="","",MONTH($B683))</f>
        <v/>
      </c>
      <c r="W683" s="113">
        <f>IF($B683="","",YEAR($B683))</f>
        <v/>
      </c>
    </row>
    <row r="684">
      <c r="B684" s="105" t="n"/>
      <c r="C684" s="54" t="n"/>
      <c r="D684" s="54" t="n"/>
      <c r="E684" s="54" t="n"/>
      <c r="F684" s="54" t="n"/>
      <c r="G684" s="65" t="n"/>
      <c r="H684" s="54" t="n"/>
      <c r="I684" s="106">
        <f>IF($C684="","",IFERROR(INDEX(Sens_Types,MATCH($C684,Liste_Types,0)),""))</f>
        <v/>
      </c>
      <c r="J684" s="107">
        <f>IF($I684="▲ ENTRÉE",$U684,"")</f>
        <v/>
      </c>
      <c r="K684" s="108">
        <f>IF($I684="▼ SORTIE",$U684,"")</f>
        <v/>
      </c>
      <c r="L684" s="109">
        <f>$L683+N($J684)-N($K684)</f>
        <v/>
      </c>
      <c r="M684" s="110" t="n"/>
      <c r="N684" s="54" t="n"/>
      <c r="O684" s="54" t="n"/>
      <c r="P684" s="54" t="n"/>
      <c r="Q684" s="110" t="n"/>
      <c r="R684" s="110" t="n"/>
      <c r="S684" s="54" t="n"/>
      <c r="T684" s="111">
        <f>IF($G684="","",IFERROR(INDEX(Taux_Devises,MATCH(IF($M684="",Devise_Base,$M684),Codes_Devises,0)),1))</f>
        <v/>
      </c>
      <c r="U684" s="112">
        <f>IF($G684="","",ROUND($G684*$T684,2))</f>
        <v/>
      </c>
      <c r="V684" s="113">
        <f>IF($B684="","",MONTH($B684))</f>
        <v/>
      </c>
      <c r="W684" s="113">
        <f>IF($B684="","",YEAR($B684))</f>
        <v/>
      </c>
    </row>
    <row r="685">
      <c r="B685" s="105" t="n"/>
      <c r="C685" s="54" t="n"/>
      <c r="D685" s="54" t="n"/>
      <c r="E685" s="54" t="n"/>
      <c r="F685" s="54" t="n"/>
      <c r="G685" s="65" t="n"/>
      <c r="H685" s="54" t="n"/>
      <c r="I685" s="106">
        <f>IF($C685="","",IFERROR(INDEX(Sens_Types,MATCH($C685,Liste_Types,0)),""))</f>
        <v/>
      </c>
      <c r="J685" s="107">
        <f>IF($I685="▲ ENTRÉE",$U685,"")</f>
        <v/>
      </c>
      <c r="K685" s="108">
        <f>IF($I685="▼ SORTIE",$U685,"")</f>
        <v/>
      </c>
      <c r="L685" s="109">
        <f>$L684+N($J685)-N($K685)</f>
        <v/>
      </c>
      <c r="M685" s="110" t="n"/>
      <c r="N685" s="54" t="n"/>
      <c r="O685" s="54" t="n"/>
      <c r="P685" s="54" t="n"/>
      <c r="Q685" s="110" t="n"/>
      <c r="R685" s="110" t="n"/>
      <c r="S685" s="54" t="n"/>
      <c r="T685" s="111">
        <f>IF($G685="","",IFERROR(INDEX(Taux_Devises,MATCH(IF($M685="",Devise_Base,$M685),Codes_Devises,0)),1))</f>
        <v/>
      </c>
      <c r="U685" s="112">
        <f>IF($G685="","",ROUND($G685*$T685,2))</f>
        <v/>
      </c>
      <c r="V685" s="113">
        <f>IF($B685="","",MONTH($B685))</f>
        <v/>
      </c>
      <c r="W685" s="113">
        <f>IF($B685="","",YEAR($B685))</f>
        <v/>
      </c>
    </row>
    <row r="686">
      <c r="B686" s="105" t="n"/>
      <c r="C686" s="54" t="n"/>
      <c r="D686" s="54" t="n"/>
      <c r="E686" s="54" t="n"/>
      <c r="F686" s="54" t="n"/>
      <c r="G686" s="65" t="n"/>
      <c r="H686" s="54" t="n"/>
      <c r="I686" s="106">
        <f>IF($C686="","",IFERROR(INDEX(Sens_Types,MATCH($C686,Liste_Types,0)),""))</f>
        <v/>
      </c>
      <c r="J686" s="107">
        <f>IF($I686="▲ ENTRÉE",$U686,"")</f>
        <v/>
      </c>
      <c r="K686" s="108">
        <f>IF($I686="▼ SORTIE",$U686,"")</f>
        <v/>
      </c>
      <c r="L686" s="109">
        <f>$L685+N($J686)-N($K686)</f>
        <v/>
      </c>
      <c r="M686" s="110" t="n"/>
      <c r="N686" s="54" t="n"/>
      <c r="O686" s="54" t="n"/>
      <c r="P686" s="54" t="n"/>
      <c r="Q686" s="110" t="n"/>
      <c r="R686" s="110" t="n"/>
      <c r="S686" s="54" t="n"/>
      <c r="T686" s="111">
        <f>IF($G686="","",IFERROR(INDEX(Taux_Devises,MATCH(IF($M686="",Devise_Base,$M686),Codes_Devises,0)),1))</f>
        <v/>
      </c>
      <c r="U686" s="112">
        <f>IF($G686="","",ROUND($G686*$T686,2))</f>
        <v/>
      </c>
      <c r="V686" s="113">
        <f>IF($B686="","",MONTH($B686))</f>
        <v/>
      </c>
      <c r="W686" s="113">
        <f>IF($B686="","",YEAR($B686))</f>
        <v/>
      </c>
    </row>
    <row r="687">
      <c r="B687" s="105" t="n"/>
      <c r="C687" s="54" t="n"/>
      <c r="D687" s="54" t="n"/>
      <c r="E687" s="54" t="n"/>
      <c r="F687" s="54" t="n"/>
      <c r="G687" s="65" t="n"/>
      <c r="H687" s="54" t="n"/>
      <c r="I687" s="106">
        <f>IF($C687="","",IFERROR(INDEX(Sens_Types,MATCH($C687,Liste_Types,0)),""))</f>
        <v/>
      </c>
      <c r="J687" s="107">
        <f>IF($I687="▲ ENTRÉE",$U687,"")</f>
        <v/>
      </c>
      <c r="K687" s="108">
        <f>IF($I687="▼ SORTIE",$U687,"")</f>
        <v/>
      </c>
      <c r="L687" s="109">
        <f>$L686+N($J687)-N($K687)</f>
        <v/>
      </c>
      <c r="M687" s="110" t="n"/>
      <c r="N687" s="54" t="n"/>
      <c r="O687" s="54" t="n"/>
      <c r="P687" s="54" t="n"/>
      <c r="Q687" s="110" t="n"/>
      <c r="R687" s="110" t="n"/>
      <c r="S687" s="54" t="n"/>
      <c r="T687" s="111">
        <f>IF($G687="","",IFERROR(INDEX(Taux_Devises,MATCH(IF($M687="",Devise_Base,$M687),Codes_Devises,0)),1))</f>
        <v/>
      </c>
      <c r="U687" s="112">
        <f>IF($G687="","",ROUND($G687*$T687,2))</f>
        <v/>
      </c>
      <c r="V687" s="113">
        <f>IF($B687="","",MONTH($B687))</f>
        <v/>
      </c>
      <c r="W687" s="113">
        <f>IF($B687="","",YEAR($B687))</f>
        <v/>
      </c>
    </row>
    <row r="688">
      <c r="B688" s="105" t="n"/>
      <c r="C688" s="54" t="n"/>
      <c r="D688" s="54" t="n"/>
      <c r="E688" s="54" t="n"/>
      <c r="F688" s="54" t="n"/>
      <c r="G688" s="65" t="n"/>
      <c r="H688" s="54" t="n"/>
      <c r="I688" s="106">
        <f>IF($C688="","",IFERROR(INDEX(Sens_Types,MATCH($C688,Liste_Types,0)),""))</f>
        <v/>
      </c>
      <c r="J688" s="107">
        <f>IF($I688="▲ ENTRÉE",$U688,"")</f>
        <v/>
      </c>
      <c r="K688" s="108">
        <f>IF($I688="▼ SORTIE",$U688,"")</f>
        <v/>
      </c>
      <c r="L688" s="109">
        <f>$L687+N($J688)-N($K688)</f>
        <v/>
      </c>
      <c r="M688" s="110" t="n"/>
      <c r="N688" s="54" t="n"/>
      <c r="O688" s="54" t="n"/>
      <c r="P688" s="54" t="n"/>
      <c r="Q688" s="110" t="n"/>
      <c r="R688" s="110" t="n"/>
      <c r="S688" s="54" t="n"/>
      <c r="T688" s="111">
        <f>IF($G688="","",IFERROR(INDEX(Taux_Devises,MATCH(IF($M688="",Devise_Base,$M688),Codes_Devises,0)),1))</f>
        <v/>
      </c>
      <c r="U688" s="112">
        <f>IF($G688="","",ROUND($G688*$T688,2))</f>
        <v/>
      </c>
      <c r="V688" s="113">
        <f>IF($B688="","",MONTH($B688))</f>
        <v/>
      </c>
      <c r="W688" s="113">
        <f>IF($B688="","",YEAR($B688))</f>
        <v/>
      </c>
    </row>
    <row r="689">
      <c r="B689" s="105" t="n"/>
      <c r="C689" s="54" t="n"/>
      <c r="D689" s="54" t="n"/>
      <c r="E689" s="54" t="n"/>
      <c r="F689" s="54" t="n"/>
      <c r="G689" s="65" t="n"/>
      <c r="H689" s="54" t="n"/>
      <c r="I689" s="106">
        <f>IF($C689="","",IFERROR(INDEX(Sens_Types,MATCH($C689,Liste_Types,0)),""))</f>
        <v/>
      </c>
      <c r="J689" s="107">
        <f>IF($I689="▲ ENTRÉE",$U689,"")</f>
        <v/>
      </c>
      <c r="K689" s="108">
        <f>IF($I689="▼ SORTIE",$U689,"")</f>
        <v/>
      </c>
      <c r="L689" s="109">
        <f>$L688+N($J689)-N($K689)</f>
        <v/>
      </c>
      <c r="M689" s="110" t="n"/>
      <c r="N689" s="54" t="n"/>
      <c r="O689" s="54" t="n"/>
      <c r="P689" s="54" t="n"/>
      <c r="Q689" s="110" t="n"/>
      <c r="R689" s="110" t="n"/>
      <c r="S689" s="54" t="n"/>
      <c r="T689" s="111">
        <f>IF($G689="","",IFERROR(INDEX(Taux_Devises,MATCH(IF($M689="",Devise_Base,$M689),Codes_Devises,0)),1))</f>
        <v/>
      </c>
      <c r="U689" s="112">
        <f>IF($G689="","",ROUND($G689*$T689,2))</f>
        <v/>
      </c>
      <c r="V689" s="113">
        <f>IF($B689="","",MONTH($B689))</f>
        <v/>
      </c>
      <c r="W689" s="113">
        <f>IF($B689="","",YEAR($B689))</f>
        <v/>
      </c>
    </row>
    <row r="690">
      <c r="B690" s="105" t="n"/>
      <c r="C690" s="54" t="n"/>
      <c r="D690" s="54" t="n"/>
      <c r="E690" s="54" t="n"/>
      <c r="F690" s="54" t="n"/>
      <c r="G690" s="65" t="n"/>
      <c r="H690" s="54" t="n"/>
      <c r="I690" s="106">
        <f>IF($C690="","",IFERROR(INDEX(Sens_Types,MATCH($C690,Liste_Types,0)),""))</f>
        <v/>
      </c>
      <c r="J690" s="107">
        <f>IF($I690="▲ ENTRÉE",$U690,"")</f>
        <v/>
      </c>
      <c r="K690" s="108">
        <f>IF($I690="▼ SORTIE",$U690,"")</f>
        <v/>
      </c>
      <c r="L690" s="109">
        <f>$L689+N($J690)-N($K690)</f>
        <v/>
      </c>
      <c r="M690" s="110" t="n"/>
      <c r="N690" s="54" t="n"/>
      <c r="O690" s="54" t="n"/>
      <c r="P690" s="54" t="n"/>
      <c r="Q690" s="110" t="n"/>
      <c r="R690" s="110" t="n"/>
      <c r="S690" s="54" t="n"/>
      <c r="T690" s="111">
        <f>IF($G690="","",IFERROR(INDEX(Taux_Devises,MATCH(IF($M690="",Devise_Base,$M690),Codes_Devises,0)),1))</f>
        <v/>
      </c>
      <c r="U690" s="112">
        <f>IF($G690="","",ROUND($G690*$T690,2))</f>
        <v/>
      </c>
      <c r="V690" s="113">
        <f>IF($B690="","",MONTH($B690))</f>
        <v/>
      </c>
      <c r="W690" s="113">
        <f>IF($B690="","",YEAR($B690))</f>
        <v/>
      </c>
    </row>
    <row r="691">
      <c r="B691" s="105" t="n"/>
      <c r="C691" s="54" t="n"/>
      <c r="D691" s="54" t="n"/>
      <c r="E691" s="54" t="n"/>
      <c r="F691" s="54" t="n"/>
      <c r="G691" s="65" t="n"/>
      <c r="H691" s="54" t="n"/>
      <c r="I691" s="106">
        <f>IF($C691="","",IFERROR(INDEX(Sens_Types,MATCH($C691,Liste_Types,0)),""))</f>
        <v/>
      </c>
      <c r="J691" s="107">
        <f>IF($I691="▲ ENTRÉE",$U691,"")</f>
        <v/>
      </c>
      <c r="K691" s="108">
        <f>IF($I691="▼ SORTIE",$U691,"")</f>
        <v/>
      </c>
      <c r="L691" s="109">
        <f>$L690+N($J691)-N($K691)</f>
        <v/>
      </c>
      <c r="M691" s="110" t="n"/>
      <c r="N691" s="54" t="n"/>
      <c r="O691" s="54" t="n"/>
      <c r="P691" s="54" t="n"/>
      <c r="Q691" s="110" t="n"/>
      <c r="R691" s="110" t="n"/>
      <c r="S691" s="54" t="n"/>
      <c r="T691" s="111">
        <f>IF($G691="","",IFERROR(INDEX(Taux_Devises,MATCH(IF($M691="",Devise_Base,$M691),Codes_Devises,0)),1))</f>
        <v/>
      </c>
      <c r="U691" s="112">
        <f>IF($G691="","",ROUND($G691*$T691,2))</f>
        <v/>
      </c>
      <c r="V691" s="113">
        <f>IF($B691="","",MONTH($B691))</f>
        <v/>
      </c>
      <c r="W691" s="113">
        <f>IF($B691="","",YEAR($B691))</f>
        <v/>
      </c>
    </row>
    <row r="692">
      <c r="B692" s="105" t="n"/>
      <c r="C692" s="54" t="n"/>
      <c r="D692" s="54" t="n"/>
      <c r="E692" s="54" t="n"/>
      <c r="F692" s="54" t="n"/>
      <c r="G692" s="65" t="n"/>
      <c r="H692" s="54" t="n"/>
      <c r="I692" s="106">
        <f>IF($C692="","",IFERROR(INDEX(Sens_Types,MATCH($C692,Liste_Types,0)),""))</f>
        <v/>
      </c>
      <c r="J692" s="107">
        <f>IF($I692="▲ ENTRÉE",$U692,"")</f>
        <v/>
      </c>
      <c r="K692" s="108">
        <f>IF($I692="▼ SORTIE",$U692,"")</f>
        <v/>
      </c>
      <c r="L692" s="109">
        <f>$L691+N($J692)-N($K692)</f>
        <v/>
      </c>
      <c r="M692" s="110" t="n"/>
      <c r="N692" s="54" t="n"/>
      <c r="O692" s="54" t="n"/>
      <c r="P692" s="54" t="n"/>
      <c r="Q692" s="110" t="n"/>
      <c r="R692" s="110" t="n"/>
      <c r="S692" s="54" t="n"/>
      <c r="T692" s="111">
        <f>IF($G692="","",IFERROR(INDEX(Taux_Devises,MATCH(IF($M692="",Devise_Base,$M692),Codes_Devises,0)),1))</f>
        <v/>
      </c>
      <c r="U692" s="112">
        <f>IF($G692="","",ROUND($G692*$T692,2))</f>
        <v/>
      </c>
      <c r="V692" s="113">
        <f>IF($B692="","",MONTH($B692))</f>
        <v/>
      </c>
      <c r="W692" s="113">
        <f>IF($B692="","",YEAR($B692))</f>
        <v/>
      </c>
    </row>
    <row r="693">
      <c r="B693" s="105" t="n"/>
      <c r="C693" s="54" t="n"/>
      <c r="D693" s="54" t="n"/>
      <c r="E693" s="54" t="n"/>
      <c r="F693" s="54" t="n"/>
      <c r="G693" s="65" t="n"/>
      <c r="H693" s="54" t="n"/>
      <c r="I693" s="106">
        <f>IF($C693="","",IFERROR(INDEX(Sens_Types,MATCH($C693,Liste_Types,0)),""))</f>
        <v/>
      </c>
      <c r="J693" s="107">
        <f>IF($I693="▲ ENTRÉE",$U693,"")</f>
        <v/>
      </c>
      <c r="K693" s="108">
        <f>IF($I693="▼ SORTIE",$U693,"")</f>
        <v/>
      </c>
      <c r="L693" s="109">
        <f>$L692+N($J693)-N($K693)</f>
        <v/>
      </c>
      <c r="M693" s="110" t="n"/>
      <c r="N693" s="54" t="n"/>
      <c r="O693" s="54" t="n"/>
      <c r="P693" s="54" t="n"/>
      <c r="Q693" s="110" t="n"/>
      <c r="R693" s="110" t="n"/>
      <c r="S693" s="54" t="n"/>
      <c r="T693" s="111">
        <f>IF($G693="","",IFERROR(INDEX(Taux_Devises,MATCH(IF($M693="",Devise_Base,$M693),Codes_Devises,0)),1))</f>
        <v/>
      </c>
      <c r="U693" s="112">
        <f>IF($G693="","",ROUND($G693*$T693,2))</f>
        <v/>
      </c>
      <c r="V693" s="113">
        <f>IF($B693="","",MONTH($B693))</f>
        <v/>
      </c>
      <c r="W693" s="113">
        <f>IF($B693="","",YEAR($B693))</f>
        <v/>
      </c>
    </row>
    <row r="694">
      <c r="B694" s="105" t="n"/>
      <c r="C694" s="54" t="n"/>
      <c r="D694" s="54" t="n"/>
      <c r="E694" s="54" t="n"/>
      <c r="F694" s="54" t="n"/>
      <c r="G694" s="65" t="n"/>
      <c r="H694" s="54" t="n"/>
      <c r="I694" s="106">
        <f>IF($C694="","",IFERROR(INDEX(Sens_Types,MATCH($C694,Liste_Types,0)),""))</f>
        <v/>
      </c>
      <c r="J694" s="107">
        <f>IF($I694="▲ ENTRÉE",$U694,"")</f>
        <v/>
      </c>
      <c r="K694" s="108">
        <f>IF($I694="▼ SORTIE",$U694,"")</f>
        <v/>
      </c>
      <c r="L694" s="109">
        <f>$L693+N($J694)-N($K694)</f>
        <v/>
      </c>
      <c r="M694" s="110" t="n"/>
      <c r="N694" s="54" t="n"/>
      <c r="O694" s="54" t="n"/>
      <c r="P694" s="54" t="n"/>
      <c r="Q694" s="110" t="n"/>
      <c r="R694" s="110" t="n"/>
      <c r="S694" s="54" t="n"/>
      <c r="T694" s="111">
        <f>IF($G694="","",IFERROR(INDEX(Taux_Devises,MATCH(IF($M694="",Devise_Base,$M694),Codes_Devises,0)),1))</f>
        <v/>
      </c>
      <c r="U694" s="112">
        <f>IF($G694="","",ROUND($G694*$T694,2))</f>
        <v/>
      </c>
      <c r="V694" s="113">
        <f>IF($B694="","",MONTH($B694))</f>
        <v/>
      </c>
      <c r="W694" s="113">
        <f>IF($B694="","",YEAR($B694))</f>
        <v/>
      </c>
    </row>
    <row r="695">
      <c r="B695" s="105" t="n"/>
      <c r="C695" s="54" t="n"/>
      <c r="D695" s="54" t="n"/>
      <c r="E695" s="54" t="n"/>
      <c r="F695" s="54" t="n"/>
      <c r="G695" s="65" t="n"/>
      <c r="H695" s="54" t="n"/>
      <c r="I695" s="106">
        <f>IF($C695="","",IFERROR(INDEX(Sens_Types,MATCH($C695,Liste_Types,0)),""))</f>
        <v/>
      </c>
      <c r="J695" s="107">
        <f>IF($I695="▲ ENTRÉE",$U695,"")</f>
        <v/>
      </c>
      <c r="K695" s="108">
        <f>IF($I695="▼ SORTIE",$U695,"")</f>
        <v/>
      </c>
      <c r="L695" s="109">
        <f>$L694+N($J695)-N($K695)</f>
        <v/>
      </c>
      <c r="M695" s="110" t="n"/>
      <c r="N695" s="54" t="n"/>
      <c r="O695" s="54" t="n"/>
      <c r="P695" s="54" t="n"/>
      <c r="Q695" s="110" t="n"/>
      <c r="R695" s="110" t="n"/>
      <c r="S695" s="54" t="n"/>
      <c r="T695" s="111">
        <f>IF($G695="","",IFERROR(INDEX(Taux_Devises,MATCH(IF($M695="",Devise_Base,$M695),Codes_Devises,0)),1))</f>
        <v/>
      </c>
      <c r="U695" s="112">
        <f>IF($G695="","",ROUND($G695*$T695,2))</f>
        <v/>
      </c>
      <c r="V695" s="113">
        <f>IF($B695="","",MONTH($B695))</f>
        <v/>
      </c>
      <c r="W695" s="113">
        <f>IF($B695="","",YEAR($B695))</f>
        <v/>
      </c>
    </row>
    <row r="696">
      <c r="B696" s="105" t="n"/>
      <c r="C696" s="54" t="n"/>
      <c r="D696" s="54" t="n"/>
      <c r="E696" s="54" t="n"/>
      <c r="F696" s="54" t="n"/>
      <c r="G696" s="65" t="n"/>
      <c r="H696" s="54" t="n"/>
      <c r="I696" s="106">
        <f>IF($C696="","",IFERROR(INDEX(Sens_Types,MATCH($C696,Liste_Types,0)),""))</f>
        <v/>
      </c>
      <c r="J696" s="107">
        <f>IF($I696="▲ ENTRÉE",$U696,"")</f>
        <v/>
      </c>
      <c r="K696" s="108">
        <f>IF($I696="▼ SORTIE",$U696,"")</f>
        <v/>
      </c>
      <c r="L696" s="109">
        <f>$L695+N($J696)-N($K696)</f>
        <v/>
      </c>
      <c r="M696" s="110" t="n"/>
      <c r="N696" s="54" t="n"/>
      <c r="O696" s="54" t="n"/>
      <c r="P696" s="54" t="n"/>
      <c r="Q696" s="110" t="n"/>
      <c r="R696" s="110" t="n"/>
      <c r="S696" s="54" t="n"/>
      <c r="T696" s="111">
        <f>IF($G696="","",IFERROR(INDEX(Taux_Devises,MATCH(IF($M696="",Devise_Base,$M696),Codes_Devises,0)),1))</f>
        <v/>
      </c>
      <c r="U696" s="112">
        <f>IF($G696="","",ROUND($G696*$T696,2))</f>
        <v/>
      </c>
      <c r="V696" s="113">
        <f>IF($B696="","",MONTH($B696))</f>
        <v/>
      </c>
      <c r="W696" s="113">
        <f>IF($B696="","",YEAR($B696))</f>
        <v/>
      </c>
    </row>
    <row r="697">
      <c r="B697" s="105" t="n"/>
      <c r="C697" s="54" t="n"/>
      <c r="D697" s="54" t="n"/>
      <c r="E697" s="54" t="n"/>
      <c r="F697" s="54" t="n"/>
      <c r="G697" s="65" t="n"/>
      <c r="H697" s="54" t="n"/>
      <c r="I697" s="106">
        <f>IF($C697="","",IFERROR(INDEX(Sens_Types,MATCH($C697,Liste_Types,0)),""))</f>
        <v/>
      </c>
      <c r="J697" s="107">
        <f>IF($I697="▲ ENTRÉE",$U697,"")</f>
        <v/>
      </c>
      <c r="K697" s="108">
        <f>IF($I697="▼ SORTIE",$U697,"")</f>
        <v/>
      </c>
      <c r="L697" s="109">
        <f>$L696+N($J697)-N($K697)</f>
        <v/>
      </c>
      <c r="M697" s="110" t="n"/>
      <c r="N697" s="54" t="n"/>
      <c r="O697" s="54" t="n"/>
      <c r="P697" s="54" t="n"/>
      <c r="Q697" s="110" t="n"/>
      <c r="R697" s="110" t="n"/>
      <c r="S697" s="54" t="n"/>
      <c r="T697" s="111">
        <f>IF($G697="","",IFERROR(INDEX(Taux_Devises,MATCH(IF($M697="",Devise_Base,$M697),Codes_Devises,0)),1))</f>
        <v/>
      </c>
      <c r="U697" s="112">
        <f>IF($G697="","",ROUND($G697*$T697,2))</f>
        <v/>
      </c>
      <c r="V697" s="113">
        <f>IF($B697="","",MONTH($B697))</f>
        <v/>
      </c>
      <c r="W697" s="113">
        <f>IF($B697="","",YEAR($B697))</f>
        <v/>
      </c>
    </row>
    <row r="698">
      <c r="B698" s="105" t="n"/>
      <c r="C698" s="54" t="n"/>
      <c r="D698" s="54" t="n"/>
      <c r="E698" s="54" t="n"/>
      <c r="F698" s="54" t="n"/>
      <c r="G698" s="65" t="n"/>
      <c r="H698" s="54" t="n"/>
      <c r="I698" s="106">
        <f>IF($C698="","",IFERROR(INDEX(Sens_Types,MATCH($C698,Liste_Types,0)),""))</f>
        <v/>
      </c>
      <c r="J698" s="107">
        <f>IF($I698="▲ ENTRÉE",$U698,"")</f>
        <v/>
      </c>
      <c r="K698" s="108">
        <f>IF($I698="▼ SORTIE",$U698,"")</f>
        <v/>
      </c>
      <c r="L698" s="109">
        <f>$L697+N($J698)-N($K698)</f>
        <v/>
      </c>
      <c r="M698" s="110" t="n"/>
      <c r="N698" s="54" t="n"/>
      <c r="O698" s="54" t="n"/>
      <c r="P698" s="54" t="n"/>
      <c r="Q698" s="110" t="n"/>
      <c r="R698" s="110" t="n"/>
      <c r="S698" s="54" t="n"/>
      <c r="T698" s="111">
        <f>IF($G698="","",IFERROR(INDEX(Taux_Devises,MATCH(IF($M698="",Devise_Base,$M698),Codes_Devises,0)),1))</f>
        <v/>
      </c>
      <c r="U698" s="112">
        <f>IF($G698="","",ROUND($G698*$T698,2))</f>
        <v/>
      </c>
      <c r="V698" s="113">
        <f>IF($B698="","",MONTH($B698))</f>
        <v/>
      </c>
      <c r="W698" s="113">
        <f>IF($B698="","",YEAR($B698))</f>
        <v/>
      </c>
    </row>
    <row r="699">
      <c r="B699" s="105" t="n"/>
      <c r="C699" s="54" t="n"/>
      <c r="D699" s="54" t="n"/>
      <c r="E699" s="54" t="n"/>
      <c r="F699" s="54" t="n"/>
      <c r="G699" s="65" t="n"/>
      <c r="H699" s="54" t="n"/>
      <c r="I699" s="106">
        <f>IF($C699="","",IFERROR(INDEX(Sens_Types,MATCH($C699,Liste_Types,0)),""))</f>
        <v/>
      </c>
      <c r="J699" s="107">
        <f>IF($I699="▲ ENTRÉE",$U699,"")</f>
        <v/>
      </c>
      <c r="K699" s="108">
        <f>IF($I699="▼ SORTIE",$U699,"")</f>
        <v/>
      </c>
      <c r="L699" s="109">
        <f>$L698+N($J699)-N($K699)</f>
        <v/>
      </c>
      <c r="M699" s="110" t="n"/>
      <c r="N699" s="54" t="n"/>
      <c r="O699" s="54" t="n"/>
      <c r="P699" s="54" t="n"/>
      <c r="Q699" s="110" t="n"/>
      <c r="R699" s="110" t="n"/>
      <c r="S699" s="54" t="n"/>
      <c r="T699" s="111">
        <f>IF($G699="","",IFERROR(INDEX(Taux_Devises,MATCH(IF($M699="",Devise_Base,$M699),Codes_Devises,0)),1))</f>
        <v/>
      </c>
      <c r="U699" s="112">
        <f>IF($G699="","",ROUND($G699*$T699,2))</f>
        <v/>
      </c>
      <c r="V699" s="113">
        <f>IF($B699="","",MONTH($B699))</f>
        <v/>
      </c>
      <c r="W699" s="113">
        <f>IF($B699="","",YEAR($B699))</f>
        <v/>
      </c>
    </row>
    <row r="700">
      <c r="B700" s="105" t="n"/>
      <c r="C700" s="54" t="n"/>
      <c r="D700" s="54" t="n"/>
      <c r="E700" s="54" t="n"/>
      <c r="F700" s="54" t="n"/>
      <c r="G700" s="65" t="n"/>
      <c r="H700" s="54" t="n"/>
      <c r="I700" s="106">
        <f>IF($C700="","",IFERROR(INDEX(Sens_Types,MATCH($C700,Liste_Types,0)),""))</f>
        <v/>
      </c>
      <c r="J700" s="107">
        <f>IF($I700="▲ ENTRÉE",$U700,"")</f>
        <v/>
      </c>
      <c r="K700" s="108">
        <f>IF($I700="▼ SORTIE",$U700,"")</f>
        <v/>
      </c>
      <c r="L700" s="109">
        <f>$L699+N($J700)-N($K700)</f>
        <v/>
      </c>
      <c r="M700" s="110" t="n"/>
      <c r="N700" s="54" t="n"/>
      <c r="O700" s="54" t="n"/>
      <c r="P700" s="54" t="n"/>
      <c r="Q700" s="110" t="n"/>
      <c r="R700" s="110" t="n"/>
      <c r="S700" s="54" t="n"/>
      <c r="T700" s="111">
        <f>IF($G700="","",IFERROR(INDEX(Taux_Devises,MATCH(IF($M700="",Devise_Base,$M700),Codes_Devises,0)),1))</f>
        <v/>
      </c>
      <c r="U700" s="112">
        <f>IF($G700="","",ROUND($G700*$T700,2))</f>
        <v/>
      </c>
      <c r="V700" s="113">
        <f>IF($B700="","",MONTH($B700))</f>
        <v/>
      </c>
      <c r="W700" s="113">
        <f>IF($B700="","",YEAR($B700))</f>
        <v/>
      </c>
    </row>
    <row r="701">
      <c r="B701" s="105" t="n"/>
      <c r="C701" s="54" t="n"/>
      <c r="D701" s="54" t="n"/>
      <c r="E701" s="54" t="n"/>
      <c r="F701" s="54" t="n"/>
      <c r="G701" s="65" t="n"/>
      <c r="H701" s="54" t="n"/>
      <c r="I701" s="106">
        <f>IF($C701="","",IFERROR(INDEX(Sens_Types,MATCH($C701,Liste_Types,0)),""))</f>
        <v/>
      </c>
      <c r="J701" s="107">
        <f>IF($I701="▲ ENTRÉE",$U701,"")</f>
        <v/>
      </c>
      <c r="K701" s="108">
        <f>IF($I701="▼ SORTIE",$U701,"")</f>
        <v/>
      </c>
      <c r="L701" s="109">
        <f>$L700+N($J701)-N($K701)</f>
        <v/>
      </c>
      <c r="M701" s="110" t="n"/>
      <c r="N701" s="54" t="n"/>
      <c r="O701" s="54" t="n"/>
      <c r="P701" s="54" t="n"/>
      <c r="Q701" s="110" t="n"/>
      <c r="R701" s="110" t="n"/>
      <c r="S701" s="54" t="n"/>
      <c r="T701" s="111">
        <f>IF($G701="","",IFERROR(INDEX(Taux_Devises,MATCH(IF($M701="",Devise_Base,$M701),Codes_Devises,0)),1))</f>
        <v/>
      </c>
      <c r="U701" s="112">
        <f>IF($G701="","",ROUND($G701*$T701,2))</f>
        <v/>
      </c>
      <c r="V701" s="113">
        <f>IF($B701="","",MONTH($B701))</f>
        <v/>
      </c>
      <c r="W701" s="113">
        <f>IF($B701="","",YEAR($B701))</f>
        <v/>
      </c>
    </row>
    <row r="702">
      <c r="B702" s="105" t="n"/>
      <c r="C702" s="54" t="n"/>
      <c r="D702" s="54" t="n"/>
      <c r="E702" s="54" t="n"/>
      <c r="F702" s="54" t="n"/>
      <c r="G702" s="65" t="n"/>
      <c r="H702" s="54" t="n"/>
      <c r="I702" s="106">
        <f>IF($C702="","",IFERROR(INDEX(Sens_Types,MATCH($C702,Liste_Types,0)),""))</f>
        <v/>
      </c>
      <c r="J702" s="107">
        <f>IF($I702="▲ ENTRÉE",$U702,"")</f>
        <v/>
      </c>
      <c r="K702" s="108">
        <f>IF($I702="▼ SORTIE",$U702,"")</f>
        <v/>
      </c>
      <c r="L702" s="109">
        <f>$L701+N($J702)-N($K702)</f>
        <v/>
      </c>
      <c r="M702" s="110" t="n"/>
      <c r="N702" s="54" t="n"/>
      <c r="O702" s="54" t="n"/>
      <c r="P702" s="54" t="n"/>
      <c r="Q702" s="110" t="n"/>
      <c r="R702" s="110" t="n"/>
      <c r="S702" s="54" t="n"/>
      <c r="T702" s="111">
        <f>IF($G702="","",IFERROR(INDEX(Taux_Devises,MATCH(IF($M702="",Devise_Base,$M702),Codes_Devises,0)),1))</f>
        <v/>
      </c>
      <c r="U702" s="112">
        <f>IF($G702="","",ROUND($G702*$T702,2))</f>
        <v/>
      </c>
      <c r="V702" s="113">
        <f>IF($B702="","",MONTH($B702))</f>
        <v/>
      </c>
      <c r="W702" s="113">
        <f>IF($B702="","",YEAR($B702))</f>
        <v/>
      </c>
    </row>
    <row r="703">
      <c r="B703" s="105" t="n"/>
      <c r="C703" s="54" t="n"/>
      <c r="D703" s="54" t="n"/>
      <c r="E703" s="54" t="n"/>
      <c r="F703" s="54" t="n"/>
      <c r="G703" s="65" t="n"/>
      <c r="H703" s="54" t="n"/>
      <c r="I703" s="106">
        <f>IF($C703="","",IFERROR(INDEX(Sens_Types,MATCH($C703,Liste_Types,0)),""))</f>
        <v/>
      </c>
      <c r="J703" s="107">
        <f>IF($I703="▲ ENTRÉE",$U703,"")</f>
        <v/>
      </c>
      <c r="K703" s="108">
        <f>IF($I703="▼ SORTIE",$U703,"")</f>
        <v/>
      </c>
      <c r="L703" s="109">
        <f>$L702+N($J703)-N($K703)</f>
        <v/>
      </c>
      <c r="M703" s="110" t="n"/>
      <c r="N703" s="54" t="n"/>
      <c r="O703" s="54" t="n"/>
      <c r="P703" s="54" t="n"/>
      <c r="Q703" s="110" t="n"/>
      <c r="R703" s="110" t="n"/>
      <c r="S703" s="54" t="n"/>
      <c r="T703" s="111">
        <f>IF($G703="","",IFERROR(INDEX(Taux_Devises,MATCH(IF($M703="",Devise_Base,$M703),Codes_Devises,0)),1))</f>
        <v/>
      </c>
      <c r="U703" s="112">
        <f>IF($G703="","",ROUND($G703*$T703,2))</f>
        <v/>
      </c>
      <c r="V703" s="113">
        <f>IF($B703="","",MONTH($B703))</f>
        <v/>
      </c>
      <c r="W703" s="113">
        <f>IF($B703="","",YEAR($B703))</f>
        <v/>
      </c>
    </row>
    <row r="704">
      <c r="B704" s="105" t="n"/>
      <c r="C704" s="54" t="n"/>
      <c r="D704" s="54" t="n"/>
      <c r="E704" s="54" t="n"/>
      <c r="F704" s="54" t="n"/>
      <c r="G704" s="65" t="n"/>
      <c r="H704" s="54" t="n"/>
      <c r="I704" s="106">
        <f>IF($C704="","",IFERROR(INDEX(Sens_Types,MATCH($C704,Liste_Types,0)),""))</f>
        <v/>
      </c>
      <c r="J704" s="107">
        <f>IF($I704="▲ ENTRÉE",$U704,"")</f>
        <v/>
      </c>
      <c r="K704" s="108">
        <f>IF($I704="▼ SORTIE",$U704,"")</f>
        <v/>
      </c>
      <c r="L704" s="109">
        <f>$L703+N($J704)-N($K704)</f>
        <v/>
      </c>
      <c r="M704" s="110" t="n"/>
      <c r="N704" s="54" t="n"/>
      <c r="O704" s="54" t="n"/>
      <c r="P704" s="54" t="n"/>
      <c r="Q704" s="110" t="n"/>
      <c r="R704" s="110" t="n"/>
      <c r="S704" s="54" t="n"/>
      <c r="T704" s="111">
        <f>IF($G704="","",IFERROR(INDEX(Taux_Devises,MATCH(IF($M704="",Devise_Base,$M704),Codes_Devises,0)),1))</f>
        <v/>
      </c>
      <c r="U704" s="112">
        <f>IF($G704="","",ROUND($G704*$T704,2))</f>
        <v/>
      </c>
      <c r="V704" s="113">
        <f>IF($B704="","",MONTH($B704))</f>
        <v/>
      </c>
      <c r="W704" s="113">
        <f>IF($B704="","",YEAR($B704))</f>
        <v/>
      </c>
    </row>
    <row r="705">
      <c r="B705" s="105" t="n"/>
      <c r="C705" s="54" t="n"/>
      <c r="D705" s="54" t="n"/>
      <c r="E705" s="54" t="n"/>
      <c r="F705" s="54" t="n"/>
      <c r="G705" s="65" t="n"/>
      <c r="H705" s="54" t="n"/>
      <c r="I705" s="106">
        <f>IF($C705="","",IFERROR(INDEX(Sens_Types,MATCH($C705,Liste_Types,0)),""))</f>
        <v/>
      </c>
      <c r="J705" s="107">
        <f>IF($I705="▲ ENTRÉE",$U705,"")</f>
        <v/>
      </c>
      <c r="K705" s="108">
        <f>IF($I705="▼ SORTIE",$U705,"")</f>
        <v/>
      </c>
      <c r="L705" s="109">
        <f>$L704+N($J705)-N($K705)</f>
        <v/>
      </c>
      <c r="M705" s="110" t="n"/>
      <c r="N705" s="54" t="n"/>
      <c r="O705" s="54" t="n"/>
      <c r="P705" s="54" t="n"/>
      <c r="Q705" s="110" t="n"/>
      <c r="R705" s="110" t="n"/>
      <c r="S705" s="54" t="n"/>
      <c r="T705" s="111">
        <f>IF($G705="","",IFERROR(INDEX(Taux_Devises,MATCH(IF($M705="",Devise_Base,$M705),Codes_Devises,0)),1))</f>
        <v/>
      </c>
      <c r="U705" s="112">
        <f>IF($G705="","",ROUND($G705*$T705,2))</f>
        <v/>
      </c>
      <c r="V705" s="113">
        <f>IF($B705="","",MONTH($B705))</f>
        <v/>
      </c>
      <c r="W705" s="113">
        <f>IF($B705="","",YEAR($B705))</f>
        <v/>
      </c>
    </row>
    <row r="706">
      <c r="B706" s="105" t="n"/>
      <c r="C706" s="54" t="n"/>
      <c r="D706" s="54" t="n"/>
      <c r="E706" s="54" t="n"/>
      <c r="F706" s="54" t="n"/>
      <c r="G706" s="65" t="n"/>
      <c r="H706" s="54" t="n"/>
      <c r="I706" s="106">
        <f>IF($C706="","",IFERROR(INDEX(Sens_Types,MATCH($C706,Liste_Types,0)),""))</f>
        <v/>
      </c>
      <c r="J706" s="107">
        <f>IF($I706="▲ ENTRÉE",$U706,"")</f>
        <v/>
      </c>
      <c r="K706" s="108">
        <f>IF($I706="▼ SORTIE",$U706,"")</f>
        <v/>
      </c>
      <c r="L706" s="109">
        <f>$L705+N($J706)-N($K706)</f>
        <v/>
      </c>
      <c r="M706" s="110" t="n"/>
      <c r="N706" s="54" t="n"/>
      <c r="O706" s="54" t="n"/>
      <c r="P706" s="54" t="n"/>
      <c r="Q706" s="110" t="n"/>
      <c r="R706" s="110" t="n"/>
      <c r="S706" s="54" t="n"/>
      <c r="T706" s="111">
        <f>IF($G706="","",IFERROR(INDEX(Taux_Devises,MATCH(IF($M706="",Devise_Base,$M706),Codes_Devises,0)),1))</f>
        <v/>
      </c>
      <c r="U706" s="112">
        <f>IF($G706="","",ROUND($G706*$T706,2))</f>
        <v/>
      </c>
      <c r="V706" s="113">
        <f>IF($B706="","",MONTH($B706))</f>
        <v/>
      </c>
      <c r="W706" s="113">
        <f>IF($B706="","",YEAR($B706))</f>
        <v/>
      </c>
    </row>
    <row r="707">
      <c r="B707" s="105" t="n"/>
      <c r="C707" s="54" t="n"/>
      <c r="D707" s="54" t="n"/>
      <c r="E707" s="54" t="n"/>
      <c r="F707" s="54" t="n"/>
      <c r="G707" s="65" t="n"/>
      <c r="H707" s="54" t="n"/>
      <c r="I707" s="106">
        <f>IF($C707="","",IFERROR(INDEX(Sens_Types,MATCH($C707,Liste_Types,0)),""))</f>
        <v/>
      </c>
      <c r="J707" s="107">
        <f>IF($I707="▲ ENTRÉE",$U707,"")</f>
        <v/>
      </c>
      <c r="K707" s="108">
        <f>IF($I707="▼ SORTIE",$U707,"")</f>
        <v/>
      </c>
      <c r="L707" s="109">
        <f>$L706+N($J707)-N($K707)</f>
        <v/>
      </c>
      <c r="M707" s="110" t="n"/>
      <c r="N707" s="54" t="n"/>
      <c r="O707" s="54" t="n"/>
      <c r="P707" s="54" t="n"/>
      <c r="Q707" s="110" t="n"/>
      <c r="R707" s="110" t="n"/>
      <c r="S707" s="54" t="n"/>
      <c r="T707" s="111">
        <f>IF($G707="","",IFERROR(INDEX(Taux_Devises,MATCH(IF($M707="",Devise_Base,$M707),Codes_Devises,0)),1))</f>
        <v/>
      </c>
      <c r="U707" s="112">
        <f>IF($G707="","",ROUND($G707*$T707,2))</f>
        <v/>
      </c>
      <c r="V707" s="113">
        <f>IF($B707="","",MONTH($B707))</f>
        <v/>
      </c>
      <c r="W707" s="113">
        <f>IF($B707="","",YEAR($B707))</f>
        <v/>
      </c>
    </row>
    <row r="708">
      <c r="B708" s="105" t="n"/>
      <c r="C708" s="54" t="n"/>
      <c r="D708" s="54" t="n"/>
      <c r="E708" s="54" t="n"/>
      <c r="F708" s="54" t="n"/>
      <c r="G708" s="65" t="n"/>
      <c r="H708" s="54" t="n"/>
      <c r="I708" s="106">
        <f>IF($C708="","",IFERROR(INDEX(Sens_Types,MATCH($C708,Liste_Types,0)),""))</f>
        <v/>
      </c>
      <c r="J708" s="107">
        <f>IF($I708="▲ ENTRÉE",$U708,"")</f>
        <v/>
      </c>
      <c r="K708" s="108">
        <f>IF($I708="▼ SORTIE",$U708,"")</f>
        <v/>
      </c>
      <c r="L708" s="109">
        <f>$L707+N($J708)-N($K708)</f>
        <v/>
      </c>
      <c r="M708" s="110" t="n"/>
      <c r="N708" s="54" t="n"/>
      <c r="O708" s="54" t="n"/>
      <c r="P708" s="54" t="n"/>
      <c r="Q708" s="110" t="n"/>
      <c r="R708" s="110" t="n"/>
      <c r="S708" s="54" t="n"/>
      <c r="T708" s="111">
        <f>IF($G708="","",IFERROR(INDEX(Taux_Devises,MATCH(IF($M708="",Devise_Base,$M708),Codes_Devises,0)),1))</f>
        <v/>
      </c>
      <c r="U708" s="112">
        <f>IF($G708="","",ROUND($G708*$T708,2))</f>
        <v/>
      </c>
      <c r="V708" s="113">
        <f>IF($B708="","",MONTH($B708))</f>
        <v/>
      </c>
      <c r="W708" s="113">
        <f>IF($B708="","",YEAR($B708))</f>
        <v/>
      </c>
    </row>
    <row r="709">
      <c r="B709" s="105" t="n"/>
      <c r="C709" s="54" t="n"/>
      <c r="D709" s="54" t="n"/>
      <c r="E709" s="54" t="n"/>
      <c r="F709" s="54" t="n"/>
      <c r="G709" s="65" t="n"/>
      <c r="H709" s="54" t="n"/>
      <c r="I709" s="106">
        <f>IF($C709="","",IFERROR(INDEX(Sens_Types,MATCH($C709,Liste_Types,0)),""))</f>
        <v/>
      </c>
      <c r="J709" s="107">
        <f>IF($I709="▲ ENTRÉE",$U709,"")</f>
        <v/>
      </c>
      <c r="K709" s="108">
        <f>IF($I709="▼ SORTIE",$U709,"")</f>
        <v/>
      </c>
      <c r="L709" s="109">
        <f>$L708+N($J709)-N($K709)</f>
        <v/>
      </c>
      <c r="M709" s="110" t="n"/>
      <c r="N709" s="54" t="n"/>
      <c r="O709" s="54" t="n"/>
      <c r="P709" s="54" t="n"/>
      <c r="Q709" s="110" t="n"/>
      <c r="R709" s="110" t="n"/>
      <c r="S709" s="54" t="n"/>
      <c r="T709" s="111">
        <f>IF($G709="","",IFERROR(INDEX(Taux_Devises,MATCH(IF($M709="",Devise_Base,$M709),Codes_Devises,0)),1))</f>
        <v/>
      </c>
      <c r="U709" s="112">
        <f>IF($G709="","",ROUND($G709*$T709,2))</f>
        <v/>
      </c>
      <c r="V709" s="113">
        <f>IF($B709="","",MONTH($B709))</f>
        <v/>
      </c>
      <c r="W709" s="113">
        <f>IF($B709="","",YEAR($B709))</f>
        <v/>
      </c>
    </row>
    <row r="710">
      <c r="B710" s="105" t="n"/>
      <c r="C710" s="54" t="n"/>
      <c r="D710" s="54" t="n"/>
      <c r="E710" s="54" t="n"/>
      <c r="F710" s="54" t="n"/>
      <c r="G710" s="65" t="n"/>
      <c r="H710" s="54" t="n"/>
      <c r="I710" s="106">
        <f>IF($C710="","",IFERROR(INDEX(Sens_Types,MATCH($C710,Liste_Types,0)),""))</f>
        <v/>
      </c>
      <c r="J710" s="107">
        <f>IF($I710="▲ ENTRÉE",$U710,"")</f>
        <v/>
      </c>
      <c r="K710" s="108">
        <f>IF($I710="▼ SORTIE",$U710,"")</f>
        <v/>
      </c>
      <c r="L710" s="109">
        <f>$L709+N($J710)-N($K710)</f>
        <v/>
      </c>
      <c r="M710" s="110" t="n"/>
      <c r="N710" s="54" t="n"/>
      <c r="O710" s="54" t="n"/>
      <c r="P710" s="54" t="n"/>
      <c r="Q710" s="110" t="n"/>
      <c r="R710" s="110" t="n"/>
      <c r="S710" s="54" t="n"/>
      <c r="T710" s="111">
        <f>IF($G710="","",IFERROR(INDEX(Taux_Devises,MATCH(IF($M710="",Devise_Base,$M710),Codes_Devises,0)),1))</f>
        <v/>
      </c>
      <c r="U710" s="112">
        <f>IF($G710="","",ROUND($G710*$T710,2))</f>
        <v/>
      </c>
      <c r="V710" s="113">
        <f>IF($B710="","",MONTH($B710))</f>
        <v/>
      </c>
      <c r="W710" s="113">
        <f>IF($B710="","",YEAR($B710))</f>
        <v/>
      </c>
    </row>
    <row r="711">
      <c r="B711" s="105" t="n"/>
      <c r="C711" s="54" t="n"/>
      <c r="D711" s="54" t="n"/>
      <c r="E711" s="54" t="n"/>
      <c r="F711" s="54" t="n"/>
      <c r="G711" s="65" t="n"/>
      <c r="H711" s="54" t="n"/>
      <c r="I711" s="106">
        <f>IF($C711="","",IFERROR(INDEX(Sens_Types,MATCH($C711,Liste_Types,0)),""))</f>
        <v/>
      </c>
      <c r="J711" s="107">
        <f>IF($I711="▲ ENTRÉE",$U711,"")</f>
        <v/>
      </c>
      <c r="K711" s="108">
        <f>IF($I711="▼ SORTIE",$U711,"")</f>
        <v/>
      </c>
      <c r="L711" s="109">
        <f>$L710+N($J711)-N($K711)</f>
        <v/>
      </c>
      <c r="M711" s="110" t="n"/>
      <c r="N711" s="54" t="n"/>
      <c r="O711" s="54" t="n"/>
      <c r="P711" s="54" t="n"/>
      <c r="Q711" s="110" t="n"/>
      <c r="R711" s="110" t="n"/>
      <c r="S711" s="54" t="n"/>
      <c r="T711" s="111">
        <f>IF($G711="","",IFERROR(INDEX(Taux_Devises,MATCH(IF($M711="",Devise_Base,$M711),Codes_Devises,0)),1))</f>
        <v/>
      </c>
      <c r="U711" s="112">
        <f>IF($G711="","",ROUND($G711*$T711,2))</f>
        <v/>
      </c>
      <c r="V711" s="113">
        <f>IF($B711="","",MONTH($B711))</f>
        <v/>
      </c>
      <c r="W711" s="113">
        <f>IF($B711="","",YEAR($B711))</f>
        <v/>
      </c>
    </row>
    <row r="712">
      <c r="B712" s="105" t="n"/>
      <c r="C712" s="54" t="n"/>
      <c r="D712" s="54" t="n"/>
      <c r="E712" s="54" t="n"/>
      <c r="F712" s="54" t="n"/>
      <c r="G712" s="65" t="n"/>
      <c r="H712" s="54" t="n"/>
      <c r="I712" s="106">
        <f>IF($C712="","",IFERROR(INDEX(Sens_Types,MATCH($C712,Liste_Types,0)),""))</f>
        <v/>
      </c>
      <c r="J712" s="107">
        <f>IF($I712="▲ ENTRÉE",$U712,"")</f>
        <v/>
      </c>
      <c r="K712" s="108">
        <f>IF($I712="▼ SORTIE",$U712,"")</f>
        <v/>
      </c>
      <c r="L712" s="109">
        <f>$L711+N($J712)-N($K712)</f>
        <v/>
      </c>
      <c r="M712" s="110" t="n"/>
      <c r="N712" s="54" t="n"/>
      <c r="O712" s="54" t="n"/>
      <c r="P712" s="54" t="n"/>
      <c r="Q712" s="110" t="n"/>
      <c r="R712" s="110" t="n"/>
      <c r="S712" s="54" t="n"/>
      <c r="T712" s="111">
        <f>IF($G712="","",IFERROR(INDEX(Taux_Devises,MATCH(IF($M712="",Devise_Base,$M712),Codes_Devises,0)),1))</f>
        <v/>
      </c>
      <c r="U712" s="112">
        <f>IF($G712="","",ROUND($G712*$T712,2))</f>
        <v/>
      </c>
      <c r="V712" s="113">
        <f>IF($B712="","",MONTH($B712))</f>
        <v/>
      </c>
      <c r="W712" s="113">
        <f>IF($B712="","",YEAR($B712))</f>
        <v/>
      </c>
    </row>
    <row r="713">
      <c r="B713" s="105" t="n"/>
      <c r="C713" s="54" t="n"/>
      <c r="D713" s="54" t="n"/>
      <c r="E713" s="54" t="n"/>
      <c r="F713" s="54" t="n"/>
      <c r="G713" s="65" t="n"/>
      <c r="H713" s="54" t="n"/>
      <c r="I713" s="106">
        <f>IF($C713="","",IFERROR(INDEX(Sens_Types,MATCH($C713,Liste_Types,0)),""))</f>
        <v/>
      </c>
      <c r="J713" s="107">
        <f>IF($I713="▲ ENTRÉE",$U713,"")</f>
        <v/>
      </c>
      <c r="K713" s="108">
        <f>IF($I713="▼ SORTIE",$U713,"")</f>
        <v/>
      </c>
      <c r="L713" s="109">
        <f>$L712+N($J713)-N($K713)</f>
        <v/>
      </c>
      <c r="M713" s="110" t="n"/>
      <c r="N713" s="54" t="n"/>
      <c r="O713" s="54" t="n"/>
      <c r="P713" s="54" t="n"/>
      <c r="Q713" s="110" t="n"/>
      <c r="R713" s="110" t="n"/>
      <c r="S713" s="54" t="n"/>
      <c r="T713" s="111">
        <f>IF($G713="","",IFERROR(INDEX(Taux_Devises,MATCH(IF($M713="",Devise_Base,$M713),Codes_Devises,0)),1))</f>
        <v/>
      </c>
      <c r="U713" s="112">
        <f>IF($G713="","",ROUND($G713*$T713,2))</f>
        <v/>
      </c>
      <c r="V713" s="113">
        <f>IF($B713="","",MONTH($B713))</f>
        <v/>
      </c>
      <c r="W713" s="113">
        <f>IF($B713="","",YEAR($B713))</f>
        <v/>
      </c>
    </row>
    <row r="714">
      <c r="B714" s="105" t="n"/>
      <c r="C714" s="54" t="n"/>
      <c r="D714" s="54" t="n"/>
      <c r="E714" s="54" t="n"/>
      <c r="F714" s="54" t="n"/>
      <c r="G714" s="65" t="n"/>
      <c r="H714" s="54" t="n"/>
      <c r="I714" s="106">
        <f>IF($C714="","",IFERROR(INDEX(Sens_Types,MATCH($C714,Liste_Types,0)),""))</f>
        <v/>
      </c>
      <c r="J714" s="107">
        <f>IF($I714="▲ ENTRÉE",$U714,"")</f>
        <v/>
      </c>
      <c r="K714" s="108">
        <f>IF($I714="▼ SORTIE",$U714,"")</f>
        <v/>
      </c>
      <c r="L714" s="109">
        <f>$L713+N($J714)-N($K714)</f>
        <v/>
      </c>
      <c r="M714" s="110" t="n"/>
      <c r="N714" s="54" t="n"/>
      <c r="O714" s="54" t="n"/>
      <c r="P714" s="54" t="n"/>
      <c r="Q714" s="110" t="n"/>
      <c r="R714" s="110" t="n"/>
      <c r="S714" s="54" t="n"/>
      <c r="T714" s="111">
        <f>IF($G714="","",IFERROR(INDEX(Taux_Devises,MATCH(IF($M714="",Devise_Base,$M714),Codes_Devises,0)),1))</f>
        <v/>
      </c>
      <c r="U714" s="112">
        <f>IF($G714="","",ROUND($G714*$T714,2))</f>
        <v/>
      </c>
      <c r="V714" s="113">
        <f>IF($B714="","",MONTH($B714))</f>
        <v/>
      </c>
      <c r="W714" s="113">
        <f>IF($B714="","",YEAR($B714))</f>
        <v/>
      </c>
    </row>
    <row r="715">
      <c r="B715" s="105" t="n"/>
      <c r="C715" s="54" t="n"/>
      <c r="D715" s="54" t="n"/>
      <c r="E715" s="54" t="n"/>
      <c r="F715" s="54" t="n"/>
      <c r="G715" s="65" t="n"/>
      <c r="H715" s="54" t="n"/>
      <c r="I715" s="106">
        <f>IF($C715="","",IFERROR(INDEX(Sens_Types,MATCH($C715,Liste_Types,0)),""))</f>
        <v/>
      </c>
      <c r="J715" s="107">
        <f>IF($I715="▲ ENTRÉE",$U715,"")</f>
        <v/>
      </c>
      <c r="K715" s="108">
        <f>IF($I715="▼ SORTIE",$U715,"")</f>
        <v/>
      </c>
      <c r="L715" s="109">
        <f>$L714+N($J715)-N($K715)</f>
        <v/>
      </c>
      <c r="M715" s="110" t="n"/>
      <c r="N715" s="54" t="n"/>
      <c r="O715" s="54" t="n"/>
      <c r="P715" s="54" t="n"/>
      <c r="Q715" s="110" t="n"/>
      <c r="R715" s="110" t="n"/>
      <c r="S715" s="54" t="n"/>
      <c r="T715" s="111">
        <f>IF($G715="","",IFERROR(INDEX(Taux_Devises,MATCH(IF($M715="",Devise_Base,$M715),Codes_Devises,0)),1))</f>
        <v/>
      </c>
      <c r="U715" s="112">
        <f>IF($G715="","",ROUND($G715*$T715,2))</f>
        <v/>
      </c>
      <c r="V715" s="113">
        <f>IF($B715="","",MONTH($B715))</f>
        <v/>
      </c>
      <c r="W715" s="113">
        <f>IF($B715="","",YEAR($B715))</f>
        <v/>
      </c>
    </row>
    <row r="716">
      <c r="B716" s="105" t="n"/>
      <c r="C716" s="54" t="n"/>
      <c r="D716" s="54" t="n"/>
      <c r="E716" s="54" t="n"/>
      <c r="F716" s="54" t="n"/>
      <c r="G716" s="65" t="n"/>
      <c r="H716" s="54" t="n"/>
      <c r="I716" s="106">
        <f>IF($C716="","",IFERROR(INDEX(Sens_Types,MATCH($C716,Liste_Types,0)),""))</f>
        <v/>
      </c>
      <c r="J716" s="107">
        <f>IF($I716="▲ ENTRÉE",$U716,"")</f>
        <v/>
      </c>
      <c r="K716" s="108">
        <f>IF($I716="▼ SORTIE",$U716,"")</f>
        <v/>
      </c>
      <c r="L716" s="109">
        <f>$L715+N($J716)-N($K716)</f>
        <v/>
      </c>
      <c r="M716" s="110" t="n"/>
      <c r="N716" s="54" t="n"/>
      <c r="O716" s="54" t="n"/>
      <c r="P716" s="54" t="n"/>
      <c r="Q716" s="110" t="n"/>
      <c r="R716" s="110" t="n"/>
      <c r="S716" s="54" t="n"/>
      <c r="T716" s="111">
        <f>IF($G716="","",IFERROR(INDEX(Taux_Devises,MATCH(IF($M716="",Devise_Base,$M716),Codes_Devises,0)),1))</f>
        <v/>
      </c>
      <c r="U716" s="112">
        <f>IF($G716="","",ROUND($G716*$T716,2))</f>
        <v/>
      </c>
      <c r="V716" s="113">
        <f>IF($B716="","",MONTH($B716))</f>
        <v/>
      </c>
      <c r="W716" s="113">
        <f>IF($B716="","",YEAR($B716))</f>
        <v/>
      </c>
    </row>
    <row r="717">
      <c r="B717" s="105" t="n"/>
      <c r="C717" s="54" t="n"/>
      <c r="D717" s="54" t="n"/>
      <c r="E717" s="54" t="n"/>
      <c r="F717" s="54" t="n"/>
      <c r="G717" s="65" t="n"/>
      <c r="H717" s="54" t="n"/>
      <c r="I717" s="106">
        <f>IF($C717="","",IFERROR(INDEX(Sens_Types,MATCH($C717,Liste_Types,0)),""))</f>
        <v/>
      </c>
      <c r="J717" s="107">
        <f>IF($I717="▲ ENTRÉE",$U717,"")</f>
        <v/>
      </c>
      <c r="K717" s="108">
        <f>IF($I717="▼ SORTIE",$U717,"")</f>
        <v/>
      </c>
      <c r="L717" s="109">
        <f>$L716+N($J717)-N($K717)</f>
        <v/>
      </c>
      <c r="M717" s="110" t="n"/>
      <c r="N717" s="54" t="n"/>
      <c r="O717" s="54" t="n"/>
      <c r="P717" s="54" t="n"/>
      <c r="Q717" s="110" t="n"/>
      <c r="R717" s="110" t="n"/>
      <c r="S717" s="54" t="n"/>
      <c r="T717" s="111">
        <f>IF($G717="","",IFERROR(INDEX(Taux_Devises,MATCH(IF($M717="",Devise_Base,$M717),Codes_Devises,0)),1))</f>
        <v/>
      </c>
      <c r="U717" s="112">
        <f>IF($G717="","",ROUND($G717*$T717,2))</f>
        <v/>
      </c>
      <c r="V717" s="113">
        <f>IF($B717="","",MONTH($B717))</f>
        <v/>
      </c>
      <c r="W717" s="113">
        <f>IF($B717="","",YEAR($B717))</f>
        <v/>
      </c>
    </row>
    <row r="718">
      <c r="B718" s="105" t="n"/>
      <c r="C718" s="54" t="n"/>
      <c r="D718" s="54" t="n"/>
      <c r="E718" s="54" t="n"/>
      <c r="F718" s="54" t="n"/>
      <c r="G718" s="65" t="n"/>
      <c r="H718" s="54" t="n"/>
      <c r="I718" s="106">
        <f>IF($C718="","",IFERROR(INDEX(Sens_Types,MATCH($C718,Liste_Types,0)),""))</f>
        <v/>
      </c>
      <c r="J718" s="107">
        <f>IF($I718="▲ ENTRÉE",$U718,"")</f>
        <v/>
      </c>
      <c r="K718" s="108">
        <f>IF($I718="▼ SORTIE",$U718,"")</f>
        <v/>
      </c>
      <c r="L718" s="109">
        <f>$L717+N($J718)-N($K718)</f>
        <v/>
      </c>
      <c r="M718" s="110" t="n"/>
      <c r="N718" s="54" t="n"/>
      <c r="O718" s="54" t="n"/>
      <c r="P718" s="54" t="n"/>
      <c r="Q718" s="110" t="n"/>
      <c r="R718" s="110" t="n"/>
      <c r="S718" s="54" t="n"/>
      <c r="T718" s="111">
        <f>IF($G718="","",IFERROR(INDEX(Taux_Devises,MATCH(IF($M718="",Devise_Base,$M718),Codes_Devises,0)),1))</f>
        <v/>
      </c>
      <c r="U718" s="112">
        <f>IF($G718="","",ROUND($G718*$T718,2))</f>
        <v/>
      </c>
      <c r="V718" s="113">
        <f>IF($B718="","",MONTH($B718))</f>
        <v/>
      </c>
      <c r="W718" s="113">
        <f>IF($B718="","",YEAR($B718))</f>
        <v/>
      </c>
    </row>
    <row r="719">
      <c r="B719" s="105" t="n"/>
      <c r="C719" s="54" t="n"/>
      <c r="D719" s="54" t="n"/>
      <c r="E719" s="54" t="n"/>
      <c r="F719" s="54" t="n"/>
      <c r="G719" s="65" t="n"/>
      <c r="H719" s="54" t="n"/>
      <c r="I719" s="106">
        <f>IF($C719="","",IFERROR(INDEX(Sens_Types,MATCH($C719,Liste_Types,0)),""))</f>
        <v/>
      </c>
      <c r="J719" s="107">
        <f>IF($I719="▲ ENTRÉE",$U719,"")</f>
        <v/>
      </c>
      <c r="K719" s="108">
        <f>IF($I719="▼ SORTIE",$U719,"")</f>
        <v/>
      </c>
      <c r="L719" s="109">
        <f>$L718+N($J719)-N($K719)</f>
        <v/>
      </c>
      <c r="M719" s="110" t="n"/>
      <c r="N719" s="54" t="n"/>
      <c r="O719" s="54" t="n"/>
      <c r="P719" s="54" t="n"/>
      <c r="Q719" s="110" t="n"/>
      <c r="R719" s="110" t="n"/>
      <c r="S719" s="54" t="n"/>
      <c r="T719" s="111">
        <f>IF($G719="","",IFERROR(INDEX(Taux_Devises,MATCH(IF($M719="",Devise_Base,$M719),Codes_Devises,0)),1))</f>
        <v/>
      </c>
      <c r="U719" s="112">
        <f>IF($G719="","",ROUND($G719*$T719,2))</f>
        <v/>
      </c>
      <c r="V719" s="113">
        <f>IF($B719="","",MONTH($B719))</f>
        <v/>
      </c>
      <c r="W719" s="113">
        <f>IF($B719="","",YEAR($B719))</f>
        <v/>
      </c>
    </row>
    <row r="720">
      <c r="B720" s="105" t="n"/>
      <c r="C720" s="54" t="n"/>
      <c r="D720" s="54" t="n"/>
      <c r="E720" s="54" t="n"/>
      <c r="F720" s="54" t="n"/>
      <c r="G720" s="65" t="n"/>
      <c r="H720" s="54" t="n"/>
      <c r="I720" s="106">
        <f>IF($C720="","",IFERROR(INDEX(Sens_Types,MATCH($C720,Liste_Types,0)),""))</f>
        <v/>
      </c>
      <c r="J720" s="107">
        <f>IF($I720="▲ ENTRÉE",$U720,"")</f>
        <v/>
      </c>
      <c r="K720" s="108">
        <f>IF($I720="▼ SORTIE",$U720,"")</f>
        <v/>
      </c>
      <c r="L720" s="109">
        <f>$L719+N($J720)-N($K720)</f>
        <v/>
      </c>
      <c r="M720" s="110" t="n"/>
      <c r="N720" s="54" t="n"/>
      <c r="O720" s="54" t="n"/>
      <c r="P720" s="54" t="n"/>
      <c r="Q720" s="110" t="n"/>
      <c r="R720" s="110" t="n"/>
      <c r="S720" s="54" t="n"/>
      <c r="T720" s="111">
        <f>IF($G720="","",IFERROR(INDEX(Taux_Devises,MATCH(IF($M720="",Devise_Base,$M720),Codes_Devises,0)),1))</f>
        <v/>
      </c>
      <c r="U720" s="112">
        <f>IF($G720="","",ROUND($G720*$T720,2))</f>
        <v/>
      </c>
      <c r="V720" s="113">
        <f>IF($B720="","",MONTH($B720))</f>
        <v/>
      </c>
      <c r="W720" s="113">
        <f>IF($B720="","",YEAR($B720))</f>
        <v/>
      </c>
    </row>
    <row r="721">
      <c r="B721" s="105" t="n"/>
      <c r="C721" s="54" t="n"/>
      <c r="D721" s="54" t="n"/>
      <c r="E721" s="54" t="n"/>
      <c r="F721" s="54" t="n"/>
      <c r="G721" s="65" t="n"/>
      <c r="H721" s="54" t="n"/>
      <c r="I721" s="106">
        <f>IF($C721="","",IFERROR(INDEX(Sens_Types,MATCH($C721,Liste_Types,0)),""))</f>
        <v/>
      </c>
      <c r="J721" s="107">
        <f>IF($I721="▲ ENTRÉE",$U721,"")</f>
        <v/>
      </c>
      <c r="K721" s="108">
        <f>IF($I721="▼ SORTIE",$U721,"")</f>
        <v/>
      </c>
      <c r="L721" s="109">
        <f>$L720+N($J721)-N($K721)</f>
        <v/>
      </c>
      <c r="M721" s="110" t="n"/>
      <c r="N721" s="54" t="n"/>
      <c r="O721" s="54" t="n"/>
      <c r="P721" s="54" t="n"/>
      <c r="Q721" s="110" t="n"/>
      <c r="R721" s="110" t="n"/>
      <c r="S721" s="54" t="n"/>
      <c r="T721" s="111">
        <f>IF($G721="","",IFERROR(INDEX(Taux_Devises,MATCH(IF($M721="",Devise_Base,$M721),Codes_Devises,0)),1))</f>
        <v/>
      </c>
      <c r="U721" s="112">
        <f>IF($G721="","",ROUND($G721*$T721,2))</f>
        <v/>
      </c>
      <c r="V721" s="113">
        <f>IF($B721="","",MONTH($B721))</f>
        <v/>
      </c>
      <c r="W721" s="113">
        <f>IF($B721="","",YEAR($B721))</f>
        <v/>
      </c>
    </row>
    <row r="722">
      <c r="B722" s="105" t="n"/>
      <c r="C722" s="54" t="n"/>
      <c r="D722" s="54" t="n"/>
      <c r="E722" s="54" t="n"/>
      <c r="F722" s="54" t="n"/>
      <c r="G722" s="65" t="n"/>
      <c r="H722" s="54" t="n"/>
      <c r="I722" s="106">
        <f>IF($C722="","",IFERROR(INDEX(Sens_Types,MATCH($C722,Liste_Types,0)),""))</f>
        <v/>
      </c>
      <c r="J722" s="107">
        <f>IF($I722="▲ ENTRÉE",$U722,"")</f>
        <v/>
      </c>
      <c r="K722" s="108">
        <f>IF($I722="▼ SORTIE",$U722,"")</f>
        <v/>
      </c>
      <c r="L722" s="109">
        <f>$L721+N($J722)-N($K722)</f>
        <v/>
      </c>
      <c r="M722" s="110" t="n"/>
      <c r="N722" s="54" t="n"/>
      <c r="O722" s="54" t="n"/>
      <c r="P722" s="54" t="n"/>
      <c r="Q722" s="110" t="n"/>
      <c r="R722" s="110" t="n"/>
      <c r="S722" s="54" t="n"/>
      <c r="T722" s="111">
        <f>IF($G722="","",IFERROR(INDEX(Taux_Devises,MATCH(IF($M722="",Devise_Base,$M722),Codes_Devises,0)),1))</f>
        <v/>
      </c>
      <c r="U722" s="112">
        <f>IF($G722="","",ROUND($G722*$T722,2))</f>
        <v/>
      </c>
      <c r="V722" s="113">
        <f>IF($B722="","",MONTH($B722))</f>
        <v/>
      </c>
      <c r="W722" s="113">
        <f>IF($B722="","",YEAR($B722))</f>
        <v/>
      </c>
    </row>
    <row r="723">
      <c r="B723" s="105" t="n"/>
      <c r="C723" s="54" t="n"/>
      <c r="D723" s="54" t="n"/>
      <c r="E723" s="54" t="n"/>
      <c r="F723" s="54" t="n"/>
      <c r="G723" s="65" t="n"/>
      <c r="H723" s="54" t="n"/>
      <c r="I723" s="106">
        <f>IF($C723="","",IFERROR(INDEX(Sens_Types,MATCH($C723,Liste_Types,0)),""))</f>
        <v/>
      </c>
      <c r="J723" s="107">
        <f>IF($I723="▲ ENTRÉE",$U723,"")</f>
        <v/>
      </c>
      <c r="K723" s="108">
        <f>IF($I723="▼ SORTIE",$U723,"")</f>
        <v/>
      </c>
      <c r="L723" s="109">
        <f>$L722+N($J723)-N($K723)</f>
        <v/>
      </c>
      <c r="M723" s="110" t="n"/>
      <c r="N723" s="54" t="n"/>
      <c r="O723" s="54" t="n"/>
      <c r="P723" s="54" t="n"/>
      <c r="Q723" s="110" t="n"/>
      <c r="R723" s="110" t="n"/>
      <c r="S723" s="54" t="n"/>
      <c r="T723" s="111">
        <f>IF($G723="","",IFERROR(INDEX(Taux_Devises,MATCH(IF($M723="",Devise_Base,$M723),Codes_Devises,0)),1))</f>
        <v/>
      </c>
      <c r="U723" s="112">
        <f>IF($G723="","",ROUND($G723*$T723,2))</f>
        <v/>
      </c>
      <c r="V723" s="113">
        <f>IF($B723="","",MONTH($B723))</f>
        <v/>
      </c>
      <c r="W723" s="113">
        <f>IF($B723="","",YEAR($B723))</f>
        <v/>
      </c>
    </row>
    <row r="724">
      <c r="B724" s="105" t="n"/>
      <c r="C724" s="54" t="n"/>
      <c r="D724" s="54" t="n"/>
      <c r="E724" s="54" t="n"/>
      <c r="F724" s="54" t="n"/>
      <c r="G724" s="65" t="n"/>
      <c r="H724" s="54" t="n"/>
      <c r="I724" s="106">
        <f>IF($C724="","",IFERROR(INDEX(Sens_Types,MATCH($C724,Liste_Types,0)),""))</f>
        <v/>
      </c>
      <c r="J724" s="107">
        <f>IF($I724="▲ ENTRÉE",$U724,"")</f>
        <v/>
      </c>
      <c r="K724" s="108">
        <f>IF($I724="▼ SORTIE",$U724,"")</f>
        <v/>
      </c>
      <c r="L724" s="109">
        <f>$L723+N($J724)-N($K724)</f>
        <v/>
      </c>
      <c r="M724" s="110" t="n"/>
      <c r="N724" s="54" t="n"/>
      <c r="O724" s="54" t="n"/>
      <c r="P724" s="54" t="n"/>
      <c r="Q724" s="110" t="n"/>
      <c r="R724" s="110" t="n"/>
      <c r="S724" s="54" t="n"/>
      <c r="T724" s="111">
        <f>IF($G724="","",IFERROR(INDEX(Taux_Devises,MATCH(IF($M724="",Devise_Base,$M724),Codes_Devises,0)),1))</f>
        <v/>
      </c>
      <c r="U724" s="112">
        <f>IF($G724="","",ROUND($G724*$T724,2))</f>
        <v/>
      </c>
      <c r="V724" s="113">
        <f>IF($B724="","",MONTH($B724))</f>
        <v/>
      </c>
      <c r="W724" s="113">
        <f>IF($B724="","",YEAR($B724))</f>
        <v/>
      </c>
    </row>
    <row r="725">
      <c r="B725" s="105" t="n"/>
      <c r="C725" s="54" t="n"/>
      <c r="D725" s="54" t="n"/>
      <c r="E725" s="54" t="n"/>
      <c r="F725" s="54" t="n"/>
      <c r="G725" s="65" t="n"/>
      <c r="H725" s="54" t="n"/>
      <c r="I725" s="106">
        <f>IF($C725="","",IFERROR(INDEX(Sens_Types,MATCH($C725,Liste_Types,0)),""))</f>
        <v/>
      </c>
      <c r="J725" s="107">
        <f>IF($I725="▲ ENTRÉE",$U725,"")</f>
        <v/>
      </c>
      <c r="K725" s="108">
        <f>IF($I725="▼ SORTIE",$U725,"")</f>
        <v/>
      </c>
      <c r="L725" s="109">
        <f>$L724+N($J725)-N($K725)</f>
        <v/>
      </c>
      <c r="M725" s="110" t="n"/>
      <c r="N725" s="54" t="n"/>
      <c r="O725" s="54" t="n"/>
      <c r="P725" s="54" t="n"/>
      <c r="Q725" s="110" t="n"/>
      <c r="R725" s="110" t="n"/>
      <c r="S725" s="54" t="n"/>
      <c r="T725" s="111">
        <f>IF($G725="","",IFERROR(INDEX(Taux_Devises,MATCH(IF($M725="",Devise_Base,$M725),Codes_Devises,0)),1))</f>
        <v/>
      </c>
      <c r="U725" s="112">
        <f>IF($G725="","",ROUND($G725*$T725,2))</f>
        <v/>
      </c>
      <c r="V725" s="113">
        <f>IF($B725="","",MONTH($B725))</f>
        <v/>
      </c>
      <c r="W725" s="113">
        <f>IF($B725="","",YEAR($B725))</f>
        <v/>
      </c>
    </row>
    <row r="726">
      <c r="B726" s="105" t="n"/>
      <c r="C726" s="54" t="n"/>
      <c r="D726" s="54" t="n"/>
      <c r="E726" s="54" t="n"/>
      <c r="F726" s="54" t="n"/>
      <c r="G726" s="65" t="n"/>
      <c r="H726" s="54" t="n"/>
      <c r="I726" s="106">
        <f>IF($C726="","",IFERROR(INDEX(Sens_Types,MATCH($C726,Liste_Types,0)),""))</f>
        <v/>
      </c>
      <c r="J726" s="107">
        <f>IF($I726="▲ ENTRÉE",$U726,"")</f>
        <v/>
      </c>
      <c r="K726" s="108">
        <f>IF($I726="▼ SORTIE",$U726,"")</f>
        <v/>
      </c>
      <c r="L726" s="109">
        <f>$L725+N($J726)-N($K726)</f>
        <v/>
      </c>
      <c r="M726" s="110" t="n"/>
      <c r="N726" s="54" t="n"/>
      <c r="O726" s="54" t="n"/>
      <c r="P726" s="54" t="n"/>
      <c r="Q726" s="110" t="n"/>
      <c r="R726" s="110" t="n"/>
      <c r="S726" s="54" t="n"/>
      <c r="T726" s="111">
        <f>IF($G726="","",IFERROR(INDEX(Taux_Devises,MATCH(IF($M726="",Devise_Base,$M726),Codes_Devises,0)),1))</f>
        <v/>
      </c>
      <c r="U726" s="112">
        <f>IF($G726="","",ROUND($G726*$T726,2))</f>
        <v/>
      </c>
      <c r="V726" s="113">
        <f>IF($B726="","",MONTH($B726))</f>
        <v/>
      </c>
      <c r="W726" s="113">
        <f>IF($B726="","",YEAR($B726))</f>
        <v/>
      </c>
    </row>
    <row r="727">
      <c r="B727" s="105" t="n"/>
      <c r="C727" s="54" t="n"/>
      <c r="D727" s="54" t="n"/>
      <c r="E727" s="54" t="n"/>
      <c r="F727" s="54" t="n"/>
      <c r="G727" s="65" t="n"/>
      <c r="H727" s="54" t="n"/>
      <c r="I727" s="106">
        <f>IF($C727="","",IFERROR(INDEX(Sens_Types,MATCH($C727,Liste_Types,0)),""))</f>
        <v/>
      </c>
      <c r="J727" s="107">
        <f>IF($I727="▲ ENTRÉE",$U727,"")</f>
        <v/>
      </c>
      <c r="K727" s="108">
        <f>IF($I727="▼ SORTIE",$U727,"")</f>
        <v/>
      </c>
      <c r="L727" s="109">
        <f>$L726+N($J727)-N($K727)</f>
        <v/>
      </c>
      <c r="M727" s="110" t="n"/>
      <c r="N727" s="54" t="n"/>
      <c r="O727" s="54" t="n"/>
      <c r="P727" s="54" t="n"/>
      <c r="Q727" s="110" t="n"/>
      <c r="R727" s="110" t="n"/>
      <c r="S727" s="54" t="n"/>
      <c r="T727" s="111">
        <f>IF($G727="","",IFERROR(INDEX(Taux_Devises,MATCH(IF($M727="",Devise_Base,$M727),Codes_Devises,0)),1))</f>
        <v/>
      </c>
      <c r="U727" s="112">
        <f>IF($G727="","",ROUND($G727*$T727,2))</f>
        <v/>
      </c>
      <c r="V727" s="113">
        <f>IF($B727="","",MONTH($B727))</f>
        <v/>
      </c>
      <c r="W727" s="113">
        <f>IF($B727="","",YEAR($B727))</f>
        <v/>
      </c>
    </row>
    <row r="728">
      <c r="B728" s="105" t="n"/>
      <c r="C728" s="54" t="n"/>
      <c r="D728" s="54" t="n"/>
      <c r="E728" s="54" t="n"/>
      <c r="F728" s="54" t="n"/>
      <c r="G728" s="65" t="n"/>
      <c r="H728" s="54" t="n"/>
      <c r="I728" s="106">
        <f>IF($C728="","",IFERROR(INDEX(Sens_Types,MATCH($C728,Liste_Types,0)),""))</f>
        <v/>
      </c>
      <c r="J728" s="107">
        <f>IF($I728="▲ ENTRÉE",$U728,"")</f>
        <v/>
      </c>
      <c r="K728" s="108">
        <f>IF($I728="▼ SORTIE",$U728,"")</f>
        <v/>
      </c>
      <c r="L728" s="109">
        <f>$L727+N($J728)-N($K728)</f>
        <v/>
      </c>
      <c r="M728" s="110" t="n"/>
      <c r="N728" s="54" t="n"/>
      <c r="O728" s="54" t="n"/>
      <c r="P728" s="54" t="n"/>
      <c r="Q728" s="110" t="n"/>
      <c r="R728" s="110" t="n"/>
      <c r="S728" s="54" t="n"/>
      <c r="T728" s="111">
        <f>IF($G728="","",IFERROR(INDEX(Taux_Devises,MATCH(IF($M728="",Devise_Base,$M728),Codes_Devises,0)),1))</f>
        <v/>
      </c>
      <c r="U728" s="112">
        <f>IF($G728="","",ROUND($G728*$T728,2))</f>
        <v/>
      </c>
      <c r="V728" s="113">
        <f>IF($B728="","",MONTH($B728))</f>
        <v/>
      </c>
      <c r="W728" s="113">
        <f>IF($B728="","",YEAR($B728))</f>
        <v/>
      </c>
    </row>
    <row r="729">
      <c r="B729" s="105" t="n"/>
      <c r="C729" s="54" t="n"/>
      <c r="D729" s="54" t="n"/>
      <c r="E729" s="54" t="n"/>
      <c r="F729" s="54" t="n"/>
      <c r="G729" s="65" t="n"/>
      <c r="H729" s="54" t="n"/>
      <c r="I729" s="106">
        <f>IF($C729="","",IFERROR(INDEX(Sens_Types,MATCH($C729,Liste_Types,0)),""))</f>
        <v/>
      </c>
      <c r="J729" s="107">
        <f>IF($I729="▲ ENTRÉE",$U729,"")</f>
        <v/>
      </c>
      <c r="K729" s="108">
        <f>IF($I729="▼ SORTIE",$U729,"")</f>
        <v/>
      </c>
      <c r="L729" s="109">
        <f>$L728+N($J729)-N($K729)</f>
        <v/>
      </c>
      <c r="M729" s="110" t="n"/>
      <c r="N729" s="54" t="n"/>
      <c r="O729" s="54" t="n"/>
      <c r="P729" s="54" t="n"/>
      <c r="Q729" s="110" t="n"/>
      <c r="R729" s="110" t="n"/>
      <c r="S729" s="54" t="n"/>
      <c r="T729" s="111">
        <f>IF($G729="","",IFERROR(INDEX(Taux_Devises,MATCH(IF($M729="",Devise_Base,$M729),Codes_Devises,0)),1))</f>
        <v/>
      </c>
      <c r="U729" s="112">
        <f>IF($G729="","",ROUND($G729*$T729,2))</f>
        <v/>
      </c>
      <c r="V729" s="113">
        <f>IF($B729="","",MONTH($B729))</f>
        <v/>
      </c>
      <c r="W729" s="113">
        <f>IF($B729="","",YEAR($B729))</f>
        <v/>
      </c>
    </row>
    <row r="730">
      <c r="B730" s="105" t="n"/>
      <c r="C730" s="54" t="n"/>
      <c r="D730" s="54" t="n"/>
      <c r="E730" s="54" t="n"/>
      <c r="F730" s="54" t="n"/>
      <c r="G730" s="65" t="n"/>
      <c r="H730" s="54" t="n"/>
      <c r="I730" s="106">
        <f>IF($C730="","",IFERROR(INDEX(Sens_Types,MATCH($C730,Liste_Types,0)),""))</f>
        <v/>
      </c>
      <c r="J730" s="107">
        <f>IF($I730="▲ ENTRÉE",$U730,"")</f>
        <v/>
      </c>
      <c r="K730" s="108">
        <f>IF($I730="▼ SORTIE",$U730,"")</f>
        <v/>
      </c>
      <c r="L730" s="109">
        <f>$L729+N($J730)-N($K730)</f>
        <v/>
      </c>
      <c r="M730" s="110" t="n"/>
      <c r="N730" s="54" t="n"/>
      <c r="O730" s="54" t="n"/>
      <c r="P730" s="54" t="n"/>
      <c r="Q730" s="110" t="n"/>
      <c r="R730" s="110" t="n"/>
      <c r="S730" s="54" t="n"/>
      <c r="T730" s="111">
        <f>IF($G730="","",IFERROR(INDEX(Taux_Devises,MATCH(IF($M730="",Devise_Base,$M730),Codes_Devises,0)),1))</f>
        <v/>
      </c>
      <c r="U730" s="112">
        <f>IF($G730="","",ROUND($G730*$T730,2))</f>
        <v/>
      </c>
      <c r="V730" s="113">
        <f>IF($B730="","",MONTH($B730))</f>
        <v/>
      </c>
      <c r="W730" s="113">
        <f>IF($B730="","",YEAR($B730))</f>
        <v/>
      </c>
    </row>
    <row r="731">
      <c r="B731" s="105" t="n"/>
      <c r="C731" s="54" t="n"/>
      <c r="D731" s="54" t="n"/>
      <c r="E731" s="54" t="n"/>
      <c r="F731" s="54" t="n"/>
      <c r="G731" s="65" t="n"/>
      <c r="H731" s="54" t="n"/>
      <c r="I731" s="106">
        <f>IF($C731="","",IFERROR(INDEX(Sens_Types,MATCH($C731,Liste_Types,0)),""))</f>
        <v/>
      </c>
      <c r="J731" s="107">
        <f>IF($I731="▲ ENTRÉE",$U731,"")</f>
        <v/>
      </c>
      <c r="K731" s="108">
        <f>IF($I731="▼ SORTIE",$U731,"")</f>
        <v/>
      </c>
      <c r="L731" s="109">
        <f>$L730+N($J731)-N($K731)</f>
        <v/>
      </c>
      <c r="M731" s="110" t="n"/>
      <c r="N731" s="54" t="n"/>
      <c r="O731" s="54" t="n"/>
      <c r="P731" s="54" t="n"/>
      <c r="Q731" s="110" t="n"/>
      <c r="R731" s="110" t="n"/>
      <c r="S731" s="54" t="n"/>
      <c r="T731" s="111">
        <f>IF($G731="","",IFERROR(INDEX(Taux_Devises,MATCH(IF($M731="",Devise_Base,$M731),Codes_Devises,0)),1))</f>
        <v/>
      </c>
      <c r="U731" s="112">
        <f>IF($G731="","",ROUND($G731*$T731,2))</f>
        <v/>
      </c>
      <c r="V731" s="113">
        <f>IF($B731="","",MONTH($B731))</f>
        <v/>
      </c>
      <c r="W731" s="113">
        <f>IF($B731="","",YEAR($B731))</f>
        <v/>
      </c>
    </row>
    <row r="732">
      <c r="B732" s="105" t="n"/>
      <c r="C732" s="54" t="n"/>
      <c r="D732" s="54" t="n"/>
      <c r="E732" s="54" t="n"/>
      <c r="F732" s="54" t="n"/>
      <c r="G732" s="65" t="n"/>
      <c r="H732" s="54" t="n"/>
      <c r="I732" s="106">
        <f>IF($C732="","",IFERROR(INDEX(Sens_Types,MATCH($C732,Liste_Types,0)),""))</f>
        <v/>
      </c>
      <c r="J732" s="107">
        <f>IF($I732="▲ ENTRÉE",$U732,"")</f>
        <v/>
      </c>
      <c r="K732" s="108">
        <f>IF($I732="▼ SORTIE",$U732,"")</f>
        <v/>
      </c>
      <c r="L732" s="109">
        <f>$L731+N($J732)-N($K732)</f>
        <v/>
      </c>
      <c r="M732" s="110" t="n"/>
      <c r="N732" s="54" t="n"/>
      <c r="O732" s="54" t="n"/>
      <c r="P732" s="54" t="n"/>
      <c r="Q732" s="110" t="n"/>
      <c r="R732" s="110" t="n"/>
      <c r="S732" s="54" t="n"/>
      <c r="T732" s="111">
        <f>IF($G732="","",IFERROR(INDEX(Taux_Devises,MATCH(IF($M732="",Devise_Base,$M732),Codes_Devises,0)),1))</f>
        <v/>
      </c>
      <c r="U732" s="112">
        <f>IF($G732="","",ROUND($G732*$T732,2))</f>
        <v/>
      </c>
      <c r="V732" s="113">
        <f>IF($B732="","",MONTH($B732))</f>
        <v/>
      </c>
      <c r="W732" s="113">
        <f>IF($B732="","",YEAR($B732))</f>
        <v/>
      </c>
    </row>
    <row r="733">
      <c r="B733" s="105" t="n"/>
      <c r="C733" s="54" t="n"/>
      <c r="D733" s="54" t="n"/>
      <c r="E733" s="54" t="n"/>
      <c r="F733" s="54" t="n"/>
      <c r="G733" s="65" t="n"/>
      <c r="H733" s="54" t="n"/>
      <c r="I733" s="106">
        <f>IF($C733="","",IFERROR(INDEX(Sens_Types,MATCH($C733,Liste_Types,0)),""))</f>
        <v/>
      </c>
      <c r="J733" s="107">
        <f>IF($I733="▲ ENTRÉE",$U733,"")</f>
        <v/>
      </c>
      <c r="K733" s="108">
        <f>IF($I733="▼ SORTIE",$U733,"")</f>
        <v/>
      </c>
      <c r="L733" s="109">
        <f>$L732+N($J733)-N($K733)</f>
        <v/>
      </c>
      <c r="M733" s="110" t="n"/>
      <c r="N733" s="54" t="n"/>
      <c r="O733" s="54" t="n"/>
      <c r="P733" s="54" t="n"/>
      <c r="Q733" s="110" t="n"/>
      <c r="R733" s="110" t="n"/>
      <c r="S733" s="54" t="n"/>
      <c r="T733" s="111">
        <f>IF($G733="","",IFERROR(INDEX(Taux_Devises,MATCH(IF($M733="",Devise_Base,$M733),Codes_Devises,0)),1))</f>
        <v/>
      </c>
      <c r="U733" s="112">
        <f>IF($G733="","",ROUND($G733*$T733,2))</f>
        <v/>
      </c>
      <c r="V733" s="113">
        <f>IF($B733="","",MONTH($B733))</f>
        <v/>
      </c>
      <c r="W733" s="113">
        <f>IF($B733="","",YEAR($B733))</f>
        <v/>
      </c>
    </row>
    <row r="734">
      <c r="B734" s="105" t="n"/>
      <c r="C734" s="54" t="n"/>
      <c r="D734" s="54" t="n"/>
      <c r="E734" s="54" t="n"/>
      <c r="F734" s="54" t="n"/>
      <c r="G734" s="65" t="n"/>
      <c r="H734" s="54" t="n"/>
      <c r="I734" s="106">
        <f>IF($C734="","",IFERROR(INDEX(Sens_Types,MATCH($C734,Liste_Types,0)),""))</f>
        <v/>
      </c>
      <c r="J734" s="107">
        <f>IF($I734="▲ ENTRÉE",$U734,"")</f>
        <v/>
      </c>
      <c r="K734" s="108">
        <f>IF($I734="▼ SORTIE",$U734,"")</f>
        <v/>
      </c>
      <c r="L734" s="109">
        <f>$L733+N($J734)-N($K734)</f>
        <v/>
      </c>
      <c r="M734" s="110" t="n"/>
      <c r="N734" s="54" t="n"/>
      <c r="O734" s="54" t="n"/>
      <c r="P734" s="54" t="n"/>
      <c r="Q734" s="110" t="n"/>
      <c r="R734" s="110" t="n"/>
      <c r="S734" s="54" t="n"/>
      <c r="T734" s="111">
        <f>IF($G734="","",IFERROR(INDEX(Taux_Devises,MATCH(IF($M734="",Devise_Base,$M734),Codes_Devises,0)),1))</f>
        <v/>
      </c>
      <c r="U734" s="112">
        <f>IF($G734="","",ROUND($G734*$T734,2))</f>
        <v/>
      </c>
      <c r="V734" s="113">
        <f>IF($B734="","",MONTH($B734))</f>
        <v/>
      </c>
      <c r="W734" s="113">
        <f>IF($B734="","",YEAR($B734))</f>
        <v/>
      </c>
    </row>
    <row r="735">
      <c r="B735" s="105" t="n"/>
      <c r="C735" s="54" t="n"/>
      <c r="D735" s="54" t="n"/>
      <c r="E735" s="54" t="n"/>
      <c r="F735" s="54" t="n"/>
      <c r="G735" s="65" t="n"/>
      <c r="H735" s="54" t="n"/>
      <c r="I735" s="106">
        <f>IF($C735="","",IFERROR(INDEX(Sens_Types,MATCH($C735,Liste_Types,0)),""))</f>
        <v/>
      </c>
      <c r="J735" s="107">
        <f>IF($I735="▲ ENTRÉE",$U735,"")</f>
        <v/>
      </c>
      <c r="K735" s="108">
        <f>IF($I735="▼ SORTIE",$U735,"")</f>
        <v/>
      </c>
      <c r="L735" s="109">
        <f>$L734+N($J735)-N($K735)</f>
        <v/>
      </c>
      <c r="M735" s="110" t="n"/>
      <c r="N735" s="54" t="n"/>
      <c r="O735" s="54" t="n"/>
      <c r="P735" s="54" t="n"/>
      <c r="Q735" s="110" t="n"/>
      <c r="R735" s="110" t="n"/>
      <c r="S735" s="54" t="n"/>
      <c r="T735" s="111">
        <f>IF($G735="","",IFERROR(INDEX(Taux_Devises,MATCH(IF($M735="",Devise_Base,$M735),Codes_Devises,0)),1))</f>
        <v/>
      </c>
      <c r="U735" s="112">
        <f>IF($G735="","",ROUND($G735*$T735,2))</f>
        <v/>
      </c>
      <c r="V735" s="113">
        <f>IF($B735="","",MONTH($B735))</f>
        <v/>
      </c>
      <c r="W735" s="113">
        <f>IF($B735="","",YEAR($B735))</f>
        <v/>
      </c>
    </row>
    <row r="736">
      <c r="B736" s="105" t="n"/>
      <c r="C736" s="54" t="n"/>
      <c r="D736" s="54" t="n"/>
      <c r="E736" s="54" t="n"/>
      <c r="F736" s="54" t="n"/>
      <c r="G736" s="65" t="n"/>
      <c r="H736" s="54" t="n"/>
      <c r="I736" s="106">
        <f>IF($C736="","",IFERROR(INDEX(Sens_Types,MATCH($C736,Liste_Types,0)),""))</f>
        <v/>
      </c>
      <c r="J736" s="107">
        <f>IF($I736="▲ ENTRÉE",$U736,"")</f>
        <v/>
      </c>
      <c r="K736" s="108">
        <f>IF($I736="▼ SORTIE",$U736,"")</f>
        <v/>
      </c>
      <c r="L736" s="109">
        <f>$L735+N($J736)-N($K736)</f>
        <v/>
      </c>
      <c r="M736" s="110" t="n"/>
      <c r="N736" s="54" t="n"/>
      <c r="O736" s="54" t="n"/>
      <c r="P736" s="54" t="n"/>
      <c r="Q736" s="110" t="n"/>
      <c r="R736" s="110" t="n"/>
      <c r="S736" s="54" t="n"/>
      <c r="T736" s="111">
        <f>IF($G736="","",IFERROR(INDEX(Taux_Devises,MATCH(IF($M736="",Devise_Base,$M736),Codes_Devises,0)),1))</f>
        <v/>
      </c>
      <c r="U736" s="112">
        <f>IF($G736="","",ROUND($G736*$T736,2))</f>
        <v/>
      </c>
      <c r="V736" s="113">
        <f>IF($B736="","",MONTH($B736))</f>
        <v/>
      </c>
      <c r="W736" s="113">
        <f>IF($B736="","",YEAR($B736))</f>
        <v/>
      </c>
    </row>
    <row r="737">
      <c r="B737" s="105" t="n"/>
      <c r="C737" s="54" t="n"/>
      <c r="D737" s="54" t="n"/>
      <c r="E737" s="54" t="n"/>
      <c r="F737" s="54" t="n"/>
      <c r="G737" s="65" t="n"/>
      <c r="H737" s="54" t="n"/>
      <c r="I737" s="106">
        <f>IF($C737="","",IFERROR(INDEX(Sens_Types,MATCH($C737,Liste_Types,0)),""))</f>
        <v/>
      </c>
      <c r="J737" s="107">
        <f>IF($I737="▲ ENTRÉE",$U737,"")</f>
        <v/>
      </c>
      <c r="K737" s="108">
        <f>IF($I737="▼ SORTIE",$U737,"")</f>
        <v/>
      </c>
      <c r="L737" s="109">
        <f>$L736+N($J737)-N($K737)</f>
        <v/>
      </c>
      <c r="M737" s="110" t="n"/>
      <c r="N737" s="54" t="n"/>
      <c r="O737" s="54" t="n"/>
      <c r="P737" s="54" t="n"/>
      <c r="Q737" s="110" t="n"/>
      <c r="R737" s="110" t="n"/>
      <c r="S737" s="54" t="n"/>
      <c r="T737" s="111">
        <f>IF($G737="","",IFERROR(INDEX(Taux_Devises,MATCH(IF($M737="",Devise_Base,$M737),Codes_Devises,0)),1))</f>
        <v/>
      </c>
      <c r="U737" s="112">
        <f>IF($G737="","",ROUND($G737*$T737,2))</f>
        <v/>
      </c>
      <c r="V737" s="113">
        <f>IF($B737="","",MONTH($B737))</f>
        <v/>
      </c>
      <c r="W737" s="113">
        <f>IF($B737="","",YEAR($B737))</f>
        <v/>
      </c>
    </row>
    <row r="738">
      <c r="B738" s="105" t="n"/>
      <c r="C738" s="54" t="n"/>
      <c r="D738" s="54" t="n"/>
      <c r="E738" s="54" t="n"/>
      <c r="F738" s="54" t="n"/>
      <c r="G738" s="65" t="n"/>
      <c r="H738" s="54" t="n"/>
      <c r="I738" s="106">
        <f>IF($C738="","",IFERROR(INDEX(Sens_Types,MATCH($C738,Liste_Types,0)),""))</f>
        <v/>
      </c>
      <c r="J738" s="107">
        <f>IF($I738="▲ ENTRÉE",$U738,"")</f>
        <v/>
      </c>
      <c r="K738" s="108">
        <f>IF($I738="▼ SORTIE",$U738,"")</f>
        <v/>
      </c>
      <c r="L738" s="109">
        <f>$L737+N($J738)-N($K738)</f>
        <v/>
      </c>
      <c r="M738" s="110" t="n"/>
      <c r="N738" s="54" t="n"/>
      <c r="O738" s="54" t="n"/>
      <c r="P738" s="54" t="n"/>
      <c r="Q738" s="110" t="n"/>
      <c r="R738" s="110" t="n"/>
      <c r="S738" s="54" t="n"/>
      <c r="T738" s="111">
        <f>IF($G738="","",IFERROR(INDEX(Taux_Devises,MATCH(IF($M738="",Devise_Base,$M738),Codes_Devises,0)),1))</f>
        <v/>
      </c>
      <c r="U738" s="112">
        <f>IF($G738="","",ROUND($G738*$T738,2))</f>
        <v/>
      </c>
      <c r="V738" s="113">
        <f>IF($B738="","",MONTH($B738))</f>
        <v/>
      </c>
      <c r="W738" s="113">
        <f>IF($B738="","",YEAR($B738))</f>
        <v/>
      </c>
    </row>
    <row r="739">
      <c r="B739" s="105" t="n"/>
      <c r="C739" s="54" t="n"/>
      <c r="D739" s="54" t="n"/>
      <c r="E739" s="54" t="n"/>
      <c r="F739" s="54" t="n"/>
      <c r="G739" s="65" t="n"/>
      <c r="H739" s="54" t="n"/>
      <c r="I739" s="106">
        <f>IF($C739="","",IFERROR(INDEX(Sens_Types,MATCH($C739,Liste_Types,0)),""))</f>
        <v/>
      </c>
      <c r="J739" s="107">
        <f>IF($I739="▲ ENTRÉE",$U739,"")</f>
        <v/>
      </c>
      <c r="K739" s="108">
        <f>IF($I739="▼ SORTIE",$U739,"")</f>
        <v/>
      </c>
      <c r="L739" s="109">
        <f>$L738+N($J739)-N($K739)</f>
        <v/>
      </c>
      <c r="M739" s="110" t="n"/>
      <c r="N739" s="54" t="n"/>
      <c r="O739" s="54" t="n"/>
      <c r="P739" s="54" t="n"/>
      <c r="Q739" s="110" t="n"/>
      <c r="R739" s="110" t="n"/>
      <c r="S739" s="54" t="n"/>
      <c r="T739" s="111">
        <f>IF($G739="","",IFERROR(INDEX(Taux_Devises,MATCH(IF($M739="",Devise_Base,$M739),Codes_Devises,0)),1))</f>
        <v/>
      </c>
      <c r="U739" s="112">
        <f>IF($G739="","",ROUND($G739*$T739,2))</f>
        <v/>
      </c>
      <c r="V739" s="113">
        <f>IF($B739="","",MONTH($B739))</f>
        <v/>
      </c>
      <c r="W739" s="113">
        <f>IF($B739="","",YEAR($B739))</f>
        <v/>
      </c>
    </row>
    <row r="740">
      <c r="B740" s="105" t="n"/>
      <c r="C740" s="54" t="n"/>
      <c r="D740" s="54" t="n"/>
      <c r="E740" s="54" t="n"/>
      <c r="F740" s="54" t="n"/>
      <c r="G740" s="65" t="n"/>
      <c r="H740" s="54" t="n"/>
      <c r="I740" s="106">
        <f>IF($C740="","",IFERROR(INDEX(Sens_Types,MATCH($C740,Liste_Types,0)),""))</f>
        <v/>
      </c>
      <c r="J740" s="107">
        <f>IF($I740="▲ ENTRÉE",$U740,"")</f>
        <v/>
      </c>
      <c r="K740" s="108">
        <f>IF($I740="▼ SORTIE",$U740,"")</f>
        <v/>
      </c>
      <c r="L740" s="109">
        <f>$L739+N($J740)-N($K740)</f>
        <v/>
      </c>
      <c r="M740" s="110" t="n"/>
      <c r="N740" s="54" t="n"/>
      <c r="O740" s="54" t="n"/>
      <c r="P740" s="54" t="n"/>
      <c r="Q740" s="110" t="n"/>
      <c r="R740" s="110" t="n"/>
      <c r="S740" s="54" t="n"/>
      <c r="T740" s="111">
        <f>IF($G740="","",IFERROR(INDEX(Taux_Devises,MATCH(IF($M740="",Devise_Base,$M740),Codes_Devises,0)),1))</f>
        <v/>
      </c>
      <c r="U740" s="112">
        <f>IF($G740="","",ROUND($G740*$T740,2))</f>
        <v/>
      </c>
      <c r="V740" s="113">
        <f>IF($B740="","",MONTH($B740))</f>
        <v/>
      </c>
      <c r="W740" s="113">
        <f>IF($B740="","",YEAR($B740))</f>
        <v/>
      </c>
    </row>
    <row r="741">
      <c r="B741" s="105" t="n"/>
      <c r="C741" s="54" t="n"/>
      <c r="D741" s="54" t="n"/>
      <c r="E741" s="54" t="n"/>
      <c r="F741" s="54" t="n"/>
      <c r="G741" s="65" t="n"/>
      <c r="H741" s="54" t="n"/>
      <c r="I741" s="106">
        <f>IF($C741="","",IFERROR(INDEX(Sens_Types,MATCH($C741,Liste_Types,0)),""))</f>
        <v/>
      </c>
      <c r="J741" s="107">
        <f>IF($I741="▲ ENTRÉE",$U741,"")</f>
        <v/>
      </c>
      <c r="K741" s="108">
        <f>IF($I741="▼ SORTIE",$U741,"")</f>
        <v/>
      </c>
      <c r="L741" s="109">
        <f>$L740+N($J741)-N($K741)</f>
        <v/>
      </c>
      <c r="M741" s="110" t="n"/>
      <c r="N741" s="54" t="n"/>
      <c r="O741" s="54" t="n"/>
      <c r="P741" s="54" t="n"/>
      <c r="Q741" s="110" t="n"/>
      <c r="R741" s="110" t="n"/>
      <c r="S741" s="54" t="n"/>
      <c r="T741" s="111">
        <f>IF($G741="","",IFERROR(INDEX(Taux_Devises,MATCH(IF($M741="",Devise_Base,$M741),Codes_Devises,0)),1))</f>
        <v/>
      </c>
      <c r="U741" s="112">
        <f>IF($G741="","",ROUND($G741*$T741,2))</f>
        <v/>
      </c>
      <c r="V741" s="113">
        <f>IF($B741="","",MONTH($B741))</f>
        <v/>
      </c>
      <c r="W741" s="113">
        <f>IF($B741="","",YEAR($B741))</f>
        <v/>
      </c>
    </row>
    <row r="742">
      <c r="B742" s="105" t="n"/>
      <c r="C742" s="54" t="n"/>
      <c r="D742" s="54" t="n"/>
      <c r="E742" s="54" t="n"/>
      <c r="F742" s="54" t="n"/>
      <c r="G742" s="65" t="n"/>
      <c r="H742" s="54" t="n"/>
      <c r="I742" s="106">
        <f>IF($C742="","",IFERROR(INDEX(Sens_Types,MATCH($C742,Liste_Types,0)),""))</f>
        <v/>
      </c>
      <c r="J742" s="107">
        <f>IF($I742="▲ ENTRÉE",$U742,"")</f>
        <v/>
      </c>
      <c r="K742" s="108">
        <f>IF($I742="▼ SORTIE",$U742,"")</f>
        <v/>
      </c>
      <c r="L742" s="109">
        <f>$L741+N($J742)-N($K742)</f>
        <v/>
      </c>
      <c r="M742" s="110" t="n"/>
      <c r="N742" s="54" t="n"/>
      <c r="O742" s="54" t="n"/>
      <c r="P742" s="54" t="n"/>
      <c r="Q742" s="110" t="n"/>
      <c r="R742" s="110" t="n"/>
      <c r="S742" s="54" t="n"/>
      <c r="T742" s="111">
        <f>IF($G742="","",IFERROR(INDEX(Taux_Devises,MATCH(IF($M742="",Devise_Base,$M742),Codes_Devises,0)),1))</f>
        <v/>
      </c>
      <c r="U742" s="112">
        <f>IF($G742="","",ROUND($G742*$T742,2))</f>
        <v/>
      </c>
      <c r="V742" s="113">
        <f>IF($B742="","",MONTH($B742))</f>
        <v/>
      </c>
      <c r="W742" s="113">
        <f>IF($B742="","",YEAR($B742))</f>
        <v/>
      </c>
    </row>
    <row r="743">
      <c r="B743" s="105" t="n"/>
      <c r="C743" s="54" t="n"/>
      <c r="D743" s="54" t="n"/>
      <c r="E743" s="54" t="n"/>
      <c r="F743" s="54" t="n"/>
      <c r="G743" s="65" t="n"/>
      <c r="H743" s="54" t="n"/>
      <c r="I743" s="106">
        <f>IF($C743="","",IFERROR(INDEX(Sens_Types,MATCH($C743,Liste_Types,0)),""))</f>
        <v/>
      </c>
      <c r="J743" s="107">
        <f>IF($I743="▲ ENTRÉE",$U743,"")</f>
        <v/>
      </c>
      <c r="K743" s="108">
        <f>IF($I743="▼ SORTIE",$U743,"")</f>
        <v/>
      </c>
      <c r="L743" s="109">
        <f>$L742+N($J743)-N($K743)</f>
        <v/>
      </c>
      <c r="M743" s="110" t="n"/>
      <c r="N743" s="54" t="n"/>
      <c r="O743" s="54" t="n"/>
      <c r="P743" s="54" t="n"/>
      <c r="Q743" s="110" t="n"/>
      <c r="R743" s="110" t="n"/>
      <c r="S743" s="54" t="n"/>
      <c r="T743" s="111">
        <f>IF($G743="","",IFERROR(INDEX(Taux_Devises,MATCH(IF($M743="",Devise_Base,$M743),Codes_Devises,0)),1))</f>
        <v/>
      </c>
      <c r="U743" s="112">
        <f>IF($G743="","",ROUND($G743*$T743,2))</f>
        <v/>
      </c>
      <c r="V743" s="113">
        <f>IF($B743="","",MONTH($B743))</f>
        <v/>
      </c>
      <c r="W743" s="113">
        <f>IF($B743="","",YEAR($B743))</f>
        <v/>
      </c>
    </row>
    <row r="744">
      <c r="B744" s="105" t="n"/>
      <c r="C744" s="54" t="n"/>
      <c r="D744" s="54" t="n"/>
      <c r="E744" s="54" t="n"/>
      <c r="F744" s="54" t="n"/>
      <c r="G744" s="65" t="n"/>
      <c r="H744" s="54" t="n"/>
      <c r="I744" s="106">
        <f>IF($C744="","",IFERROR(INDEX(Sens_Types,MATCH($C744,Liste_Types,0)),""))</f>
        <v/>
      </c>
      <c r="J744" s="107">
        <f>IF($I744="▲ ENTRÉE",$U744,"")</f>
        <v/>
      </c>
      <c r="K744" s="108">
        <f>IF($I744="▼ SORTIE",$U744,"")</f>
        <v/>
      </c>
      <c r="L744" s="109">
        <f>$L743+N($J744)-N($K744)</f>
        <v/>
      </c>
      <c r="M744" s="110" t="n"/>
      <c r="N744" s="54" t="n"/>
      <c r="O744" s="54" t="n"/>
      <c r="P744" s="54" t="n"/>
      <c r="Q744" s="110" t="n"/>
      <c r="R744" s="110" t="n"/>
      <c r="S744" s="54" t="n"/>
      <c r="T744" s="111">
        <f>IF($G744="","",IFERROR(INDEX(Taux_Devises,MATCH(IF($M744="",Devise_Base,$M744),Codes_Devises,0)),1))</f>
        <v/>
      </c>
      <c r="U744" s="112">
        <f>IF($G744="","",ROUND($G744*$T744,2))</f>
        <v/>
      </c>
      <c r="V744" s="113">
        <f>IF($B744="","",MONTH($B744))</f>
        <v/>
      </c>
      <c r="W744" s="113">
        <f>IF($B744="","",YEAR($B744))</f>
        <v/>
      </c>
    </row>
    <row r="745">
      <c r="B745" s="105" t="n"/>
      <c r="C745" s="54" t="n"/>
      <c r="D745" s="54" t="n"/>
      <c r="E745" s="54" t="n"/>
      <c r="F745" s="54" t="n"/>
      <c r="G745" s="65" t="n"/>
      <c r="H745" s="54" t="n"/>
      <c r="I745" s="106">
        <f>IF($C745="","",IFERROR(INDEX(Sens_Types,MATCH($C745,Liste_Types,0)),""))</f>
        <v/>
      </c>
      <c r="J745" s="107">
        <f>IF($I745="▲ ENTRÉE",$U745,"")</f>
        <v/>
      </c>
      <c r="K745" s="108">
        <f>IF($I745="▼ SORTIE",$U745,"")</f>
        <v/>
      </c>
      <c r="L745" s="109">
        <f>$L744+N($J745)-N($K745)</f>
        <v/>
      </c>
      <c r="M745" s="110" t="n"/>
      <c r="N745" s="54" t="n"/>
      <c r="O745" s="54" t="n"/>
      <c r="P745" s="54" t="n"/>
      <c r="Q745" s="110" t="n"/>
      <c r="R745" s="110" t="n"/>
      <c r="S745" s="54" t="n"/>
      <c r="T745" s="111">
        <f>IF($G745="","",IFERROR(INDEX(Taux_Devises,MATCH(IF($M745="",Devise_Base,$M745),Codes_Devises,0)),1))</f>
        <v/>
      </c>
      <c r="U745" s="112">
        <f>IF($G745="","",ROUND($G745*$T745,2))</f>
        <v/>
      </c>
      <c r="V745" s="113">
        <f>IF($B745="","",MONTH($B745))</f>
        <v/>
      </c>
      <c r="W745" s="113">
        <f>IF($B745="","",YEAR($B745))</f>
        <v/>
      </c>
    </row>
    <row r="746">
      <c r="B746" s="105" t="n"/>
      <c r="C746" s="54" t="n"/>
      <c r="D746" s="54" t="n"/>
      <c r="E746" s="54" t="n"/>
      <c r="F746" s="54" t="n"/>
      <c r="G746" s="65" t="n"/>
      <c r="H746" s="54" t="n"/>
      <c r="I746" s="106">
        <f>IF($C746="","",IFERROR(INDEX(Sens_Types,MATCH($C746,Liste_Types,0)),""))</f>
        <v/>
      </c>
      <c r="J746" s="107">
        <f>IF($I746="▲ ENTRÉE",$U746,"")</f>
        <v/>
      </c>
      <c r="K746" s="108">
        <f>IF($I746="▼ SORTIE",$U746,"")</f>
        <v/>
      </c>
      <c r="L746" s="109">
        <f>$L745+N($J746)-N($K746)</f>
        <v/>
      </c>
      <c r="M746" s="110" t="n"/>
      <c r="N746" s="54" t="n"/>
      <c r="O746" s="54" t="n"/>
      <c r="P746" s="54" t="n"/>
      <c r="Q746" s="110" t="n"/>
      <c r="R746" s="110" t="n"/>
      <c r="S746" s="54" t="n"/>
      <c r="T746" s="111">
        <f>IF($G746="","",IFERROR(INDEX(Taux_Devises,MATCH(IF($M746="",Devise_Base,$M746),Codes_Devises,0)),1))</f>
        <v/>
      </c>
      <c r="U746" s="112">
        <f>IF($G746="","",ROUND($G746*$T746,2))</f>
        <v/>
      </c>
      <c r="V746" s="113">
        <f>IF($B746="","",MONTH($B746))</f>
        <v/>
      </c>
      <c r="W746" s="113">
        <f>IF($B746="","",YEAR($B746))</f>
        <v/>
      </c>
    </row>
    <row r="747">
      <c r="B747" s="105" t="n"/>
      <c r="C747" s="54" t="n"/>
      <c r="D747" s="54" t="n"/>
      <c r="E747" s="54" t="n"/>
      <c r="F747" s="54" t="n"/>
      <c r="G747" s="65" t="n"/>
      <c r="H747" s="54" t="n"/>
      <c r="I747" s="106">
        <f>IF($C747="","",IFERROR(INDEX(Sens_Types,MATCH($C747,Liste_Types,0)),""))</f>
        <v/>
      </c>
      <c r="J747" s="107">
        <f>IF($I747="▲ ENTRÉE",$U747,"")</f>
        <v/>
      </c>
      <c r="K747" s="108">
        <f>IF($I747="▼ SORTIE",$U747,"")</f>
        <v/>
      </c>
      <c r="L747" s="109">
        <f>$L746+N($J747)-N($K747)</f>
        <v/>
      </c>
      <c r="M747" s="110" t="n"/>
      <c r="N747" s="54" t="n"/>
      <c r="O747" s="54" t="n"/>
      <c r="P747" s="54" t="n"/>
      <c r="Q747" s="110" t="n"/>
      <c r="R747" s="110" t="n"/>
      <c r="S747" s="54" t="n"/>
      <c r="T747" s="111">
        <f>IF($G747="","",IFERROR(INDEX(Taux_Devises,MATCH(IF($M747="",Devise_Base,$M747),Codes_Devises,0)),1))</f>
        <v/>
      </c>
      <c r="U747" s="112">
        <f>IF($G747="","",ROUND($G747*$T747,2))</f>
        <v/>
      </c>
      <c r="V747" s="113">
        <f>IF($B747="","",MONTH($B747))</f>
        <v/>
      </c>
      <c r="W747" s="113">
        <f>IF($B747="","",YEAR($B747))</f>
        <v/>
      </c>
    </row>
    <row r="748">
      <c r="B748" s="105" t="n"/>
      <c r="C748" s="54" t="n"/>
      <c r="D748" s="54" t="n"/>
      <c r="E748" s="54" t="n"/>
      <c r="F748" s="54" t="n"/>
      <c r="G748" s="65" t="n"/>
      <c r="H748" s="54" t="n"/>
      <c r="I748" s="106">
        <f>IF($C748="","",IFERROR(INDEX(Sens_Types,MATCH($C748,Liste_Types,0)),""))</f>
        <v/>
      </c>
      <c r="J748" s="107">
        <f>IF($I748="▲ ENTRÉE",$U748,"")</f>
        <v/>
      </c>
      <c r="K748" s="108">
        <f>IF($I748="▼ SORTIE",$U748,"")</f>
        <v/>
      </c>
      <c r="L748" s="109">
        <f>$L747+N($J748)-N($K748)</f>
        <v/>
      </c>
      <c r="M748" s="110" t="n"/>
      <c r="N748" s="54" t="n"/>
      <c r="O748" s="54" t="n"/>
      <c r="P748" s="54" t="n"/>
      <c r="Q748" s="110" t="n"/>
      <c r="R748" s="110" t="n"/>
      <c r="S748" s="54" t="n"/>
      <c r="T748" s="111">
        <f>IF($G748="","",IFERROR(INDEX(Taux_Devises,MATCH(IF($M748="",Devise_Base,$M748),Codes_Devises,0)),1))</f>
        <v/>
      </c>
      <c r="U748" s="112">
        <f>IF($G748="","",ROUND($G748*$T748,2))</f>
        <v/>
      </c>
      <c r="V748" s="113">
        <f>IF($B748="","",MONTH($B748))</f>
        <v/>
      </c>
      <c r="W748" s="113">
        <f>IF($B748="","",YEAR($B748))</f>
        <v/>
      </c>
    </row>
    <row r="749">
      <c r="B749" s="105" t="n"/>
      <c r="C749" s="54" t="n"/>
      <c r="D749" s="54" t="n"/>
      <c r="E749" s="54" t="n"/>
      <c r="F749" s="54" t="n"/>
      <c r="G749" s="65" t="n"/>
      <c r="H749" s="54" t="n"/>
      <c r="I749" s="106">
        <f>IF($C749="","",IFERROR(INDEX(Sens_Types,MATCH($C749,Liste_Types,0)),""))</f>
        <v/>
      </c>
      <c r="J749" s="107">
        <f>IF($I749="▲ ENTRÉE",$U749,"")</f>
        <v/>
      </c>
      <c r="K749" s="108">
        <f>IF($I749="▼ SORTIE",$U749,"")</f>
        <v/>
      </c>
      <c r="L749" s="109">
        <f>$L748+N($J749)-N($K749)</f>
        <v/>
      </c>
      <c r="M749" s="110" t="n"/>
      <c r="N749" s="54" t="n"/>
      <c r="O749" s="54" t="n"/>
      <c r="P749" s="54" t="n"/>
      <c r="Q749" s="110" t="n"/>
      <c r="R749" s="110" t="n"/>
      <c r="S749" s="54" t="n"/>
      <c r="T749" s="111">
        <f>IF($G749="","",IFERROR(INDEX(Taux_Devises,MATCH(IF($M749="",Devise_Base,$M749),Codes_Devises,0)),1))</f>
        <v/>
      </c>
      <c r="U749" s="112">
        <f>IF($G749="","",ROUND($G749*$T749,2))</f>
        <v/>
      </c>
      <c r="V749" s="113">
        <f>IF($B749="","",MONTH($B749))</f>
        <v/>
      </c>
      <c r="W749" s="113">
        <f>IF($B749="","",YEAR($B749))</f>
        <v/>
      </c>
    </row>
    <row r="750">
      <c r="B750" s="105" t="n"/>
      <c r="C750" s="54" t="n"/>
      <c r="D750" s="54" t="n"/>
      <c r="E750" s="54" t="n"/>
      <c r="F750" s="54" t="n"/>
      <c r="G750" s="65" t="n"/>
      <c r="H750" s="54" t="n"/>
      <c r="I750" s="106">
        <f>IF($C750="","",IFERROR(INDEX(Sens_Types,MATCH($C750,Liste_Types,0)),""))</f>
        <v/>
      </c>
      <c r="J750" s="107">
        <f>IF($I750="▲ ENTRÉE",$U750,"")</f>
        <v/>
      </c>
      <c r="K750" s="108">
        <f>IF($I750="▼ SORTIE",$U750,"")</f>
        <v/>
      </c>
      <c r="L750" s="109">
        <f>$L749+N($J750)-N($K750)</f>
        <v/>
      </c>
      <c r="M750" s="110" t="n"/>
      <c r="N750" s="54" t="n"/>
      <c r="O750" s="54" t="n"/>
      <c r="P750" s="54" t="n"/>
      <c r="Q750" s="110" t="n"/>
      <c r="R750" s="110" t="n"/>
      <c r="S750" s="54" t="n"/>
      <c r="T750" s="111">
        <f>IF($G750="","",IFERROR(INDEX(Taux_Devises,MATCH(IF($M750="",Devise_Base,$M750),Codes_Devises,0)),1))</f>
        <v/>
      </c>
      <c r="U750" s="112">
        <f>IF($G750="","",ROUND($G750*$T750,2))</f>
        <v/>
      </c>
      <c r="V750" s="113">
        <f>IF($B750="","",MONTH($B750))</f>
        <v/>
      </c>
      <c r="W750" s="113">
        <f>IF($B750="","",YEAR($B750))</f>
        <v/>
      </c>
    </row>
    <row r="751">
      <c r="B751" s="105" t="n"/>
      <c r="C751" s="54" t="n"/>
      <c r="D751" s="54" t="n"/>
      <c r="E751" s="54" t="n"/>
      <c r="F751" s="54" t="n"/>
      <c r="G751" s="65" t="n"/>
      <c r="H751" s="54" t="n"/>
      <c r="I751" s="106">
        <f>IF($C751="","",IFERROR(INDEX(Sens_Types,MATCH($C751,Liste_Types,0)),""))</f>
        <v/>
      </c>
      <c r="J751" s="107">
        <f>IF($I751="▲ ENTRÉE",$U751,"")</f>
        <v/>
      </c>
      <c r="K751" s="108">
        <f>IF($I751="▼ SORTIE",$U751,"")</f>
        <v/>
      </c>
      <c r="L751" s="109">
        <f>$L750+N($J751)-N($K751)</f>
        <v/>
      </c>
      <c r="M751" s="110" t="n"/>
      <c r="N751" s="54" t="n"/>
      <c r="O751" s="54" t="n"/>
      <c r="P751" s="54" t="n"/>
      <c r="Q751" s="110" t="n"/>
      <c r="R751" s="110" t="n"/>
      <c r="S751" s="54" t="n"/>
      <c r="T751" s="111">
        <f>IF($G751="","",IFERROR(INDEX(Taux_Devises,MATCH(IF($M751="",Devise_Base,$M751),Codes_Devises,0)),1))</f>
        <v/>
      </c>
      <c r="U751" s="112">
        <f>IF($G751="","",ROUND($G751*$T751,2))</f>
        <v/>
      </c>
      <c r="V751" s="113">
        <f>IF($B751="","",MONTH($B751))</f>
        <v/>
      </c>
      <c r="W751" s="113">
        <f>IF($B751="","",YEAR($B751))</f>
        <v/>
      </c>
    </row>
    <row r="752">
      <c r="B752" s="105" t="n"/>
      <c r="C752" s="54" t="n"/>
      <c r="D752" s="54" t="n"/>
      <c r="E752" s="54" t="n"/>
      <c r="F752" s="54" t="n"/>
      <c r="G752" s="65" t="n"/>
      <c r="H752" s="54" t="n"/>
      <c r="I752" s="106">
        <f>IF($C752="","",IFERROR(INDEX(Sens_Types,MATCH($C752,Liste_Types,0)),""))</f>
        <v/>
      </c>
      <c r="J752" s="107">
        <f>IF($I752="▲ ENTRÉE",$U752,"")</f>
        <v/>
      </c>
      <c r="K752" s="108">
        <f>IF($I752="▼ SORTIE",$U752,"")</f>
        <v/>
      </c>
      <c r="L752" s="109">
        <f>$L751+N($J752)-N($K752)</f>
        <v/>
      </c>
      <c r="M752" s="110" t="n"/>
      <c r="N752" s="54" t="n"/>
      <c r="O752" s="54" t="n"/>
      <c r="P752" s="54" t="n"/>
      <c r="Q752" s="110" t="n"/>
      <c r="R752" s="110" t="n"/>
      <c r="S752" s="54" t="n"/>
      <c r="T752" s="111">
        <f>IF($G752="","",IFERROR(INDEX(Taux_Devises,MATCH(IF($M752="",Devise_Base,$M752),Codes_Devises,0)),1))</f>
        <v/>
      </c>
      <c r="U752" s="112">
        <f>IF($G752="","",ROUND($G752*$T752,2))</f>
        <v/>
      </c>
      <c r="V752" s="113">
        <f>IF($B752="","",MONTH($B752))</f>
        <v/>
      </c>
      <c r="W752" s="113">
        <f>IF($B752="","",YEAR($B752))</f>
        <v/>
      </c>
    </row>
    <row r="753">
      <c r="B753" s="105" t="n"/>
      <c r="C753" s="54" t="n"/>
      <c r="D753" s="54" t="n"/>
      <c r="E753" s="54" t="n"/>
      <c r="F753" s="54" t="n"/>
      <c r="G753" s="65" t="n"/>
      <c r="H753" s="54" t="n"/>
      <c r="I753" s="106">
        <f>IF($C753="","",IFERROR(INDEX(Sens_Types,MATCH($C753,Liste_Types,0)),""))</f>
        <v/>
      </c>
      <c r="J753" s="107">
        <f>IF($I753="▲ ENTRÉE",$U753,"")</f>
        <v/>
      </c>
      <c r="K753" s="108">
        <f>IF($I753="▼ SORTIE",$U753,"")</f>
        <v/>
      </c>
      <c r="L753" s="109">
        <f>$L752+N($J753)-N($K753)</f>
        <v/>
      </c>
      <c r="M753" s="110" t="n"/>
      <c r="N753" s="54" t="n"/>
      <c r="O753" s="54" t="n"/>
      <c r="P753" s="54" t="n"/>
      <c r="Q753" s="110" t="n"/>
      <c r="R753" s="110" t="n"/>
      <c r="S753" s="54" t="n"/>
      <c r="T753" s="111">
        <f>IF($G753="","",IFERROR(INDEX(Taux_Devises,MATCH(IF($M753="",Devise_Base,$M753),Codes_Devises,0)),1))</f>
        <v/>
      </c>
      <c r="U753" s="112">
        <f>IF($G753="","",ROUND($G753*$T753,2))</f>
        <v/>
      </c>
      <c r="V753" s="113">
        <f>IF($B753="","",MONTH($B753))</f>
        <v/>
      </c>
      <c r="W753" s="113">
        <f>IF($B753="","",YEAR($B753))</f>
        <v/>
      </c>
    </row>
    <row r="754">
      <c r="B754" s="105" t="n"/>
      <c r="C754" s="54" t="n"/>
      <c r="D754" s="54" t="n"/>
      <c r="E754" s="54" t="n"/>
      <c r="F754" s="54" t="n"/>
      <c r="G754" s="65" t="n"/>
      <c r="H754" s="54" t="n"/>
      <c r="I754" s="106">
        <f>IF($C754="","",IFERROR(INDEX(Sens_Types,MATCH($C754,Liste_Types,0)),""))</f>
        <v/>
      </c>
      <c r="J754" s="107">
        <f>IF($I754="▲ ENTRÉE",$U754,"")</f>
        <v/>
      </c>
      <c r="K754" s="108">
        <f>IF($I754="▼ SORTIE",$U754,"")</f>
        <v/>
      </c>
      <c r="L754" s="109">
        <f>$L753+N($J754)-N($K754)</f>
        <v/>
      </c>
      <c r="M754" s="110" t="n"/>
      <c r="N754" s="54" t="n"/>
      <c r="O754" s="54" t="n"/>
      <c r="P754" s="54" t="n"/>
      <c r="Q754" s="110" t="n"/>
      <c r="R754" s="110" t="n"/>
      <c r="S754" s="54" t="n"/>
      <c r="T754" s="111">
        <f>IF($G754="","",IFERROR(INDEX(Taux_Devises,MATCH(IF($M754="",Devise_Base,$M754),Codes_Devises,0)),1))</f>
        <v/>
      </c>
      <c r="U754" s="112">
        <f>IF($G754="","",ROUND($G754*$T754,2))</f>
        <v/>
      </c>
      <c r="V754" s="113">
        <f>IF($B754="","",MONTH($B754))</f>
        <v/>
      </c>
      <c r="W754" s="113">
        <f>IF($B754="","",YEAR($B754))</f>
        <v/>
      </c>
    </row>
    <row r="755">
      <c r="B755" s="105" t="n"/>
      <c r="C755" s="54" t="n"/>
      <c r="D755" s="54" t="n"/>
      <c r="E755" s="54" t="n"/>
      <c r="F755" s="54" t="n"/>
      <c r="G755" s="65" t="n"/>
      <c r="H755" s="54" t="n"/>
      <c r="I755" s="106">
        <f>IF($C755="","",IFERROR(INDEX(Sens_Types,MATCH($C755,Liste_Types,0)),""))</f>
        <v/>
      </c>
      <c r="J755" s="107">
        <f>IF($I755="▲ ENTRÉE",$U755,"")</f>
        <v/>
      </c>
      <c r="K755" s="108">
        <f>IF($I755="▼ SORTIE",$U755,"")</f>
        <v/>
      </c>
      <c r="L755" s="109">
        <f>$L754+N($J755)-N($K755)</f>
        <v/>
      </c>
      <c r="M755" s="110" t="n"/>
      <c r="N755" s="54" t="n"/>
      <c r="O755" s="54" t="n"/>
      <c r="P755" s="54" t="n"/>
      <c r="Q755" s="110" t="n"/>
      <c r="R755" s="110" t="n"/>
      <c r="S755" s="54" t="n"/>
      <c r="T755" s="111">
        <f>IF($G755="","",IFERROR(INDEX(Taux_Devises,MATCH(IF($M755="",Devise_Base,$M755),Codes_Devises,0)),1))</f>
        <v/>
      </c>
      <c r="U755" s="112">
        <f>IF($G755="","",ROUND($G755*$T755,2))</f>
        <v/>
      </c>
      <c r="V755" s="113">
        <f>IF($B755="","",MONTH($B755))</f>
        <v/>
      </c>
      <c r="W755" s="113">
        <f>IF($B755="","",YEAR($B755))</f>
        <v/>
      </c>
    </row>
    <row r="756">
      <c r="B756" s="105" t="n"/>
      <c r="C756" s="54" t="n"/>
      <c r="D756" s="54" t="n"/>
      <c r="E756" s="54" t="n"/>
      <c r="F756" s="54" t="n"/>
      <c r="G756" s="65" t="n"/>
      <c r="H756" s="54" t="n"/>
      <c r="I756" s="106">
        <f>IF($C756="","",IFERROR(INDEX(Sens_Types,MATCH($C756,Liste_Types,0)),""))</f>
        <v/>
      </c>
      <c r="J756" s="107">
        <f>IF($I756="▲ ENTRÉE",$U756,"")</f>
        <v/>
      </c>
      <c r="K756" s="108">
        <f>IF($I756="▼ SORTIE",$U756,"")</f>
        <v/>
      </c>
      <c r="L756" s="109">
        <f>$L755+N($J756)-N($K756)</f>
        <v/>
      </c>
      <c r="M756" s="110" t="n"/>
      <c r="N756" s="54" t="n"/>
      <c r="O756" s="54" t="n"/>
      <c r="P756" s="54" t="n"/>
      <c r="Q756" s="110" t="n"/>
      <c r="R756" s="110" t="n"/>
      <c r="S756" s="54" t="n"/>
      <c r="T756" s="111">
        <f>IF($G756="","",IFERROR(INDEX(Taux_Devises,MATCH(IF($M756="",Devise_Base,$M756),Codes_Devises,0)),1))</f>
        <v/>
      </c>
      <c r="U756" s="112">
        <f>IF($G756="","",ROUND($G756*$T756,2))</f>
        <v/>
      </c>
      <c r="V756" s="113">
        <f>IF($B756="","",MONTH($B756))</f>
        <v/>
      </c>
      <c r="W756" s="113">
        <f>IF($B756="","",YEAR($B756))</f>
        <v/>
      </c>
    </row>
    <row r="757">
      <c r="B757" s="105" t="n"/>
      <c r="C757" s="54" t="n"/>
      <c r="D757" s="54" t="n"/>
      <c r="E757" s="54" t="n"/>
      <c r="F757" s="54" t="n"/>
      <c r="G757" s="65" t="n"/>
      <c r="H757" s="54" t="n"/>
      <c r="I757" s="106">
        <f>IF($C757="","",IFERROR(INDEX(Sens_Types,MATCH($C757,Liste_Types,0)),""))</f>
        <v/>
      </c>
      <c r="J757" s="107">
        <f>IF($I757="▲ ENTRÉE",$U757,"")</f>
        <v/>
      </c>
      <c r="K757" s="108">
        <f>IF($I757="▼ SORTIE",$U757,"")</f>
        <v/>
      </c>
      <c r="L757" s="109">
        <f>$L756+N($J757)-N($K757)</f>
        <v/>
      </c>
      <c r="M757" s="110" t="n"/>
      <c r="N757" s="54" t="n"/>
      <c r="O757" s="54" t="n"/>
      <c r="P757" s="54" t="n"/>
      <c r="Q757" s="110" t="n"/>
      <c r="R757" s="110" t="n"/>
      <c r="S757" s="54" t="n"/>
      <c r="T757" s="111">
        <f>IF($G757="","",IFERROR(INDEX(Taux_Devises,MATCH(IF($M757="",Devise_Base,$M757),Codes_Devises,0)),1))</f>
        <v/>
      </c>
      <c r="U757" s="112">
        <f>IF($G757="","",ROUND($G757*$T757,2))</f>
        <v/>
      </c>
      <c r="V757" s="113">
        <f>IF($B757="","",MONTH($B757))</f>
        <v/>
      </c>
      <c r="W757" s="113">
        <f>IF($B757="","",YEAR($B757))</f>
        <v/>
      </c>
    </row>
    <row r="758">
      <c r="B758" s="105" t="n"/>
      <c r="C758" s="54" t="n"/>
      <c r="D758" s="54" t="n"/>
      <c r="E758" s="54" t="n"/>
      <c r="F758" s="54" t="n"/>
      <c r="G758" s="65" t="n"/>
      <c r="H758" s="54" t="n"/>
      <c r="I758" s="106">
        <f>IF($C758="","",IFERROR(INDEX(Sens_Types,MATCH($C758,Liste_Types,0)),""))</f>
        <v/>
      </c>
      <c r="J758" s="107">
        <f>IF($I758="▲ ENTRÉE",$U758,"")</f>
        <v/>
      </c>
      <c r="K758" s="108">
        <f>IF($I758="▼ SORTIE",$U758,"")</f>
        <v/>
      </c>
      <c r="L758" s="109">
        <f>$L757+N($J758)-N($K758)</f>
        <v/>
      </c>
      <c r="M758" s="110" t="n"/>
      <c r="N758" s="54" t="n"/>
      <c r="O758" s="54" t="n"/>
      <c r="P758" s="54" t="n"/>
      <c r="Q758" s="110" t="n"/>
      <c r="R758" s="110" t="n"/>
      <c r="S758" s="54" t="n"/>
      <c r="T758" s="111">
        <f>IF($G758="","",IFERROR(INDEX(Taux_Devises,MATCH(IF($M758="",Devise_Base,$M758),Codes_Devises,0)),1))</f>
        <v/>
      </c>
      <c r="U758" s="112">
        <f>IF($G758="","",ROUND($G758*$T758,2))</f>
        <v/>
      </c>
      <c r="V758" s="113">
        <f>IF($B758="","",MONTH($B758))</f>
        <v/>
      </c>
      <c r="W758" s="113">
        <f>IF($B758="","",YEAR($B758))</f>
        <v/>
      </c>
    </row>
    <row r="759">
      <c r="B759" s="105" t="n"/>
      <c r="C759" s="54" t="n"/>
      <c r="D759" s="54" t="n"/>
      <c r="E759" s="54" t="n"/>
      <c r="F759" s="54" t="n"/>
      <c r="G759" s="65" t="n"/>
      <c r="H759" s="54" t="n"/>
      <c r="I759" s="106">
        <f>IF($C759="","",IFERROR(INDEX(Sens_Types,MATCH($C759,Liste_Types,0)),""))</f>
        <v/>
      </c>
      <c r="J759" s="107">
        <f>IF($I759="▲ ENTRÉE",$U759,"")</f>
        <v/>
      </c>
      <c r="K759" s="108">
        <f>IF($I759="▼ SORTIE",$U759,"")</f>
        <v/>
      </c>
      <c r="L759" s="109">
        <f>$L758+N($J759)-N($K759)</f>
        <v/>
      </c>
      <c r="M759" s="110" t="n"/>
      <c r="N759" s="54" t="n"/>
      <c r="O759" s="54" t="n"/>
      <c r="P759" s="54" t="n"/>
      <c r="Q759" s="110" t="n"/>
      <c r="R759" s="110" t="n"/>
      <c r="S759" s="54" t="n"/>
      <c r="T759" s="111">
        <f>IF($G759="","",IFERROR(INDEX(Taux_Devises,MATCH(IF($M759="",Devise_Base,$M759),Codes_Devises,0)),1))</f>
        <v/>
      </c>
      <c r="U759" s="112">
        <f>IF($G759="","",ROUND($G759*$T759,2))</f>
        <v/>
      </c>
      <c r="V759" s="113">
        <f>IF($B759="","",MONTH($B759))</f>
        <v/>
      </c>
      <c r="W759" s="113">
        <f>IF($B759="","",YEAR($B759))</f>
        <v/>
      </c>
    </row>
    <row r="760">
      <c r="B760" s="105" t="n"/>
      <c r="C760" s="54" t="n"/>
      <c r="D760" s="54" t="n"/>
      <c r="E760" s="54" t="n"/>
      <c r="F760" s="54" t="n"/>
      <c r="G760" s="65" t="n"/>
      <c r="H760" s="54" t="n"/>
      <c r="I760" s="106">
        <f>IF($C760="","",IFERROR(INDEX(Sens_Types,MATCH($C760,Liste_Types,0)),""))</f>
        <v/>
      </c>
      <c r="J760" s="107">
        <f>IF($I760="▲ ENTRÉE",$U760,"")</f>
        <v/>
      </c>
      <c r="K760" s="108">
        <f>IF($I760="▼ SORTIE",$U760,"")</f>
        <v/>
      </c>
      <c r="L760" s="109">
        <f>$L759+N($J760)-N($K760)</f>
        <v/>
      </c>
      <c r="M760" s="110" t="n"/>
      <c r="N760" s="54" t="n"/>
      <c r="O760" s="54" t="n"/>
      <c r="P760" s="54" t="n"/>
      <c r="Q760" s="110" t="n"/>
      <c r="R760" s="110" t="n"/>
      <c r="S760" s="54" t="n"/>
      <c r="T760" s="111">
        <f>IF($G760="","",IFERROR(INDEX(Taux_Devises,MATCH(IF($M760="",Devise_Base,$M760),Codes_Devises,0)),1))</f>
        <v/>
      </c>
      <c r="U760" s="112">
        <f>IF($G760="","",ROUND($G760*$T760,2))</f>
        <v/>
      </c>
      <c r="V760" s="113">
        <f>IF($B760="","",MONTH($B760))</f>
        <v/>
      </c>
      <c r="W760" s="113">
        <f>IF($B760="","",YEAR($B760))</f>
        <v/>
      </c>
    </row>
    <row r="761">
      <c r="B761" s="105" t="n"/>
      <c r="C761" s="54" t="n"/>
      <c r="D761" s="54" t="n"/>
      <c r="E761" s="54" t="n"/>
      <c r="F761" s="54" t="n"/>
      <c r="G761" s="65" t="n"/>
      <c r="H761" s="54" t="n"/>
      <c r="I761" s="106">
        <f>IF($C761="","",IFERROR(INDEX(Sens_Types,MATCH($C761,Liste_Types,0)),""))</f>
        <v/>
      </c>
      <c r="J761" s="107">
        <f>IF($I761="▲ ENTRÉE",$U761,"")</f>
        <v/>
      </c>
      <c r="K761" s="108">
        <f>IF($I761="▼ SORTIE",$U761,"")</f>
        <v/>
      </c>
      <c r="L761" s="109">
        <f>$L760+N($J761)-N($K761)</f>
        <v/>
      </c>
      <c r="M761" s="110" t="n"/>
      <c r="N761" s="54" t="n"/>
      <c r="O761" s="54" t="n"/>
      <c r="P761" s="54" t="n"/>
      <c r="Q761" s="110" t="n"/>
      <c r="R761" s="110" t="n"/>
      <c r="S761" s="54" t="n"/>
      <c r="T761" s="111">
        <f>IF($G761="","",IFERROR(INDEX(Taux_Devises,MATCH(IF($M761="",Devise_Base,$M761),Codes_Devises,0)),1))</f>
        <v/>
      </c>
      <c r="U761" s="112">
        <f>IF($G761="","",ROUND($G761*$T761,2))</f>
        <v/>
      </c>
      <c r="V761" s="113">
        <f>IF($B761="","",MONTH($B761))</f>
        <v/>
      </c>
      <c r="W761" s="113">
        <f>IF($B761="","",YEAR($B761))</f>
        <v/>
      </c>
    </row>
    <row r="762">
      <c r="B762" s="105" t="n"/>
      <c r="C762" s="54" t="n"/>
      <c r="D762" s="54" t="n"/>
      <c r="E762" s="54" t="n"/>
      <c r="F762" s="54" t="n"/>
      <c r="G762" s="65" t="n"/>
      <c r="H762" s="54" t="n"/>
      <c r="I762" s="106">
        <f>IF($C762="","",IFERROR(INDEX(Sens_Types,MATCH($C762,Liste_Types,0)),""))</f>
        <v/>
      </c>
      <c r="J762" s="107">
        <f>IF($I762="▲ ENTRÉE",$U762,"")</f>
        <v/>
      </c>
      <c r="K762" s="108">
        <f>IF($I762="▼ SORTIE",$U762,"")</f>
        <v/>
      </c>
      <c r="L762" s="109">
        <f>$L761+N($J762)-N($K762)</f>
        <v/>
      </c>
      <c r="M762" s="110" t="n"/>
      <c r="N762" s="54" t="n"/>
      <c r="O762" s="54" t="n"/>
      <c r="P762" s="54" t="n"/>
      <c r="Q762" s="110" t="n"/>
      <c r="R762" s="110" t="n"/>
      <c r="S762" s="54" t="n"/>
      <c r="T762" s="111">
        <f>IF($G762="","",IFERROR(INDEX(Taux_Devises,MATCH(IF($M762="",Devise_Base,$M762),Codes_Devises,0)),1))</f>
        <v/>
      </c>
      <c r="U762" s="112">
        <f>IF($G762="","",ROUND($G762*$T762,2))</f>
        <v/>
      </c>
      <c r="V762" s="113">
        <f>IF($B762="","",MONTH($B762))</f>
        <v/>
      </c>
      <c r="W762" s="113">
        <f>IF($B762="","",YEAR($B762))</f>
        <v/>
      </c>
    </row>
    <row r="763">
      <c r="B763" s="105" t="n"/>
      <c r="C763" s="54" t="n"/>
      <c r="D763" s="54" t="n"/>
      <c r="E763" s="54" t="n"/>
      <c r="F763" s="54" t="n"/>
      <c r="G763" s="65" t="n"/>
      <c r="H763" s="54" t="n"/>
      <c r="I763" s="106">
        <f>IF($C763="","",IFERROR(INDEX(Sens_Types,MATCH($C763,Liste_Types,0)),""))</f>
        <v/>
      </c>
      <c r="J763" s="107">
        <f>IF($I763="▲ ENTRÉE",$U763,"")</f>
        <v/>
      </c>
      <c r="K763" s="108">
        <f>IF($I763="▼ SORTIE",$U763,"")</f>
        <v/>
      </c>
      <c r="L763" s="109">
        <f>$L762+N($J763)-N($K763)</f>
        <v/>
      </c>
      <c r="M763" s="110" t="n"/>
      <c r="N763" s="54" t="n"/>
      <c r="O763" s="54" t="n"/>
      <c r="P763" s="54" t="n"/>
      <c r="Q763" s="110" t="n"/>
      <c r="R763" s="110" t="n"/>
      <c r="S763" s="54" t="n"/>
      <c r="T763" s="111">
        <f>IF($G763="","",IFERROR(INDEX(Taux_Devises,MATCH(IF($M763="",Devise_Base,$M763),Codes_Devises,0)),1))</f>
        <v/>
      </c>
      <c r="U763" s="112">
        <f>IF($G763="","",ROUND($G763*$T763,2))</f>
        <v/>
      </c>
      <c r="V763" s="113">
        <f>IF($B763="","",MONTH($B763))</f>
        <v/>
      </c>
      <c r="W763" s="113">
        <f>IF($B763="","",YEAR($B763))</f>
        <v/>
      </c>
    </row>
    <row r="764">
      <c r="B764" s="105" t="n"/>
      <c r="C764" s="54" t="n"/>
      <c r="D764" s="54" t="n"/>
      <c r="E764" s="54" t="n"/>
      <c r="F764" s="54" t="n"/>
      <c r="G764" s="65" t="n"/>
      <c r="H764" s="54" t="n"/>
      <c r="I764" s="106">
        <f>IF($C764="","",IFERROR(INDEX(Sens_Types,MATCH($C764,Liste_Types,0)),""))</f>
        <v/>
      </c>
      <c r="J764" s="107">
        <f>IF($I764="▲ ENTRÉE",$U764,"")</f>
        <v/>
      </c>
      <c r="K764" s="108">
        <f>IF($I764="▼ SORTIE",$U764,"")</f>
        <v/>
      </c>
      <c r="L764" s="109">
        <f>$L763+N($J764)-N($K764)</f>
        <v/>
      </c>
      <c r="M764" s="110" t="n"/>
      <c r="N764" s="54" t="n"/>
      <c r="O764" s="54" t="n"/>
      <c r="P764" s="54" t="n"/>
      <c r="Q764" s="110" t="n"/>
      <c r="R764" s="110" t="n"/>
      <c r="S764" s="54" t="n"/>
      <c r="T764" s="111">
        <f>IF($G764="","",IFERROR(INDEX(Taux_Devises,MATCH(IF($M764="",Devise_Base,$M764),Codes_Devises,0)),1))</f>
        <v/>
      </c>
      <c r="U764" s="112">
        <f>IF($G764="","",ROUND($G764*$T764,2))</f>
        <v/>
      </c>
      <c r="V764" s="113">
        <f>IF($B764="","",MONTH($B764))</f>
        <v/>
      </c>
      <c r="W764" s="113">
        <f>IF($B764="","",YEAR($B764))</f>
        <v/>
      </c>
    </row>
    <row r="765">
      <c r="B765" s="105" t="n"/>
      <c r="C765" s="54" t="n"/>
      <c r="D765" s="54" t="n"/>
      <c r="E765" s="54" t="n"/>
      <c r="F765" s="54" t="n"/>
      <c r="G765" s="65" t="n"/>
      <c r="H765" s="54" t="n"/>
      <c r="I765" s="106">
        <f>IF($C765="","",IFERROR(INDEX(Sens_Types,MATCH($C765,Liste_Types,0)),""))</f>
        <v/>
      </c>
      <c r="J765" s="107">
        <f>IF($I765="▲ ENTRÉE",$U765,"")</f>
        <v/>
      </c>
      <c r="K765" s="108">
        <f>IF($I765="▼ SORTIE",$U765,"")</f>
        <v/>
      </c>
      <c r="L765" s="109">
        <f>$L764+N($J765)-N($K765)</f>
        <v/>
      </c>
      <c r="M765" s="110" t="n"/>
      <c r="N765" s="54" t="n"/>
      <c r="O765" s="54" t="n"/>
      <c r="P765" s="54" t="n"/>
      <c r="Q765" s="110" t="n"/>
      <c r="R765" s="110" t="n"/>
      <c r="S765" s="54" t="n"/>
      <c r="T765" s="111">
        <f>IF($G765="","",IFERROR(INDEX(Taux_Devises,MATCH(IF($M765="",Devise_Base,$M765),Codes_Devises,0)),1))</f>
        <v/>
      </c>
      <c r="U765" s="112">
        <f>IF($G765="","",ROUND($G765*$T765,2))</f>
        <v/>
      </c>
      <c r="V765" s="113">
        <f>IF($B765="","",MONTH($B765))</f>
        <v/>
      </c>
      <c r="W765" s="113">
        <f>IF($B765="","",YEAR($B765))</f>
        <v/>
      </c>
    </row>
    <row r="766">
      <c r="B766" s="105" t="n"/>
      <c r="C766" s="54" t="n"/>
      <c r="D766" s="54" t="n"/>
      <c r="E766" s="54" t="n"/>
      <c r="F766" s="54" t="n"/>
      <c r="G766" s="65" t="n"/>
      <c r="H766" s="54" t="n"/>
      <c r="I766" s="106">
        <f>IF($C766="","",IFERROR(INDEX(Sens_Types,MATCH($C766,Liste_Types,0)),""))</f>
        <v/>
      </c>
      <c r="J766" s="107">
        <f>IF($I766="▲ ENTRÉE",$U766,"")</f>
        <v/>
      </c>
      <c r="K766" s="108">
        <f>IF($I766="▼ SORTIE",$U766,"")</f>
        <v/>
      </c>
      <c r="L766" s="109">
        <f>$L765+N($J766)-N($K766)</f>
        <v/>
      </c>
      <c r="M766" s="110" t="n"/>
      <c r="N766" s="54" t="n"/>
      <c r="O766" s="54" t="n"/>
      <c r="P766" s="54" t="n"/>
      <c r="Q766" s="110" t="n"/>
      <c r="R766" s="110" t="n"/>
      <c r="S766" s="54" t="n"/>
      <c r="T766" s="111">
        <f>IF($G766="","",IFERROR(INDEX(Taux_Devises,MATCH(IF($M766="",Devise_Base,$M766),Codes_Devises,0)),1))</f>
        <v/>
      </c>
      <c r="U766" s="112">
        <f>IF($G766="","",ROUND($G766*$T766,2))</f>
        <v/>
      </c>
      <c r="V766" s="113">
        <f>IF($B766="","",MONTH($B766))</f>
        <v/>
      </c>
      <c r="W766" s="113">
        <f>IF($B766="","",YEAR($B766))</f>
        <v/>
      </c>
    </row>
    <row r="767">
      <c r="B767" s="105" t="n"/>
      <c r="C767" s="54" t="n"/>
      <c r="D767" s="54" t="n"/>
      <c r="E767" s="54" t="n"/>
      <c r="F767" s="54" t="n"/>
      <c r="G767" s="65" t="n"/>
      <c r="H767" s="54" t="n"/>
      <c r="I767" s="106">
        <f>IF($C767="","",IFERROR(INDEX(Sens_Types,MATCH($C767,Liste_Types,0)),""))</f>
        <v/>
      </c>
      <c r="J767" s="107">
        <f>IF($I767="▲ ENTRÉE",$U767,"")</f>
        <v/>
      </c>
      <c r="K767" s="108">
        <f>IF($I767="▼ SORTIE",$U767,"")</f>
        <v/>
      </c>
      <c r="L767" s="109">
        <f>$L766+N($J767)-N($K767)</f>
        <v/>
      </c>
      <c r="M767" s="110" t="n"/>
      <c r="N767" s="54" t="n"/>
      <c r="O767" s="54" t="n"/>
      <c r="P767" s="54" t="n"/>
      <c r="Q767" s="110" t="n"/>
      <c r="R767" s="110" t="n"/>
      <c r="S767" s="54" t="n"/>
      <c r="T767" s="111">
        <f>IF($G767="","",IFERROR(INDEX(Taux_Devises,MATCH(IF($M767="",Devise_Base,$M767),Codes_Devises,0)),1))</f>
        <v/>
      </c>
      <c r="U767" s="112">
        <f>IF($G767="","",ROUND($G767*$T767,2))</f>
        <v/>
      </c>
      <c r="V767" s="113">
        <f>IF($B767="","",MONTH($B767))</f>
        <v/>
      </c>
      <c r="W767" s="113">
        <f>IF($B767="","",YEAR($B767))</f>
        <v/>
      </c>
    </row>
    <row r="768">
      <c r="B768" s="105" t="n"/>
      <c r="C768" s="54" t="n"/>
      <c r="D768" s="54" t="n"/>
      <c r="E768" s="54" t="n"/>
      <c r="F768" s="54" t="n"/>
      <c r="G768" s="65" t="n"/>
      <c r="H768" s="54" t="n"/>
      <c r="I768" s="106">
        <f>IF($C768="","",IFERROR(INDEX(Sens_Types,MATCH($C768,Liste_Types,0)),""))</f>
        <v/>
      </c>
      <c r="J768" s="107">
        <f>IF($I768="▲ ENTRÉE",$U768,"")</f>
        <v/>
      </c>
      <c r="K768" s="108">
        <f>IF($I768="▼ SORTIE",$U768,"")</f>
        <v/>
      </c>
      <c r="L768" s="109">
        <f>$L767+N($J768)-N($K768)</f>
        <v/>
      </c>
      <c r="M768" s="110" t="n"/>
      <c r="N768" s="54" t="n"/>
      <c r="O768" s="54" t="n"/>
      <c r="P768" s="54" t="n"/>
      <c r="Q768" s="110" t="n"/>
      <c r="R768" s="110" t="n"/>
      <c r="S768" s="54" t="n"/>
      <c r="T768" s="111">
        <f>IF($G768="","",IFERROR(INDEX(Taux_Devises,MATCH(IF($M768="",Devise_Base,$M768),Codes_Devises,0)),1))</f>
        <v/>
      </c>
      <c r="U768" s="112">
        <f>IF($G768="","",ROUND($G768*$T768,2))</f>
        <v/>
      </c>
      <c r="V768" s="113">
        <f>IF($B768="","",MONTH($B768))</f>
        <v/>
      </c>
      <c r="W768" s="113">
        <f>IF($B768="","",YEAR($B768))</f>
        <v/>
      </c>
    </row>
    <row r="769">
      <c r="B769" s="105" t="n"/>
      <c r="C769" s="54" t="n"/>
      <c r="D769" s="54" t="n"/>
      <c r="E769" s="54" t="n"/>
      <c r="F769" s="54" t="n"/>
      <c r="G769" s="65" t="n"/>
      <c r="H769" s="54" t="n"/>
      <c r="I769" s="106">
        <f>IF($C769="","",IFERROR(INDEX(Sens_Types,MATCH($C769,Liste_Types,0)),""))</f>
        <v/>
      </c>
      <c r="J769" s="107">
        <f>IF($I769="▲ ENTRÉE",$U769,"")</f>
        <v/>
      </c>
      <c r="K769" s="108">
        <f>IF($I769="▼ SORTIE",$U769,"")</f>
        <v/>
      </c>
      <c r="L769" s="109">
        <f>$L768+N($J769)-N($K769)</f>
        <v/>
      </c>
      <c r="M769" s="110" t="n"/>
      <c r="N769" s="54" t="n"/>
      <c r="O769" s="54" t="n"/>
      <c r="P769" s="54" t="n"/>
      <c r="Q769" s="110" t="n"/>
      <c r="R769" s="110" t="n"/>
      <c r="S769" s="54" t="n"/>
      <c r="T769" s="111">
        <f>IF($G769="","",IFERROR(INDEX(Taux_Devises,MATCH(IF($M769="",Devise_Base,$M769),Codes_Devises,0)),1))</f>
        <v/>
      </c>
      <c r="U769" s="112">
        <f>IF($G769="","",ROUND($G769*$T769,2))</f>
        <v/>
      </c>
      <c r="V769" s="113">
        <f>IF($B769="","",MONTH($B769))</f>
        <v/>
      </c>
      <c r="W769" s="113">
        <f>IF($B769="","",YEAR($B769))</f>
        <v/>
      </c>
    </row>
    <row r="770">
      <c r="B770" s="105" t="n"/>
      <c r="C770" s="54" t="n"/>
      <c r="D770" s="54" t="n"/>
      <c r="E770" s="54" t="n"/>
      <c r="F770" s="54" t="n"/>
      <c r="G770" s="65" t="n"/>
      <c r="H770" s="54" t="n"/>
      <c r="I770" s="106">
        <f>IF($C770="","",IFERROR(INDEX(Sens_Types,MATCH($C770,Liste_Types,0)),""))</f>
        <v/>
      </c>
      <c r="J770" s="107">
        <f>IF($I770="▲ ENTRÉE",$U770,"")</f>
        <v/>
      </c>
      <c r="K770" s="108">
        <f>IF($I770="▼ SORTIE",$U770,"")</f>
        <v/>
      </c>
      <c r="L770" s="109">
        <f>$L769+N($J770)-N($K770)</f>
        <v/>
      </c>
      <c r="M770" s="110" t="n"/>
      <c r="N770" s="54" t="n"/>
      <c r="O770" s="54" t="n"/>
      <c r="P770" s="54" t="n"/>
      <c r="Q770" s="110" t="n"/>
      <c r="R770" s="110" t="n"/>
      <c r="S770" s="54" t="n"/>
      <c r="T770" s="111">
        <f>IF($G770="","",IFERROR(INDEX(Taux_Devises,MATCH(IF($M770="",Devise_Base,$M770),Codes_Devises,0)),1))</f>
        <v/>
      </c>
      <c r="U770" s="112">
        <f>IF($G770="","",ROUND($G770*$T770,2))</f>
        <v/>
      </c>
      <c r="V770" s="113">
        <f>IF($B770="","",MONTH($B770))</f>
        <v/>
      </c>
      <c r="W770" s="113">
        <f>IF($B770="","",YEAR($B770))</f>
        <v/>
      </c>
    </row>
    <row r="771">
      <c r="B771" s="105" t="n"/>
      <c r="C771" s="54" t="n"/>
      <c r="D771" s="54" t="n"/>
      <c r="E771" s="54" t="n"/>
      <c r="F771" s="54" t="n"/>
      <c r="G771" s="65" t="n"/>
      <c r="H771" s="54" t="n"/>
      <c r="I771" s="106">
        <f>IF($C771="","",IFERROR(INDEX(Sens_Types,MATCH($C771,Liste_Types,0)),""))</f>
        <v/>
      </c>
      <c r="J771" s="107">
        <f>IF($I771="▲ ENTRÉE",$U771,"")</f>
        <v/>
      </c>
      <c r="K771" s="108">
        <f>IF($I771="▼ SORTIE",$U771,"")</f>
        <v/>
      </c>
      <c r="L771" s="109">
        <f>$L770+N($J771)-N($K771)</f>
        <v/>
      </c>
      <c r="M771" s="110" t="n"/>
      <c r="N771" s="54" t="n"/>
      <c r="O771" s="54" t="n"/>
      <c r="P771" s="54" t="n"/>
      <c r="Q771" s="110" t="n"/>
      <c r="R771" s="110" t="n"/>
      <c r="S771" s="54" t="n"/>
      <c r="T771" s="111">
        <f>IF($G771="","",IFERROR(INDEX(Taux_Devises,MATCH(IF($M771="",Devise_Base,$M771),Codes_Devises,0)),1))</f>
        <v/>
      </c>
      <c r="U771" s="112">
        <f>IF($G771="","",ROUND($G771*$T771,2))</f>
        <v/>
      </c>
      <c r="V771" s="113">
        <f>IF($B771="","",MONTH($B771))</f>
        <v/>
      </c>
      <c r="W771" s="113">
        <f>IF($B771="","",YEAR($B771))</f>
        <v/>
      </c>
    </row>
    <row r="772">
      <c r="B772" s="105" t="n"/>
      <c r="C772" s="54" t="n"/>
      <c r="D772" s="54" t="n"/>
      <c r="E772" s="54" t="n"/>
      <c r="F772" s="54" t="n"/>
      <c r="G772" s="65" t="n"/>
      <c r="H772" s="54" t="n"/>
      <c r="I772" s="106">
        <f>IF($C772="","",IFERROR(INDEX(Sens_Types,MATCH($C772,Liste_Types,0)),""))</f>
        <v/>
      </c>
      <c r="J772" s="107">
        <f>IF($I772="▲ ENTRÉE",$U772,"")</f>
        <v/>
      </c>
      <c r="K772" s="108">
        <f>IF($I772="▼ SORTIE",$U772,"")</f>
        <v/>
      </c>
      <c r="L772" s="109">
        <f>$L771+N($J772)-N($K772)</f>
        <v/>
      </c>
      <c r="M772" s="110" t="n"/>
      <c r="N772" s="54" t="n"/>
      <c r="O772" s="54" t="n"/>
      <c r="P772" s="54" t="n"/>
      <c r="Q772" s="110" t="n"/>
      <c r="R772" s="110" t="n"/>
      <c r="S772" s="54" t="n"/>
      <c r="T772" s="111">
        <f>IF($G772="","",IFERROR(INDEX(Taux_Devises,MATCH(IF($M772="",Devise_Base,$M772),Codes_Devises,0)),1))</f>
        <v/>
      </c>
      <c r="U772" s="112">
        <f>IF($G772="","",ROUND($G772*$T772,2))</f>
        <v/>
      </c>
      <c r="V772" s="113">
        <f>IF($B772="","",MONTH($B772))</f>
        <v/>
      </c>
      <c r="W772" s="113">
        <f>IF($B772="","",YEAR($B772))</f>
        <v/>
      </c>
    </row>
    <row r="773">
      <c r="B773" s="105" t="n"/>
      <c r="C773" s="54" t="n"/>
      <c r="D773" s="54" t="n"/>
      <c r="E773" s="54" t="n"/>
      <c r="F773" s="54" t="n"/>
      <c r="G773" s="65" t="n"/>
      <c r="H773" s="54" t="n"/>
      <c r="I773" s="106">
        <f>IF($C773="","",IFERROR(INDEX(Sens_Types,MATCH($C773,Liste_Types,0)),""))</f>
        <v/>
      </c>
      <c r="J773" s="107">
        <f>IF($I773="▲ ENTRÉE",$U773,"")</f>
        <v/>
      </c>
      <c r="K773" s="108">
        <f>IF($I773="▼ SORTIE",$U773,"")</f>
        <v/>
      </c>
      <c r="L773" s="109">
        <f>$L772+N($J773)-N($K773)</f>
        <v/>
      </c>
      <c r="M773" s="110" t="n"/>
      <c r="N773" s="54" t="n"/>
      <c r="O773" s="54" t="n"/>
      <c r="P773" s="54" t="n"/>
      <c r="Q773" s="110" t="n"/>
      <c r="R773" s="110" t="n"/>
      <c r="S773" s="54" t="n"/>
      <c r="T773" s="111">
        <f>IF($G773="","",IFERROR(INDEX(Taux_Devises,MATCH(IF($M773="",Devise_Base,$M773),Codes_Devises,0)),1))</f>
        <v/>
      </c>
      <c r="U773" s="112">
        <f>IF($G773="","",ROUND($G773*$T773,2))</f>
        <v/>
      </c>
      <c r="V773" s="113">
        <f>IF($B773="","",MONTH($B773))</f>
        <v/>
      </c>
      <c r="W773" s="113">
        <f>IF($B773="","",YEAR($B773))</f>
        <v/>
      </c>
    </row>
    <row r="774">
      <c r="B774" s="105" t="n"/>
      <c r="C774" s="54" t="n"/>
      <c r="D774" s="54" t="n"/>
      <c r="E774" s="54" t="n"/>
      <c r="F774" s="54" t="n"/>
      <c r="G774" s="65" t="n"/>
      <c r="H774" s="54" t="n"/>
      <c r="I774" s="106">
        <f>IF($C774="","",IFERROR(INDEX(Sens_Types,MATCH($C774,Liste_Types,0)),""))</f>
        <v/>
      </c>
      <c r="J774" s="107">
        <f>IF($I774="▲ ENTRÉE",$U774,"")</f>
        <v/>
      </c>
      <c r="K774" s="108">
        <f>IF($I774="▼ SORTIE",$U774,"")</f>
        <v/>
      </c>
      <c r="L774" s="109">
        <f>$L773+N($J774)-N($K774)</f>
        <v/>
      </c>
      <c r="M774" s="110" t="n"/>
      <c r="N774" s="54" t="n"/>
      <c r="O774" s="54" t="n"/>
      <c r="P774" s="54" t="n"/>
      <c r="Q774" s="110" t="n"/>
      <c r="R774" s="110" t="n"/>
      <c r="S774" s="54" t="n"/>
      <c r="T774" s="111">
        <f>IF($G774="","",IFERROR(INDEX(Taux_Devises,MATCH(IF($M774="",Devise_Base,$M774),Codes_Devises,0)),1))</f>
        <v/>
      </c>
      <c r="U774" s="112">
        <f>IF($G774="","",ROUND($G774*$T774,2))</f>
        <v/>
      </c>
      <c r="V774" s="113">
        <f>IF($B774="","",MONTH($B774))</f>
        <v/>
      </c>
      <c r="W774" s="113">
        <f>IF($B774="","",YEAR($B774))</f>
        <v/>
      </c>
    </row>
    <row r="775">
      <c r="B775" s="105" t="n"/>
      <c r="C775" s="54" t="n"/>
      <c r="D775" s="54" t="n"/>
      <c r="E775" s="54" t="n"/>
      <c r="F775" s="54" t="n"/>
      <c r="G775" s="65" t="n"/>
      <c r="H775" s="54" t="n"/>
      <c r="I775" s="106">
        <f>IF($C775="","",IFERROR(INDEX(Sens_Types,MATCH($C775,Liste_Types,0)),""))</f>
        <v/>
      </c>
      <c r="J775" s="107">
        <f>IF($I775="▲ ENTRÉE",$U775,"")</f>
        <v/>
      </c>
      <c r="K775" s="108">
        <f>IF($I775="▼ SORTIE",$U775,"")</f>
        <v/>
      </c>
      <c r="L775" s="109">
        <f>$L774+N($J775)-N($K775)</f>
        <v/>
      </c>
      <c r="M775" s="110" t="n"/>
      <c r="N775" s="54" t="n"/>
      <c r="O775" s="54" t="n"/>
      <c r="P775" s="54" t="n"/>
      <c r="Q775" s="110" t="n"/>
      <c r="R775" s="110" t="n"/>
      <c r="S775" s="54" t="n"/>
      <c r="T775" s="111">
        <f>IF($G775="","",IFERROR(INDEX(Taux_Devises,MATCH(IF($M775="",Devise_Base,$M775),Codes_Devises,0)),1))</f>
        <v/>
      </c>
      <c r="U775" s="112">
        <f>IF($G775="","",ROUND($G775*$T775,2))</f>
        <v/>
      </c>
      <c r="V775" s="113">
        <f>IF($B775="","",MONTH($B775))</f>
        <v/>
      </c>
      <c r="W775" s="113">
        <f>IF($B775="","",YEAR($B775))</f>
        <v/>
      </c>
    </row>
    <row r="776">
      <c r="B776" s="105" t="n"/>
      <c r="C776" s="54" t="n"/>
      <c r="D776" s="54" t="n"/>
      <c r="E776" s="54" t="n"/>
      <c r="F776" s="54" t="n"/>
      <c r="G776" s="65" t="n"/>
      <c r="H776" s="54" t="n"/>
      <c r="I776" s="106">
        <f>IF($C776="","",IFERROR(INDEX(Sens_Types,MATCH($C776,Liste_Types,0)),""))</f>
        <v/>
      </c>
      <c r="J776" s="107">
        <f>IF($I776="▲ ENTRÉE",$U776,"")</f>
        <v/>
      </c>
      <c r="K776" s="108">
        <f>IF($I776="▼ SORTIE",$U776,"")</f>
        <v/>
      </c>
      <c r="L776" s="109">
        <f>$L775+N($J776)-N($K776)</f>
        <v/>
      </c>
      <c r="M776" s="110" t="n"/>
      <c r="N776" s="54" t="n"/>
      <c r="O776" s="54" t="n"/>
      <c r="P776" s="54" t="n"/>
      <c r="Q776" s="110" t="n"/>
      <c r="R776" s="110" t="n"/>
      <c r="S776" s="54" t="n"/>
      <c r="T776" s="111">
        <f>IF($G776="","",IFERROR(INDEX(Taux_Devises,MATCH(IF($M776="",Devise_Base,$M776),Codes_Devises,0)),1))</f>
        <v/>
      </c>
      <c r="U776" s="112">
        <f>IF($G776="","",ROUND($G776*$T776,2))</f>
        <v/>
      </c>
      <c r="V776" s="113">
        <f>IF($B776="","",MONTH($B776))</f>
        <v/>
      </c>
      <c r="W776" s="113">
        <f>IF($B776="","",YEAR($B776))</f>
        <v/>
      </c>
    </row>
    <row r="777">
      <c r="B777" s="105" t="n"/>
      <c r="C777" s="54" t="n"/>
      <c r="D777" s="54" t="n"/>
      <c r="E777" s="54" t="n"/>
      <c r="F777" s="54" t="n"/>
      <c r="G777" s="65" t="n"/>
      <c r="H777" s="54" t="n"/>
      <c r="I777" s="106">
        <f>IF($C777="","",IFERROR(INDEX(Sens_Types,MATCH($C777,Liste_Types,0)),""))</f>
        <v/>
      </c>
      <c r="J777" s="107">
        <f>IF($I777="▲ ENTRÉE",$U777,"")</f>
        <v/>
      </c>
      <c r="K777" s="108">
        <f>IF($I777="▼ SORTIE",$U777,"")</f>
        <v/>
      </c>
      <c r="L777" s="109">
        <f>$L776+N($J777)-N($K777)</f>
        <v/>
      </c>
      <c r="M777" s="110" t="n"/>
      <c r="N777" s="54" t="n"/>
      <c r="O777" s="54" t="n"/>
      <c r="P777" s="54" t="n"/>
      <c r="Q777" s="110" t="n"/>
      <c r="R777" s="110" t="n"/>
      <c r="S777" s="54" t="n"/>
      <c r="T777" s="111">
        <f>IF($G777="","",IFERROR(INDEX(Taux_Devises,MATCH(IF($M777="",Devise_Base,$M777),Codes_Devises,0)),1))</f>
        <v/>
      </c>
      <c r="U777" s="112">
        <f>IF($G777="","",ROUND($G777*$T777,2))</f>
        <v/>
      </c>
      <c r="V777" s="113">
        <f>IF($B777="","",MONTH($B777))</f>
        <v/>
      </c>
      <c r="W777" s="113">
        <f>IF($B777="","",YEAR($B777))</f>
        <v/>
      </c>
    </row>
    <row r="778">
      <c r="B778" s="105" t="n"/>
      <c r="C778" s="54" t="n"/>
      <c r="D778" s="54" t="n"/>
      <c r="E778" s="54" t="n"/>
      <c r="F778" s="54" t="n"/>
      <c r="G778" s="65" t="n"/>
      <c r="H778" s="54" t="n"/>
      <c r="I778" s="106">
        <f>IF($C778="","",IFERROR(INDEX(Sens_Types,MATCH($C778,Liste_Types,0)),""))</f>
        <v/>
      </c>
      <c r="J778" s="107">
        <f>IF($I778="▲ ENTRÉE",$U778,"")</f>
        <v/>
      </c>
      <c r="K778" s="108">
        <f>IF($I778="▼ SORTIE",$U778,"")</f>
        <v/>
      </c>
      <c r="L778" s="109">
        <f>$L777+N($J778)-N($K778)</f>
        <v/>
      </c>
      <c r="M778" s="110" t="n"/>
      <c r="N778" s="54" t="n"/>
      <c r="O778" s="54" t="n"/>
      <c r="P778" s="54" t="n"/>
      <c r="Q778" s="110" t="n"/>
      <c r="R778" s="110" t="n"/>
      <c r="S778" s="54" t="n"/>
      <c r="T778" s="111">
        <f>IF($G778="","",IFERROR(INDEX(Taux_Devises,MATCH(IF($M778="",Devise_Base,$M778),Codes_Devises,0)),1))</f>
        <v/>
      </c>
      <c r="U778" s="112">
        <f>IF($G778="","",ROUND($G778*$T778,2))</f>
        <v/>
      </c>
      <c r="V778" s="113">
        <f>IF($B778="","",MONTH($B778))</f>
        <v/>
      </c>
      <c r="W778" s="113">
        <f>IF($B778="","",YEAR($B778))</f>
        <v/>
      </c>
    </row>
    <row r="779">
      <c r="B779" s="105" t="n"/>
      <c r="C779" s="54" t="n"/>
      <c r="D779" s="54" t="n"/>
      <c r="E779" s="54" t="n"/>
      <c r="F779" s="54" t="n"/>
      <c r="G779" s="65" t="n"/>
      <c r="H779" s="54" t="n"/>
      <c r="I779" s="106">
        <f>IF($C779="","",IFERROR(INDEX(Sens_Types,MATCH($C779,Liste_Types,0)),""))</f>
        <v/>
      </c>
      <c r="J779" s="107">
        <f>IF($I779="▲ ENTRÉE",$U779,"")</f>
        <v/>
      </c>
      <c r="K779" s="108">
        <f>IF($I779="▼ SORTIE",$U779,"")</f>
        <v/>
      </c>
      <c r="L779" s="109">
        <f>$L778+N($J779)-N($K779)</f>
        <v/>
      </c>
      <c r="M779" s="110" t="n"/>
      <c r="N779" s="54" t="n"/>
      <c r="O779" s="54" t="n"/>
      <c r="P779" s="54" t="n"/>
      <c r="Q779" s="110" t="n"/>
      <c r="R779" s="110" t="n"/>
      <c r="S779" s="54" t="n"/>
      <c r="T779" s="111">
        <f>IF($G779="","",IFERROR(INDEX(Taux_Devises,MATCH(IF($M779="",Devise_Base,$M779),Codes_Devises,0)),1))</f>
        <v/>
      </c>
      <c r="U779" s="112">
        <f>IF($G779="","",ROUND($G779*$T779,2))</f>
        <v/>
      </c>
      <c r="V779" s="113">
        <f>IF($B779="","",MONTH($B779))</f>
        <v/>
      </c>
      <c r="W779" s="113">
        <f>IF($B779="","",YEAR($B779))</f>
        <v/>
      </c>
    </row>
    <row r="780">
      <c r="B780" s="105" t="n"/>
      <c r="C780" s="54" t="n"/>
      <c r="D780" s="54" t="n"/>
      <c r="E780" s="54" t="n"/>
      <c r="F780" s="54" t="n"/>
      <c r="G780" s="65" t="n"/>
      <c r="H780" s="54" t="n"/>
      <c r="I780" s="106">
        <f>IF($C780="","",IFERROR(INDEX(Sens_Types,MATCH($C780,Liste_Types,0)),""))</f>
        <v/>
      </c>
      <c r="J780" s="107">
        <f>IF($I780="▲ ENTRÉE",$U780,"")</f>
        <v/>
      </c>
      <c r="K780" s="108">
        <f>IF($I780="▼ SORTIE",$U780,"")</f>
        <v/>
      </c>
      <c r="L780" s="109">
        <f>$L779+N($J780)-N($K780)</f>
        <v/>
      </c>
      <c r="M780" s="110" t="n"/>
      <c r="N780" s="54" t="n"/>
      <c r="O780" s="54" t="n"/>
      <c r="P780" s="54" t="n"/>
      <c r="Q780" s="110" t="n"/>
      <c r="R780" s="110" t="n"/>
      <c r="S780" s="54" t="n"/>
      <c r="T780" s="111">
        <f>IF($G780="","",IFERROR(INDEX(Taux_Devises,MATCH(IF($M780="",Devise_Base,$M780),Codes_Devises,0)),1))</f>
        <v/>
      </c>
      <c r="U780" s="112">
        <f>IF($G780="","",ROUND($G780*$T780,2))</f>
        <v/>
      </c>
      <c r="V780" s="113">
        <f>IF($B780="","",MONTH($B780))</f>
        <v/>
      </c>
      <c r="W780" s="113">
        <f>IF($B780="","",YEAR($B780))</f>
        <v/>
      </c>
    </row>
    <row r="781">
      <c r="B781" s="105" t="n"/>
      <c r="C781" s="54" t="n"/>
      <c r="D781" s="54" t="n"/>
      <c r="E781" s="54" t="n"/>
      <c r="F781" s="54" t="n"/>
      <c r="G781" s="65" t="n"/>
      <c r="H781" s="54" t="n"/>
      <c r="I781" s="106">
        <f>IF($C781="","",IFERROR(INDEX(Sens_Types,MATCH($C781,Liste_Types,0)),""))</f>
        <v/>
      </c>
      <c r="J781" s="107">
        <f>IF($I781="▲ ENTRÉE",$U781,"")</f>
        <v/>
      </c>
      <c r="K781" s="108">
        <f>IF($I781="▼ SORTIE",$U781,"")</f>
        <v/>
      </c>
      <c r="L781" s="109">
        <f>$L780+N($J781)-N($K781)</f>
        <v/>
      </c>
      <c r="M781" s="110" t="n"/>
      <c r="N781" s="54" t="n"/>
      <c r="O781" s="54" t="n"/>
      <c r="P781" s="54" t="n"/>
      <c r="Q781" s="110" t="n"/>
      <c r="R781" s="110" t="n"/>
      <c r="S781" s="54" t="n"/>
      <c r="T781" s="111">
        <f>IF($G781="","",IFERROR(INDEX(Taux_Devises,MATCH(IF($M781="",Devise_Base,$M781),Codes_Devises,0)),1))</f>
        <v/>
      </c>
      <c r="U781" s="112">
        <f>IF($G781="","",ROUND($G781*$T781,2))</f>
        <v/>
      </c>
      <c r="V781" s="113">
        <f>IF($B781="","",MONTH($B781))</f>
        <v/>
      </c>
      <c r="W781" s="113">
        <f>IF($B781="","",YEAR($B781))</f>
        <v/>
      </c>
    </row>
    <row r="782">
      <c r="B782" s="105" t="n"/>
      <c r="C782" s="54" t="n"/>
      <c r="D782" s="54" t="n"/>
      <c r="E782" s="54" t="n"/>
      <c r="F782" s="54" t="n"/>
      <c r="G782" s="65" t="n"/>
      <c r="H782" s="54" t="n"/>
      <c r="I782" s="106">
        <f>IF($C782="","",IFERROR(INDEX(Sens_Types,MATCH($C782,Liste_Types,0)),""))</f>
        <v/>
      </c>
      <c r="J782" s="107">
        <f>IF($I782="▲ ENTRÉE",$U782,"")</f>
        <v/>
      </c>
      <c r="K782" s="108">
        <f>IF($I782="▼ SORTIE",$U782,"")</f>
        <v/>
      </c>
      <c r="L782" s="109">
        <f>$L781+N($J782)-N($K782)</f>
        <v/>
      </c>
      <c r="M782" s="110" t="n"/>
      <c r="N782" s="54" t="n"/>
      <c r="O782" s="54" t="n"/>
      <c r="P782" s="54" t="n"/>
      <c r="Q782" s="110" t="n"/>
      <c r="R782" s="110" t="n"/>
      <c r="S782" s="54" t="n"/>
      <c r="T782" s="111">
        <f>IF($G782="","",IFERROR(INDEX(Taux_Devises,MATCH(IF($M782="",Devise_Base,$M782),Codes_Devises,0)),1))</f>
        <v/>
      </c>
      <c r="U782" s="112">
        <f>IF($G782="","",ROUND($G782*$T782,2))</f>
        <v/>
      </c>
      <c r="V782" s="113">
        <f>IF($B782="","",MONTH($B782))</f>
        <v/>
      </c>
      <c r="W782" s="113">
        <f>IF($B782="","",YEAR($B782))</f>
        <v/>
      </c>
    </row>
    <row r="783">
      <c r="B783" s="105" t="n"/>
      <c r="C783" s="54" t="n"/>
      <c r="D783" s="54" t="n"/>
      <c r="E783" s="54" t="n"/>
      <c r="F783" s="54" t="n"/>
      <c r="G783" s="65" t="n"/>
      <c r="H783" s="54" t="n"/>
      <c r="I783" s="106">
        <f>IF($C783="","",IFERROR(INDEX(Sens_Types,MATCH($C783,Liste_Types,0)),""))</f>
        <v/>
      </c>
      <c r="J783" s="107">
        <f>IF($I783="▲ ENTRÉE",$U783,"")</f>
        <v/>
      </c>
      <c r="K783" s="108">
        <f>IF($I783="▼ SORTIE",$U783,"")</f>
        <v/>
      </c>
      <c r="L783" s="109">
        <f>$L782+N($J783)-N($K783)</f>
        <v/>
      </c>
      <c r="M783" s="110" t="n"/>
      <c r="N783" s="54" t="n"/>
      <c r="O783" s="54" t="n"/>
      <c r="P783" s="54" t="n"/>
      <c r="Q783" s="110" t="n"/>
      <c r="R783" s="110" t="n"/>
      <c r="S783" s="54" t="n"/>
      <c r="T783" s="111">
        <f>IF($G783="","",IFERROR(INDEX(Taux_Devises,MATCH(IF($M783="",Devise_Base,$M783),Codes_Devises,0)),1))</f>
        <v/>
      </c>
      <c r="U783" s="112">
        <f>IF($G783="","",ROUND($G783*$T783,2))</f>
        <v/>
      </c>
      <c r="V783" s="113">
        <f>IF($B783="","",MONTH($B783))</f>
        <v/>
      </c>
      <c r="W783" s="113">
        <f>IF($B783="","",YEAR($B783))</f>
        <v/>
      </c>
    </row>
    <row r="784">
      <c r="B784" s="105" t="n"/>
      <c r="C784" s="54" t="n"/>
      <c r="D784" s="54" t="n"/>
      <c r="E784" s="54" t="n"/>
      <c r="F784" s="54" t="n"/>
      <c r="G784" s="65" t="n"/>
      <c r="H784" s="54" t="n"/>
      <c r="I784" s="106">
        <f>IF($C784="","",IFERROR(INDEX(Sens_Types,MATCH($C784,Liste_Types,0)),""))</f>
        <v/>
      </c>
      <c r="J784" s="107">
        <f>IF($I784="▲ ENTRÉE",$U784,"")</f>
        <v/>
      </c>
      <c r="K784" s="108">
        <f>IF($I784="▼ SORTIE",$U784,"")</f>
        <v/>
      </c>
      <c r="L784" s="109">
        <f>$L783+N($J784)-N($K784)</f>
        <v/>
      </c>
      <c r="M784" s="110" t="n"/>
      <c r="N784" s="54" t="n"/>
      <c r="O784" s="54" t="n"/>
      <c r="P784" s="54" t="n"/>
      <c r="Q784" s="110" t="n"/>
      <c r="R784" s="110" t="n"/>
      <c r="S784" s="54" t="n"/>
      <c r="T784" s="111">
        <f>IF($G784="","",IFERROR(INDEX(Taux_Devises,MATCH(IF($M784="",Devise_Base,$M784),Codes_Devises,0)),1))</f>
        <v/>
      </c>
      <c r="U784" s="112">
        <f>IF($G784="","",ROUND($G784*$T784,2))</f>
        <v/>
      </c>
      <c r="V784" s="113">
        <f>IF($B784="","",MONTH($B784))</f>
        <v/>
      </c>
      <c r="W784" s="113">
        <f>IF($B784="","",YEAR($B784))</f>
        <v/>
      </c>
    </row>
    <row r="785">
      <c r="B785" s="105" t="n"/>
      <c r="C785" s="54" t="n"/>
      <c r="D785" s="54" t="n"/>
      <c r="E785" s="54" t="n"/>
      <c r="F785" s="54" t="n"/>
      <c r="G785" s="65" t="n"/>
      <c r="H785" s="54" t="n"/>
      <c r="I785" s="106">
        <f>IF($C785="","",IFERROR(INDEX(Sens_Types,MATCH($C785,Liste_Types,0)),""))</f>
        <v/>
      </c>
      <c r="J785" s="107">
        <f>IF($I785="▲ ENTRÉE",$U785,"")</f>
        <v/>
      </c>
      <c r="K785" s="108">
        <f>IF($I785="▼ SORTIE",$U785,"")</f>
        <v/>
      </c>
      <c r="L785" s="109">
        <f>$L784+N($J785)-N($K785)</f>
        <v/>
      </c>
      <c r="M785" s="110" t="n"/>
      <c r="N785" s="54" t="n"/>
      <c r="O785" s="54" t="n"/>
      <c r="P785" s="54" t="n"/>
      <c r="Q785" s="110" t="n"/>
      <c r="R785" s="110" t="n"/>
      <c r="S785" s="54" t="n"/>
      <c r="T785" s="111">
        <f>IF($G785="","",IFERROR(INDEX(Taux_Devises,MATCH(IF($M785="",Devise_Base,$M785),Codes_Devises,0)),1))</f>
        <v/>
      </c>
      <c r="U785" s="112">
        <f>IF($G785="","",ROUND($G785*$T785,2))</f>
        <v/>
      </c>
      <c r="V785" s="113">
        <f>IF($B785="","",MONTH($B785))</f>
        <v/>
      </c>
      <c r="W785" s="113">
        <f>IF($B785="","",YEAR($B785))</f>
        <v/>
      </c>
    </row>
    <row r="786">
      <c r="B786" s="105" t="n"/>
      <c r="C786" s="54" t="n"/>
      <c r="D786" s="54" t="n"/>
      <c r="E786" s="54" t="n"/>
      <c r="F786" s="54" t="n"/>
      <c r="G786" s="65" t="n"/>
      <c r="H786" s="54" t="n"/>
      <c r="I786" s="106">
        <f>IF($C786="","",IFERROR(INDEX(Sens_Types,MATCH($C786,Liste_Types,0)),""))</f>
        <v/>
      </c>
      <c r="J786" s="107">
        <f>IF($I786="▲ ENTRÉE",$U786,"")</f>
        <v/>
      </c>
      <c r="K786" s="108">
        <f>IF($I786="▼ SORTIE",$U786,"")</f>
        <v/>
      </c>
      <c r="L786" s="109">
        <f>$L785+N($J786)-N($K786)</f>
        <v/>
      </c>
      <c r="M786" s="110" t="n"/>
      <c r="N786" s="54" t="n"/>
      <c r="O786" s="54" t="n"/>
      <c r="P786" s="54" t="n"/>
      <c r="Q786" s="110" t="n"/>
      <c r="R786" s="110" t="n"/>
      <c r="S786" s="54" t="n"/>
      <c r="T786" s="111">
        <f>IF($G786="","",IFERROR(INDEX(Taux_Devises,MATCH(IF($M786="",Devise_Base,$M786),Codes_Devises,0)),1))</f>
        <v/>
      </c>
      <c r="U786" s="112">
        <f>IF($G786="","",ROUND($G786*$T786,2))</f>
        <v/>
      </c>
      <c r="V786" s="113">
        <f>IF($B786="","",MONTH($B786))</f>
        <v/>
      </c>
      <c r="W786" s="113">
        <f>IF($B786="","",YEAR($B786))</f>
        <v/>
      </c>
    </row>
    <row r="787">
      <c r="B787" s="105" t="n"/>
      <c r="C787" s="54" t="n"/>
      <c r="D787" s="54" t="n"/>
      <c r="E787" s="54" t="n"/>
      <c r="F787" s="54" t="n"/>
      <c r="G787" s="65" t="n"/>
      <c r="H787" s="54" t="n"/>
      <c r="I787" s="106">
        <f>IF($C787="","",IFERROR(INDEX(Sens_Types,MATCH($C787,Liste_Types,0)),""))</f>
        <v/>
      </c>
      <c r="J787" s="107">
        <f>IF($I787="▲ ENTRÉE",$U787,"")</f>
        <v/>
      </c>
      <c r="K787" s="108">
        <f>IF($I787="▼ SORTIE",$U787,"")</f>
        <v/>
      </c>
      <c r="L787" s="109">
        <f>$L786+N($J787)-N($K787)</f>
        <v/>
      </c>
      <c r="M787" s="110" t="n"/>
      <c r="N787" s="54" t="n"/>
      <c r="O787" s="54" t="n"/>
      <c r="P787" s="54" t="n"/>
      <c r="Q787" s="110" t="n"/>
      <c r="R787" s="110" t="n"/>
      <c r="S787" s="54" t="n"/>
      <c r="T787" s="111">
        <f>IF($G787="","",IFERROR(INDEX(Taux_Devises,MATCH(IF($M787="",Devise_Base,$M787),Codes_Devises,0)),1))</f>
        <v/>
      </c>
      <c r="U787" s="112">
        <f>IF($G787="","",ROUND($G787*$T787,2))</f>
        <v/>
      </c>
      <c r="V787" s="113">
        <f>IF($B787="","",MONTH($B787))</f>
        <v/>
      </c>
      <c r="W787" s="113">
        <f>IF($B787="","",YEAR($B787))</f>
        <v/>
      </c>
    </row>
    <row r="788">
      <c r="B788" s="105" t="n"/>
      <c r="C788" s="54" t="n"/>
      <c r="D788" s="54" t="n"/>
      <c r="E788" s="54" t="n"/>
      <c r="F788" s="54" t="n"/>
      <c r="G788" s="65" t="n"/>
      <c r="H788" s="54" t="n"/>
      <c r="I788" s="106">
        <f>IF($C788="","",IFERROR(INDEX(Sens_Types,MATCH($C788,Liste_Types,0)),""))</f>
        <v/>
      </c>
      <c r="J788" s="107">
        <f>IF($I788="▲ ENTRÉE",$U788,"")</f>
        <v/>
      </c>
      <c r="K788" s="108">
        <f>IF($I788="▼ SORTIE",$U788,"")</f>
        <v/>
      </c>
      <c r="L788" s="109">
        <f>$L787+N($J788)-N($K788)</f>
        <v/>
      </c>
      <c r="M788" s="110" t="n"/>
      <c r="N788" s="54" t="n"/>
      <c r="O788" s="54" t="n"/>
      <c r="P788" s="54" t="n"/>
      <c r="Q788" s="110" t="n"/>
      <c r="R788" s="110" t="n"/>
      <c r="S788" s="54" t="n"/>
      <c r="T788" s="111">
        <f>IF($G788="","",IFERROR(INDEX(Taux_Devises,MATCH(IF($M788="",Devise_Base,$M788),Codes_Devises,0)),1))</f>
        <v/>
      </c>
      <c r="U788" s="112">
        <f>IF($G788="","",ROUND($G788*$T788,2))</f>
        <v/>
      </c>
      <c r="V788" s="113">
        <f>IF($B788="","",MONTH($B788))</f>
        <v/>
      </c>
      <c r="W788" s="113">
        <f>IF($B788="","",YEAR($B788))</f>
        <v/>
      </c>
    </row>
    <row r="789">
      <c r="B789" s="105" t="n"/>
      <c r="C789" s="54" t="n"/>
      <c r="D789" s="54" t="n"/>
      <c r="E789" s="54" t="n"/>
      <c r="F789" s="54" t="n"/>
      <c r="G789" s="65" t="n"/>
      <c r="H789" s="54" t="n"/>
      <c r="I789" s="106">
        <f>IF($C789="","",IFERROR(INDEX(Sens_Types,MATCH($C789,Liste_Types,0)),""))</f>
        <v/>
      </c>
      <c r="J789" s="107">
        <f>IF($I789="▲ ENTRÉE",$U789,"")</f>
        <v/>
      </c>
      <c r="K789" s="108">
        <f>IF($I789="▼ SORTIE",$U789,"")</f>
        <v/>
      </c>
      <c r="L789" s="109">
        <f>$L788+N($J789)-N($K789)</f>
        <v/>
      </c>
      <c r="M789" s="110" t="n"/>
      <c r="N789" s="54" t="n"/>
      <c r="O789" s="54" t="n"/>
      <c r="P789" s="54" t="n"/>
      <c r="Q789" s="110" t="n"/>
      <c r="R789" s="110" t="n"/>
      <c r="S789" s="54" t="n"/>
      <c r="T789" s="111">
        <f>IF($G789="","",IFERROR(INDEX(Taux_Devises,MATCH(IF($M789="",Devise_Base,$M789),Codes_Devises,0)),1))</f>
        <v/>
      </c>
      <c r="U789" s="112">
        <f>IF($G789="","",ROUND($G789*$T789,2))</f>
        <v/>
      </c>
      <c r="V789" s="113">
        <f>IF($B789="","",MONTH($B789))</f>
        <v/>
      </c>
      <c r="W789" s="113">
        <f>IF($B789="","",YEAR($B789))</f>
        <v/>
      </c>
    </row>
    <row r="790">
      <c r="B790" s="105" t="n"/>
      <c r="C790" s="54" t="n"/>
      <c r="D790" s="54" t="n"/>
      <c r="E790" s="54" t="n"/>
      <c r="F790" s="54" t="n"/>
      <c r="G790" s="65" t="n"/>
      <c r="H790" s="54" t="n"/>
      <c r="I790" s="106">
        <f>IF($C790="","",IFERROR(INDEX(Sens_Types,MATCH($C790,Liste_Types,0)),""))</f>
        <v/>
      </c>
      <c r="J790" s="107">
        <f>IF($I790="▲ ENTRÉE",$U790,"")</f>
        <v/>
      </c>
      <c r="K790" s="108">
        <f>IF($I790="▼ SORTIE",$U790,"")</f>
        <v/>
      </c>
      <c r="L790" s="109">
        <f>$L789+N($J790)-N($K790)</f>
        <v/>
      </c>
      <c r="M790" s="110" t="n"/>
      <c r="N790" s="54" t="n"/>
      <c r="O790" s="54" t="n"/>
      <c r="P790" s="54" t="n"/>
      <c r="Q790" s="110" t="n"/>
      <c r="R790" s="110" t="n"/>
      <c r="S790" s="54" t="n"/>
      <c r="T790" s="111">
        <f>IF($G790="","",IFERROR(INDEX(Taux_Devises,MATCH(IF($M790="",Devise_Base,$M790),Codes_Devises,0)),1))</f>
        <v/>
      </c>
      <c r="U790" s="112">
        <f>IF($G790="","",ROUND($G790*$T790,2))</f>
        <v/>
      </c>
      <c r="V790" s="113">
        <f>IF($B790="","",MONTH($B790))</f>
        <v/>
      </c>
      <c r="W790" s="113">
        <f>IF($B790="","",YEAR($B790))</f>
        <v/>
      </c>
    </row>
    <row r="791">
      <c r="B791" s="105" t="n"/>
      <c r="C791" s="54" t="n"/>
      <c r="D791" s="54" t="n"/>
      <c r="E791" s="54" t="n"/>
      <c r="F791" s="54" t="n"/>
      <c r="G791" s="65" t="n"/>
      <c r="H791" s="54" t="n"/>
      <c r="I791" s="106">
        <f>IF($C791="","",IFERROR(INDEX(Sens_Types,MATCH($C791,Liste_Types,0)),""))</f>
        <v/>
      </c>
      <c r="J791" s="107">
        <f>IF($I791="▲ ENTRÉE",$U791,"")</f>
        <v/>
      </c>
      <c r="K791" s="108">
        <f>IF($I791="▼ SORTIE",$U791,"")</f>
        <v/>
      </c>
      <c r="L791" s="109">
        <f>$L790+N($J791)-N($K791)</f>
        <v/>
      </c>
      <c r="M791" s="110" t="n"/>
      <c r="N791" s="54" t="n"/>
      <c r="O791" s="54" t="n"/>
      <c r="P791" s="54" t="n"/>
      <c r="Q791" s="110" t="n"/>
      <c r="R791" s="110" t="n"/>
      <c r="S791" s="54" t="n"/>
      <c r="T791" s="111">
        <f>IF($G791="","",IFERROR(INDEX(Taux_Devises,MATCH(IF($M791="",Devise_Base,$M791),Codes_Devises,0)),1))</f>
        <v/>
      </c>
      <c r="U791" s="112">
        <f>IF($G791="","",ROUND($G791*$T791,2))</f>
        <v/>
      </c>
      <c r="V791" s="113">
        <f>IF($B791="","",MONTH($B791))</f>
        <v/>
      </c>
      <c r="W791" s="113">
        <f>IF($B791="","",YEAR($B791))</f>
        <v/>
      </c>
    </row>
    <row r="792">
      <c r="B792" s="105" t="n"/>
      <c r="C792" s="54" t="n"/>
      <c r="D792" s="54" t="n"/>
      <c r="E792" s="54" t="n"/>
      <c r="F792" s="54" t="n"/>
      <c r="G792" s="65" t="n"/>
      <c r="H792" s="54" t="n"/>
      <c r="I792" s="106">
        <f>IF($C792="","",IFERROR(INDEX(Sens_Types,MATCH($C792,Liste_Types,0)),""))</f>
        <v/>
      </c>
      <c r="J792" s="107">
        <f>IF($I792="▲ ENTRÉE",$U792,"")</f>
        <v/>
      </c>
      <c r="K792" s="108">
        <f>IF($I792="▼ SORTIE",$U792,"")</f>
        <v/>
      </c>
      <c r="L792" s="109">
        <f>$L791+N($J792)-N($K792)</f>
        <v/>
      </c>
      <c r="M792" s="110" t="n"/>
      <c r="N792" s="54" t="n"/>
      <c r="O792" s="54" t="n"/>
      <c r="P792" s="54" t="n"/>
      <c r="Q792" s="110" t="n"/>
      <c r="R792" s="110" t="n"/>
      <c r="S792" s="54" t="n"/>
      <c r="T792" s="111">
        <f>IF($G792="","",IFERROR(INDEX(Taux_Devises,MATCH(IF($M792="",Devise_Base,$M792),Codes_Devises,0)),1))</f>
        <v/>
      </c>
      <c r="U792" s="112">
        <f>IF($G792="","",ROUND($G792*$T792,2))</f>
        <v/>
      </c>
      <c r="V792" s="113">
        <f>IF($B792="","",MONTH($B792))</f>
        <v/>
      </c>
      <c r="W792" s="113">
        <f>IF($B792="","",YEAR($B792))</f>
        <v/>
      </c>
    </row>
    <row r="793">
      <c r="B793" s="105" t="n"/>
      <c r="C793" s="54" t="n"/>
      <c r="D793" s="54" t="n"/>
      <c r="E793" s="54" t="n"/>
      <c r="F793" s="54" t="n"/>
      <c r="G793" s="65" t="n"/>
      <c r="H793" s="54" t="n"/>
      <c r="I793" s="106">
        <f>IF($C793="","",IFERROR(INDEX(Sens_Types,MATCH($C793,Liste_Types,0)),""))</f>
        <v/>
      </c>
      <c r="J793" s="107">
        <f>IF($I793="▲ ENTRÉE",$U793,"")</f>
        <v/>
      </c>
      <c r="K793" s="108">
        <f>IF($I793="▼ SORTIE",$U793,"")</f>
        <v/>
      </c>
      <c r="L793" s="109">
        <f>$L792+N($J793)-N($K793)</f>
        <v/>
      </c>
      <c r="M793" s="110" t="n"/>
      <c r="N793" s="54" t="n"/>
      <c r="O793" s="54" t="n"/>
      <c r="P793" s="54" t="n"/>
      <c r="Q793" s="110" t="n"/>
      <c r="R793" s="110" t="n"/>
      <c r="S793" s="54" t="n"/>
      <c r="T793" s="111">
        <f>IF($G793="","",IFERROR(INDEX(Taux_Devises,MATCH(IF($M793="",Devise_Base,$M793),Codes_Devises,0)),1))</f>
        <v/>
      </c>
      <c r="U793" s="112">
        <f>IF($G793="","",ROUND($G793*$T793,2))</f>
        <v/>
      </c>
      <c r="V793" s="113">
        <f>IF($B793="","",MONTH($B793))</f>
        <v/>
      </c>
      <c r="W793" s="113">
        <f>IF($B793="","",YEAR($B793))</f>
        <v/>
      </c>
    </row>
    <row r="794">
      <c r="B794" s="105" t="n"/>
      <c r="C794" s="54" t="n"/>
      <c r="D794" s="54" t="n"/>
      <c r="E794" s="54" t="n"/>
      <c r="F794" s="54" t="n"/>
      <c r="G794" s="65" t="n"/>
      <c r="H794" s="54" t="n"/>
      <c r="I794" s="106">
        <f>IF($C794="","",IFERROR(INDEX(Sens_Types,MATCH($C794,Liste_Types,0)),""))</f>
        <v/>
      </c>
      <c r="J794" s="107">
        <f>IF($I794="▲ ENTRÉE",$U794,"")</f>
        <v/>
      </c>
      <c r="K794" s="108">
        <f>IF($I794="▼ SORTIE",$U794,"")</f>
        <v/>
      </c>
      <c r="L794" s="109">
        <f>$L793+N($J794)-N($K794)</f>
        <v/>
      </c>
      <c r="M794" s="110" t="n"/>
      <c r="N794" s="54" t="n"/>
      <c r="O794" s="54" t="n"/>
      <c r="P794" s="54" t="n"/>
      <c r="Q794" s="110" t="n"/>
      <c r="R794" s="110" t="n"/>
      <c r="S794" s="54" t="n"/>
      <c r="T794" s="111">
        <f>IF($G794="","",IFERROR(INDEX(Taux_Devises,MATCH(IF($M794="",Devise_Base,$M794),Codes_Devises,0)),1))</f>
        <v/>
      </c>
      <c r="U794" s="112">
        <f>IF($G794="","",ROUND($G794*$T794,2))</f>
        <v/>
      </c>
      <c r="V794" s="113">
        <f>IF($B794="","",MONTH($B794))</f>
        <v/>
      </c>
      <c r="W794" s="113">
        <f>IF($B794="","",YEAR($B794))</f>
        <v/>
      </c>
    </row>
    <row r="795">
      <c r="B795" s="105" t="n"/>
      <c r="C795" s="54" t="n"/>
      <c r="D795" s="54" t="n"/>
      <c r="E795" s="54" t="n"/>
      <c r="F795" s="54" t="n"/>
      <c r="G795" s="65" t="n"/>
      <c r="H795" s="54" t="n"/>
      <c r="I795" s="106">
        <f>IF($C795="","",IFERROR(INDEX(Sens_Types,MATCH($C795,Liste_Types,0)),""))</f>
        <v/>
      </c>
      <c r="J795" s="107">
        <f>IF($I795="▲ ENTRÉE",$U795,"")</f>
        <v/>
      </c>
      <c r="K795" s="108">
        <f>IF($I795="▼ SORTIE",$U795,"")</f>
        <v/>
      </c>
      <c r="L795" s="109">
        <f>$L794+N($J795)-N($K795)</f>
        <v/>
      </c>
      <c r="M795" s="110" t="n"/>
      <c r="N795" s="54" t="n"/>
      <c r="O795" s="54" t="n"/>
      <c r="P795" s="54" t="n"/>
      <c r="Q795" s="110" t="n"/>
      <c r="R795" s="110" t="n"/>
      <c r="S795" s="54" t="n"/>
      <c r="T795" s="111">
        <f>IF($G795="","",IFERROR(INDEX(Taux_Devises,MATCH(IF($M795="",Devise_Base,$M795),Codes_Devises,0)),1))</f>
        <v/>
      </c>
      <c r="U795" s="112">
        <f>IF($G795="","",ROUND($G795*$T795,2))</f>
        <v/>
      </c>
      <c r="V795" s="113">
        <f>IF($B795="","",MONTH($B795))</f>
        <v/>
      </c>
      <c r="W795" s="113">
        <f>IF($B795="","",YEAR($B795))</f>
        <v/>
      </c>
    </row>
    <row r="796">
      <c r="B796" s="105" t="n"/>
      <c r="C796" s="54" t="n"/>
      <c r="D796" s="54" t="n"/>
      <c r="E796" s="54" t="n"/>
      <c r="F796" s="54" t="n"/>
      <c r="G796" s="65" t="n"/>
      <c r="H796" s="54" t="n"/>
      <c r="I796" s="106">
        <f>IF($C796="","",IFERROR(INDEX(Sens_Types,MATCH($C796,Liste_Types,0)),""))</f>
        <v/>
      </c>
      <c r="J796" s="107">
        <f>IF($I796="▲ ENTRÉE",$U796,"")</f>
        <v/>
      </c>
      <c r="K796" s="108">
        <f>IF($I796="▼ SORTIE",$U796,"")</f>
        <v/>
      </c>
      <c r="L796" s="109">
        <f>$L795+N($J796)-N($K796)</f>
        <v/>
      </c>
      <c r="M796" s="110" t="n"/>
      <c r="N796" s="54" t="n"/>
      <c r="O796" s="54" t="n"/>
      <c r="P796" s="54" t="n"/>
      <c r="Q796" s="110" t="n"/>
      <c r="R796" s="110" t="n"/>
      <c r="S796" s="54" t="n"/>
      <c r="T796" s="111">
        <f>IF($G796="","",IFERROR(INDEX(Taux_Devises,MATCH(IF($M796="",Devise_Base,$M796),Codes_Devises,0)),1))</f>
        <v/>
      </c>
      <c r="U796" s="112">
        <f>IF($G796="","",ROUND($G796*$T796,2))</f>
        <v/>
      </c>
      <c r="V796" s="113">
        <f>IF($B796="","",MONTH($B796))</f>
        <v/>
      </c>
      <c r="W796" s="113">
        <f>IF($B796="","",YEAR($B796))</f>
        <v/>
      </c>
    </row>
    <row r="797">
      <c r="B797" s="105" t="n"/>
      <c r="C797" s="54" t="n"/>
      <c r="D797" s="54" t="n"/>
      <c r="E797" s="54" t="n"/>
      <c r="F797" s="54" t="n"/>
      <c r="G797" s="65" t="n"/>
      <c r="H797" s="54" t="n"/>
      <c r="I797" s="106">
        <f>IF($C797="","",IFERROR(INDEX(Sens_Types,MATCH($C797,Liste_Types,0)),""))</f>
        <v/>
      </c>
      <c r="J797" s="107">
        <f>IF($I797="▲ ENTRÉE",$U797,"")</f>
        <v/>
      </c>
      <c r="K797" s="108">
        <f>IF($I797="▼ SORTIE",$U797,"")</f>
        <v/>
      </c>
      <c r="L797" s="109">
        <f>$L796+N($J797)-N($K797)</f>
        <v/>
      </c>
      <c r="M797" s="110" t="n"/>
      <c r="N797" s="54" t="n"/>
      <c r="O797" s="54" t="n"/>
      <c r="P797" s="54" t="n"/>
      <c r="Q797" s="110" t="n"/>
      <c r="R797" s="110" t="n"/>
      <c r="S797" s="54" t="n"/>
      <c r="T797" s="111">
        <f>IF($G797="","",IFERROR(INDEX(Taux_Devises,MATCH(IF($M797="",Devise_Base,$M797),Codes_Devises,0)),1))</f>
        <v/>
      </c>
      <c r="U797" s="112">
        <f>IF($G797="","",ROUND($G797*$T797,2))</f>
        <v/>
      </c>
      <c r="V797" s="113">
        <f>IF($B797="","",MONTH($B797))</f>
        <v/>
      </c>
      <c r="W797" s="113">
        <f>IF($B797="","",YEAR($B797))</f>
        <v/>
      </c>
    </row>
    <row r="798">
      <c r="B798" s="105" t="n"/>
      <c r="C798" s="54" t="n"/>
      <c r="D798" s="54" t="n"/>
      <c r="E798" s="54" t="n"/>
      <c r="F798" s="54" t="n"/>
      <c r="G798" s="65" t="n"/>
      <c r="H798" s="54" t="n"/>
      <c r="I798" s="106">
        <f>IF($C798="","",IFERROR(INDEX(Sens_Types,MATCH($C798,Liste_Types,0)),""))</f>
        <v/>
      </c>
      <c r="J798" s="107">
        <f>IF($I798="▲ ENTRÉE",$U798,"")</f>
        <v/>
      </c>
      <c r="K798" s="108">
        <f>IF($I798="▼ SORTIE",$U798,"")</f>
        <v/>
      </c>
      <c r="L798" s="109">
        <f>$L797+N($J798)-N($K798)</f>
        <v/>
      </c>
      <c r="M798" s="110" t="n"/>
      <c r="N798" s="54" t="n"/>
      <c r="O798" s="54" t="n"/>
      <c r="P798" s="54" t="n"/>
      <c r="Q798" s="110" t="n"/>
      <c r="R798" s="110" t="n"/>
      <c r="S798" s="54" t="n"/>
      <c r="T798" s="111">
        <f>IF($G798="","",IFERROR(INDEX(Taux_Devises,MATCH(IF($M798="",Devise_Base,$M798),Codes_Devises,0)),1))</f>
        <v/>
      </c>
      <c r="U798" s="112">
        <f>IF($G798="","",ROUND($G798*$T798,2))</f>
        <v/>
      </c>
      <c r="V798" s="113">
        <f>IF($B798="","",MONTH($B798))</f>
        <v/>
      </c>
      <c r="W798" s="113">
        <f>IF($B798="","",YEAR($B798))</f>
        <v/>
      </c>
    </row>
    <row r="799">
      <c r="B799" s="105" t="n"/>
      <c r="C799" s="54" t="n"/>
      <c r="D799" s="54" t="n"/>
      <c r="E799" s="54" t="n"/>
      <c r="F799" s="54" t="n"/>
      <c r="G799" s="65" t="n"/>
      <c r="H799" s="54" t="n"/>
      <c r="I799" s="106">
        <f>IF($C799="","",IFERROR(INDEX(Sens_Types,MATCH($C799,Liste_Types,0)),""))</f>
        <v/>
      </c>
      <c r="J799" s="107">
        <f>IF($I799="▲ ENTRÉE",$U799,"")</f>
        <v/>
      </c>
      <c r="K799" s="108">
        <f>IF($I799="▼ SORTIE",$U799,"")</f>
        <v/>
      </c>
      <c r="L799" s="109">
        <f>$L798+N($J799)-N($K799)</f>
        <v/>
      </c>
      <c r="M799" s="110" t="n"/>
      <c r="N799" s="54" t="n"/>
      <c r="O799" s="54" t="n"/>
      <c r="P799" s="54" t="n"/>
      <c r="Q799" s="110" t="n"/>
      <c r="R799" s="110" t="n"/>
      <c r="S799" s="54" t="n"/>
      <c r="T799" s="111">
        <f>IF($G799="","",IFERROR(INDEX(Taux_Devises,MATCH(IF($M799="",Devise_Base,$M799),Codes_Devises,0)),1))</f>
        <v/>
      </c>
      <c r="U799" s="112">
        <f>IF($G799="","",ROUND($G799*$T799,2))</f>
        <v/>
      </c>
      <c r="V799" s="113">
        <f>IF($B799="","",MONTH($B799))</f>
        <v/>
      </c>
      <c r="W799" s="113">
        <f>IF($B799="","",YEAR($B799))</f>
        <v/>
      </c>
    </row>
    <row r="800">
      <c r="B800" s="105" t="n"/>
      <c r="C800" s="54" t="n"/>
      <c r="D800" s="54" t="n"/>
      <c r="E800" s="54" t="n"/>
      <c r="F800" s="54" t="n"/>
      <c r="G800" s="65" t="n"/>
      <c r="H800" s="54" t="n"/>
      <c r="I800" s="106">
        <f>IF($C800="","",IFERROR(INDEX(Sens_Types,MATCH($C800,Liste_Types,0)),""))</f>
        <v/>
      </c>
      <c r="J800" s="107">
        <f>IF($I800="▲ ENTRÉE",$U800,"")</f>
        <v/>
      </c>
      <c r="K800" s="108">
        <f>IF($I800="▼ SORTIE",$U800,"")</f>
        <v/>
      </c>
      <c r="L800" s="109">
        <f>$L799+N($J800)-N($K800)</f>
        <v/>
      </c>
      <c r="M800" s="110" t="n"/>
      <c r="N800" s="54" t="n"/>
      <c r="O800" s="54" t="n"/>
      <c r="P800" s="54" t="n"/>
      <c r="Q800" s="110" t="n"/>
      <c r="R800" s="110" t="n"/>
      <c r="S800" s="54" t="n"/>
      <c r="T800" s="111">
        <f>IF($G800="","",IFERROR(INDEX(Taux_Devises,MATCH(IF($M800="",Devise_Base,$M800),Codes_Devises,0)),1))</f>
        <v/>
      </c>
      <c r="U800" s="112">
        <f>IF($G800="","",ROUND($G800*$T800,2))</f>
        <v/>
      </c>
      <c r="V800" s="113">
        <f>IF($B800="","",MONTH($B800))</f>
        <v/>
      </c>
      <c r="W800" s="113">
        <f>IF($B800="","",YEAR($B800))</f>
        <v/>
      </c>
    </row>
    <row r="801">
      <c r="B801" s="105" t="n"/>
      <c r="C801" s="54" t="n"/>
      <c r="D801" s="54" t="n"/>
      <c r="E801" s="54" t="n"/>
      <c r="F801" s="54" t="n"/>
      <c r="G801" s="65" t="n"/>
      <c r="H801" s="54" t="n"/>
      <c r="I801" s="106">
        <f>IF($C801="","",IFERROR(INDEX(Sens_Types,MATCH($C801,Liste_Types,0)),""))</f>
        <v/>
      </c>
      <c r="J801" s="107">
        <f>IF($I801="▲ ENTRÉE",$U801,"")</f>
        <v/>
      </c>
      <c r="K801" s="108">
        <f>IF($I801="▼ SORTIE",$U801,"")</f>
        <v/>
      </c>
      <c r="L801" s="109">
        <f>$L800+N($J801)-N($K801)</f>
        <v/>
      </c>
      <c r="M801" s="110" t="n"/>
      <c r="N801" s="54" t="n"/>
      <c r="O801" s="54" t="n"/>
      <c r="P801" s="54" t="n"/>
      <c r="Q801" s="110" t="n"/>
      <c r="R801" s="110" t="n"/>
      <c r="S801" s="54" t="n"/>
      <c r="T801" s="111">
        <f>IF($G801="","",IFERROR(INDEX(Taux_Devises,MATCH(IF($M801="",Devise_Base,$M801),Codes_Devises,0)),1))</f>
        <v/>
      </c>
      <c r="U801" s="112">
        <f>IF($G801="","",ROUND($G801*$T801,2))</f>
        <v/>
      </c>
      <c r="V801" s="113">
        <f>IF($B801="","",MONTH($B801))</f>
        <v/>
      </c>
      <c r="W801" s="113">
        <f>IF($B801="","",YEAR($B801))</f>
        <v/>
      </c>
    </row>
    <row r="802">
      <c r="B802" s="105" t="n"/>
      <c r="C802" s="54" t="n"/>
      <c r="D802" s="54" t="n"/>
      <c r="E802" s="54" t="n"/>
      <c r="F802" s="54" t="n"/>
      <c r="G802" s="65" t="n"/>
      <c r="H802" s="54" t="n"/>
      <c r="I802" s="106">
        <f>IF($C802="","",IFERROR(INDEX(Sens_Types,MATCH($C802,Liste_Types,0)),""))</f>
        <v/>
      </c>
      <c r="J802" s="107">
        <f>IF($I802="▲ ENTRÉE",$U802,"")</f>
        <v/>
      </c>
      <c r="K802" s="108">
        <f>IF($I802="▼ SORTIE",$U802,"")</f>
        <v/>
      </c>
      <c r="L802" s="109">
        <f>$L801+N($J802)-N($K802)</f>
        <v/>
      </c>
      <c r="M802" s="110" t="n"/>
      <c r="N802" s="54" t="n"/>
      <c r="O802" s="54" t="n"/>
      <c r="P802" s="54" t="n"/>
      <c r="Q802" s="110" t="n"/>
      <c r="R802" s="110" t="n"/>
      <c r="S802" s="54" t="n"/>
      <c r="T802" s="111">
        <f>IF($G802="","",IFERROR(INDEX(Taux_Devises,MATCH(IF($M802="",Devise_Base,$M802),Codes_Devises,0)),1))</f>
        <v/>
      </c>
      <c r="U802" s="112">
        <f>IF($G802="","",ROUND($G802*$T802,2))</f>
        <v/>
      </c>
      <c r="V802" s="113">
        <f>IF($B802="","",MONTH($B802))</f>
        <v/>
      </c>
      <c r="W802" s="113">
        <f>IF($B802="","",YEAR($B802))</f>
        <v/>
      </c>
    </row>
    <row r="803">
      <c r="B803" s="105" t="n"/>
      <c r="C803" s="54" t="n"/>
      <c r="D803" s="54" t="n"/>
      <c r="E803" s="54" t="n"/>
      <c r="F803" s="54" t="n"/>
      <c r="G803" s="65" t="n"/>
      <c r="H803" s="54" t="n"/>
      <c r="I803" s="106">
        <f>IF($C803="","",IFERROR(INDEX(Sens_Types,MATCH($C803,Liste_Types,0)),""))</f>
        <v/>
      </c>
      <c r="J803" s="107">
        <f>IF($I803="▲ ENTRÉE",$U803,"")</f>
        <v/>
      </c>
      <c r="K803" s="108">
        <f>IF($I803="▼ SORTIE",$U803,"")</f>
        <v/>
      </c>
      <c r="L803" s="109">
        <f>$L802+N($J803)-N($K803)</f>
        <v/>
      </c>
      <c r="M803" s="110" t="n"/>
      <c r="N803" s="54" t="n"/>
      <c r="O803" s="54" t="n"/>
      <c r="P803" s="54" t="n"/>
      <c r="Q803" s="110" t="n"/>
      <c r="R803" s="110" t="n"/>
      <c r="S803" s="54" t="n"/>
      <c r="T803" s="111">
        <f>IF($G803="","",IFERROR(INDEX(Taux_Devises,MATCH(IF($M803="",Devise_Base,$M803),Codes_Devises,0)),1))</f>
        <v/>
      </c>
      <c r="U803" s="112">
        <f>IF($G803="","",ROUND($G803*$T803,2))</f>
        <v/>
      </c>
      <c r="V803" s="113">
        <f>IF($B803="","",MONTH($B803))</f>
        <v/>
      </c>
      <c r="W803" s="113">
        <f>IF($B803="","",YEAR($B803))</f>
        <v/>
      </c>
    </row>
    <row r="804">
      <c r="B804" s="105" t="n"/>
      <c r="C804" s="54" t="n"/>
      <c r="D804" s="54" t="n"/>
      <c r="E804" s="54" t="n"/>
      <c r="F804" s="54" t="n"/>
      <c r="G804" s="65" t="n"/>
      <c r="H804" s="54" t="n"/>
      <c r="I804" s="106">
        <f>IF($C804="","",IFERROR(INDEX(Sens_Types,MATCH($C804,Liste_Types,0)),""))</f>
        <v/>
      </c>
      <c r="J804" s="107">
        <f>IF($I804="▲ ENTRÉE",$U804,"")</f>
        <v/>
      </c>
      <c r="K804" s="108">
        <f>IF($I804="▼ SORTIE",$U804,"")</f>
        <v/>
      </c>
      <c r="L804" s="109">
        <f>$L803+N($J804)-N($K804)</f>
        <v/>
      </c>
      <c r="M804" s="110" t="n"/>
      <c r="N804" s="54" t="n"/>
      <c r="O804" s="54" t="n"/>
      <c r="P804" s="54" t="n"/>
      <c r="Q804" s="110" t="n"/>
      <c r="R804" s="110" t="n"/>
      <c r="S804" s="54" t="n"/>
      <c r="T804" s="111">
        <f>IF($G804="","",IFERROR(INDEX(Taux_Devises,MATCH(IF($M804="",Devise_Base,$M804),Codes_Devises,0)),1))</f>
        <v/>
      </c>
      <c r="U804" s="112">
        <f>IF($G804="","",ROUND($G804*$T804,2))</f>
        <v/>
      </c>
      <c r="V804" s="113">
        <f>IF($B804="","",MONTH($B804))</f>
        <v/>
      </c>
      <c r="W804" s="113">
        <f>IF($B804="","",YEAR($B804))</f>
        <v/>
      </c>
    </row>
    <row r="805">
      <c r="B805" s="105" t="n"/>
      <c r="C805" s="54" t="n"/>
      <c r="D805" s="54" t="n"/>
      <c r="E805" s="54" t="n"/>
      <c r="F805" s="54" t="n"/>
      <c r="G805" s="65" t="n"/>
      <c r="H805" s="54" t="n"/>
      <c r="I805" s="106">
        <f>IF($C805="","",IFERROR(INDEX(Sens_Types,MATCH($C805,Liste_Types,0)),""))</f>
        <v/>
      </c>
      <c r="J805" s="107">
        <f>IF($I805="▲ ENTRÉE",$U805,"")</f>
        <v/>
      </c>
      <c r="K805" s="108">
        <f>IF($I805="▼ SORTIE",$U805,"")</f>
        <v/>
      </c>
      <c r="L805" s="109">
        <f>$L804+N($J805)-N($K805)</f>
        <v/>
      </c>
      <c r="M805" s="110" t="n"/>
      <c r="N805" s="54" t="n"/>
      <c r="O805" s="54" t="n"/>
      <c r="P805" s="54" t="n"/>
      <c r="Q805" s="110" t="n"/>
      <c r="R805" s="110" t="n"/>
      <c r="S805" s="54" t="n"/>
      <c r="T805" s="111">
        <f>IF($G805="","",IFERROR(INDEX(Taux_Devises,MATCH(IF($M805="",Devise_Base,$M805),Codes_Devises,0)),1))</f>
        <v/>
      </c>
      <c r="U805" s="112">
        <f>IF($G805="","",ROUND($G805*$T805,2))</f>
        <v/>
      </c>
      <c r="V805" s="113">
        <f>IF($B805="","",MONTH($B805))</f>
        <v/>
      </c>
      <c r="W805" s="113">
        <f>IF($B805="","",YEAR($B805))</f>
        <v/>
      </c>
    </row>
    <row r="806">
      <c r="B806" s="105" t="n"/>
      <c r="C806" s="54" t="n"/>
      <c r="D806" s="54" t="n"/>
      <c r="E806" s="54" t="n"/>
      <c r="F806" s="54" t="n"/>
      <c r="G806" s="65" t="n"/>
      <c r="H806" s="54" t="n"/>
      <c r="I806" s="106">
        <f>IF($C806="","",IFERROR(INDEX(Sens_Types,MATCH($C806,Liste_Types,0)),""))</f>
        <v/>
      </c>
      <c r="J806" s="107">
        <f>IF($I806="▲ ENTRÉE",$U806,"")</f>
        <v/>
      </c>
      <c r="K806" s="108">
        <f>IF($I806="▼ SORTIE",$U806,"")</f>
        <v/>
      </c>
      <c r="L806" s="109">
        <f>$L805+N($J806)-N($K806)</f>
        <v/>
      </c>
      <c r="M806" s="110" t="n"/>
      <c r="N806" s="54" t="n"/>
      <c r="O806" s="54" t="n"/>
      <c r="P806" s="54" t="n"/>
      <c r="Q806" s="110" t="n"/>
      <c r="R806" s="110" t="n"/>
      <c r="S806" s="54" t="n"/>
      <c r="T806" s="111">
        <f>IF($G806="","",IFERROR(INDEX(Taux_Devises,MATCH(IF($M806="",Devise_Base,$M806),Codes_Devises,0)),1))</f>
        <v/>
      </c>
      <c r="U806" s="112">
        <f>IF($G806="","",ROUND($G806*$T806,2))</f>
        <v/>
      </c>
      <c r="V806" s="113">
        <f>IF($B806="","",MONTH($B806))</f>
        <v/>
      </c>
      <c r="W806" s="113">
        <f>IF($B806="","",YEAR($B806))</f>
        <v/>
      </c>
    </row>
    <row r="807">
      <c r="B807" s="105" t="n"/>
      <c r="C807" s="54" t="n"/>
      <c r="D807" s="54" t="n"/>
      <c r="E807" s="54" t="n"/>
      <c r="F807" s="54" t="n"/>
      <c r="G807" s="65" t="n"/>
      <c r="H807" s="54" t="n"/>
      <c r="I807" s="106">
        <f>IF($C807="","",IFERROR(INDEX(Sens_Types,MATCH($C807,Liste_Types,0)),""))</f>
        <v/>
      </c>
      <c r="J807" s="107">
        <f>IF($I807="▲ ENTRÉE",$U807,"")</f>
        <v/>
      </c>
      <c r="K807" s="108">
        <f>IF($I807="▼ SORTIE",$U807,"")</f>
        <v/>
      </c>
      <c r="L807" s="109">
        <f>$L806+N($J807)-N($K807)</f>
        <v/>
      </c>
      <c r="M807" s="110" t="n"/>
      <c r="N807" s="54" t="n"/>
      <c r="O807" s="54" t="n"/>
      <c r="P807" s="54" t="n"/>
      <c r="Q807" s="110" t="n"/>
      <c r="R807" s="110" t="n"/>
      <c r="S807" s="54" t="n"/>
      <c r="T807" s="111">
        <f>IF($G807="","",IFERROR(INDEX(Taux_Devises,MATCH(IF($M807="",Devise_Base,$M807),Codes_Devises,0)),1))</f>
        <v/>
      </c>
      <c r="U807" s="112">
        <f>IF($G807="","",ROUND($G807*$T807,2))</f>
        <v/>
      </c>
      <c r="V807" s="113">
        <f>IF($B807="","",MONTH($B807))</f>
        <v/>
      </c>
      <c r="W807" s="113">
        <f>IF($B807="","",YEAR($B807))</f>
        <v/>
      </c>
    </row>
    <row r="808">
      <c r="B808" s="105" t="n"/>
      <c r="C808" s="54" t="n"/>
      <c r="D808" s="54" t="n"/>
      <c r="E808" s="54" t="n"/>
      <c r="F808" s="54" t="n"/>
      <c r="G808" s="65" t="n"/>
      <c r="H808" s="54" t="n"/>
      <c r="I808" s="106">
        <f>IF($C808="","",IFERROR(INDEX(Sens_Types,MATCH($C808,Liste_Types,0)),""))</f>
        <v/>
      </c>
      <c r="J808" s="107">
        <f>IF($I808="▲ ENTRÉE",$U808,"")</f>
        <v/>
      </c>
      <c r="K808" s="108">
        <f>IF($I808="▼ SORTIE",$U808,"")</f>
        <v/>
      </c>
      <c r="L808" s="109">
        <f>$L807+N($J808)-N($K808)</f>
        <v/>
      </c>
      <c r="M808" s="110" t="n"/>
      <c r="N808" s="54" t="n"/>
      <c r="O808" s="54" t="n"/>
      <c r="P808" s="54" t="n"/>
      <c r="Q808" s="110" t="n"/>
      <c r="R808" s="110" t="n"/>
      <c r="S808" s="54" t="n"/>
      <c r="T808" s="111">
        <f>IF($G808="","",IFERROR(INDEX(Taux_Devises,MATCH(IF($M808="",Devise_Base,$M808),Codes_Devises,0)),1))</f>
        <v/>
      </c>
      <c r="U808" s="112">
        <f>IF($G808="","",ROUND($G808*$T808,2))</f>
        <v/>
      </c>
      <c r="V808" s="113">
        <f>IF($B808="","",MONTH($B808))</f>
        <v/>
      </c>
      <c r="W808" s="113">
        <f>IF($B808="","",YEAR($B808))</f>
        <v/>
      </c>
    </row>
    <row r="809">
      <c r="B809" s="105" t="n"/>
      <c r="C809" s="54" t="n"/>
      <c r="D809" s="54" t="n"/>
      <c r="E809" s="54" t="n"/>
      <c r="F809" s="54" t="n"/>
      <c r="G809" s="65" t="n"/>
      <c r="H809" s="54" t="n"/>
      <c r="I809" s="106">
        <f>IF($C809="","",IFERROR(INDEX(Sens_Types,MATCH($C809,Liste_Types,0)),""))</f>
        <v/>
      </c>
      <c r="J809" s="107">
        <f>IF($I809="▲ ENTRÉE",$U809,"")</f>
        <v/>
      </c>
      <c r="K809" s="108">
        <f>IF($I809="▼ SORTIE",$U809,"")</f>
        <v/>
      </c>
      <c r="L809" s="109">
        <f>$L808+N($J809)-N($K809)</f>
        <v/>
      </c>
      <c r="M809" s="110" t="n"/>
      <c r="N809" s="54" t="n"/>
      <c r="O809" s="54" t="n"/>
      <c r="P809" s="54" t="n"/>
      <c r="Q809" s="110" t="n"/>
      <c r="R809" s="110" t="n"/>
      <c r="S809" s="54" t="n"/>
      <c r="T809" s="111">
        <f>IF($G809="","",IFERROR(INDEX(Taux_Devises,MATCH(IF($M809="",Devise_Base,$M809),Codes_Devises,0)),1))</f>
        <v/>
      </c>
      <c r="U809" s="112">
        <f>IF($G809="","",ROUND($G809*$T809,2))</f>
        <v/>
      </c>
      <c r="V809" s="113">
        <f>IF($B809="","",MONTH($B809))</f>
        <v/>
      </c>
      <c r="W809" s="113">
        <f>IF($B809="","",YEAR($B809))</f>
        <v/>
      </c>
    </row>
    <row r="810">
      <c r="B810" s="105" t="n"/>
      <c r="C810" s="54" t="n"/>
      <c r="D810" s="54" t="n"/>
      <c r="E810" s="54" t="n"/>
      <c r="F810" s="54" t="n"/>
      <c r="G810" s="65" t="n"/>
      <c r="H810" s="54" t="n"/>
      <c r="I810" s="106">
        <f>IF($C810="","",IFERROR(INDEX(Sens_Types,MATCH($C810,Liste_Types,0)),""))</f>
        <v/>
      </c>
      <c r="J810" s="107">
        <f>IF($I810="▲ ENTRÉE",$U810,"")</f>
        <v/>
      </c>
      <c r="K810" s="108">
        <f>IF($I810="▼ SORTIE",$U810,"")</f>
        <v/>
      </c>
      <c r="L810" s="109">
        <f>$L809+N($J810)-N($K810)</f>
        <v/>
      </c>
      <c r="M810" s="110" t="n"/>
      <c r="N810" s="54" t="n"/>
      <c r="O810" s="54" t="n"/>
      <c r="P810" s="54" t="n"/>
      <c r="Q810" s="110" t="n"/>
      <c r="R810" s="110" t="n"/>
      <c r="S810" s="54" t="n"/>
      <c r="T810" s="111">
        <f>IF($G810="","",IFERROR(INDEX(Taux_Devises,MATCH(IF($M810="",Devise_Base,$M810),Codes_Devises,0)),1))</f>
        <v/>
      </c>
      <c r="U810" s="112">
        <f>IF($G810="","",ROUND($G810*$T810,2))</f>
        <v/>
      </c>
      <c r="V810" s="113">
        <f>IF($B810="","",MONTH($B810))</f>
        <v/>
      </c>
      <c r="W810" s="113">
        <f>IF($B810="","",YEAR($B810))</f>
        <v/>
      </c>
    </row>
    <row r="811">
      <c r="B811" s="105" t="n"/>
      <c r="C811" s="54" t="n"/>
      <c r="D811" s="54" t="n"/>
      <c r="E811" s="54" t="n"/>
      <c r="F811" s="54" t="n"/>
      <c r="G811" s="65" t="n"/>
      <c r="H811" s="54" t="n"/>
      <c r="I811" s="106">
        <f>IF($C811="","",IFERROR(INDEX(Sens_Types,MATCH($C811,Liste_Types,0)),""))</f>
        <v/>
      </c>
      <c r="J811" s="107">
        <f>IF($I811="▲ ENTRÉE",$U811,"")</f>
        <v/>
      </c>
      <c r="K811" s="108">
        <f>IF($I811="▼ SORTIE",$U811,"")</f>
        <v/>
      </c>
      <c r="L811" s="109">
        <f>$L810+N($J811)-N($K811)</f>
        <v/>
      </c>
      <c r="M811" s="110" t="n"/>
      <c r="N811" s="54" t="n"/>
      <c r="O811" s="54" t="n"/>
      <c r="P811" s="54" t="n"/>
      <c r="Q811" s="110" t="n"/>
      <c r="R811" s="110" t="n"/>
      <c r="S811" s="54" t="n"/>
      <c r="T811" s="111">
        <f>IF($G811="","",IFERROR(INDEX(Taux_Devises,MATCH(IF($M811="",Devise_Base,$M811),Codes_Devises,0)),1))</f>
        <v/>
      </c>
      <c r="U811" s="112">
        <f>IF($G811="","",ROUND($G811*$T811,2))</f>
        <v/>
      </c>
      <c r="V811" s="113">
        <f>IF($B811="","",MONTH($B811))</f>
        <v/>
      </c>
      <c r="W811" s="113">
        <f>IF($B811="","",YEAR($B811))</f>
        <v/>
      </c>
    </row>
    <row r="812">
      <c r="B812" s="105" t="n"/>
      <c r="C812" s="54" t="n"/>
      <c r="D812" s="54" t="n"/>
      <c r="E812" s="54" t="n"/>
      <c r="F812" s="54" t="n"/>
      <c r="G812" s="65" t="n"/>
      <c r="H812" s="54" t="n"/>
      <c r="I812" s="106">
        <f>IF($C812="","",IFERROR(INDEX(Sens_Types,MATCH($C812,Liste_Types,0)),""))</f>
        <v/>
      </c>
      <c r="J812" s="107">
        <f>IF($I812="▲ ENTRÉE",$U812,"")</f>
        <v/>
      </c>
      <c r="K812" s="108">
        <f>IF($I812="▼ SORTIE",$U812,"")</f>
        <v/>
      </c>
      <c r="L812" s="109">
        <f>$L811+N($J812)-N($K812)</f>
        <v/>
      </c>
      <c r="M812" s="110" t="n"/>
      <c r="N812" s="54" t="n"/>
      <c r="O812" s="54" t="n"/>
      <c r="P812" s="54" t="n"/>
      <c r="Q812" s="110" t="n"/>
      <c r="R812" s="110" t="n"/>
      <c r="S812" s="54" t="n"/>
      <c r="T812" s="111">
        <f>IF($G812="","",IFERROR(INDEX(Taux_Devises,MATCH(IF($M812="",Devise_Base,$M812),Codes_Devises,0)),1))</f>
        <v/>
      </c>
      <c r="U812" s="112">
        <f>IF($G812="","",ROUND($G812*$T812,2))</f>
        <v/>
      </c>
      <c r="V812" s="113">
        <f>IF($B812="","",MONTH($B812))</f>
        <v/>
      </c>
      <c r="W812" s="113">
        <f>IF($B812="","",YEAR($B812))</f>
        <v/>
      </c>
    </row>
    <row r="813">
      <c r="B813" s="105" t="n"/>
      <c r="C813" s="54" t="n"/>
      <c r="D813" s="54" t="n"/>
      <c r="E813" s="54" t="n"/>
      <c r="F813" s="54" t="n"/>
      <c r="G813" s="65" t="n"/>
      <c r="H813" s="54" t="n"/>
      <c r="I813" s="106">
        <f>IF($C813="","",IFERROR(INDEX(Sens_Types,MATCH($C813,Liste_Types,0)),""))</f>
        <v/>
      </c>
      <c r="J813" s="107">
        <f>IF($I813="▲ ENTRÉE",$U813,"")</f>
        <v/>
      </c>
      <c r="K813" s="108">
        <f>IF($I813="▼ SORTIE",$U813,"")</f>
        <v/>
      </c>
      <c r="L813" s="109">
        <f>$L812+N($J813)-N($K813)</f>
        <v/>
      </c>
      <c r="M813" s="110" t="n"/>
      <c r="N813" s="54" t="n"/>
      <c r="O813" s="54" t="n"/>
      <c r="P813" s="54" t="n"/>
      <c r="Q813" s="110" t="n"/>
      <c r="R813" s="110" t="n"/>
      <c r="S813" s="54" t="n"/>
      <c r="T813" s="111">
        <f>IF($G813="","",IFERROR(INDEX(Taux_Devises,MATCH(IF($M813="",Devise_Base,$M813),Codes_Devises,0)),1))</f>
        <v/>
      </c>
      <c r="U813" s="112">
        <f>IF($G813="","",ROUND($G813*$T813,2))</f>
        <v/>
      </c>
      <c r="V813" s="113">
        <f>IF($B813="","",MONTH($B813))</f>
        <v/>
      </c>
      <c r="W813" s="113">
        <f>IF($B813="","",YEAR($B813))</f>
        <v/>
      </c>
    </row>
    <row r="814">
      <c r="B814" s="105" t="n"/>
      <c r="C814" s="54" t="n"/>
      <c r="D814" s="54" t="n"/>
      <c r="E814" s="54" t="n"/>
      <c r="F814" s="54" t="n"/>
      <c r="G814" s="65" t="n"/>
      <c r="H814" s="54" t="n"/>
      <c r="I814" s="106">
        <f>IF($C814="","",IFERROR(INDEX(Sens_Types,MATCH($C814,Liste_Types,0)),""))</f>
        <v/>
      </c>
      <c r="J814" s="107">
        <f>IF($I814="▲ ENTRÉE",$U814,"")</f>
        <v/>
      </c>
      <c r="K814" s="108">
        <f>IF($I814="▼ SORTIE",$U814,"")</f>
        <v/>
      </c>
      <c r="L814" s="109">
        <f>$L813+N($J814)-N($K814)</f>
        <v/>
      </c>
      <c r="M814" s="110" t="n"/>
      <c r="N814" s="54" t="n"/>
      <c r="O814" s="54" t="n"/>
      <c r="P814" s="54" t="n"/>
      <c r="Q814" s="110" t="n"/>
      <c r="R814" s="110" t="n"/>
      <c r="S814" s="54" t="n"/>
      <c r="T814" s="111">
        <f>IF($G814="","",IFERROR(INDEX(Taux_Devises,MATCH(IF($M814="",Devise_Base,$M814),Codes_Devises,0)),1))</f>
        <v/>
      </c>
      <c r="U814" s="112">
        <f>IF($G814="","",ROUND($G814*$T814,2))</f>
        <v/>
      </c>
      <c r="V814" s="113">
        <f>IF($B814="","",MONTH($B814))</f>
        <v/>
      </c>
      <c r="W814" s="113">
        <f>IF($B814="","",YEAR($B814))</f>
        <v/>
      </c>
    </row>
    <row r="815">
      <c r="B815" s="105" t="n"/>
      <c r="C815" s="54" t="n"/>
      <c r="D815" s="54" t="n"/>
      <c r="E815" s="54" t="n"/>
      <c r="F815" s="54" t="n"/>
      <c r="G815" s="65" t="n"/>
      <c r="H815" s="54" t="n"/>
      <c r="I815" s="106">
        <f>IF($C815="","",IFERROR(INDEX(Sens_Types,MATCH($C815,Liste_Types,0)),""))</f>
        <v/>
      </c>
      <c r="J815" s="107">
        <f>IF($I815="▲ ENTRÉE",$U815,"")</f>
        <v/>
      </c>
      <c r="K815" s="108">
        <f>IF($I815="▼ SORTIE",$U815,"")</f>
        <v/>
      </c>
      <c r="L815" s="109">
        <f>$L814+N($J815)-N($K815)</f>
        <v/>
      </c>
      <c r="M815" s="110" t="n"/>
      <c r="N815" s="54" t="n"/>
      <c r="O815" s="54" t="n"/>
      <c r="P815" s="54" t="n"/>
      <c r="Q815" s="110" t="n"/>
      <c r="R815" s="110" t="n"/>
      <c r="S815" s="54" t="n"/>
      <c r="T815" s="111">
        <f>IF($G815="","",IFERROR(INDEX(Taux_Devises,MATCH(IF($M815="",Devise_Base,$M815),Codes_Devises,0)),1))</f>
        <v/>
      </c>
      <c r="U815" s="112">
        <f>IF($G815="","",ROUND($G815*$T815,2))</f>
        <v/>
      </c>
      <c r="V815" s="113">
        <f>IF($B815="","",MONTH($B815))</f>
        <v/>
      </c>
      <c r="W815" s="113">
        <f>IF($B815="","",YEAR($B815))</f>
        <v/>
      </c>
    </row>
    <row r="816">
      <c r="B816" s="105" t="n"/>
      <c r="C816" s="54" t="n"/>
      <c r="D816" s="54" t="n"/>
      <c r="E816" s="54" t="n"/>
      <c r="F816" s="54" t="n"/>
      <c r="G816" s="65" t="n"/>
      <c r="H816" s="54" t="n"/>
      <c r="I816" s="106">
        <f>IF($C816="","",IFERROR(INDEX(Sens_Types,MATCH($C816,Liste_Types,0)),""))</f>
        <v/>
      </c>
      <c r="J816" s="107">
        <f>IF($I816="▲ ENTRÉE",$U816,"")</f>
        <v/>
      </c>
      <c r="K816" s="108">
        <f>IF($I816="▼ SORTIE",$U816,"")</f>
        <v/>
      </c>
      <c r="L816" s="109">
        <f>$L815+N($J816)-N($K816)</f>
        <v/>
      </c>
      <c r="M816" s="110" t="n"/>
      <c r="N816" s="54" t="n"/>
      <c r="O816" s="54" t="n"/>
      <c r="P816" s="54" t="n"/>
      <c r="Q816" s="110" t="n"/>
      <c r="R816" s="110" t="n"/>
      <c r="S816" s="54" t="n"/>
      <c r="T816" s="111">
        <f>IF($G816="","",IFERROR(INDEX(Taux_Devises,MATCH(IF($M816="",Devise_Base,$M816),Codes_Devises,0)),1))</f>
        <v/>
      </c>
      <c r="U816" s="112">
        <f>IF($G816="","",ROUND($G816*$T816,2))</f>
        <v/>
      </c>
      <c r="V816" s="113">
        <f>IF($B816="","",MONTH($B816))</f>
        <v/>
      </c>
      <c r="W816" s="113">
        <f>IF($B816="","",YEAR($B816))</f>
        <v/>
      </c>
    </row>
    <row r="817">
      <c r="B817" s="105" t="n"/>
      <c r="C817" s="54" t="n"/>
      <c r="D817" s="54" t="n"/>
      <c r="E817" s="54" t="n"/>
      <c r="F817" s="54" t="n"/>
      <c r="G817" s="65" t="n"/>
      <c r="H817" s="54" t="n"/>
      <c r="I817" s="106">
        <f>IF($C817="","",IFERROR(INDEX(Sens_Types,MATCH($C817,Liste_Types,0)),""))</f>
        <v/>
      </c>
      <c r="J817" s="107">
        <f>IF($I817="▲ ENTRÉE",$U817,"")</f>
        <v/>
      </c>
      <c r="K817" s="108">
        <f>IF($I817="▼ SORTIE",$U817,"")</f>
        <v/>
      </c>
      <c r="L817" s="109">
        <f>$L816+N($J817)-N($K817)</f>
        <v/>
      </c>
      <c r="M817" s="110" t="n"/>
      <c r="N817" s="54" t="n"/>
      <c r="O817" s="54" t="n"/>
      <c r="P817" s="54" t="n"/>
      <c r="Q817" s="110" t="n"/>
      <c r="R817" s="110" t="n"/>
      <c r="S817" s="54" t="n"/>
      <c r="T817" s="111">
        <f>IF($G817="","",IFERROR(INDEX(Taux_Devises,MATCH(IF($M817="",Devise_Base,$M817),Codes_Devises,0)),1))</f>
        <v/>
      </c>
      <c r="U817" s="112">
        <f>IF($G817="","",ROUND($G817*$T817,2))</f>
        <v/>
      </c>
      <c r="V817" s="113">
        <f>IF($B817="","",MONTH($B817))</f>
        <v/>
      </c>
      <c r="W817" s="113">
        <f>IF($B817="","",YEAR($B817))</f>
        <v/>
      </c>
    </row>
    <row r="818">
      <c r="B818" s="105" t="n"/>
      <c r="C818" s="54" t="n"/>
      <c r="D818" s="54" t="n"/>
      <c r="E818" s="54" t="n"/>
      <c r="F818" s="54" t="n"/>
      <c r="G818" s="65" t="n"/>
      <c r="H818" s="54" t="n"/>
      <c r="I818" s="106">
        <f>IF($C818="","",IFERROR(INDEX(Sens_Types,MATCH($C818,Liste_Types,0)),""))</f>
        <v/>
      </c>
      <c r="J818" s="107">
        <f>IF($I818="▲ ENTRÉE",$U818,"")</f>
        <v/>
      </c>
      <c r="K818" s="108">
        <f>IF($I818="▼ SORTIE",$U818,"")</f>
        <v/>
      </c>
      <c r="L818" s="109">
        <f>$L817+N($J818)-N($K818)</f>
        <v/>
      </c>
      <c r="M818" s="110" t="n"/>
      <c r="N818" s="54" t="n"/>
      <c r="O818" s="54" t="n"/>
      <c r="P818" s="54" t="n"/>
      <c r="Q818" s="110" t="n"/>
      <c r="R818" s="110" t="n"/>
      <c r="S818" s="54" t="n"/>
      <c r="T818" s="111">
        <f>IF($G818="","",IFERROR(INDEX(Taux_Devises,MATCH(IF($M818="",Devise_Base,$M818),Codes_Devises,0)),1))</f>
        <v/>
      </c>
      <c r="U818" s="112">
        <f>IF($G818="","",ROUND($G818*$T818,2))</f>
        <v/>
      </c>
      <c r="V818" s="113">
        <f>IF($B818="","",MONTH($B818))</f>
        <v/>
      </c>
      <c r="W818" s="113">
        <f>IF($B818="","",YEAR($B818))</f>
        <v/>
      </c>
    </row>
    <row r="819">
      <c r="B819" s="105" t="n"/>
      <c r="C819" s="54" t="n"/>
      <c r="D819" s="54" t="n"/>
      <c r="E819" s="54" t="n"/>
      <c r="F819" s="54" t="n"/>
      <c r="G819" s="65" t="n"/>
      <c r="H819" s="54" t="n"/>
      <c r="I819" s="106">
        <f>IF($C819="","",IFERROR(INDEX(Sens_Types,MATCH($C819,Liste_Types,0)),""))</f>
        <v/>
      </c>
      <c r="J819" s="107">
        <f>IF($I819="▲ ENTRÉE",$U819,"")</f>
        <v/>
      </c>
      <c r="K819" s="108">
        <f>IF($I819="▼ SORTIE",$U819,"")</f>
        <v/>
      </c>
      <c r="L819" s="109">
        <f>$L818+N($J819)-N($K819)</f>
        <v/>
      </c>
      <c r="M819" s="110" t="n"/>
      <c r="N819" s="54" t="n"/>
      <c r="O819" s="54" t="n"/>
      <c r="P819" s="54" t="n"/>
      <c r="Q819" s="110" t="n"/>
      <c r="R819" s="110" t="n"/>
      <c r="S819" s="54" t="n"/>
      <c r="T819" s="111">
        <f>IF($G819="","",IFERROR(INDEX(Taux_Devises,MATCH(IF($M819="",Devise_Base,$M819),Codes_Devises,0)),1))</f>
        <v/>
      </c>
      <c r="U819" s="112">
        <f>IF($G819="","",ROUND($G819*$T819,2))</f>
        <v/>
      </c>
      <c r="V819" s="113">
        <f>IF($B819="","",MONTH($B819))</f>
        <v/>
      </c>
      <c r="W819" s="113">
        <f>IF($B819="","",YEAR($B819))</f>
        <v/>
      </c>
    </row>
    <row r="820">
      <c r="B820" s="105" t="n"/>
      <c r="C820" s="54" t="n"/>
      <c r="D820" s="54" t="n"/>
      <c r="E820" s="54" t="n"/>
      <c r="F820" s="54" t="n"/>
      <c r="G820" s="65" t="n"/>
      <c r="H820" s="54" t="n"/>
      <c r="I820" s="106">
        <f>IF($C820="","",IFERROR(INDEX(Sens_Types,MATCH($C820,Liste_Types,0)),""))</f>
        <v/>
      </c>
      <c r="J820" s="107">
        <f>IF($I820="▲ ENTRÉE",$U820,"")</f>
        <v/>
      </c>
      <c r="K820" s="108">
        <f>IF($I820="▼ SORTIE",$U820,"")</f>
        <v/>
      </c>
      <c r="L820" s="109">
        <f>$L819+N($J820)-N($K820)</f>
        <v/>
      </c>
      <c r="M820" s="110" t="n"/>
      <c r="N820" s="54" t="n"/>
      <c r="O820" s="54" t="n"/>
      <c r="P820" s="54" t="n"/>
      <c r="Q820" s="110" t="n"/>
      <c r="R820" s="110" t="n"/>
      <c r="S820" s="54" t="n"/>
      <c r="T820" s="111">
        <f>IF($G820="","",IFERROR(INDEX(Taux_Devises,MATCH(IF($M820="",Devise_Base,$M820),Codes_Devises,0)),1))</f>
        <v/>
      </c>
      <c r="U820" s="112">
        <f>IF($G820="","",ROUND($G820*$T820,2))</f>
        <v/>
      </c>
      <c r="V820" s="113">
        <f>IF($B820="","",MONTH($B820))</f>
        <v/>
      </c>
      <c r="W820" s="113">
        <f>IF($B820="","",YEAR($B820))</f>
        <v/>
      </c>
    </row>
    <row r="821">
      <c r="B821" s="105" t="n"/>
      <c r="C821" s="54" t="n"/>
      <c r="D821" s="54" t="n"/>
      <c r="E821" s="54" t="n"/>
      <c r="F821" s="54" t="n"/>
      <c r="G821" s="65" t="n"/>
      <c r="H821" s="54" t="n"/>
      <c r="I821" s="106">
        <f>IF($C821="","",IFERROR(INDEX(Sens_Types,MATCH($C821,Liste_Types,0)),""))</f>
        <v/>
      </c>
      <c r="J821" s="107">
        <f>IF($I821="▲ ENTRÉE",$U821,"")</f>
        <v/>
      </c>
      <c r="K821" s="108">
        <f>IF($I821="▼ SORTIE",$U821,"")</f>
        <v/>
      </c>
      <c r="L821" s="109">
        <f>$L820+N($J821)-N($K821)</f>
        <v/>
      </c>
      <c r="M821" s="110" t="n"/>
      <c r="N821" s="54" t="n"/>
      <c r="O821" s="54" t="n"/>
      <c r="P821" s="54" t="n"/>
      <c r="Q821" s="110" t="n"/>
      <c r="R821" s="110" t="n"/>
      <c r="S821" s="54" t="n"/>
      <c r="T821" s="111">
        <f>IF($G821="","",IFERROR(INDEX(Taux_Devises,MATCH(IF($M821="",Devise_Base,$M821),Codes_Devises,0)),1))</f>
        <v/>
      </c>
      <c r="U821" s="112">
        <f>IF($G821="","",ROUND($G821*$T821,2))</f>
        <v/>
      </c>
      <c r="V821" s="113">
        <f>IF($B821="","",MONTH($B821))</f>
        <v/>
      </c>
      <c r="W821" s="113">
        <f>IF($B821="","",YEAR($B821))</f>
        <v/>
      </c>
    </row>
    <row r="822">
      <c r="B822" s="105" t="n"/>
      <c r="C822" s="54" t="n"/>
      <c r="D822" s="54" t="n"/>
      <c r="E822" s="54" t="n"/>
      <c r="F822" s="54" t="n"/>
      <c r="G822" s="65" t="n"/>
      <c r="H822" s="54" t="n"/>
      <c r="I822" s="106">
        <f>IF($C822="","",IFERROR(INDEX(Sens_Types,MATCH($C822,Liste_Types,0)),""))</f>
        <v/>
      </c>
      <c r="J822" s="107">
        <f>IF($I822="▲ ENTRÉE",$U822,"")</f>
        <v/>
      </c>
      <c r="K822" s="108">
        <f>IF($I822="▼ SORTIE",$U822,"")</f>
        <v/>
      </c>
      <c r="L822" s="109">
        <f>$L821+N($J822)-N($K822)</f>
        <v/>
      </c>
      <c r="M822" s="110" t="n"/>
      <c r="N822" s="54" t="n"/>
      <c r="O822" s="54" t="n"/>
      <c r="P822" s="54" t="n"/>
      <c r="Q822" s="110" t="n"/>
      <c r="R822" s="110" t="n"/>
      <c r="S822" s="54" t="n"/>
      <c r="T822" s="111">
        <f>IF($G822="","",IFERROR(INDEX(Taux_Devises,MATCH(IF($M822="",Devise_Base,$M822),Codes_Devises,0)),1))</f>
        <v/>
      </c>
      <c r="U822" s="112">
        <f>IF($G822="","",ROUND($G822*$T822,2))</f>
        <v/>
      </c>
      <c r="V822" s="113">
        <f>IF($B822="","",MONTH($B822))</f>
        <v/>
      </c>
      <c r="W822" s="113">
        <f>IF($B822="","",YEAR($B822))</f>
        <v/>
      </c>
    </row>
    <row r="823">
      <c r="B823" s="105" t="n"/>
      <c r="C823" s="54" t="n"/>
      <c r="D823" s="54" t="n"/>
      <c r="E823" s="54" t="n"/>
      <c r="F823" s="54" t="n"/>
      <c r="G823" s="65" t="n"/>
      <c r="H823" s="54" t="n"/>
      <c r="I823" s="106">
        <f>IF($C823="","",IFERROR(INDEX(Sens_Types,MATCH($C823,Liste_Types,0)),""))</f>
        <v/>
      </c>
      <c r="J823" s="107">
        <f>IF($I823="▲ ENTRÉE",$U823,"")</f>
        <v/>
      </c>
      <c r="K823" s="108">
        <f>IF($I823="▼ SORTIE",$U823,"")</f>
        <v/>
      </c>
      <c r="L823" s="109">
        <f>$L822+N($J823)-N($K823)</f>
        <v/>
      </c>
      <c r="M823" s="110" t="n"/>
      <c r="N823" s="54" t="n"/>
      <c r="O823" s="54" t="n"/>
      <c r="P823" s="54" t="n"/>
      <c r="Q823" s="110" t="n"/>
      <c r="R823" s="110" t="n"/>
      <c r="S823" s="54" t="n"/>
      <c r="T823" s="111">
        <f>IF($G823="","",IFERROR(INDEX(Taux_Devises,MATCH(IF($M823="",Devise_Base,$M823),Codes_Devises,0)),1))</f>
        <v/>
      </c>
      <c r="U823" s="112">
        <f>IF($G823="","",ROUND($G823*$T823,2))</f>
        <v/>
      </c>
      <c r="V823" s="113">
        <f>IF($B823="","",MONTH($B823))</f>
        <v/>
      </c>
      <c r="W823" s="113">
        <f>IF($B823="","",YEAR($B823))</f>
        <v/>
      </c>
    </row>
    <row r="824">
      <c r="B824" s="105" t="n"/>
      <c r="C824" s="54" t="n"/>
      <c r="D824" s="54" t="n"/>
      <c r="E824" s="54" t="n"/>
      <c r="F824" s="54" t="n"/>
      <c r="G824" s="65" t="n"/>
      <c r="H824" s="54" t="n"/>
      <c r="I824" s="106">
        <f>IF($C824="","",IFERROR(INDEX(Sens_Types,MATCH($C824,Liste_Types,0)),""))</f>
        <v/>
      </c>
      <c r="J824" s="107">
        <f>IF($I824="▲ ENTRÉE",$U824,"")</f>
        <v/>
      </c>
      <c r="K824" s="108">
        <f>IF($I824="▼ SORTIE",$U824,"")</f>
        <v/>
      </c>
      <c r="L824" s="109">
        <f>$L823+N($J824)-N($K824)</f>
        <v/>
      </c>
      <c r="M824" s="110" t="n"/>
      <c r="N824" s="54" t="n"/>
      <c r="O824" s="54" t="n"/>
      <c r="P824" s="54" t="n"/>
      <c r="Q824" s="110" t="n"/>
      <c r="R824" s="110" t="n"/>
      <c r="S824" s="54" t="n"/>
      <c r="T824" s="111">
        <f>IF($G824="","",IFERROR(INDEX(Taux_Devises,MATCH(IF($M824="",Devise_Base,$M824),Codes_Devises,0)),1))</f>
        <v/>
      </c>
      <c r="U824" s="112">
        <f>IF($G824="","",ROUND($G824*$T824,2))</f>
        <v/>
      </c>
      <c r="V824" s="113">
        <f>IF($B824="","",MONTH($B824))</f>
        <v/>
      </c>
      <c r="W824" s="113">
        <f>IF($B824="","",YEAR($B824))</f>
        <v/>
      </c>
    </row>
    <row r="825">
      <c r="B825" s="105" t="n"/>
      <c r="C825" s="54" t="n"/>
      <c r="D825" s="54" t="n"/>
      <c r="E825" s="54" t="n"/>
      <c r="F825" s="54" t="n"/>
      <c r="G825" s="65" t="n"/>
      <c r="H825" s="54" t="n"/>
      <c r="I825" s="106">
        <f>IF($C825="","",IFERROR(INDEX(Sens_Types,MATCH($C825,Liste_Types,0)),""))</f>
        <v/>
      </c>
      <c r="J825" s="107">
        <f>IF($I825="▲ ENTRÉE",$U825,"")</f>
        <v/>
      </c>
      <c r="K825" s="108">
        <f>IF($I825="▼ SORTIE",$U825,"")</f>
        <v/>
      </c>
      <c r="L825" s="109">
        <f>$L824+N($J825)-N($K825)</f>
        <v/>
      </c>
      <c r="M825" s="110" t="n"/>
      <c r="N825" s="54" t="n"/>
      <c r="O825" s="54" t="n"/>
      <c r="P825" s="54" t="n"/>
      <c r="Q825" s="110" t="n"/>
      <c r="R825" s="110" t="n"/>
      <c r="S825" s="54" t="n"/>
      <c r="T825" s="111">
        <f>IF($G825="","",IFERROR(INDEX(Taux_Devises,MATCH(IF($M825="",Devise_Base,$M825),Codes_Devises,0)),1))</f>
        <v/>
      </c>
      <c r="U825" s="112">
        <f>IF($G825="","",ROUND($G825*$T825,2))</f>
        <v/>
      </c>
      <c r="V825" s="113">
        <f>IF($B825="","",MONTH($B825))</f>
        <v/>
      </c>
      <c r="W825" s="113">
        <f>IF($B825="","",YEAR($B825))</f>
        <v/>
      </c>
    </row>
    <row r="826">
      <c r="B826" s="105" t="n"/>
      <c r="C826" s="54" t="n"/>
      <c r="D826" s="54" t="n"/>
      <c r="E826" s="54" t="n"/>
      <c r="F826" s="54" t="n"/>
      <c r="G826" s="65" t="n"/>
      <c r="H826" s="54" t="n"/>
      <c r="I826" s="106">
        <f>IF($C826="","",IFERROR(INDEX(Sens_Types,MATCH($C826,Liste_Types,0)),""))</f>
        <v/>
      </c>
      <c r="J826" s="107">
        <f>IF($I826="▲ ENTRÉE",$U826,"")</f>
        <v/>
      </c>
      <c r="K826" s="108">
        <f>IF($I826="▼ SORTIE",$U826,"")</f>
        <v/>
      </c>
      <c r="L826" s="109">
        <f>$L825+N($J826)-N($K826)</f>
        <v/>
      </c>
      <c r="M826" s="110" t="n"/>
      <c r="N826" s="54" t="n"/>
      <c r="O826" s="54" t="n"/>
      <c r="P826" s="54" t="n"/>
      <c r="Q826" s="110" t="n"/>
      <c r="R826" s="110" t="n"/>
      <c r="S826" s="54" t="n"/>
      <c r="T826" s="111">
        <f>IF($G826="","",IFERROR(INDEX(Taux_Devises,MATCH(IF($M826="",Devise_Base,$M826),Codes_Devises,0)),1))</f>
        <v/>
      </c>
      <c r="U826" s="112">
        <f>IF($G826="","",ROUND($G826*$T826,2))</f>
        <v/>
      </c>
      <c r="V826" s="113">
        <f>IF($B826="","",MONTH($B826))</f>
        <v/>
      </c>
      <c r="W826" s="113">
        <f>IF($B826="","",YEAR($B826))</f>
        <v/>
      </c>
    </row>
    <row r="827">
      <c r="B827" s="105" t="n"/>
      <c r="C827" s="54" t="n"/>
      <c r="D827" s="54" t="n"/>
      <c r="E827" s="54" t="n"/>
      <c r="F827" s="54" t="n"/>
      <c r="G827" s="65" t="n"/>
      <c r="H827" s="54" t="n"/>
      <c r="I827" s="106">
        <f>IF($C827="","",IFERROR(INDEX(Sens_Types,MATCH($C827,Liste_Types,0)),""))</f>
        <v/>
      </c>
      <c r="J827" s="107">
        <f>IF($I827="▲ ENTRÉE",$U827,"")</f>
        <v/>
      </c>
      <c r="K827" s="108">
        <f>IF($I827="▼ SORTIE",$U827,"")</f>
        <v/>
      </c>
      <c r="L827" s="109">
        <f>$L826+N($J827)-N($K827)</f>
        <v/>
      </c>
      <c r="M827" s="110" t="n"/>
      <c r="N827" s="54" t="n"/>
      <c r="O827" s="54" t="n"/>
      <c r="P827" s="54" t="n"/>
      <c r="Q827" s="110" t="n"/>
      <c r="R827" s="110" t="n"/>
      <c r="S827" s="54" t="n"/>
      <c r="T827" s="111">
        <f>IF($G827="","",IFERROR(INDEX(Taux_Devises,MATCH(IF($M827="",Devise_Base,$M827),Codes_Devises,0)),1))</f>
        <v/>
      </c>
      <c r="U827" s="112">
        <f>IF($G827="","",ROUND($G827*$T827,2))</f>
        <v/>
      </c>
      <c r="V827" s="113">
        <f>IF($B827="","",MONTH($B827))</f>
        <v/>
      </c>
      <c r="W827" s="113">
        <f>IF($B827="","",YEAR($B827))</f>
        <v/>
      </c>
    </row>
    <row r="828">
      <c r="B828" s="105" t="n"/>
      <c r="C828" s="54" t="n"/>
      <c r="D828" s="54" t="n"/>
      <c r="E828" s="54" t="n"/>
      <c r="F828" s="54" t="n"/>
      <c r="G828" s="65" t="n"/>
      <c r="H828" s="54" t="n"/>
      <c r="I828" s="106">
        <f>IF($C828="","",IFERROR(INDEX(Sens_Types,MATCH($C828,Liste_Types,0)),""))</f>
        <v/>
      </c>
      <c r="J828" s="107">
        <f>IF($I828="▲ ENTRÉE",$U828,"")</f>
        <v/>
      </c>
      <c r="K828" s="108">
        <f>IF($I828="▼ SORTIE",$U828,"")</f>
        <v/>
      </c>
      <c r="L828" s="109">
        <f>$L827+N($J828)-N($K828)</f>
        <v/>
      </c>
      <c r="M828" s="110" t="n"/>
      <c r="N828" s="54" t="n"/>
      <c r="O828" s="54" t="n"/>
      <c r="P828" s="54" t="n"/>
      <c r="Q828" s="110" t="n"/>
      <c r="R828" s="110" t="n"/>
      <c r="S828" s="54" t="n"/>
      <c r="T828" s="111">
        <f>IF($G828="","",IFERROR(INDEX(Taux_Devises,MATCH(IF($M828="",Devise_Base,$M828),Codes_Devises,0)),1))</f>
        <v/>
      </c>
      <c r="U828" s="112">
        <f>IF($G828="","",ROUND($G828*$T828,2))</f>
        <v/>
      </c>
      <c r="V828" s="113">
        <f>IF($B828="","",MONTH($B828))</f>
        <v/>
      </c>
      <c r="W828" s="113">
        <f>IF($B828="","",YEAR($B828))</f>
        <v/>
      </c>
    </row>
    <row r="829">
      <c r="B829" s="105" t="n"/>
      <c r="C829" s="54" t="n"/>
      <c r="D829" s="54" t="n"/>
      <c r="E829" s="54" t="n"/>
      <c r="F829" s="54" t="n"/>
      <c r="G829" s="65" t="n"/>
      <c r="H829" s="54" t="n"/>
      <c r="I829" s="106">
        <f>IF($C829="","",IFERROR(INDEX(Sens_Types,MATCH($C829,Liste_Types,0)),""))</f>
        <v/>
      </c>
      <c r="J829" s="107">
        <f>IF($I829="▲ ENTRÉE",$U829,"")</f>
        <v/>
      </c>
      <c r="K829" s="108">
        <f>IF($I829="▼ SORTIE",$U829,"")</f>
        <v/>
      </c>
      <c r="L829" s="109">
        <f>$L828+N($J829)-N($K829)</f>
        <v/>
      </c>
      <c r="M829" s="110" t="n"/>
      <c r="N829" s="54" t="n"/>
      <c r="O829" s="54" t="n"/>
      <c r="P829" s="54" t="n"/>
      <c r="Q829" s="110" t="n"/>
      <c r="R829" s="110" t="n"/>
      <c r="S829" s="54" t="n"/>
      <c r="T829" s="111">
        <f>IF($G829="","",IFERROR(INDEX(Taux_Devises,MATCH(IF($M829="",Devise_Base,$M829),Codes_Devises,0)),1))</f>
        <v/>
      </c>
      <c r="U829" s="112">
        <f>IF($G829="","",ROUND($G829*$T829,2))</f>
        <v/>
      </c>
      <c r="V829" s="113">
        <f>IF($B829="","",MONTH($B829))</f>
        <v/>
      </c>
      <c r="W829" s="113">
        <f>IF($B829="","",YEAR($B829))</f>
        <v/>
      </c>
    </row>
    <row r="830">
      <c r="B830" s="105" t="n"/>
      <c r="C830" s="54" t="n"/>
      <c r="D830" s="54" t="n"/>
      <c r="E830" s="54" t="n"/>
      <c r="F830" s="54" t="n"/>
      <c r="G830" s="65" t="n"/>
      <c r="H830" s="54" t="n"/>
      <c r="I830" s="106">
        <f>IF($C830="","",IFERROR(INDEX(Sens_Types,MATCH($C830,Liste_Types,0)),""))</f>
        <v/>
      </c>
      <c r="J830" s="107">
        <f>IF($I830="▲ ENTRÉE",$U830,"")</f>
        <v/>
      </c>
      <c r="K830" s="108">
        <f>IF($I830="▼ SORTIE",$U830,"")</f>
        <v/>
      </c>
      <c r="L830" s="109">
        <f>$L829+N($J830)-N($K830)</f>
        <v/>
      </c>
      <c r="M830" s="110" t="n"/>
      <c r="N830" s="54" t="n"/>
      <c r="O830" s="54" t="n"/>
      <c r="P830" s="54" t="n"/>
      <c r="Q830" s="110" t="n"/>
      <c r="R830" s="110" t="n"/>
      <c r="S830" s="54" t="n"/>
      <c r="T830" s="111">
        <f>IF($G830="","",IFERROR(INDEX(Taux_Devises,MATCH(IF($M830="",Devise_Base,$M830),Codes_Devises,0)),1))</f>
        <v/>
      </c>
      <c r="U830" s="112">
        <f>IF($G830="","",ROUND($G830*$T830,2))</f>
        <v/>
      </c>
      <c r="V830" s="113">
        <f>IF($B830="","",MONTH($B830))</f>
        <v/>
      </c>
      <c r="W830" s="113">
        <f>IF($B830="","",YEAR($B830))</f>
        <v/>
      </c>
    </row>
    <row r="831">
      <c r="B831" s="105" t="n"/>
      <c r="C831" s="54" t="n"/>
      <c r="D831" s="54" t="n"/>
      <c r="E831" s="54" t="n"/>
      <c r="F831" s="54" t="n"/>
      <c r="G831" s="65" t="n"/>
      <c r="H831" s="54" t="n"/>
      <c r="I831" s="106">
        <f>IF($C831="","",IFERROR(INDEX(Sens_Types,MATCH($C831,Liste_Types,0)),""))</f>
        <v/>
      </c>
      <c r="J831" s="107">
        <f>IF($I831="▲ ENTRÉE",$U831,"")</f>
        <v/>
      </c>
      <c r="K831" s="108">
        <f>IF($I831="▼ SORTIE",$U831,"")</f>
        <v/>
      </c>
      <c r="L831" s="109">
        <f>$L830+N($J831)-N($K831)</f>
        <v/>
      </c>
      <c r="M831" s="110" t="n"/>
      <c r="N831" s="54" t="n"/>
      <c r="O831" s="54" t="n"/>
      <c r="P831" s="54" t="n"/>
      <c r="Q831" s="110" t="n"/>
      <c r="R831" s="110" t="n"/>
      <c r="S831" s="54" t="n"/>
      <c r="T831" s="111">
        <f>IF($G831="","",IFERROR(INDEX(Taux_Devises,MATCH(IF($M831="",Devise_Base,$M831),Codes_Devises,0)),1))</f>
        <v/>
      </c>
      <c r="U831" s="112">
        <f>IF($G831="","",ROUND($G831*$T831,2))</f>
        <v/>
      </c>
      <c r="V831" s="113">
        <f>IF($B831="","",MONTH($B831))</f>
        <v/>
      </c>
      <c r="W831" s="113">
        <f>IF($B831="","",YEAR($B831))</f>
        <v/>
      </c>
    </row>
    <row r="832">
      <c r="B832" s="105" t="n"/>
      <c r="C832" s="54" t="n"/>
      <c r="D832" s="54" t="n"/>
      <c r="E832" s="54" t="n"/>
      <c r="F832" s="54" t="n"/>
      <c r="G832" s="65" t="n"/>
      <c r="H832" s="54" t="n"/>
      <c r="I832" s="106">
        <f>IF($C832="","",IFERROR(INDEX(Sens_Types,MATCH($C832,Liste_Types,0)),""))</f>
        <v/>
      </c>
      <c r="J832" s="107">
        <f>IF($I832="▲ ENTRÉE",$U832,"")</f>
        <v/>
      </c>
      <c r="K832" s="108">
        <f>IF($I832="▼ SORTIE",$U832,"")</f>
        <v/>
      </c>
      <c r="L832" s="109">
        <f>$L831+N($J832)-N($K832)</f>
        <v/>
      </c>
      <c r="M832" s="110" t="n"/>
      <c r="N832" s="54" t="n"/>
      <c r="O832" s="54" t="n"/>
      <c r="P832" s="54" t="n"/>
      <c r="Q832" s="110" t="n"/>
      <c r="R832" s="110" t="n"/>
      <c r="S832" s="54" t="n"/>
      <c r="T832" s="111">
        <f>IF($G832="","",IFERROR(INDEX(Taux_Devises,MATCH(IF($M832="",Devise_Base,$M832),Codes_Devises,0)),1))</f>
        <v/>
      </c>
      <c r="U832" s="112">
        <f>IF($G832="","",ROUND($G832*$T832,2))</f>
        <v/>
      </c>
      <c r="V832" s="113">
        <f>IF($B832="","",MONTH($B832))</f>
        <v/>
      </c>
      <c r="W832" s="113">
        <f>IF($B832="","",YEAR($B832))</f>
        <v/>
      </c>
    </row>
    <row r="833">
      <c r="B833" s="105" t="n"/>
      <c r="C833" s="54" t="n"/>
      <c r="D833" s="54" t="n"/>
      <c r="E833" s="54" t="n"/>
      <c r="F833" s="54" t="n"/>
      <c r="G833" s="65" t="n"/>
      <c r="H833" s="54" t="n"/>
      <c r="I833" s="106">
        <f>IF($C833="","",IFERROR(INDEX(Sens_Types,MATCH($C833,Liste_Types,0)),""))</f>
        <v/>
      </c>
      <c r="J833" s="107">
        <f>IF($I833="▲ ENTRÉE",$U833,"")</f>
        <v/>
      </c>
      <c r="K833" s="108">
        <f>IF($I833="▼ SORTIE",$U833,"")</f>
        <v/>
      </c>
      <c r="L833" s="109">
        <f>$L832+N($J833)-N($K833)</f>
        <v/>
      </c>
      <c r="M833" s="110" t="n"/>
      <c r="N833" s="54" t="n"/>
      <c r="O833" s="54" t="n"/>
      <c r="P833" s="54" t="n"/>
      <c r="Q833" s="110" t="n"/>
      <c r="R833" s="110" t="n"/>
      <c r="S833" s="54" t="n"/>
      <c r="T833" s="111">
        <f>IF($G833="","",IFERROR(INDEX(Taux_Devises,MATCH(IF($M833="",Devise_Base,$M833),Codes_Devises,0)),1))</f>
        <v/>
      </c>
      <c r="U833" s="112">
        <f>IF($G833="","",ROUND($G833*$T833,2))</f>
        <v/>
      </c>
      <c r="V833" s="113">
        <f>IF($B833="","",MONTH($B833))</f>
        <v/>
      </c>
      <c r="W833" s="113">
        <f>IF($B833="","",YEAR($B833))</f>
        <v/>
      </c>
    </row>
    <row r="834">
      <c r="B834" s="105" t="n"/>
      <c r="C834" s="54" t="n"/>
      <c r="D834" s="54" t="n"/>
      <c r="E834" s="54" t="n"/>
      <c r="F834" s="54" t="n"/>
      <c r="G834" s="65" t="n"/>
      <c r="H834" s="54" t="n"/>
      <c r="I834" s="106">
        <f>IF($C834="","",IFERROR(INDEX(Sens_Types,MATCH($C834,Liste_Types,0)),""))</f>
        <v/>
      </c>
      <c r="J834" s="107">
        <f>IF($I834="▲ ENTRÉE",$U834,"")</f>
        <v/>
      </c>
      <c r="K834" s="108">
        <f>IF($I834="▼ SORTIE",$U834,"")</f>
        <v/>
      </c>
      <c r="L834" s="109">
        <f>$L833+N($J834)-N($K834)</f>
        <v/>
      </c>
      <c r="M834" s="110" t="n"/>
      <c r="N834" s="54" t="n"/>
      <c r="O834" s="54" t="n"/>
      <c r="P834" s="54" t="n"/>
      <c r="Q834" s="110" t="n"/>
      <c r="R834" s="110" t="n"/>
      <c r="S834" s="54" t="n"/>
      <c r="T834" s="111">
        <f>IF($G834="","",IFERROR(INDEX(Taux_Devises,MATCH(IF($M834="",Devise_Base,$M834),Codes_Devises,0)),1))</f>
        <v/>
      </c>
      <c r="U834" s="112">
        <f>IF($G834="","",ROUND($G834*$T834,2))</f>
        <v/>
      </c>
      <c r="V834" s="113">
        <f>IF($B834="","",MONTH($B834))</f>
        <v/>
      </c>
      <c r="W834" s="113">
        <f>IF($B834="","",YEAR($B834))</f>
        <v/>
      </c>
    </row>
    <row r="835">
      <c r="B835" s="105" t="n"/>
      <c r="C835" s="54" t="n"/>
      <c r="D835" s="54" t="n"/>
      <c r="E835" s="54" t="n"/>
      <c r="F835" s="54" t="n"/>
      <c r="G835" s="65" t="n"/>
      <c r="H835" s="54" t="n"/>
      <c r="I835" s="106">
        <f>IF($C835="","",IFERROR(INDEX(Sens_Types,MATCH($C835,Liste_Types,0)),""))</f>
        <v/>
      </c>
      <c r="J835" s="107">
        <f>IF($I835="▲ ENTRÉE",$U835,"")</f>
        <v/>
      </c>
      <c r="K835" s="108">
        <f>IF($I835="▼ SORTIE",$U835,"")</f>
        <v/>
      </c>
      <c r="L835" s="109">
        <f>$L834+N($J835)-N($K835)</f>
        <v/>
      </c>
      <c r="M835" s="110" t="n"/>
      <c r="N835" s="54" t="n"/>
      <c r="O835" s="54" t="n"/>
      <c r="P835" s="54" t="n"/>
      <c r="Q835" s="110" t="n"/>
      <c r="R835" s="110" t="n"/>
      <c r="S835" s="54" t="n"/>
      <c r="T835" s="111">
        <f>IF($G835="","",IFERROR(INDEX(Taux_Devises,MATCH(IF($M835="",Devise_Base,$M835),Codes_Devises,0)),1))</f>
        <v/>
      </c>
      <c r="U835" s="112">
        <f>IF($G835="","",ROUND($G835*$T835,2))</f>
        <v/>
      </c>
      <c r="V835" s="113">
        <f>IF($B835="","",MONTH($B835))</f>
        <v/>
      </c>
      <c r="W835" s="113">
        <f>IF($B835="","",YEAR($B835))</f>
        <v/>
      </c>
    </row>
    <row r="836">
      <c r="B836" s="105" t="n"/>
      <c r="C836" s="54" t="n"/>
      <c r="D836" s="54" t="n"/>
      <c r="E836" s="54" t="n"/>
      <c r="F836" s="54" t="n"/>
      <c r="G836" s="65" t="n"/>
      <c r="H836" s="54" t="n"/>
      <c r="I836" s="106">
        <f>IF($C836="","",IFERROR(INDEX(Sens_Types,MATCH($C836,Liste_Types,0)),""))</f>
        <v/>
      </c>
      <c r="J836" s="107">
        <f>IF($I836="▲ ENTRÉE",$U836,"")</f>
        <v/>
      </c>
      <c r="K836" s="108">
        <f>IF($I836="▼ SORTIE",$U836,"")</f>
        <v/>
      </c>
      <c r="L836" s="109">
        <f>$L835+N($J836)-N($K836)</f>
        <v/>
      </c>
      <c r="M836" s="110" t="n"/>
      <c r="N836" s="54" t="n"/>
      <c r="O836" s="54" t="n"/>
      <c r="P836" s="54" t="n"/>
      <c r="Q836" s="110" t="n"/>
      <c r="R836" s="110" t="n"/>
      <c r="S836" s="54" t="n"/>
      <c r="T836" s="111">
        <f>IF($G836="","",IFERROR(INDEX(Taux_Devises,MATCH(IF($M836="",Devise_Base,$M836),Codes_Devises,0)),1))</f>
        <v/>
      </c>
      <c r="U836" s="112">
        <f>IF($G836="","",ROUND($G836*$T836,2))</f>
        <v/>
      </c>
      <c r="V836" s="113">
        <f>IF($B836="","",MONTH($B836))</f>
        <v/>
      </c>
      <c r="W836" s="113">
        <f>IF($B836="","",YEAR($B836))</f>
        <v/>
      </c>
    </row>
    <row r="837">
      <c r="B837" s="105" t="n"/>
      <c r="C837" s="54" t="n"/>
      <c r="D837" s="54" t="n"/>
      <c r="E837" s="54" t="n"/>
      <c r="F837" s="54" t="n"/>
      <c r="G837" s="65" t="n"/>
      <c r="H837" s="54" t="n"/>
      <c r="I837" s="106">
        <f>IF($C837="","",IFERROR(INDEX(Sens_Types,MATCH($C837,Liste_Types,0)),""))</f>
        <v/>
      </c>
      <c r="J837" s="107">
        <f>IF($I837="▲ ENTRÉE",$U837,"")</f>
        <v/>
      </c>
      <c r="K837" s="108">
        <f>IF($I837="▼ SORTIE",$U837,"")</f>
        <v/>
      </c>
      <c r="L837" s="109">
        <f>$L836+N($J837)-N($K837)</f>
        <v/>
      </c>
      <c r="M837" s="110" t="n"/>
      <c r="N837" s="54" t="n"/>
      <c r="O837" s="54" t="n"/>
      <c r="P837" s="54" t="n"/>
      <c r="Q837" s="110" t="n"/>
      <c r="R837" s="110" t="n"/>
      <c r="S837" s="54" t="n"/>
      <c r="T837" s="111">
        <f>IF($G837="","",IFERROR(INDEX(Taux_Devises,MATCH(IF($M837="",Devise_Base,$M837),Codes_Devises,0)),1))</f>
        <v/>
      </c>
      <c r="U837" s="112">
        <f>IF($G837="","",ROUND($G837*$T837,2))</f>
        <v/>
      </c>
      <c r="V837" s="113">
        <f>IF($B837="","",MONTH($B837))</f>
        <v/>
      </c>
      <c r="W837" s="113">
        <f>IF($B837="","",YEAR($B837))</f>
        <v/>
      </c>
    </row>
    <row r="838">
      <c r="B838" s="105" t="n"/>
      <c r="C838" s="54" t="n"/>
      <c r="D838" s="54" t="n"/>
      <c r="E838" s="54" t="n"/>
      <c r="F838" s="54" t="n"/>
      <c r="G838" s="65" t="n"/>
      <c r="H838" s="54" t="n"/>
      <c r="I838" s="106">
        <f>IF($C838="","",IFERROR(INDEX(Sens_Types,MATCH($C838,Liste_Types,0)),""))</f>
        <v/>
      </c>
      <c r="J838" s="107">
        <f>IF($I838="▲ ENTRÉE",$U838,"")</f>
        <v/>
      </c>
      <c r="K838" s="108">
        <f>IF($I838="▼ SORTIE",$U838,"")</f>
        <v/>
      </c>
      <c r="L838" s="109">
        <f>$L837+N($J838)-N($K838)</f>
        <v/>
      </c>
      <c r="M838" s="110" t="n"/>
      <c r="N838" s="54" t="n"/>
      <c r="O838" s="54" t="n"/>
      <c r="P838" s="54" t="n"/>
      <c r="Q838" s="110" t="n"/>
      <c r="R838" s="110" t="n"/>
      <c r="S838" s="54" t="n"/>
      <c r="T838" s="111">
        <f>IF($G838="","",IFERROR(INDEX(Taux_Devises,MATCH(IF($M838="",Devise_Base,$M838),Codes_Devises,0)),1))</f>
        <v/>
      </c>
      <c r="U838" s="112">
        <f>IF($G838="","",ROUND($G838*$T838,2))</f>
        <v/>
      </c>
      <c r="V838" s="113">
        <f>IF($B838="","",MONTH($B838))</f>
        <v/>
      </c>
      <c r="W838" s="113">
        <f>IF($B838="","",YEAR($B838))</f>
        <v/>
      </c>
    </row>
    <row r="839">
      <c r="B839" s="105" t="n"/>
      <c r="C839" s="54" t="n"/>
      <c r="D839" s="54" t="n"/>
      <c r="E839" s="54" t="n"/>
      <c r="F839" s="54" t="n"/>
      <c r="G839" s="65" t="n"/>
      <c r="H839" s="54" t="n"/>
      <c r="I839" s="106">
        <f>IF($C839="","",IFERROR(INDEX(Sens_Types,MATCH($C839,Liste_Types,0)),""))</f>
        <v/>
      </c>
      <c r="J839" s="107">
        <f>IF($I839="▲ ENTRÉE",$U839,"")</f>
        <v/>
      </c>
      <c r="K839" s="108">
        <f>IF($I839="▼ SORTIE",$U839,"")</f>
        <v/>
      </c>
      <c r="L839" s="109">
        <f>$L838+N($J839)-N($K839)</f>
        <v/>
      </c>
      <c r="M839" s="110" t="n"/>
      <c r="N839" s="54" t="n"/>
      <c r="O839" s="54" t="n"/>
      <c r="P839" s="54" t="n"/>
      <c r="Q839" s="110" t="n"/>
      <c r="R839" s="110" t="n"/>
      <c r="S839" s="54" t="n"/>
      <c r="T839" s="111">
        <f>IF($G839="","",IFERROR(INDEX(Taux_Devises,MATCH(IF($M839="",Devise_Base,$M839),Codes_Devises,0)),1))</f>
        <v/>
      </c>
      <c r="U839" s="112">
        <f>IF($G839="","",ROUND($G839*$T839,2))</f>
        <v/>
      </c>
      <c r="V839" s="113">
        <f>IF($B839="","",MONTH($B839))</f>
        <v/>
      </c>
      <c r="W839" s="113">
        <f>IF($B839="","",YEAR($B839))</f>
        <v/>
      </c>
    </row>
    <row r="840">
      <c r="B840" s="105" t="n"/>
      <c r="C840" s="54" t="n"/>
      <c r="D840" s="54" t="n"/>
      <c r="E840" s="54" t="n"/>
      <c r="F840" s="54" t="n"/>
      <c r="G840" s="65" t="n"/>
      <c r="H840" s="54" t="n"/>
      <c r="I840" s="106">
        <f>IF($C840="","",IFERROR(INDEX(Sens_Types,MATCH($C840,Liste_Types,0)),""))</f>
        <v/>
      </c>
      <c r="J840" s="107">
        <f>IF($I840="▲ ENTRÉE",$U840,"")</f>
        <v/>
      </c>
      <c r="K840" s="108">
        <f>IF($I840="▼ SORTIE",$U840,"")</f>
        <v/>
      </c>
      <c r="L840" s="109">
        <f>$L839+N($J840)-N($K840)</f>
        <v/>
      </c>
      <c r="M840" s="110" t="n"/>
      <c r="N840" s="54" t="n"/>
      <c r="O840" s="54" t="n"/>
      <c r="P840" s="54" t="n"/>
      <c r="Q840" s="110" t="n"/>
      <c r="R840" s="110" t="n"/>
      <c r="S840" s="54" t="n"/>
      <c r="T840" s="111">
        <f>IF($G840="","",IFERROR(INDEX(Taux_Devises,MATCH(IF($M840="",Devise_Base,$M840),Codes_Devises,0)),1))</f>
        <v/>
      </c>
      <c r="U840" s="112">
        <f>IF($G840="","",ROUND($G840*$T840,2))</f>
        <v/>
      </c>
      <c r="V840" s="113">
        <f>IF($B840="","",MONTH($B840))</f>
        <v/>
      </c>
      <c r="W840" s="113">
        <f>IF($B840="","",YEAR($B840))</f>
        <v/>
      </c>
    </row>
    <row r="841">
      <c r="B841" s="105" t="n"/>
      <c r="C841" s="54" t="n"/>
      <c r="D841" s="54" t="n"/>
      <c r="E841" s="54" t="n"/>
      <c r="F841" s="54" t="n"/>
      <c r="G841" s="65" t="n"/>
      <c r="H841" s="54" t="n"/>
      <c r="I841" s="106">
        <f>IF($C841="","",IFERROR(INDEX(Sens_Types,MATCH($C841,Liste_Types,0)),""))</f>
        <v/>
      </c>
      <c r="J841" s="107">
        <f>IF($I841="▲ ENTRÉE",$U841,"")</f>
        <v/>
      </c>
      <c r="K841" s="108">
        <f>IF($I841="▼ SORTIE",$U841,"")</f>
        <v/>
      </c>
      <c r="L841" s="109">
        <f>$L840+N($J841)-N($K841)</f>
        <v/>
      </c>
      <c r="M841" s="110" t="n"/>
      <c r="N841" s="54" t="n"/>
      <c r="O841" s="54" t="n"/>
      <c r="P841" s="54" t="n"/>
      <c r="Q841" s="110" t="n"/>
      <c r="R841" s="110" t="n"/>
      <c r="S841" s="54" t="n"/>
      <c r="T841" s="111">
        <f>IF($G841="","",IFERROR(INDEX(Taux_Devises,MATCH(IF($M841="",Devise_Base,$M841),Codes_Devises,0)),1))</f>
        <v/>
      </c>
      <c r="U841" s="112">
        <f>IF($G841="","",ROUND($G841*$T841,2))</f>
        <v/>
      </c>
      <c r="V841" s="113">
        <f>IF($B841="","",MONTH($B841))</f>
        <v/>
      </c>
      <c r="W841" s="113">
        <f>IF($B841="","",YEAR($B841))</f>
        <v/>
      </c>
    </row>
    <row r="842">
      <c r="B842" s="105" t="n"/>
      <c r="C842" s="54" t="n"/>
      <c r="D842" s="54" t="n"/>
      <c r="E842" s="54" t="n"/>
      <c r="F842" s="54" t="n"/>
      <c r="G842" s="65" t="n"/>
      <c r="H842" s="54" t="n"/>
      <c r="I842" s="106">
        <f>IF($C842="","",IFERROR(INDEX(Sens_Types,MATCH($C842,Liste_Types,0)),""))</f>
        <v/>
      </c>
      <c r="J842" s="107">
        <f>IF($I842="▲ ENTRÉE",$U842,"")</f>
        <v/>
      </c>
      <c r="K842" s="108">
        <f>IF($I842="▼ SORTIE",$U842,"")</f>
        <v/>
      </c>
      <c r="L842" s="109">
        <f>$L841+N($J842)-N($K842)</f>
        <v/>
      </c>
      <c r="M842" s="110" t="n"/>
      <c r="N842" s="54" t="n"/>
      <c r="O842" s="54" t="n"/>
      <c r="P842" s="54" t="n"/>
      <c r="Q842" s="110" t="n"/>
      <c r="R842" s="110" t="n"/>
      <c r="S842" s="54" t="n"/>
      <c r="T842" s="111">
        <f>IF($G842="","",IFERROR(INDEX(Taux_Devises,MATCH(IF($M842="",Devise_Base,$M842),Codes_Devises,0)),1))</f>
        <v/>
      </c>
      <c r="U842" s="112">
        <f>IF($G842="","",ROUND($G842*$T842,2))</f>
        <v/>
      </c>
      <c r="V842" s="113">
        <f>IF($B842="","",MONTH($B842))</f>
        <v/>
      </c>
      <c r="W842" s="113">
        <f>IF($B842="","",YEAR($B842))</f>
        <v/>
      </c>
    </row>
    <row r="843">
      <c r="B843" s="105" t="n"/>
      <c r="C843" s="54" t="n"/>
      <c r="D843" s="54" t="n"/>
      <c r="E843" s="54" t="n"/>
      <c r="F843" s="54" t="n"/>
      <c r="G843" s="65" t="n"/>
      <c r="H843" s="54" t="n"/>
      <c r="I843" s="106">
        <f>IF($C843="","",IFERROR(INDEX(Sens_Types,MATCH($C843,Liste_Types,0)),""))</f>
        <v/>
      </c>
      <c r="J843" s="107">
        <f>IF($I843="▲ ENTRÉE",$U843,"")</f>
        <v/>
      </c>
      <c r="K843" s="108">
        <f>IF($I843="▼ SORTIE",$U843,"")</f>
        <v/>
      </c>
      <c r="L843" s="109">
        <f>$L842+N($J843)-N($K843)</f>
        <v/>
      </c>
      <c r="M843" s="110" t="n"/>
      <c r="N843" s="54" t="n"/>
      <c r="O843" s="54" t="n"/>
      <c r="P843" s="54" t="n"/>
      <c r="Q843" s="110" t="n"/>
      <c r="R843" s="110" t="n"/>
      <c r="S843" s="54" t="n"/>
      <c r="T843" s="111">
        <f>IF($G843="","",IFERROR(INDEX(Taux_Devises,MATCH(IF($M843="",Devise_Base,$M843),Codes_Devises,0)),1))</f>
        <v/>
      </c>
      <c r="U843" s="112">
        <f>IF($G843="","",ROUND($G843*$T843,2))</f>
        <v/>
      </c>
      <c r="V843" s="113">
        <f>IF($B843="","",MONTH($B843))</f>
        <v/>
      </c>
      <c r="W843" s="113">
        <f>IF($B843="","",YEAR($B843))</f>
        <v/>
      </c>
    </row>
    <row r="844">
      <c r="B844" s="105" t="n"/>
      <c r="C844" s="54" t="n"/>
      <c r="D844" s="54" t="n"/>
      <c r="E844" s="54" t="n"/>
      <c r="F844" s="54" t="n"/>
      <c r="G844" s="65" t="n"/>
      <c r="H844" s="54" t="n"/>
      <c r="I844" s="106">
        <f>IF($C844="","",IFERROR(INDEX(Sens_Types,MATCH($C844,Liste_Types,0)),""))</f>
        <v/>
      </c>
      <c r="J844" s="107">
        <f>IF($I844="▲ ENTRÉE",$U844,"")</f>
        <v/>
      </c>
      <c r="K844" s="108">
        <f>IF($I844="▼ SORTIE",$U844,"")</f>
        <v/>
      </c>
      <c r="L844" s="109">
        <f>$L843+N($J844)-N($K844)</f>
        <v/>
      </c>
      <c r="M844" s="110" t="n"/>
      <c r="N844" s="54" t="n"/>
      <c r="O844" s="54" t="n"/>
      <c r="P844" s="54" t="n"/>
      <c r="Q844" s="110" t="n"/>
      <c r="R844" s="110" t="n"/>
      <c r="S844" s="54" t="n"/>
      <c r="T844" s="111">
        <f>IF($G844="","",IFERROR(INDEX(Taux_Devises,MATCH(IF($M844="",Devise_Base,$M844),Codes_Devises,0)),1))</f>
        <v/>
      </c>
      <c r="U844" s="112">
        <f>IF($G844="","",ROUND($G844*$T844,2))</f>
        <v/>
      </c>
      <c r="V844" s="113">
        <f>IF($B844="","",MONTH($B844))</f>
        <v/>
      </c>
      <c r="W844" s="113">
        <f>IF($B844="","",YEAR($B844))</f>
        <v/>
      </c>
    </row>
    <row r="845">
      <c r="B845" s="105" t="n"/>
      <c r="C845" s="54" t="n"/>
      <c r="D845" s="54" t="n"/>
      <c r="E845" s="54" t="n"/>
      <c r="F845" s="54" t="n"/>
      <c r="G845" s="65" t="n"/>
      <c r="H845" s="54" t="n"/>
      <c r="I845" s="106">
        <f>IF($C845="","",IFERROR(INDEX(Sens_Types,MATCH($C845,Liste_Types,0)),""))</f>
        <v/>
      </c>
      <c r="J845" s="107">
        <f>IF($I845="▲ ENTRÉE",$U845,"")</f>
        <v/>
      </c>
      <c r="K845" s="108">
        <f>IF($I845="▼ SORTIE",$U845,"")</f>
        <v/>
      </c>
      <c r="L845" s="109">
        <f>$L844+N($J845)-N($K845)</f>
        <v/>
      </c>
      <c r="M845" s="110" t="n"/>
      <c r="N845" s="54" t="n"/>
      <c r="O845" s="54" t="n"/>
      <c r="P845" s="54" t="n"/>
      <c r="Q845" s="110" t="n"/>
      <c r="R845" s="110" t="n"/>
      <c r="S845" s="54" t="n"/>
      <c r="T845" s="111">
        <f>IF($G845="","",IFERROR(INDEX(Taux_Devises,MATCH(IF($M845="",Devise_Base,$M845),Codes_Devises,0)),1))</f>
        <v/>
      </c>
      <c r="U845" s="112">
        <f>IF($G845="","",ROUND($G845*$T845,2))</f>
        <v/>
      </c>
      <c r="V845" s="113">
        <f>IF($B845="","",MONTH($B845))</f>
        <v/>
      </c>
      <c r="W845" s="113">
        <f>IF($B845="","",YEAR($B845))</f>
        <v/>
      </c>
    </row>
    <row r="846">
      <c r="B846" s="105" t="n"/>
      <c r="C846" s="54" t="n"/>
      <c r="D846" s="54" t="n"/>
      <c r="E846" s="54" t="n"/>
      <c r="F846" s="54" t="n"/>
      <c r="G846" s="65" t="n"/>
      <c r="H846" s="54" t="n"/>
      <c r="I846" s="106">
        <f>IF($C846="","",IFERROR(INDEX(Sens_Types,MATCH($C846,Liste_Types,0)),""))</f>
        <v/>
      </c>
      <c r="J846" s="107">
        <f>IF($I846="▲ ENTRÉE",$U846,"")</f>
        <v/>
      </c>
      <c r="K846" s="108">
        <f>IF($I846="▼ SORTIE",$U846,"")</f>
        <v/>
      </c>
      <c r="L846" s="109">
        <f>$L845+N($J846)-N($K846)</f>
        <v/>
      </c>
      <c r="M846" s="110" t="n"/>
      <c r="N846" s="54" t="n"/>
      <c r="O846" s="54" t="n"/>
      <c r="P846" s="54" t="n"/>
      <c r="Q846" s="110" t="n"/>
      <c r="R846" s="110" t="n"/>
      <c r="S846" s="54" t="n"/>
      <c r="T846" s="111">
        <f>IF($G846="","",IFERROR(INDEX(Taux_Devises,MATCH(IF($M846="",Devise_Base,$M846),Codes_Devises,0)),1))</f>
        <v/>
      </c>
      <c r="U846" s="112">
        <f>IF($G846="","",ROUND($G846*$T846,2))</f>
        <v/>
      </c>
      <c r="V846" s="113">
        <f>IF($B846="","",MONTH($B846))</f>
        <v/>
      </c>
      <c r="W846" s="113">
        <f>IF($B846="","",YEAR($B846))</f>
        <v/>
      </c>
    </row>
    <row r="847">
      <c r="B847" s="105" t="n"/>
      <c r="C847" s="54" t="n"/>
      <c r="D847" s="54" t="n"/>
      <c r="E847" s="54" t="n"/>
      <c r="F847" s="54" t="n"/>
      <c r="G847" s="65" t="n"/>
      <c r="H847" s="54" t="n"/>
      <c r="I847" s="106">
        <f>IF($C847="","",IFERROR(INDEX(Sens_Types,MATCH($C847,Liste_Types,0)),""))</f>
        <v/>
      </c>
      <c r="J847" s="107">
        <f>IF($I847="▲ ENTRÉE",$U847,"")</f>
        <v/>
      </c>
      <c r="K847" s="108">
        <f>IF($I847="▼ SORTIE",$U847,"")</f>
        <v/>
      </c>
      <c r="L847" s="109">
        <f>$L846+N($J847)-N($K847)</f>
        <v/>
      </c>
      <c r="M847" s="110" t="n"/>
      <c r="N847" s="54" t="n"/>
      <c r="O847" s="54" t="n"/>
      <c r="P847" s="54" t="n"/>
      <c r="Q847" s="110" t="n"/>
      <c r="R847" s="110" t="n"/>
      <c r="S847" s="54" t="n"/>
      <c r="T847" s="111">
        <f>IF($G847="","",IFERROR(INDEX(Taux_Devises,MATCH(IF($M847="",Devise_Base,$M847),Codes_Devises,0)),1))</f>
        <v/>
      </c>
      <c r="U847" s="112">
        <f>IF($G847="","",ROUND($G847*$T847,2))</f>
        <v/>
      </c>
      <c r="V847" s="113">
        <f>IF($B847="","",MONTH($B847))</f>
        <v/>
      </c>
      <c r="W847" s="113">
        <f>IF($B847="","",YEAR($B847))</f>
        <v/>
      </c>
    </row>
    <row r="848">
      <c r="B848" s="105" t="n"/>
      <c r="C848" s="54" t="n"/>
      <c r="D848" s="54" t="n"/>
      <c r="E848" s="54" t="n"/>
      <c r="F848" s="54" t="n"/>
      <c r="G848" s="65" t="n"/>
      <c r="H848" s="54" t="n"/>
      <c r="I848" s="106">
        <f>IF($C848="","",IFERROR(INDEX(Sens_Types,MATCH($C848,Liste_Types,0)),""))</f>
        <v/>
      </c>
      <c r="J848" s="107">
        <f>IF($I848="▲ ENTRÉE",$U848,"")</f>
        <v/>
      </c>
      <c r="K848" s="108">
        <f>IF($I848="▼ SORTIE",$U848,"")</f>
        <v/>
      </c>
      <c r="L848" s="109">
        <f>$L847+N($J848)-N($K848)</f>
        <v/>
      </c>
      <c r="M848" s="110" t="n"/>
      <c r="N848" s="54" t="n"/>
      <c r="O848" s="54" t="n"/>
      <c r="P848" s="54" t="n"/>
      <c r="Q848" s="110" t="n"/>
      <c r="R848" s="110" t="n"/>
      <c r="S848" s="54" t="n"/>
      <c r="T848" s="111">
        <f>IF($G848="","",IFERROR(INDEX(Taux_Devises,MATCH(IF($M848="",Devise_Base,$M848),Codes_Devises,0)),1))</f>
        <v/>
      </c>
      <c r="U848" s="112">
        <f>IF($G848="","",ROUND($G848*$T848,2))</f>
        <v/>
      </c>
      <c r="V848" s="113">
        <f>IF($B848="","",MONTH($B848))</f>
        <v/>
      </c>
      <c r="W848" s="113">
        <f>IF($B848="","",YEAR($B848))</f>
        <v/>
      </c>
    </row>
    <row r="849">
      <c r="B849" s="105" t="n"/>
      <c r="C849" s="54" t="n"/>
      <c r="D849" s="54" t="n"/>
      <c r="E849" s="54" t="n"/>
      <c r="F849" s="54" t="n"/>
      <c r="G849" s="65" t="n"/>
      <c r="H849" s="54" t="n"/>
      <c r="I849" s="106">
        <f>IF($C849="","",IFERROR(INDEX(Sens_Types,MATCH($C849,Liste_Types,0)),""))</f>
        <v/>
      </c>
      <c r="J849" s="107">
        <f>IF($I849="▲ ENTRÉE",$U849,"")</f>
        <v/>
      </c>
      <c r="K849" s="108">
        <f>IF($I849="▼ SORTIE",$U849,"")</f>
        <v/>
      </c>
      <c r="L849" s="109">
        <f>$L848+N($J849)-N($K849)</f>
        <v/>
      </c>
      <c r="M849" s="110" t="n"/>
      <c r="N849" s="54" t="n"/>
      <c r="O849" s="54" t="n"/>
      <c r="P849" s="54" t="n"/>
      <c r="Q849" s="110" t="n"/>
      <c r="R849" s="110" t="n"/>
      <c r="S849" s="54" t="n"/>
      <c r="T849" s="111">
        <f>IF($G849="","",IFERROR(INDEX(Taux_Devises,MATCH(IF($M849="",Devise_Base,$M849),Codes_Devises,0)),1))</f>
        <v/>
      </c>
      <c r="U849" s="112">
        <f>IF($G849="","",ROUND($G849*$T849,2))</f>
        <v/>
      </c>
      <c r="V849" s="113">
        <f>IF($B849="","",MONTH($B849))</f>
        <v/>
      </c>
      <c r="W849" s="113">
        <f>IF($B849="","",YEAR($B849))</f>
        <v/>
      </c>
    </row>
    <row r="850">
      <c r="B850" s="105" t="n"/>
      <c r="C850" s="54" t="n"/>
      <c r="D850" s="54" t="n"/>
      <c r="E850" s="54" t="n"/>
      <c r="F850" s="54" t="n"/>
      <c r="G850" s="65" t="n"/>
      <c r="H850" s="54" t="n"/>
      <c r="I850" s="106">
        <f>IF($C850="","",IFERROR(INDEX(Sens_Types,MATCH($C850,Liste_Types,0)),""))</f>
        <v/>
      </c>
      <c r="J850" s="107">
        <f>IF($I850="▲ ENTRÉE",$U850,"")</f>
        <v/>
      </c>
      <c r="K850" s="108">
        <f>IF($I850="▼ SORTIE",$U850,"")</f>
        <v/>
      </c>
      <c r="L850" s="109">
        <f>$L849+N($J850)-N($K850)</f>
        <v/>
      </c>
      <c r="M850" s="110" t="n"/>
      <c r="N850" s="54" t="n"/>
      <c r="O850" s="54" t="n"/>
      <c r="P850" s="54" t="n"/>
      <c r="Q850" s="110" t="n"/>
      <c r="R850" s="110" t="n"/>
      <c r="S850" s="54" t="n"/>
      <c r="T850" s="111">
        <f>IF($G850="","",IFERROR(INDEX(Taux_Devises,MATCH(IF($M850="",Devise_Base,$M850),Codes_Devises,0)),1))</f>
        <v/>
      </c>
      <c r="U850" s="112">
        <f>IF($G850="","",ROUND($G850*$T850,2))</f>
        <v/>
      </c>
      <c r="V850" s="113">
        <f>IF($B850="","",MONTH($B850))</f>
        <v/>
      </c>
      <c r="W850" s="113">
        <f>IF($B850="","",YEAR($B850))</f>
        <v/>
      </c>
    </row>
    <row r="851">
      <c r="B851" s="105" t="n"/>
      <c r="C851" s="54" t="n"/>
      <c r="D851" s="54" t="n"/>
      <c r="E851" s="54" t="n"/>
      <c r="F851" s="54" t="n"/>
      <c r="G851" s="65" t="n"/>
      <c r="H851" s="54" t="n"/>
      <c r="I851" s="106">
        <f>IF($C851="","",IFERROR(INDEX(Sens_Types,MATCH($C851,Liste_Types,0)),""))</f>
        <v/>
      </c>
      <c r="J851" s="107">
        <f>IF($I851="▲ ENTRÉE",$U851,"")</f>
        <v/>
      </c>
      <c r="K851" s="108">
        <f>IF($I851="▼ SORTIE",$U851,"")</f>
        <v/>
      </c>
      <c r="L851" s="109">
        <f>$L850+N($J851)-N($K851)</f>
        <v/>
      </c>
      <c r="M851" s="110" t="n"/>
      <c r="N851" s="54" t="n"/>
      <c r="O851" s="54" t="n"/>
      <c r="P851" s="54" t="n"/>
      <c r="Q851" s="110" t="n"/>
      <c r="R851" s="110" t="n"/>
      <c r="S851" s="54" t="n"/>
      <c r="T851" s="111">
        <f>IF($G851="","",IFERROR(INDEX(Taux_Devises,MATCH(IF($M851="",Devise_Base,$M851),Codes_Devises,0)),1))</f>
        <v/>
      </c>
      <c r="U851" s="112">
        <f>IF($G851="","",ROUND($G851*$T851,2))</f>
        <v/>
      </c>
      <c r="V851" s="113">
        <f>IF($B851="","",MONTH($B851))</f>
        <v/>
      </c>
      <c r="W851" s="113">
        <f>IF($B851="","",YEAR($B851))</f>
        <v/>
      </c>
    </row>
    <row r="852">
      <c r="B852" s="105" t="n"/>
      <c r="C852" s="54" t="n"/>
      <c r="D852" s="54" t="n"/>
      <c r="E852" s="54" t="n"/>
      <c r="F852" s="54" t="n"/>
      <c r="G852" s="65" t="n"/>
      <c r="H852" s="54" t="n"/>
      <c r="I852" s="106">
        <f>IF($C852="","",IFERROR(INDEX(Sens_Types,MATCH($C852,Liste_Types,0)),""))</f>
        <v/>
      </c>
      <c r="J852" s="107">
        <f>IF($I852="▲ ENTRÉE",$U852,"")</f>
        <v/>
      </c>
      <c r="K852" s="108">
        <f>IF($I852="▼ SORTIE",$U852,"")</f>
        <v/>
      </c>
      <c r="L852" s="109">
        <f>$L851+N($J852)-N($K852)</f>
        <v/>
      </c>
      <c r="M852" s="110" t="n"/>
      <c r="N852" s="54" t="n"/>
      <c r="O852" s="54" t="n"/>
      <c r="P852" s="54" t="n"/>
      <c r="Q852" s="110" t="n"/>
      <c r="R852" s="110" t="n"/>
      <c r="S852" s="54" t="n"/>
      <c r="T852" s="111">
        <f>IF($G852="","",IFERROR(INDEX(Taux_Devises,MATCH(IF($M852="",Devise_Base,$M852),Codes_Devises,0)),1))</f>
        <v/>
      </c>
      <c r="U852" s="112">
        <f>IF($G852="","",ROUND($G852*$T852,2))</f>
        <v/>
      </c>
      <c r="V852" s="113">
        <f>IF($B852="","",MONTH($B852))</f>
        <v/>
      </c>
      <c r="W852" s="113">
        <f>IF($B852="","",YEAR($B852))</f>
        <v/>
      </c>
    </row>
    <row r="853">
      <c r="B853" s="105" t="n"/>
      <c r="C853" s="54" t="n"/>
      <c r="D853" s="54" t="n"/>
      <c r="E853" s="54" t="n"/>
      <c r="F853" s="54" t="n"/>
      <c r="G853" s="65" t="n"/>
      <c r="H853" s="54" t="n"/>
      <c r="I853" s="106">
        <f>IF($C853="","",IFERROR(INDEX(Sens_Types,MATCH($C853,Liste_Types,0)),""))</f>
        <v/>
      </c>
      <c r="J853" s="107">
        <f>IF($I853="▲ ENTRÉE",$U853,"")</f>
        <v/>
      </c>
      <c r="K853" s="108">
        <f>IF($I853="▼ SORTIE",$U853,"")</f>
        <v/>
      </c>
      <c r="L853" s="109">
        <f>$L852+N($J853)-N($K853)</f>
        <v/>
      </c>
      <c r="M853" s="110" t="n"/>
      <c r="N853" s="54" t="n"/>
      <c r="O853" s="54" t="n"/>
      <c r="P853" s="54" t="n"/>
      <c r="Q853" s="110" t="n"/>
      <c r="R853" s="110" t="n"/>
      <c r="S853" s="54" t="n"/>
      <c r="T853" s="111">
        <f>IF($G853="","",IFERROR(INDEX(Taux_Devises,MATCH(IF($M853="",Devise_Base,$M853),Codes_Devises,0)),1))</f>
        <v/>
      </c>
      <c r="U853" s="112">
        <f>IF($G853="","",ROUND($G853*$T853,2))</f>
        <v/>
      </c>
      <c r="V853" s="113">
        <f>IF($B853="","",MONTH($B853))</f>
        <v/>
      </c>
      <c r="W853" s="113">
        <f>IF($B853="","",YEAR($B853))</f>
        <v/>
      </c>
    </row>
    <row r="854">
      <c r="B854" s="105" t="n"/>
      <c r="C854" s="54" t="n"/>
      <c r="D854" s="54" t="n"/>
      <c r="E854" s="54" t="n"/>
      <c r="F854" s="54" t="n"/>
      <c r="G854" s="65" t="n"/>
      <c r="H854" s="54" t="n"/>
      <c r="I854" s="106">
        <f>IF($C854="","",IFERROR(INDEX(Sens_Types,MATCH($C854,Liste_Types,0)),""))</f>
        <v/>
      </c>
      <c r="J854" s="107">
        <f>IF($I854="▲ ENTRÉE",$U854,"")</f>
        <v/>
      </c>
      <c r="K854" s="108">
        <f>IF($I854="▼ SORTIE",$U854,"")</f>
        <v/>
      </c>
      <c r="L854" s="109">
        <f>$L853+N($J854)-N($K854)</f>
        <v/>
      </c>
      <c r="M854" s="110" t="n"/>
      <c r="N854" s="54" t="n"/>
      <c r="O854" s="54" t="n"/>
      <c r="P854" s="54" t="n"/>
      <c r="Q854" s="110" t="n"/>
      <c r="R854" s="110" t="n"/>
      <c r="S854" s="54" t="n"/>
      <c r="T854" s="111">
        <f>IF($G854="","",IFERROR(INDEX(Taux_Devises,MATCH(IF($M854="",Devise_Base,$M854),Codes_Devises,0)),1))</f>
        <v/>
      </c>
      <c r="U854" s="112">
        <f>IF($G854="","",ROUND($G854*$T854,2))</f>
        <v/>
      </c>
      <c r="V854" s="113">
        <f>IF($B854="","",MONTH($B854))</f>
        <v/>
      </c>
      <c r="W854" s="113">
        <f>IF($B854="","",YEAR($B854))</f>
        <v/>
      </c>
    </row>
    <row r="855">
      <c r="B855" s="105" t="n"/>
      <c r="C855" s="54" t="n"/>
      <c r="D855" s="54" t="n"/>
      <c r="E855" s="54" t="n"/>
      <c r="F855" s="54" t="n"/>
      <c r="G855" s="65" t="n"/>
      <c r="H855" s="54" t="n"/>
      <c r="I855" s="106">
        <f>IF($C855="","",IFERROR(INDEX(Sens_Types,MATCH($C855,Liste_Types,0)),""))</f>
        <v/>
      </c>
      <c r="J855" s="107">
        <f>IF($I855="▲ ENTRÉE",$U855,"")</f>
        <v/>
      </c>
      <c r="K855" s="108">
        <f>IF($I855="▼ SORTIE",$U855,"")</f>
        <v/>
      </c>
      <c r="L855" s="109">
        <f>$L854+N($J855)-N($K855)</f>
        <v/>
      </c>
      <c r="M855" s="110" t="n"/>
      <c r="N855" s="54" t="n"/>
      <c r="O855" s="54" t="n"/>
      <c r="P855" s="54" t="n"/>
      <c r="Q855" s="110" t="n"/>
      <c r="R855" s="110" t="n"/>
      <c r="S855" s="54" t="n"/>
      <c r="T855" s="111">
        <f>IF($G855="","",IFERROR(INDEX(Taux_Devises,MATCH(IF($M855="",Devise_Base,$M855),Codes_Devises,0)),1))</f>
        <v/>
      </c>
      <c r="U855" s="112">
        <f>IF($G855="","",ROUND($G855*$T855,2))</f>
        <v/>
      </c>
      <c r="V855" s="113">
        <f>IF($B855="","",MONTH($B855))</f>
        <v/>
      </c>
      <c r="W855" s="113">
        <f>IF($B855="","",YEAR($B855))</f>
        <v/>
      </c>
    </row>
    <row r="856">
      <c r="B856" s="105" t="n"/>
      <c r="C856" s="54" t="n"/>
      <c r="D856" s="54" t="n"/>
      <c r="E856" s="54" t="n"/>
      <c r="F856" s="54" t="n"/>
      <c r="G856" s="65" t="n"/>
      <c r="H856" s="54" t="n"/>
      <c r="I856" s="106">
        <f>IF($C856="","",IFERROR(INDEX(Sens_Types,MATCH($C856,Liste_Types,0)),""))</f>
        <v/>
      </c>
      <c r="J856" s="107">
        <f>IF($I856="▲ ENTRÉE",$U856,"")</f>
        <v/>
      </c>
      <c r="K856" s="108">
        <f>IF($I856="▼ SORTIE",$U856,"")</f>
        <v/>
      </c>
      <c r="L856" s="109">
        <f>$L855+N($J856)-N($K856)</f>
        <v/>
      </c>
      <c r="M856" s="110" t="n"/>
      <c r="N856" s="54" t="n"/>
      <c r="O856" s="54" t="n"/>
      <c r="P856" s="54" t="n"/>
      <c r="Q856" s="110" t="n"/>
      <c r="R856" s="110" t="n"/>
      <c r="S856" s="54" t="n"/>
      <c r="T856" s="111">
        <f>IF($G856="","",IFERROR(INDEX(Taux_Devises,MATCH(IF($M856="",Devise_Base,$M856),Codes_Devises,0)),1))</f>
        <v/>
      </c>
      <c r="U856" s="112">
        <f>IF($G856="","",ROUND($G856*$T856,2))</f>
        <v/>
      </c>
      <c r="V856" s="113">
        <f>IF($B856="","",MONTH($B856))</f>
        <v/>
      </c>
      <c r="W856" s="113">
        <f>IF($B856="","",YEAR($B856))</f>
        <v/>
      </c>
    </row>
    <row r="857">
      <c r="B857" s="105" t="n"/>
      <c r="C857" s="54" t="n"/>
      <c r="D857" s="54" t="n"/>
      <c r="E857" s="54" t="n"/>
      <c r="F857" s="54" t="n"/>
      <c r="G857" s="65" t="n"/>
      <c r="H857" s="54" t="n"/>
      <c r="I857" s="106">
        <f>IF($C857="","",IFERROR(INDEX(Sens_Types,MATCH($C857,Liste_Types,0)),""))</f>
        <v/>
      </c>
      <c r="J857" s="107">
        <f>IF($I857="▲ ENTRÉE",$U857,"")</f>
        <v/>
      </c>
      <c r="K857" s="108">
        <f>IF($I857="▼ SORTIE",$U857,"")</f>
        <v/>
      </c>
      <c r="L857" s="109">
        <f>$L856+N($J857)-N($K857)</f>
        <v/>
      </c>
      <c r="M857" s="110" t="n"/>
      <c r="N857" s="54" t="n"/>
      <c r="O857" s="54" t="n"/>
      <c r="P857" s="54" t="n"/>
      <c r="Q857" s="110" t="n"/>
      <c r="R857" s="110" t="n"/>
      <c r="S857" s="54" t="n"/>
      <c r="T857" s="111">
        <f>IF($G857="","",IFERROR(INDEX(Taux_Devises,MATCH(IF($M857="",Devise_Base,$M857),Codes_Devises,0)),1))</f>
        <v/>
      </c>
      <c r="U857" s="112">
        <f>IF($G857="","",ROUND($G857*$T857,2))</f>
        <v/>
      </c>
      <c r="V857" s="113">
        <f>IF($B857="","",MONTH($B857))</f>
        <v/>
      </c>
      <c r="W857" s="113">
        <f>IF($B857="","",YEAR($B857))</f>
        <v/>
      </c>
    </row>
    <row r="858">
      <c r="B858" s="105" t="n"/>
      <c r="C858" s="54" t="n"/>
      <c r="D858" s="54" t="n"/>
      <c r="E858" s="54" t="n"/>
      <c r="F858" s="54" t="n"/>
      <c r="G858" s="65" t="n"/>
      <c r="H858" s="54" t="n"/>
      <c r="I858" s="106">
        <f>IF($C858="","",IFERROR(INDEX(Sens_Types,MATCH($C858,Liste_Types,0)),""))</f>
        <v/>
      </c>
      <c r="J858" s="107">
        <f>IF($I858="▲ ENTRÉE",$U858,"")</f>
        <v/>
      </c>
      <c r="K858" s="108">
        <f>IF($I858="▼ SORTIE",$U858,"")</f>
        <v/>
      </c>
      <c r="L858" s="109">
        <f>$L857+N($J858)-N($K858)</f>
        <v/>
      </c>
      <c r="M858" s="110" t="n"/>
      <c r="N858" s="54" t="n"/>
      <c r="O858" s="54" t="n"/>
      <c r="P858" s="54" t="n"/>
      <c r="Q858" s="110" t="n"/>
      <c r="R858" s="110" t="n"/>
      <c r="S858" s="54" t="n"/>
      <c r="T858" s="111">
        <f>IF($G858="","",IFERROR(INDEX(Taux_Devises,MATCH(IF($M858="",Devise_Base,$M858),Codes_Devises,0)),1))</f>
        <v/>
      </c>
      <c r="U858" s="112">
        <f>IF($G858="","",ROUND($G858*$T858,2))</f>
        <v/>
      </c>
      <c r="V858" s="113">
        <f>IF($B858="","",MONTH($B858))</f>
        <v/>
      </c>
      <c r="W858" s="113">
        <f>IF($B858="","",YEAR($B858))</f>
        <v/>
      </c>
    </row>
    <row r="859">
      <c r="B859" s="105" t="n"/>
      <c r="C859" s="54" t="n"/>
      <c r="D859" s="54" t="n"/>
      <c r="E859" s="54" t="n"/>
      <c r="F859" s="54" t="n"/>
      <c r="G859" s="65" t="n"/>
      <c r="H859" s="54" t="n"/>
      <c r="I859" s="106">
        <f>IF($C859="","",IFERROR(INDEX(Sens_Types,MATCH($C859,Liste_Types,0)),""))</f>
        <v/>
      </c>
      <c r="J859" s="107">
        <f>IF($I859="▲ ENTRÉE",$U859,"")</f>
        <v/>
      </c>
      <c r="K859" s="108">
        <f>IF($I859="▼ SORTIE",$U859,"")</f>
        <v/>
      </c>
      <c r="L859" s="109">
        <f>$L858+N($J859)-N($K859)</f>
        <v/>
      </c>
      <c r="M859" s="110" t="n"/>
      <c r="N859" s="54" t="n"/>
      <c r="O859" s="54" t="n"/>
      <c r="P859" s="54" t="n"/>
      <c r="Q859" s="110" t="n"/>
      <c r="R859" s="110" t="n"/>
      <c r="S859" s="54" t="n"/>
      <c r="T859" s="111">
        <f>IF($G859="","",IFERROR(INDEX(Taux_Devises,MATCH(IF($M859="",Devise_Base,$M859),Codes_Devises,0)),1))</f>
        <v/>
      </c>
      <c r="U859" s="112">
        <f>IF($G859="","",ROUND($G859*$T859,2))</f>
        <v/>
      </c>
      <c r="V859" s="113">
        <f>IF($B859="","",MONTH($B859))</f>
        <v/>
      </c>
      <c r="W859" s="113">
        <f>IF($B859="","",YEAR($B859))</f>
        <v/>
      </c>
    </row>
    <row r="860">
      <c r="B860" s="105" t="n"/>
      <c r="C860" s="54" t="n"/>
      <c r="D860" s="54" t="n"/>
      <c r="E860" s="54" t="n"/>
      <c r="F860" s="54" t="n"/>
      <c r="G860" s="65" t="n"/>
      <c r="H860" s="54" t="n"/>
      <c r="I860" s="106">
        <f>IF($C860="","",IFERROR(INDEX(Sens_Types,MATCH($C860,Liste_Types,0)),""))</f>
        <v/>
      </c>
      <c r="J860" s="107">
        <f>IF($I860="▲ ENTRÉE",$U860,"")</f>
        <v/>
      </c>
      <c r="K860" s="108">
        <f>IF($I860="▼ SORTIE",$U860,"")</f>
        <v/>
      </c>
      <c r="L860" s="109">
        <f>$L859+N($J860)-N($K860)</f>
        <v/>
      </c>
      <c r="M860" s="110" t="n"/>
      <c r="N860" s="54" t="n"/>
      <c r="O860" s="54" t="n"/>
      <c r="P860" s="54" t="n"/>
      <c r="Q860" s="110" t="n"/>
      <c r="R860" s="110" t="n"/>
      <c r="S860" s="54" t="n"/>
      <c r="T860" s="111">
        <f>IF($G860="","",IFERROR(INDEX(Taux_Devises,MATCH(IF($M860="",Devise_Base,$M860),Codes_Devises,0)),1))</f>
        <v/>
      </c>
      <c r="U860" s="112">
        <f>IF($G860="","",ROUND($G860*$T860,2))</f>
        <v/>
      </c>
      <c r="V860" s="113">
        <f>IF($B860="","",MONTH($B860))</f>
        <v/>
      </c>
      <c r="W860" s="113">
        <f>IF($B860="","",YEAR($B860))</f>
        <v/>
      </c>
    </row>
    <row r="861">
      <c r="B861" s="105" t="n"/>
      <c r="C861" s="54" t="n"/>
      <c r="D861" s="54" t="n"/>
      <c r="E861" s="54" t="n"/>
      <c r="F861" s="54" t="n"/>
      <c r="G861" s="65" t="n"/>
      <c r="H861" s="54" t="n"/>
      <c r="I861" s="106">
        <f>IF($C861="","",IFERROR(INDEX(Sens_Types,MATCH($C861,Liste_Types,0)),""))</f>
        <v/>
      </c>
      <c r="J861" s="107">
        <f>IF($I861="▲ ENTRÉE",$U861,"")</f>
        <v/>
      </c>
      <c r="K861" s="108">
        <f>IF($I861="▼ SORTIE",$U861,"")</f>
        <v/>
      </c>
      <c r="L861" s="109">
        <f>$L860+N($J861)-N($K861)</f>
        <v/>
      </c>
      <c r="M861" s="110" t="n"/>
      <c r="N861" s="54" t="n"/>
      <c r="O861" s="54" t="n"/>
      <c r="P861" s="54" t="n"/>
      <c r="Q861" s="110" t="n"/>
      <c r="R861" s="110" t="n"/>
      <c r="S861" s="54" t="n"/>
      <c r="T861" s="111">
        <f>IF($G861="","",IFERROR(INDEX(Taux_Devises,MATCH(IF($M861="",Devise_Base,$M861),Codes_Devises,0)),1))</f>
        <v/>
      </c>
      <c r="U861" s="112">
        <f>IF($G861="","",ROUND($G861*$T861,2))</f>
        <v/>
      </c>
      <c r="V861" s="113">
        <f>IF($B861="","",MONTH($B861))</f>
        <v/>
      </c>
      <c r="W861" s="113">
        <f>IF($B861="","",YEAR($B861))</f>
        <v/>
      </c>
    </row>
    <row r="862">
      <c r="B862" s="105" t="n"/>
      <c r="C862" s="54" t="n"/>
      <c r="D862" s="54" t="n"/>
      <c r="E862" s="54" t="n"/>
      <c r="F862" s="54" t="n"/>
      <c r="G862" s="65" t="n"/>
      <c r="H862" s="54" t="n"/>
      <c r="I862" s="106">
        <f>IF($C862="","",IFERROR(INDEX(Sens_Types,MATCH($C862,Liste_Types,0)),""))</f>
        <v/>
      </c>
      <c r="J862" s="107">
        <f>IF($I862="▲ ENTRÉE",$U862,"")</f>
        <v/>
      </c>
      <c r="K862" s="108">
        <f>IF($I862="▼ SORTIE",$U862,"")</f>
        <v/>
      </c>
      <c r="L862" s="109">
        <f>$L861+N($J862)-N($K862)</f>
        <v/>
      </c>
      <c r="M862" s="110" t="n"/>
      <c r="N862" s="54" t="n"/>
      <c r="O862" s="54" t="n"/>
      <c r="P862" s="54" t="n"/>
      <c r="Q862" s="110" t="n"/>
      <c r="R862" s="110" t="n"/>
      <c r="S862" s="54" t="n"/>
      <c r="T862" s="111">
        <f>IF($G862="","",IFERROR(INDEX(Taux_Devises,MATCH(IF($M862="",Devise_Base,$M862),Codes_Devises,0)),1))</f>
        <v/>
      </c>
      <c r="U862" s="112">
        <f>IF($G862="","",ROUND($G862*$T862,2))</f>
        <v/>
      </c>
      <c r="V862" s="113">
        <f>IF($B862="","",MONTH($B862))</f>
        <v/>
      </c>
      <c r="W862" s="113">
        <f>IF($B862="","",YEAR($B862))</f>
        <v/>
      </c>
    </row>
    <row r="863">
      <c r="B863" s="105" t="n"/>
      <c r="C863" s="54" t="n"/>
      <c r="D863" s="54" t="n"/>
      <c r="E863" s="54" t="n"/>
      <c r="F863" s="54" t="n"/>
      <c r="G863" s="65" t="n"/>
      <c r="H863" s="54" t="n"/>
      <c r="I863" s="106">
        <f>IF($C863="","",IFERROR(INDEX(Sens_Types,MATCH($C863,Liste_Types,0)),""))</f>
        <v/>
      </c>
      <c r="J863" s="107">
        <f>IF($I863="▲ ENTRÉE",$U863,"")</f>
        <v/>
      </c>
      <c r="K863" s="108">
        <f>IF($I863="▼ SORTIE",$U863,"")</f>
        <v/>
      </c>
      <c r="L863" s="109">
        <f>$L862+N($J863)-N($K863)</f>
        <v/>
      </c>
      <c r="M863" s="110" t="n"/>
      <c r="N863" s="54" t="n"/>
      <c r="O863" s="54" t="n"/>
      <c r="P863" s="54" t="n"/>
      <c r="Q863" s="110" t="n"/>
      <c r="R863" s="110" t="n"/>
      <c r="S863" s="54" t="n"/>
      <c r="T863" s="111">
        <f>IF($G863="","",IFERROR(INDEX(Taux_Devises,MATCH(IF($M863="",Devise_Base,$M863),Codes_Devises,0)),1))</f>
        <v/>
      </c>
      <c r="U863" s="112">
        <f>IF($G863="","",ROUND($G863*$T863,2))</f>
        <v/>
      </c>
      <c r="V863" s="113">
        <f>IF($B863="","",MONTH($B863))</f>
        <v/>
      </c>
      <c r="W863" s="113">
        <f>IF($B863="","",YEAR($B863))</f>
        <v/>
      </c>
    </row>
    <row r="864">
      <c r="B864" s="105" t="n"/>
      <c r="C864" s="54" t="n"/>
      <c r="D864" s="54" t="n"/>
      <c r="E864" s="54" t="n"/>
      <c r="F864" s="54" t="n"/>
      <c r="G864" s="65" t="n"/>
      <c r="H864" s="54" t="n"/>
      <c r="I864" s="106">
        <f>IF($C864="","",IFERROR(INDEX(Sens_Types,MATCH($C864,Liste_Types,0)),""))</f>
        <v/>
      </c>
      <c r="J864" s="107">
        <f>IF($I864="▲ ENTRÉE",$U864,"")</f>
        <v/>
      </c>
      <c r="K864" s="108">
        <f>IF($I864="▼ SORTIE",$U864,"")</f>
        <v/>
      </c>
      <c r="L864" s="109">
        <f>$L863+N($J864)-N($K864)</f>
        <v/>
      </c>
      <c r="M864" s="110" t="n"/>
      <c r="N864" s="54" t="n"/>
      <c r="O864" s="54" t="n"/>
      <c r="P864" s="54" t="n"/>
      <c r="Q864" s="110" t="n"/>
      <c r="R864" s="110" t="n"/>
      <c r="S864" s="54" t="n"/>
      <c r="T864" s="111">
        <f>IF($G864="","",IFERROR(INDEX(Taux_Devises,MATCH(IF($M864="",Devise_Base,$M864),Codes_Devises,0)),1))</f>
        <v/>
      </c>
      <c r="U864" s="112">
        <f>IF($G864="","",ROUND($G864*$T864,2))</f>
        <v/>
      </c>
      <c r="V864" s="113">
        <f>IF($B864="","",MONTH($B864))</f>
        <v/>
      </c>
      <c r="W864" s="113">
        <f>IF($B864="","",YEAR($B864))</f>
        <v/>
      </c>
    </row>
    <row r="865">
      <c r="B865" s="105" t="n"/>
      <c r="C865" s="54" t="n"/>
      <c r="D865" s="54" t="n"/>
      <c r="E865" s="54" t="n"/>
      <c r="F865" s="54" t="n"/>
      <c r="G865" s="65" t="n"/>
      <c r="H865" s="54" t="n"/>
      <c r="I865" s="106">
        <f>IF($C865="","",IFERROR(INDEX(Sens_Types,MATCH($C865,Liste_Types,0)),""))</f>
        <v/>
      </c>
      <c r="J865" s="107">
        <f>IF($I865="▲ ENTRÉE",$U865,"")</f>
        <v/>
      </c>
      <c r="K865" s="108">
        <f>IF($I865="▼ SORTIE",$U865,"")</f>
        <v/>
      </c>
      <c r="L865" s="109">
        <f>$L864+N($J865)-N($K865)</f>
        <v/>
      </c>
      <c r="M865" s="110" t="n"/>
      <c r="N865" s="54" t="n"/>
      <c r="O865" s="54" t="n"/>
      <c r="P865" s="54" t="n"/>
      <c r="Q865" s="110" t="n"/>
      <c r="R865" s="110" t="n"/>
      <c r="S865" s="54" t="n"/>
      <c r="T865" s="111">
        <f>IF($G865="","",IFERROR(INDEX(Taux_Devises,MATCH(IF($M865="",Devise_Base,$M865),Codes_Devises,0)),1))</f>
        <v/>
      </c>
      <c r="U865" s="112">
        <f>IF($G865="","",ROUND($G865*$T865,2))</f>
        <v/>
      </c>
      <c r="V865" s="113">
        <f>IF($B865="","",MONTH($B865))</f>
        <v/>
      </c>
      <c r="W865" s="113">
        <f>IF($B865="","",YEAR($B865))</f>
        <v/>
      </c>
    </row>
    <row r="866">
      <c r="B866" s="105" t="n"/>
      <c r="C866" s="54" t="n"/>
      <c r="D866" s="54" t="n"/>
      <c r="E866" s="54" t="n"/>
      <c r="F866" s="54" t="n"/>
      <c r="G866" s="65" t="n"/>
      <c r="H866" s="54" t="n"/>
      <c r="I866" s="106">
        <f>IF($C866="","",IFERROR(INDEX(Sens_Types,MATCH($C866,Liste_Types,0)),""))</f>
        <v/>
      </c>
      <c r="J866" s="107">
        <f>IF($I866="▲ ENTRÉE",$U866,"")</f>
        <v/>
      </c>
      <c r="K866" s="108">
        <f>IF($I866="▼ SORTIE",$U866,"")</f>
        <v/>
      </c>
      <c r="L866" s="109">
        <f>$L865+N($J866)-N($K866)</f>
        <v/>
      </c>
      <c r="M866" s="110" t="n"/>
      <c r="N866" s="54" t="n"/>
      <c r="O866" s="54" t="n"/>
      <c r="P866" s="54" t="n"/>
      <c r="Q866" s="110" t="n"/>
      <c r="R866" s="110" t="n"/>
      <c r="S866" s="54" t="n"/>
      <c r="T866" s="111">
        <f>IF($G866="","",IFERROR(INDEX(Taux_Devises,MATCH(IF($M866="",Devise_Base,$M866),Codes_Devises,0)),1))</f>
        <v/>
      </c>
      <c r="U866" s="112">
        <f>IF($G866="","",ROUND($G866*$T866,2))</f>
        <v/>
      </c>
      <c r="V866" s="113">
        <f>IF($B866="","",MONTH($B866))</f>
        <v/>
      </c>
      <c r="W866" s="113">
        <f>IF($B866="","",YEAR($B866))</f>
        <v/>
      </c>
    </row>
    <row r="867">
      <c r="B867" s="105" t="n"/>
      <c r="C867" s="54" t="n"/>
      <c r="D867" s="54" t="n"/>
      <c r="E867" s="54" t="n"/>
      <c r="F867" s="54" t="n"/>
      <c r="G867" s="65" t="n"/>
      <c r="H867" s="54" t="n"/>
      <c r="I867" s="106">
        <f>IF($C867="","",IFERROR(INDEX(Sens_Types,MATCH($C867,Liste_Types,0)),""))</f>
        <v/>
      </c>
      <c r="J867" s="107">
        <f>IF($I867="▲ ENTRÉE",$U867,"")</f>
        <v/>
      </c>
      <c r="K867" s="108">
        <f>IF($I867="▼ SORTIE",$U867,"")</f>
        <v/>
      </c>
      <c r="L867" s="109">
        <f>$L866+N($J867)-N($K867)</f>
        <v/>
      </c>
      <c r="M867" s="110" t="n"/>
      <c r="N867" s="54" t="n"/>
      <c r="O867" s="54" t="n"/>
      <c r="P867" s="54" t="n"/>
      <c r="Q867" s="110" t="n"/>
      <c r="R867" s="110" t="n"/>
      <c r="S867" s="54" t="n"/>
      <c r="T867" s="111">
        <f>IF($G867="","",IFERROR(INDEX(Taux_Devises,MATCH(IF($M867="",Devise_Base,$M867),Codes_Devises,0)),1))</f>
        <v/>
      </c>
      <c r="U867" s="112">
        <f>IF($G867="","",ROUND($G867*$T867,2))</f>
        <v/>
      </c>
      <c r="V867" s="113">
        <f>IF($B867="","",MONTH($B867))</f>
        <v/>
      </c>
      <c r="W867" s="113">
        <f>IF($B867="","",YEAR($B867))</f>
        <v/>
      </c>
    </row>
    <row r="868">
      <c r="B868" s="105" t="n"/>
      <c r="C868" s="54" t="n"/>
      <c r="D868" s="54" t="n"/>
      <c r="E868" s="54" t="n"/>
      <c r="F868" s="54" t="n"/>
      <c r="G868" s="65" t="n"/>
      <c r="H868" s="54" t="n"/>
      <c r="I868" s="106">
        <f>IF($C868="","",IFERROR(INDEX(Sens_Types,MATCH($C868,Liste_Types,0)),""))</f>
        <v/>
      </c>
      <c r="J868" s="107">
        <f>IF($I868="▲ ENTRÉE",$U868,"")</f>
        <v/>
      </c>
      <c r="K868" s="108">
        <f>IF($I868="▼ SORTIE",$U868,"")</f>
        <v/>
      </c>
      <c r="L868" s="109">
        <f>$L867+N($J868)-N($K868)</f>
        <v/>
      </c>
      <c r="M868" s="110" t="n"/>
      <c r="N868" s="54" t="n"/>
      <c r="O868" s="54" t="n"/>
      <c r="P868" s="54" t="n"/>
      <c r="Q868" s="110" t="n"/>
      <c r="R868" s="110" t="n"/>
      <c r="S868" s="54" t="n"/>
      <c r="T868" s="111">
        <f>IF($G868="","",IFERROR(INDEX(Taux_Devises,MATCH(IF($M868="",Devise_Base,$M868),Codes_Devises,0)),1))</f>
        <v/>
      </c>
      <c r="U868" s="112">
        <f>IF($G868="","",ROUND($G868*$T868,2))</f>
        <v/>
      </c>
      <c r="V868" s="113">
        <f>IF($B868="","",MONTH($B868))</f>
        <v/>
      </c>
      <c r="W868" s="113">
        <f>IF($B868="","",YEAR($B868))</f>
        <v/>
      </c>
    </row>
    <row r="869">
      <c r="B869" s="105" t="n"/>
      <c r="C869" s="54" t="n"/>
      <c r="D869" s="54" t="n"/>
      <c r="E869" s="54" t="n"/>
      <c r="F869" s="54" t="n"/>
      <c r="G869" s="65" t="n"/>
      <c r="H869" s="54" t="n"/>
      <c r="I869" s="106">
        <f>IF($C869="","",IFERROR(INDEX(Sens_Types,MATCH($C869,Liste_Types,0)),""))</f>
        <v/>
      </c>
      <c r="J869" s="107">
        <f>IF($I869="▲ ENTRÉE",$U869,"")</f>
        <v/>
      </c>
      <c r="K869" s="108">
        <f>IF($I869="▼ SORTIE",$U869,"")</f>
        <v/>
      </c>
      <c r="L869" s="109">
        <f>$L868+N($J869)-N($K869)</f>
        <v/>
      </c>
      <c r="M869" s="110" t="n"/>
      <c r="N869" s="54" t="n"/>
      <c r="O869" s="54" t="n"/>
      <c r="P869" s="54" t="n"/>
      <c r="Q869" s="110" t="n"/>
      <c r="R869" s="110" t="n"/>
      <c r="S869" s="54" t="n"/>
      <c r="T869" s="111">
        <f>IF($G869="","",IFERROR(INDEX(Taux_Devises,MATCH(IF($M869="",Devise_Base,$M869),Codes_Devises,0)),1))</f>
        <v/>
      </c>
      <c r="U869" s="112">
        <f>IF($G869="","",ROUND($G869*$T869,2))</f>
        <v/>
      </c>
      <c r="V869" s="113">
        <f>IF($B869="","",MONTH($B869))</f>
        <v/>
      </c>
      <c r="W869" s="113">
        <f>IF($B869="","",YEAR($B869))</f>
        <v/>
      </c>
    </row>
    <row r="870">
      <c r="B870" s="105" t="n"/>
      <c r="C870" s="54" t="n"/>
      <c r="D870" s="54" t="n"/>
      <c r="E870" s="54" t="n"/>
      <c r="F870" s="54" t="n"/>
      <c r="G870" s="65" t="n"/>
      <c r="H870" s="54" t="n"/>
      <c r="I870" s="106">
        <f>IF($C870="","",IFERROR(INDEX(Sens_Types,MATCH($C870,Liste_Types,0)),""))</f>
        <v/>
      </c>
      <c r="J870" s="107">
        <f>IF($I870="▲ ENTRÉE",$U870,"")</f>
        <v/>
      </c>
      <c r="K870" s="108">
        <f>IF($I870="▼ SORTIE",$U870,"")</f>
        <v/>
      </c>
      <c r="L870" s="109">
        <f>$L869+N($J870)-N($K870)</f>
        <v/>
      </c>
      <c r="M870" s="110" t="n"/>
      <c r="N870" s="54" t="n"/>
      <c r="O870" s="54" t="n"/>
      <c r="P870" s="54" t="n"/>
      <c r="Q870" s="110" t="n"/>
      <c r="R870" s="110" t="n"/>
      <c r="S870" s="54" t="n"/>
      <c r="T870" s="111">
        <f>IF($G870="","",IFERROR(INDEX(Taux_Devises,MATCH(IF($M870="",Devise_Base,$M870),Codes_Devises,0)),1))</f>
        <v/>
      </c>
      <c r="U870" s="112">
        <f>IF($G870="","",ROUND($G870*$T870,2))</f>
        <v/>
      </c>
      <c r="V870" s="113">
        <f>IF($B870="","",MONTH($B870))</f>
        <v/>
      </c>
      <c r="W870" s="113">
        <f>IF($B870="","",YEAR($B870))</f>
        <v/>
      </c>
    </row>
    <row r="871">
      <c r="B871" s="105" t="n"/>
      <c r="C871" s="54" t="n"/>
      <c r="D871" s="54" t="n"/>
      <c r="E871" s="54" t="n"/>
      <c r="F871" s="54" t="n"/>
      <c r="G871" s="65" t="n"/>
      <c r="H871" s="54" t="n"/>
      <c r="I871" s="106">
        <f>IF($C871="","",IFERROR(INDEX(Sens_Types,MATCH($C871,Liste_Types,0)),""))</f>
        <v/>
      </c>
      <c r="J871" s="107">
        <f>IF($I871="▲ ENTRÉE",$U871,"")</f>
        <v/>
      </c>
      <c r="K871" s="108">
        <f>IF($I871="▼ SORTIE",$U871,"")</f>
        <v/>
      </c>
      <c r="L871" s="109">
        <f>$L870+N($J871)-N($K871)</f>
        <v/>
      </c>
      <c r="M871" s="110" t="n"/>
      <c r="N871" s="54" t="n"/>
      <c r="O871" s="54" t="n"/>
      <c r="P871" s="54" t="n"/>
      <c r="Q871" s="110" t="n"/>
      <c r="R871" s="110" t="n"/>
      <c r="S871" s="54" t="n"/>
      <c r="T871" s="111">
        <f>IF($G871="","",IFERROR(INDEX(Taux_Devises,MATCH(IF($M871="",Devise_Base,$M871),Codes_Devises,0)),1))</f>
        <v/>
      </c>
      <c r="U871" s="112">
        <f>IF($G871="","",ROUND($G871*$T871,2))</f>
        <v/>
      </c>
      <c r="V871" s="113">
        <f>IF($B871="","",MONTH($B871))</f>
        <v/>
      </c>
      <c r="W871" s="113">
        <f>IF($B871="","",YEAR($B871))</f>
        <v/>
      </c>
    </row>
    <row r="872">
      <c r="B872" s="105" t="n"/>
      <c r="C872" s="54" t="n"/>
      <c r="D872" s="54" t="n"/>
      <c r="E872" s="54" t="n"/>
      <c r="F872" s="54" t="n"/>
      <c r="G872" s="65" t="n"/>
      <c r="H872" s="54" t="n"/>
      <c r="I872" s="106">
        <f>IF($C872="","",IFERROR(INDEX(Sens_Types,MATCH($C872,Liste_Types,0)),""))</f>
        <v/>
      </c>
      <c r="J872" s="107">
        <f>IF($I872="▲ ENTRÉE",$U872,"")</f>
        <v/>
      </c>
      <c r="K872" s="108">
        <f>IF($I872="▼ SORTIE",$U872,"")</f>
        <v/>
      </c>
      <c r="L872" s="109">
        <f>$L871+N($J872)-N($K872)</f>
        <v/>
      </c>
      <c r="M872" s="110" t="n"/>
      <c r="N872" s="54" t="n"/>
      <c r="O872" s="54" t="n"/>
      <c r="P872" s="54" t="n"/>
      <c r="Q872" s="110" t="n"/>
      <c r="R872" s="110" t="n"/>
      <c r="S872" s="54" t="n"/>
      <c r="T872" s="111">
        <f>IF($G872="","",IFERROR(INDEX(Taux_Devises,MATCH(IF($M872="",Devise_Base,$M872),Codes_Devises,0)),1))</f>
        <v/>
      </c>
      <c r="U872" s="112">
        <f>IF($G872="","",ROUND($G872*$T872,2))</f>
        <v/>
      </c>
      <c r="V872" s="113">
        <f>IF($B872="","",MONTH($B872))</f>
        <v/>
      </c>
      <c r="W872" s="113">
        <f>IF($B872="","",YEAR($B872))</f>
        <v/>
      </c>
    </row>
    <row r="873">
      <c r="B873" s="105" t="n"/>
      <c r="C873" s="54" t="n"/>
      <c r="D873" s="54" t="n"/>
      <c r="E873" s="54" t="n"/>
      <c r="F873" s="54" t="n"/>
      <c r="G873" s="65" t="n"/>
      <c r="H873" s="54" t="n"/>
      <c r="I873" s="106">
        <f>IF($C873="","",IFERROR(INDEX(Sens_Types,MATCH($C873,Liste_Types,0)),""))</f>
        <v/>
      </c>
      <c r="J873" s="107">
        <f>IF($I873="▲ ENTRÉE",$U873,"")</f>
        <v/>
      </c>
      <c r="K873" s="108">
        <f>IF($I873="▼ SORTIE",$U873,"")</f>
        <v/>
      </c>
      <c r="L873" s="109">
        <f>$L872+N($J873)-N($K873)</f>
        <v/>
      </c>
      <c r="M873" s="110" t="n"/>
      <c r="N873" s="54" t="n"/>
      <c r="O873" s="54" t="n"/>
      <c r="P873" s="54" t="n"/>
      <c r="Q873" s="110" t="n"/>
      <c r="R873" s="110" t="n"/>
      <c r="S873" s="54" t="n"/>
      <c r="T873" s="111">
        <f>IF($G873="","",IFERROR(INDEX(Taux_Devises,MATCH(IF($M873="",Devise_Base,$M873),Codes_Devises,0)),1))</f>
        <v/>
      </c>
      <c r="U873" s="112">
        <f>IF($G873="","",ROUND($G873*$T873,2))</f>
        <v/>
      </c>
      <c r="V873" s="113">
        <f>IF($B873="","",MONTH($B873))</f>
        <v/>
      </c>
      <c r="W873" s="113">
        <f>IF($B873="","",YEAR($B873))</f>
        <v/>
      </c>
    </row>
    <row r="874">
      <c r="B874" s="105" t="n"/>
      <c r="C874" s="54" t="n"/>
      <c r="D874" s="54" t="n"/>
      <c r="E874" s="54" t="n"/>
      <c r="F874" s="54" t="n"/>
      <c r="G874" s="65" t="n"/>
      <c r="H874" s="54" t="n"/>
      <c r="I874" s="106">
        <f>IF($C874="","",IFERROR(INDEX(Sens_Types,MATCH($C874,Liste_Types,0)),""))</f>
        <v/>
      </c>
      <c r="J874" s="107">
        <f>IF($I874="▲ ENTRÉE",$U874,"")</f>
        <v/>
      </c>
      <c r="K874" s="108">
        <f>IF($I874="▼ SORTIE",$U874,"")</f>
        <v/>
      </c>
      <c r="L874" s="109">
        <f>$L873+N($J874)-N($K874)</f>
        <v/>
      </c>
      <c r="M874" s="110" t="n"/>
      <c r="N874" s="54" t="n"/>
      <c r="O874" s="54" t="n"/>
      <c r="P874" s="54" t="n"/>
      <c r="Q874" s="110" t="n"/>
      <c r="R874" s="110" t="n"/>
      <c r="S874" s="54" t="n"/>
      <c r="T874" s="111">
        <f>IF($G874="","",IFERROR(INDEX(Taux_Devises,MATCH(IF($M874="",Devise_Base,$M874),Codes_Devises,0)),1))</f>
        <v/>
      </c>
      <c r="U874" s="112">
        <f>IF($G874="","",ROUND($G874*$T874,2))</f>
        <v/>
      </c>
      <c r="V874" s="113">
        <f>IF($B874="","",MONTH($B874))</f>
        <v/>
      </c>
      <c r="W874" s="113">
        <f>IF($B874="","",YEAR($B874))</f>
        <v/>
      </c>
    </row>
    <row r="875">
      <c r="B875" s="105" t="n"/>
      <c r="C875" s="54" t="n"/>
      <c r="D875" s="54" t="n"/>
      <c r="E875" s="54" t="n"/>
      <c r="F875" s="54" t="n"/>
      <c r="G875" s="65" t="n"/>
      <c r="H875" s="54" t="n"/>
      <c r="I875" s="106">
        <f>IF($C875="","",IFERROR(INDEX(Sens_Types,MATCH($C875,Liste_Types,0)),""))</f>
        <v/>
      </c>
      <c r="J875" s="107">
        <f>IF($I875="▲ ENTRÉE",$U875,"")</f>
        <v/>
      </c>
      <c r="K875" s="108">
        <f>IF($I875="▼ SORTIE",$U875,"")</f>
        <v/>
      </c>
      <c r="L875" s="109">
        <f>$L874+N($J875)-N($K875)</f>
        <v/>
      </c>
      <c r="M875" s="110" t="n"/>
      <c r="N875" s="54" t="n"/>
      <c r="O875" s="54" t="n"/>
      <c r="P875" s="54" t="n"/>
      <c r="Q875" s="110" t="n"/>
      <c r="R875" s="110" t="n"/>
      <c r="S875" s="54" t="n"/>
      <c r="T875" s="111">
        <f>IF($G875="","",IFERROR(INDEX(Taux_Devises,MATCH(IF($M875="",Devise_Base,$M875),Codes_Devises,0)),1))</f>
        <v/>
      </c>
      <c r="U875" s="112">
        <f>IF($G875="","",ROUND($G875*$T875,2))</f>
        <v/>
      </c>
      <c r="V875" s="113">
        <f>IF($B875="","",MONTH($B875))</f>
        <v/>
      </c>
      <c r="W875" s="113">
        <f>IF($B875="","",YEAR($B875))</f>
        <v/>
      </c>
    </row>
    <row r="876">
      <c r="B876" s="105" t="n"/>
      <c r="C876" s="54" t="n"/>
      <c r="D876" s="54" t="n"/>
      <c r="E876" s="54" t="n"/>
      <c r="F876" s="54" t="n"/>
      <c r="G876" s="65" t="n"/>
      <c r="H876" s="54" t="n"/>
      <c r="I876" s="106">
        <f>IF($C876="","",IFERROR(INDEX(Sens_Types,MATCH($C876,Liste_Types,0)),""))</f>
        <v/>
      </c>
      <c r="J876" s="107">
        <f>IF($I876="▲ ENTRÉE",$U876,"")</f>
        <v/>
      </c>
      <c r="K876" s="108">
        <f>IF($I876="▼ SORTIE",$U876,"")</f>
        <v/>
      </c>
      <c r="L876" s="109">
        <f>$L875+N($J876)-N($K876)</f>
        <v/>
      </c>
      <c r="M876" s="110" t="n"/>
      <c r="N876" s="54" t="n"/>
      <c r="O876" s="54" t="n"/>
      <c r="P876" s="54" t="n"/>
      <c r="Q876" s="110" t="n"/>
      <c r="R876" s="110" t="n"/>
      <c r="S876" s="54" t="n"/>
      <c r="T876" s="111">
        <f>IF($G876="","",IFERROR(INDEX(Taux_Devises,MATCH(IF($M876="",Devise_Base,$M876),Codes_Devises,0)),1))</f>
        <v/>
      </c>
      <c r="U876" s="112">
        <f>IF($G876="","",ROUND($G876*$T876,2))</f>
        <v/>
      </c>
      <c r="V876" s="113">
        <f>IF($B876="","",MONTH($B876))</f>
        <v/>
      </c>
      <c r="W876" s="113">
        <f>IF($B876="","",YEAR($B876))</f>
        <v/>
      </c>
    </row>
    <row r="877">
      <c r="B877" s="105" t="n"/>
      <c r="C877" s="54" t="n"/>
      <c r="D877" s="54" t="n"/>
      <c r="E877" s="54" t="n"/>
      <c r="F877" s="54" t="n"/>
      <c r="G877" s="65" t="n"/>
      <c r="H877" s="54" t="n"/>
      <c r="I877" s="106">
        <f>IF($C877="","",IFERROR(INDEX(Sens_Types,MATCH($C877,Liste_Types,0)),""))</f>
        <v/>
      </c>
      <c r="J877" s="107">
        <f>IF($I877="▲ ENTRÉE",$U877,"")</f>
        <v/>
      </c>
      <c r="K877" s="108">
        <f>IF($I877="▼ SORTIE",$U877,"")</f>
        <v/>
      </c>
      <c r="L877" s="109">
        <f>$L876+N($J877)-N($K877)</f>
        <v/>
      </c>
      <c r="M877" s="110" t="n"/>
      <c r="N877" s="54" t="n"/>
      <c r="O877" s="54" t="n"/>
      <c r="P877" s="54" t="n"/>
      <c r="Q877" s="110" t="n"/>
      <c r="R877" s="110" t="n"/>
      <c r="S877" s="54" t="n"/>
      <c r="T877" s="111">
        <f>IF($G877="","",IFERROR(INDEX(Taux_Devises,MATCH(IF($M877="",Devise_Base,$M877),Codes_Devises,0)),1))</f>
        <v/>
      </c>
      <c r="U877" s="112">
        <f>IF($G877="","",ROUND($G877*$T877,2))</f>
        <v/>
      </c>
      <c r="V877" s="113">
        <f>IF($B877="","",MONTH($B877))</f>
        <v/>
      </c>
      <c r="W877" s="113">
        <f>IF($B877="","",YEAR($B877))</f>
        <v/>
      </c>
    </row>
    <row r="878">
      <c r="B878" s="105" t="n"/>
      <c r="C878" s="54" t="n"/>
      <c r="D878" s="54" t="n"/>
      <c r="E878" s="54" t="n"/>
      <c r="F878" s="54" t="n"/>
      <c r="G878" s="65" t="n"/>
      <c r="H878" s="54" t="n"/>
      <c r="I878" s="106">
        <f>IF($C878="","",IFERROR(INDEX(Sens_Types,MATCH($C878,Liste_Types,0)),""))</f>
        <v/>
      </c>
      <c r="J878" s="107">
        <f>IF($I878="▲ ENTRÉE",$U878,"")</f>
        <v/>
      </c>
      <c r="K878" s="108">
        <f>IF($I878="▼ SORTIE",$U878,"")</f>
        <v/>
      </c>
      <c r="L878" s="109">
        <f>$L877+N($J878)-N($K878)</f>
        <v/>
      </c>
      <c r="M878" s="110" t="n"/>
      <c r="N878" s="54" t="n"/>
      <c r="O878" s="54" t="n"/>
      <c r="P878" s="54" t="n"/>
      <c r="Q878" s="110" t="n"/>
      <c r="R878" s="110" t="n"/>
      <c r="S878" s="54" t="n"/>
      <c r="T878" s="111">
        <f>IF($G878="","",IFERROR(INDEX(Taux_Devises,MATCH(IF($M878="",Devise_Base,$M878),Codes_Devises,0)),1))</f>
        <v/>
      </c>
      <c r="U878" s="112">
        <f>IF($G878="","",ROUND($G878*$T878,2))</f>
        <v/>
      </c>
      <c r="V878" s="113">
        <f>IF($B878="","",MONTH($B878))</f>
        <v/>
      </c>
      <c r="W878" s="113">
        <f>IF($B878="","",YEAR($B878))</f>
        <v/>
      </c>
    </row>
    <row r="879">
      <c r="B879" s="105" t="n"/>
      <c r="C879" s="54" t="n"/>
      <c r="D879" s="54" t="n"/>
      <c r="E879" s="54" t="n"/>
      <c r="F879" s="54" t="n"/>
      <c r="G879" s="65" t="n"/>
      <c r="H879" s="54" t="n"/>
      <c r="I879" s="106">
        <f>IF($C879="","",IFERROR(INDEX(Sens_Types,MATCH($C879,Liste_Types,0)),""))</f>
        <v/>
      </c>
      <c r="J879" s="107">
        <f>IF($I879="▲ ENTRÉE",$U879,"")</f>
        <v/>
      </c>
      <c r="K879" s="108">
        <f>IF($I879="▼ SORTIE",$U879,"")</f>
        <v/>
      </c>
      <c r="L879" s="109">
        <f>$L878+N($J879)-N($K879)</f>
        <v/>
      </c>
      <c r="M879" s="110" t="n"/>
      <c r="N879" s="54" t="n"/>
      <c r="O879" s="54" t="n"/>
      <c r="P879" s="54" t="n"/>
      <c r="Q879" s="110" t="n"/>
      <c r="R879" s="110" t="n"/>
      <c r="S879" s="54" t="n"/>
      <c r="T879" s="111">
        <f>IF($G879="","",IFERROR(INDEX(Taux_Devises,MATCH(IF($M879="",Devise_Base,$M879),Codes_Devises,0)),1))</f>
        <v/>
      </c>
      <c r="U879" s="112">
        <f>IF($G879="","",ROUND($G879*$T879,2))</f>
        <v/>
      </c>
      <c r="V879" s="113">
        <f>IF($B879="","",MONTH($B879))</f>
        <v/>
      </c>
      <c r="W879" s="113">
        <f>IF($B879="","",YEAR($B879))</f>
        <v/>
      </c>
    </row>
    <row r="880">
      <c r="B880" s="105" t="n"/>
      <c r="C880" s="54" t="n"/>
      <c r="D880" s="54" t="n"/>
      <c r="E880" s="54" t="n"/>
      <c r="F880" s="54" t="n"/>
      <c r="G880" s="65" t="n"/>
      <c r="H880" s="54" t="n"/>
      <c r="I880" s="106">
        <f>IF($C880="","",IFERROR(INDEX(Sens_Types,MATCH($C880,Liste_Types,0)),""))</f>
        <v/>
      </c>
      <c r="J880" s="107">
        <f>IF($I880="▲ ENTRÉE",$U880,"")</f>
        <v/>
      </c>
      <c r="K880" s="108">
        <f>IF($I880="▼ SORTIE",$U880,"")</f>
        <v/>
      </c>
      <c r="L880" s="109">
        <f>$L879+N($J880)-N($K880)</f>
        <v/>
      </c>
      <c r="M880" s="110" t="n"/>
      <c r="N880" s="54" t="n"/>
      <c r="O880" s="54" t="n"/>
      <c r="P880" s="54" t="n"/>
      <c r="Q880" s="110" t="n"/>
      <c r="R880" s="110" t="n"/>
      <c r="S880" s="54" t="n"/>
      <c r="T880" s="111">
        <f>IF($G880="","",IFERROR(INDEX(Taux_Devises,MATCH(IF($M880="",Devise_Base,$M880),Codes_Devises,0)),1))</f>
        <v/>
      </c>
      <c r="U880" s="112">
        <f>IF($G880="","",ROUND($G880*$T880,2))</f>
        <v/>
      </c>
      <c r="V880" s="113">
        <f>IF($B880="","",MONTH($B880))</f>
        <v/>
      </c>
      <c r="W880" s="113">
        <f>IF($B880="","",YEAR($B880))</f>
        <v/>
      </c>
    </row>
    <row r="881">
      <c r="B881" s="105" t="n"/>
      <c r="C881" s="54" t="n"/>
      <c r="D881" s="54" t="n"/>
      <c r="E881" s="54" t="n"/>
      <c r="F881" s="54" t="n"/>
      <c r="G881" s="65" t="n"/>
      <c r="H881" s="54" t="n"/>
      <c r="I881" s="106">
        <f>IF($C881="","",IFERROR(INDEX(Sens_Types,MATCH($C881,Liste_Types,0)),""))</f>
        <v/>
      </c>
      <c r="J881" s="107">
        <f>IF($I881="▲ ENTRÉE",$U881,"")</f>
        <v/>
      </c>
      <c r="K881" s="108">
        <f>IF($I881="▼ SORTIE",$U881,"")</f>
        <v/>
      </c>
      <c r="L881" s="109">
        <f>$L880+N($J881)-N($K881)</f>
        <v/>
      </c>
      <c r="M881" s="110" t="n"/>
      <c r="N881" s="54" t="n"/>
      <c r="O881" s="54" t="n"/>
      <c r="P881" s="54" t="n"/>
      <c r="Q881" s="110" t="n"/>
      <c r="R881" s="110" t="n"/>
      <c r="S881" s="54" t="n"/>
      <c r="T881" s="111">
        <f>IF($G881="","",IFERROR(INDEX(Taux_Devises,MATCH(IF($M881="",Devise_Base,$M881),Codes_Devises,0)),1))</f>
        <v/>
      </c>
      <c r="U881" s="112">
        <f>IF($G881="","",ROUND($G881*$T881,2))</f>
        <v/>
      </c>
      <c r="V881" s="113">
        <f>IF($B881="","",MONTH($B881))</f>
        <v/>
      </c>
      <c r="W881" s="113">
        <f>IF($B881="","",YEAR($B881))</f>
        <v/>
      </c>
    </row>
    <row r="882">
      <c r="B882" s="105" t="n"/>
      <c r="C882" s="54" t="n"/>
      <c r="D882" s="54" t="n"/>
      <c r="E882" s="54" t="n"/>
      <c r="F882" s="54" t="n"/>
      <c r="G882" s="65" t="n"/>
      <c r="H882" s="54" t="n"/>
      <c r="I882" s="106">
        <f>IF($C882="","",IFERROR(INDEX(Sens_Types,MATCH($C882,Liste_Types,0)),""))</f>
        <v/>
      </c>
      <c r="J882" s="107">
        <f>IF($I882="▲ ENTRÉE",$U882,"")</f>
        <v/>
      </c>
      <c r="K882" s="108">
        <f>IF($I882="▼ SORTIE",$U882,"")</f>
        <v/>
      </c>
      <c r="L882" s="109">
        <f>$L881+N($J882)-N($K882)</f>
        <v/>
      </c>
      <c r="M882" s="110" t="n"/>
      <c r="N882" s="54" t="n"/>
      <c r="O882" s="54" t="n"/>
      <c r="P882" s="54" t="n"/>
      <c r="Q882" s="110" t="n"/>
      <c r="R882" s="110" t="n"/>
      <c r="S882" s="54" t="n"/>
      <c r="T882" s="111">
        <f>IF($G882="","",IFERROR(INDEX(Taux_Devises,MATCH(IF($M882="",Devise_Base,$M882),Codes_Devises,0)),1))</f>
        <v/>
      </c>
      <c r="U882" s="112">
        <f>IF($G882="","",ROUND($G882*$T882,2))</f>
        <v/>
      </c>
      <c r="V882" s="113">
        <f>IF($B882="","",MONTH($B882))</f>
        <v/>
      </c>
      <c r="W882" s="113">
        <f>IF($B882="","",YEAR($B882))</f>
        <v/>
      </c>
    </row>
    <row r="883">
      <c r="B883" s="105" t="n"/>
      <c r="C883" s="54" t="n"/>
      <c r="D883" s="54" t="n"/>
      <c r="E883" s="54" t="n"/>
      <c r="F883" s="54" t="n"/>
      <c r="G883" s="65" t="n"/>
      <c r="H883" s="54" t="n"/>
      <c r="I883" s="106">
        <f>IF($C883="","",IFERROR(INDEX(Sens_Types,MATCH($C883,Liste_Types,0)),""))</f>
        <v/>
      </c>
      <c r="J883" s="107">
        <f>IF($I883="▲ ENTRÉE",$U883,"")</f>
        <v/>
      </c>
      <c r="K883" s="108">
        <f>IF($I883="▼ SORTIE",$U883,"")</f>
        <v/>
      </c>
      <c r="L883" s="109">
        <f>$L882+N($J883)-N($K883)</f>
        <v/>
      </c>
      <c r="M883" s="110" t="n"/>
      <c r="N883" s="54" t="n"/>
      <c r="O883" s="54" t="n"/>
      <c r="P883" s="54" t="n"/>
      <c r="Q883" s="110" t="n"/>
      <c r="R883" s="110" t="n"/>
      <c r="S883" s="54" t="n"/>
      <c r="T883" s="111">
        <f>IF($G883="","",IFERROR(INDEX(Taux_Devises,MATCH(IF($M883="",Devise_Base,$M883),Codes_Devises,0)),1))</f>
        <v/>
      </c>
      <c r="U883" s="112">
        <f>IF($G883="","",ROUND($G883*$T883,2))</f>
        <v/>
      </c>
      <c r="V883" s="113">
        <f>IF($B883="","",MONTH($B883))</f>
        <v/>
      </c>
      <c r="W883" s="113">
        <f>IF($B883="","",YEAR($B883))</f>
        <v/>
      </c>
    </row>
    <row r="884">
      <c r="B884" s="105" t="n"/>
      <c r="C884" s="54" t="n"/>
      <c r="D884" s="54" t="n"/>
      <c r="E884" s="54" t="n"/>
      <c r="F884" s="54" t="n"/>
      <c r="G884" s="65" t="n"/>
      <c r="H884" s="54" t="n"/>
      <c r="I884" s="106">
        <f>IF($C884="","",IFERROR(INDEX(Sens_Types,MATCH($C884,Liste_Types,0)),""))</f>
        <v/>
      </c>
      <c r="J884" s="107">
        <f>IF($I884="▲ ENTRÉE",$U884,"")</f>
        <v/>
      </c>
      <c r="K884" s="108">
        <f>IF($I884="▼ SORTIE",$U884,"")</f>
        <v/>
      </c>
      <c r="L884" s="109">
        <f>$L883+N($J884)-N($K884)</f>
        <v/>
      </c>
      <c r="M884" s="110" t="n"/>
      <c r="N884" s="54" t="n"/>
      <c r="O884" s="54" t="n"/>
      <c r="P884" s="54" t="n"/>
      <c r="Q884" s="110" t="n"/>
      <c r="R884" s="110" t="n"/>
      <c r="S884" s="54" t="n"/>
      <c r="T884" s="111">
        <f>IF($G884="","",IFERROR(INDEX(Taux_Devises,MATCH(IF($M884="",Devise_Base,$M884),Codes_Devises,0)),1))</f>
        <v/>
      </c>
      <c r="U884" s="112">
        <f>IF($G884="","",ROUND($G884*$T884,2))</f>
        <v/>
      </c>
      <c r="V884" s="113">
        <f>IF($B884="","",MONTH($B884))</f>
        <v/>
      </c>
      <c r="W884" s="113">
        <f>IF($B884="","",YEAR($B884))</f>
        <v/>
      </c>
    </row>
    <row r="885">
      <c r="B885" s="105" t="n"/>
      <c r="C885" s="54" t="n"/>
      <c r="D885" s="54" t="n"/>
      <c r="E885" s="54" t="n"/>
      <c r="F885" s="54" t="n"/>
      <c r="G885" s="65" t="n"/>
      <c r="H885" s="54" t="n"/>
      <c r="I885" s="106">
        <f>IF($C885="","",IFERROR(INDEX(Sens_Types,MATCH($C885,Liste_Types,0)),""))</f>
        <v/>
      </c>
      <c r="J885" s="107">
        <f>IF($I885="▲ ENTRÉE",$U885,"")</f>
        <v/>
      </c>
      <c r="K885" s="108">
        <f>IF($I885="▼ SORTIE",$U885,"")</f>
        <v/>
      </c>
      <c r="L885" s="109">
        <f>$L884+N($J885)-N($K885)</f>
        <v/>
      </c>
      <c r="M885" s="110" t="n"/>
      <c r="N885" s="54" t="n"/>
      <c r="O885" s="54" t="n"/>
      <c r="P885" s="54" t="n"/>
      <c r="Q885" s="110" t="n"/>
      <c r="R885" s="110" t="n"/>
      <c r="S885" s="54" t="n"/>
      <c r="T885" s="111">
        <f>IF($G885="","",IFERROR(INDEX(Taux_Devises,MATCH(IF($M885="",Devise_Base,$M885),Codes_Devises,0)),1))</f>
        <v/>
      </c>
      <c r="U885" s="112">
        <f>IF($G885="","",ROUND($G885*$T885,2))</f>
        <v/>
      </c>
      <c r="V885" s="113">
        <f>IF($B885="","",MONTH($B885))</f>
        <v/>
      </c>
      <c r="W885" s="113">
        <f>IF($B885="","",YEAR($B885))</f>
        <v/>
      </c>
    </row>
    <row r="886">
      <c r="B886" s="105" t="n"/>
      <c r="C886" s="54" t="n"/>
      <c r="D886" s="54" t="n"/>
      <c r="E886" s="54" t="n"/>
      <c r="F886" s="54" t="n"/>
      <c r="G886" s="65" t="n"/>
      <c r="H886" s="54" t="n"/>
      <c r="I886" s="106">
        <f>IF($C886="","",IFERROR(INDEX(Sens_Types,MATCH($C886,Liste_Types,0)),""))</f>
        <v/>
      </c>
      <c r="J886" s="107">
        <f>IF($I886="▲ ENTRÉE",$U886,"")</f>
        <v/>
      </c>
      <c r="K886" s="108">
        <f>IF($I886="▼ SORTIE",$U886,"")</f>
        <v/>
      </c>
      <c r="L886" s="109">
        <f>$L885+N($J886)-N($K886)</f>
        <v/>
      </c>
      <c r="M886" s="110" t="n"/>
      <c r="N886" s="54" t="n"/>
      <c r="O886" s="54" t="n"/>
      <c r="P886" s="54" t="n"/>
      <c r="Q886" s="110" t="n"/>
      <c r="R886" s="110" t="n"/>
      <c r="S886" s="54" t="n"/>
      <c r="T886" s="111">
        <f>IF($G886="","",IFERROR(INDEX(Taux_Devises,MATCH(IF($M886="",Devise_Base,$M886),Codes_Devises,0)),1))</f>
        <v/>
      </c>
      <c r="U886" s="112">
        <f>IF($G886="","",ROUND($G886*$T886,2))</f>
        <v/>
      </c>
      <c r="V886" s="113">
        <f>IF($B886="","",MONTH($B886))</f>
        <v/>
      </c>
      <c r="W886" s="113">
        <f>IF($B886="","",YEAR($B886))</f>
        <v/>
      </c>
    </row>
    <row r="887">
      <c r="B887" s="105" t="n"/>
      <c r="C887" s="54" t="n"/>
      <c r="D887" s="54" t="n"/>
      <c r="E887" s="54" t="n"/>
      <c r="F887" s="54" t="n"/>
      <c r="G887" s="65" t="n"/>
      <c r="H887" s="54" t="n"/>
      <c r="I887" s="106">
        <f>IF($C887="","",IFERROR(INDEX(Sens_Types,MATCH($C887,Liste_Types,0)),""))</f>
        <v/>
      </c>
      <c r="J887" s="107">
        <f>IF($I887="▲ ENTRÉE",$U887,"")</f>
        <v/>
      </c>
      <c r="K887" s="108">
        <f>IF($I887="▼ SORTIE",$U887,"")</f>
        <v/>
      </c>
      <c r="L887" s="109">
        <f>$L886+N($J887)-N($K887)</f>
        <v/>
      </c>
      <c r="M887" s="110" t="n"/>
      <c r="N887" s="54" t="n"/>
      <c r="O887" s="54" t="n"/>
      <c r="P887" s="54" t="n"/>
      <c r="Q887" s="110" t="n"/>
      <c r="R887" s="110" t="n"/>
      <c r="S887" s="54" t="n"/>
      <c r="T887" s="111">
        <f>IF($G887="","",IFERROR(INDEX(Taux_Devises,MATCH(IF($M887="",Devise_Base,$M887),Codes_Devises,0)),1))</f>
        <v/>
      </c>
      <c r="U887" s="112">
        <f>IF($G887="","",ROUND($G887*$T887,2))</f>
        <v/>
      </c>
      <c r="V887" s="113">
        <f>IF($B887="","",MONTH($B887))</f>
        <v/>
      </c>
      <c r="W887" s="113">
        <f>IF($B887="","",YEAR($B887))</f>
        <v/>
      </c>
    </row>
    <row r="888">
      <c r="B888" s="105" t="n"/>
      <c r="C888" s="54" t="n"/>
      <c r="D888" s="54" t="n"/>
      <c r="E888" s="54" t="n"/>
      <c r="F888" s="54" t="n"/>
      <c r="G888" s="65" t="n"/>
      <c r="H888" s="54" t="n"/>
      <c r="I888" s="106">
        <f>IF($C888="","",IFERROR(INDEX(Sens_Types,MATCH($C888,Liste_Types,0)),""))</f>
        <v/>
      </c>
      <c r="J888" s="107">
        <f>IF($I888="▲ ENTRÉE",$U888,"")</f>
        <v/>
      </c>
      <c r="K888" s="108">
        <f>IF($I888="▼ SORTIE",$U888,"")</f>
        <v/>
      </c>
      <c r="L888" s="109">
        <f>$L887+N($J888)-N($K888)</f>
        <v/>
      </c>
      <c r="M888" s="110" t="n"/>
      <c r="N888" s="54" t="n"/>
      <c r="O888" s="54" t="n"/>
      <c r="P888" s="54" t="n"/>
      <c r="Q888" s="110" t="n"/>
      <c r="R888" s="110" t="n"/>
      <c r="S888" s="54" t="n"/>
      <c r="T888" s="111">
        <f>IF($G888="","",IFERROR(INDEX(Taux_Devises,MATCH(IF($M888="",Devise_Base,$M888),Codes_Devises,0)),1))</f>
        <v/>
      </c>
      <c r="U888" s="112">
        <f>IF($G888="","",ROUND($G888*$T888,2))</f>
        <v/>
      </c>
      <c r="V888" s="113">
        <f>IF($B888="","",MONTH($B888))</f>
        <v/>
      </c>
      <c r="W888" s="113">
        <f>IF($B888="","",YEAR($B888))</f>
        <v/>
      </c>
    </row>
    <row r="889">
      <c r="B889" s="105" t="n"/>
      <c r="C889" s="54" t="n"/>
      <c r="D889" s="54" t="n"/>
      <c r="E889" s="54" t="n"/>
      <c r="F889" s="54" t="n"/>
      <c r="G889" s="65" t="n"/>
      <c r="H889" s="54" t="n"/>
      <c r="I889" s="106">
        <f>IF($C889="","",IFERROR(INDEX(Sens_Types,MATCH($C889,Liste_Types,0)),""))</f>
        <v/>
      </c>
      <c r="J889" s="107">
        <f>IF($I889="▲ ENTRÉE",$U889,"")</f>
        <v/>
      </c>
      <c r="K889" s="108">
        <f>IF($I889="▼ SORTIE",$U889,"")</f>
        <v/>
      </c>
      <c r="L889" s="109">
        <f>$L888+N($J889)-N($K889)</f>
        <v/>
      </c>
      <c r="M889" s="110" t="n"/>
      <c r="N889" s="54" t="n"/>
      <c r="O889" s="54" t="n"/>
      <c r="P889" s="54" t="n"/>
      <c r="Q889" s="110" t="n"/>
      <c r="R889" s="110" t="n"/>
      <c r="S889" s="54" t="n"/>
      <c r="T889" s="111">
        <f>IF($G889="","",IFERROR(INDEX(Taux_Devises,MATCH(IF($M889="",Devise_Base,$M889),Codes_Devises,0)),1))</f>
        <v/>
      </c>
      <c r="U889" s="112">
        <f>IF($G889="","",ROUND($G889*$T889,2))</f>
        <v/>
      </c>
      <c r="V889" s="113">
        <f>IF($B889="","",MONTH($B889))</f>
        <v/>
      </c>
      <c r="W889" s="113">
        <f>IF($B889="","",YEAR($B889))</f>
        <v/>
      </c>
    </row>
    <row r="890">
      <c r="B890" s="105" t="n"/>
      <c r="C890" s="54" t="n"/>
      <c r="D890" s="54" t="n"/>
      <c r="E890" s="54" t="n"/>
      <c r="F890" s="54" t="n"/>
      <c r="G890" s="65" t="n"/>
      <c r="H890" s="54" t="n"/>
      <c r="I890" s="106">
        <f>IF($C890="","",IFERROR(INDEX(Sens_Types,MATCH($C890,Liste_Types,0)),""))</f>
        <v/>
      </c>
      <c r="J890" s="107">
        <f>IF($I890="▲ ENTRÉE",$U890,"")</f>
        <v/>
      </c>
      <c r="K890" s="108">
        <f>IF($I890="▼ SORTIE",$U890,"")</f>
        <v/>
      </c>
      <c r="L890" s="109">
        <f>$L889+N($J890)-N($K890)</f>
        <v/>
      </c>
      <c r="M890" s="110" t="n"/>
      <c r="N890" s="54" t="n"/>
      <c r="O890" s="54" t="n"/>
      <c r="P890" s="54" t="n"/>
      <c r="Q890" s="110" t="n"/>
      <c r="R890" s="110" t="n"/>
      <c r="S890" s="54" t="n"/>
      <c r="T890" s="111">
        <f>IF($G890="","",IFERROR(INDEX(Taux_Devises,MATCH(IF($M890="",Devise_Base,$M890),Codes_Devises,0)),1))</f>
        <v/>
      </c>
      <c r="U890" s="112">
        <f>IF($G890="","",ROUND($G890*$T890,2))</f>
        <v/>
      </c>
      <c r="V890" s="113">
        <f>IF($B890="","",MONTH($B890))</f>
        <v/>
      </c>
      <c r="W890" s="113">
        <f>IF($B890="","",YEAR($B890))</f>
        <v/>
      </c>
    </row>
    <row r="891">
      <c r="B891" s="105" t="n"/>
      <c r="C891" s="54" t="n"/>
      <c r="D891" s="54" t="n"/>
      <c r="E891" s="54" t="n"/>
      <c r="F891" s="54" t="n"/>
      <c r="G891" s="65" t="n"/>
      <c r="H891" s="54" t="n"/>
      <c r="I891" s="106">
        <f>IF($C891="","",IFERROR(INDEX(Sens_Types,MATCH($C891,Liste_Types,0)),""))</f>
        <v/>
      </c>
      <c r="J891" s="107">
        <f>IF($I891="▲ ENTRÉE",$U891,"")</f>
        <v/>
      </c>
      <c r="K891" s="108">
        <f>IF($I891="▼ SORTIE",$U891,"")</f>
        <v/>
      </c>
      <c r="L891" s="109">
        <f>$L890+N($J891)-N($K891)</f>
        <v/>
      </c>
      <c r="M891" s="110" t="n"/>
      <c r="N891" s="54" t="n"/>
      <c r="O891" s="54" t="n"/>
      <c r="P891" s="54" t="n"/>
      <c r="Q891" s="110" t="n"/>
      <c r="R891" s="110" t="n"/>
      <c r="S891" s="54" t="n"/>
      <c r="T891" s="111">
        <f>IF($G891="","",IFERROR(INDEX(Taux_Devises,MATCH(IF($M891="",Devise_Base,$M891),Codes_Devises,0)),1))</f>
        <v/>
      </c>
      <c r="U891" s="112">
        <f>IF($G891="","",ROUND($G891*$T891,2))</f>
        <v/>
      </c>
      <c r="V891" s="113">
        <f>IF($B891="","",MONTH($B891))</f>
        <v/>
      </c>
      <c r="W891" s="113">
        <f>IF($B891="","",YEAR($B891))</f>
        <v/>
      </c>
    </row>
    <row r="892">
      <c r="B892" s="105" t="n"/>
      <c r="C892" s="54" t="n"/>
      <c r="D892" s="54" t="n"/>
      <c r="E892" s="54" t="n"/>
      <c r="F892" s="54" t="n"/>
      <c r="G892" s="65" t="n"/>
      <c r="H892" s="54" t="n"/>
      <c r="I892" s="106">
        <f>IF($C892="","",IFERROR(INDEX(Sens_Types,MATCH($C892,Liste_Types,0)),""))</f>
        <v/>
      </c>
      <c r="J892" s="107">
        <f>IF($I892="▲ ENTRÉE",$U892,"")</f>
        <v/>
      </c>
      <c r="K892" s="108">
        <f>IF($I892="▼ SORTIE",$U892,"")</f>
        <v/>
      </c>
      <c r="L892" s="109">
        <f>$L891+N($J892)-N($K892)</f>
        <v/>
      </c>
      <c r="M892" s="110" t="n"/>
      <c r="N892" s="54" t="n"/>
      <c r="O892" s="54" t="n"/>
      <c r="P892" s="54" t="n"/>
      <c r="Q892" s="110" t="n"/>
      <c r="R892" s="110" t="n"/>
      <c r="S892" s="54" t="n"/>
      <c r="T892" s="111">
        <f>IF($G892="","",IFERROR(INDEX(Taux_Devises,MATCH(IF($M892="",Devise_Base,$M892),Codes_Devises,0)),1))</f>
        <v/>
      </c>
      <c r="U892" s="112">
        <f>IF($G892="","",ROUND($G892*$T892,2))</f>
        <v/>
      </c>
      <c r="V892" s="113">
        <f>IF($B892="","",MONTH($B892))</f>
        <v/>
      </c>
      <c r="W892" s="113">
        <f>IF($B892="","",YEAR($B892))</f>
        <v/>
      </c>
    </row>
    <row r="893">
      <c r="B893" s="105" t="n"/>
      <c r="C893" s="54" t="n"/>
      <c r="D893" s="54" t="n"/>
      <c r="E893" s="54" t="n"/>
      <c r="F893" s="54" t="n"/>
      <c r="G893" s="65" t="n"/>
      <c r="H893" s="54" t="n"/>
      <c r="I893" s="106">
        <f>IF($C893="","",IFERROR(INDEX(Sens_Types,MATCH($C893,Liste_Types,0)),""))</f>
        <v/>
      </c>
      <c r="J893" s="107">
        <f>IF($I893="▲ ENTRÉE",$U893,"")</f>
        <v/>
      </c>
      <c r="K893" s="108">
        <f>IF($I893="▼ SORTIE",$U893,"")</f>
        <v/>
      </c>
      <c r="L893" s="109">
        <f>$L892+N($J893)-N($K893)</f>
        <v/>
      </c>
      <c r="M893" s="110" t="n"/>
      <c r="N893" s="54" t="n"/>
      <c r="O893" s="54" t="n"/>
      <c r="P893" s="54" t="n"/>
      <c r="Q893" s="110" t="n"/>
      <c r="R893" s="110" t="n"/>
      <c r="S893" s="54" t="n"/>
      <c r="T893" s="111">
        <f>IF($G893="","",IFERROR(INDEX(Taux_Devises,MATCH(IF($M893="",Devise_Base,$M893),Codes_Devises,0)),1))</f>
        <v/>
      </c>
      <c r="U893" s="112">
        <f>IF($G893="","",ROUND($G893*$T893,2))</f>
        <v/>
      </c>
      <c r="V893" s="113">
        <f>IF($B893="","",MONTH($B893))</f>
        <v/>
      </c>
      <c r="W893" s="113">
        <f>IF($B893="","",YEAR($B893))</f>
        <v/>
      </c>
    </row>
    <row r="894">
      <c r="B894" s="105" t="n"/>
      <c r="C894" s="54" t="n"/>
      <c r="D894" s="54" t="n"/>
      <c r="E894" s="54" t="n"/>
      <c r="F894" s="54" t="n"/>
      <c r="G894" s="65" t="n"/>
      <c r="H894" s="54" t="n"/>
      <c r="I894" s="106">
        <f>IF($C894="","",IFERROR(INDEX(Sens_Types,MATCH($C894,Liste_Types,0)),""))</f>
        <v/>
      </c>
      <c r="J894" s="107">
        <f>IF($I894="▲ ENTRÉE",$U894,"")</f>
        <v/>
      </c>
      <c r="K894" s="108">
        <f>IF($I894="▼ SORTIE",$U894,"")</f>
        <v/>
      </c>
      <c r="L894" s="109">
        <f>$L893+N($J894)-N($K894)</f>
        <v/>
      </c>
      <c r="M894" s="110" t="n"/>
      <c r="N894" s="54" t="n"/>
      <c r="O894" s="54" t="n"/>
      <c r="P894" s="54" t="n"/>
      <c r="Q894" s="110" t="n"/>
      <c r="R894" s="110" t="n"/>
      <c r="S894" s="54" t="n"/>
      <c r="T894" s="111">
        <f>IF($G894="","",IFERROR(INDEX(Taux_Devises,MATCH(IF($M894="",Devise_Base,$M894),Codes_Devises,0)),1))</f>
        <v/>
      </c>
      <c r="U894" s="112">
        <f>IF($G894="","",ROUND($G894*$T894,2))</f>
        <v/>
      </c>
      <c r="V894" s="113">
        <f>IF($B894="","",MONTH($B894))</f>
        <v/>
      </c>
      <c r="W894" s="113">
        <f>IF($B894="","",YEAR($B894))</f>
        <v/>
      </c>
    </row>
    <row r="895">
      <c r="B895" s="105" t="n"/>
      <c r="C895" s="54" t="n"/>
      <c r="D895" s="54" t="n"/>
      <c r="E895" s="54" t="n"/>
      <c r="F895" s="54" t="n"/>
      <c r="G895" s="65" t="n"/>
      <c r="H895" s="54" t="n"/>
      <c r="I895" s="106">
        <f>IF($C895="","",IFERROR(INDEX(Sens_Types,MATCH($C895,Liste_Types,0)),""))</f>
        <v/>
      </c>
      <c r="J895" s="107">
        <f>IF($I895="▲ ENTRÉE",$U895,"")</f>
        <v/>
      </c>
      <c r="K895" s="108">
        <f>IF($I895="▼ SORTIE",$U895,"")</f>
        <v/>
      </c>
      <c r="L895" s="109">
        <f>$L894+N($J895)-N($K895)</f>
        <v/>
      </c>
      <c r="M895" s="110" t="n"/>
      <c r="N895" s="54" t="n"/>
      <c r="O895" s="54" t="n"/>
      <c r="P895" s="54" t="n"/>
      <c r="Q895" s="110" t="n"/>
      <c r="R895" s="110" t="n"/>
      <c r="S895" s="54" t="n"/>
      <c r="T895" s="111">
        <f>IF($G895="","",IFERROR(INDEX(Taux_Devises,MATCH(IF($M895="",Devise_Base,$M895),Codes_Devises,0)),1))</f>
        <v/>
      </c>
      <c r="U895" s="112">
        <f>IF($G895="","",ROUND($G895*$T895,2))</f>
        <v/>
      </c>
      <c r="V895" s="113">
        <f>IF($B895="","",MONTH($B895))</f>
        <v/>
      </c>
      <c r="W895" s="113">
        <f>IF($B895="","",YEAR($B895))</f>
        <v/>
      </c>
    </row>
    <row r="896">
      <c r="B896" s="105" t="n"/>
      <c r="C896" s="54" t="n"/>
      <c r="D896" s="54" t="n"/>
      <c r="E896" s="54" t="n"/>
      <c r="F896" s="54" t="n"/>
      <c r="G896" s="65" t="n"/>
      <c r="H896" s="54" t="n"/>
      <c r="I896" s="106">
        <f>IF($C896="","",IFERROR(INDEX(Sens_Types,MATCH($C896,Liste_Types,0)),""))</f>
        <v/>
      </c>
      <c r="J896" s="107">
        <f>IF($I896="▲ ENTRÉE",$U896,"")</f>
        <v/>
      </c>
      <c r="K896" s="108">
        <f>IF($I896="▼ SORTIE",$U896,"")</f>
        <v/>
      </c>
      <c r="L896" s="109">
        <f>$L895+N($J896)-N($K896)</f>
        <v/>
      </c>
      <c r="M896" s="110" t="n"/>
      <c r="N896" s="54" t="n"/>
      <c r="O896" s="54" t="n"/>
      <c r="P896" s="54" t="n"/>
      <c r="Q896" s="110" t="n"/>
      <c r="R896" s="110" t="n"/>
      <c r="S896" s="54" t="n"/>
      <c r="T896" s="111">
        <f>IF($G896="","",IFERROR(INDEX(Taux_Devises,MATCH(IF($M896="",Devise_Base,$M896),Codes_Devises,0)),1))</f>
        <v/>
      </c>
      <c r="U896" s="112">
        <f>IF($G896="","",ROUND($G896*$T896,2))</f>
        <v/>
      </c>
      <c r="V896" s="113">
        <f>IF($B896="","",MONTH($B896))</f>
        <v/>
      </c>
      <c r="W896" s="113">
        <f>IF($B896="","",YEAR($B896))</f>
        <v/>
      </c>
    </row>
    <row r="897">
      <c r="B897" s="105" t="n"/>
      <c r="C897" s="54" t="n"/>
      <c r="D897" s="54" t="n"/>
      <c r="E897" s="54" t="n"/>
      <c r="F897" s="54" t="n"/>
      <c r="G897" s="65" t="n"/>
      <c r="H897" s="54" t="n"/>
      <c r="I897" s="106">
        <f>IF($C897="","",IFERROR(INDEX(Sens_Types,MATCH($C897,Liste_Types,0)),""))</f>
        <v/>
      </c>
      <c r="J897" s="107">
        <f>IF($I897="▲ ENTRÉE",$U897,"")</f>
        <v/>
      </c>
      <c r="K897" s="108">
        <f>IF($I897="▼ SORTIE",$U897,"")</f>
        <v/>
      </c>
      <c r="L897" s="109">
        <f>$L896+N($J897)-N($K897)</f>
        <v/>
      </c>
      <c r="M897" s="110" t="n"/>
      <c r="N897" s="54" t="n"/>
      <c r="O897" s="54" t="n"/>
      <c r="P897" s="54" t="n"/>
      <c r="Q897" s="110" t="n"/>
      <c r="R897" s="110" t="n"/>
      <c r="S897" s="54" t="n"/>
      <c r="T897" s="111">
        <f>IF($G897="","",IFERROR(INDEX(Taux_Devises,MATCH(IF($M897="",Devise_Base,$M897),Codes_Devises,0)),1))</f>
        <v/>
      </c>
      <c r="U897" s="112">
        <f>IF($G897="","",ROUND($G897*$T897,2))</f>
        <v/>
      </c>
      <c r="V897" s="113">
        <f>IF($B897="","",MONTH($B897))</f>
        <v/>
      </c>
      <c r="W897" s="113">
        <f>IF($B897="","",YEAR($B897))</f>
        <v/>
      </c>
    </row>
    <row r="898">
      <c r="B898" s="105" t="n"/>
      <c r="C898" s="54" t="n"/>
      <c r="D898" s="54" t="n"/>
      <c r="E898" s="54" t="n"/>
      <c r="F898" s="54" t="n"/>
      <c r="G898" s="65" t="n"/>
      <c r="H898" s="54" t="n"/>
      <c r="I898" s="106">
        <f>IF($C898="","",IFERROR(INDEX(Sens_Types,MATCH($C898,Liste_Types,0)),""))</f>
        <v/>
      </c>
      <c r="J898" s="107">
        <f>IF($I898="▲ ENTRÉE",$U898,"")</f>
        <v/>
      </c>
      <c r="K898" s="108">
        <f>IF($I898="▼ SORTIE",$U898,"")</f>
        <v/>
      </c>
      <c r="L898" s="109">
        <f>$L897+N($J898)-N($K898)</f>
        <v/>
      </c>
      <c r="M898" s="110" t="n"/>
      <c r="N898" s="54" t="n"/>
      <c r="O898" s="54" t="n"/>
      <c r="P898" s="54" t="n"/>
      <c r="Q898" s="110" t="n"/>
      <c r="R898" s="110" t="n"/>
      <c r="S898" s="54" t="n"/>
      <c r="T898" s="111">
        <f>IF($G898="","",IFERROR(INDEX(Taux_Devises,MATCH(IF($M898="",Devise_Base,$M898),Codes_Devises,0)),1))</f>
        <v/>
      </c>
      <c r="U898" s="112">
        <f>IF($G898="","",ROUND($G898*$T898,2))</f>
        <v/>
      </c>
      <c r="V898" s="113">
        <f>IF($B898="","",MONTH($B898))</f>
        <v/>
      </c>
      <c r="W898" s="113">
        <f>IF($B898="","",YEAR($B898))</f>
        <v/>
      </c>
    </row>
    <row r="899">
      <c r="B899" s="105" t="n"/>
      <c r="C899" s="54" t="n"/>
      <c r="D899" s="54" t="n"/>
      <c r="E899" s="54" t="n"/>
      <c r="F899" s="54" t="n"/>
      <c r="G899" s="65" t="n"/>
      <c r="H899" s="54" t="n"/>
      <c r="I899" s="106">
        <f>IF($C899="","",IFERROR(INDEX(Sens_Types,MATCH($C899,Liste_Types,0)),""))</f>
        <v/>
      </c>
      <c r="J899" s="107">
        <f>IF($I899="▲ ENTRÉE",$U899,"")</f>
        <v/>
      </c>
      <c r="K899" s="108">
        <f>IF($I899="▼ SORTIE",$U899,"")</f>
        <v/>
      </c>
      <c r="L899" s="109">
        <f>$L898+N($J899)-N($K899)</f>
        <v/>
      </c>
      <c r="M899" s="110" t="n"/>
      <c r="N899" s="54" t="n"/>
      <c r="O899" s="54" t="n"/>
      <c r="P899" s="54" t="n"/>
      <c r="Q899" s="110" t="n"/>
      <c r="R899" s="110" t="n"/>
      <c r="S899" s="54" t="n"/>
      <c r="T899" s="111">
        <f>IF($G899="","",IFERROR(INDEX(Taux_Devises,MATCH(IF($M899="",Devise_Base,$M899),Codes_Devises,0)),1))</f>
        <v/>
      </c>
      <c r="U899" s="112">
        <f>IF($G899="","",ROUND($G899*$T899,2))</f>
        <v/>
      </c>
      <c r="V899" s="113">
        <f>IF($B899="","",MONTH($B899))</f>
        <v/>
      </c>
      <c r="W899" s="113">
        <f>IF($B899="","",YEAR($B899))</f>
        <v/>
      </c>
    </row>
    <row r="900">
      <c r="B900" s="105" t="n"/>
      <c r="C900" s="54" t="n"/>
      <c r="D900" s="54" t="n"/>
      <c r="E900" s="54" t="n"/>
      <c r="F900" s="54" t="n"/>
      <c r="G900" s="65" t="n"/>
      <c r="H900" s="54" t="n"/>
      <c r="I900" s="106">
        <f>IF($C900="","",IFERROR(INDEX(Sens_Types,MATCH($C900,Liste_Types,0)),""))</f>
        <v/>
      </c>
      <c r="J900" s="107">
        <f>IF($I900="▲ ENTRÉE",$U900,"")</f>
        <v/>
      </c>
      <c r="K900" s="108">
        <f>IF($I900="▼ SORTIE",$U900,"")</f>
        <v/>
      </c>
      <c r="L900" s="109">
        <f>$L899+N($J900)-N($K900)</f>
        <v/>
      </c>
      <c r="M900" s="110" t="n"/>
      <c r="N900" s="54" t="n"/>
      <c r="O900" s="54" t="n"/>
      <c r="P900" s="54" t="n"/>
      <c r="Q900" s="110" t="n"/>
      <c r="R900" s="110" t="n"/>
      <c r="S900" s="54" t="n"/>
      <c r="T900" s="111">
        <f>IF($G900="","",IFERROR(INDEX(Taux_Devises,MATCH(IF($M900="",Devise_Base,$M900),Codes_Devises,0)),1))</f>
        <v/>
      </c>
      <c r="U900" s="112">
        <f>IF($G900="","",ROUND($G900*$T900,2))</f>
        <v/>
      </c>
      <c r="V900" s="113">
        <f>IF($B900="","",MONTH($B900))</f>
        <v/>
      </c>
      <c r="W900" s="113">
        <f>IF($B900="","",YEAR($B900))</f>
        <v/>
      </c>
    </row>
    <row r="901">
      <c r="B901" s="105" t="n"/>
      <c r="C901" s="54" t="n"/>
      <c r="D901" s="54" t="n"/>
      <c r="E901" s="54" t="n"/>
      <c r="F901" s="54" t="n"/>
      <c r="G901" s="65" t="n"/>
      <c r="H901" s="54" t="n"/>
      <c r="I901" s="106">
        <f>IF($C901="","",IFERROR(INDEX(Sens_Types,MATCH($C901,Liste_Types,0)),""))</f>
        <v/>
      </c>
      <c r="J901" s="107">
        <f>IF($I901="▲ ENTRÉE",$U901,"")</f>
        <v/>
      </c>
      <c r="K901" s="108">
        <f>IF($I901="▼ SORTIE",$U901,"")</f>
        <v/>
      </c>
      <c r="L901" s="109">
        <f>$L900+N($J901)-N($K901)</f>
        <v/>
      </c>
      <c r="M901" s="110" t="n"/>
      <c r="N901" s="54" t="n"/>
      <c r="O901" s="54" t="n"/>
      <c r="P901" s="54" t="n"/>
      <c r="Q901" s="110" t="n"/>
      <c r="R901" s="110" t="n"/>
      <c r="S901" s="54" t="n"/>
      <c r="T901" s="111">
        <f>IF($G901="","",IFERROR(INDEX(Taux_Devises,MATCH(IF($M901="",Devise_Base,$M901),Codes_Devises,0)),1))</f>
        <v/>
      </c>
      <c r="U901" s="112">
        <f>IF($G901="","",ROUND($G901*$T901,2))</f>
        <v/>
      </c>
      <c r="V901" s="113">
        <f>IF($B901="","",MONTH($B901))</f>
        <v/>
      </c>
      <c r="W901" s="113">
        <f>IF($B901="","",YEAR($B901))</f>
        <v/>
      </c>
    </row>
    <row r="902">
      <c r="B902" s="105" t="n"/>
      <c r="C902" s="54" t="n"/>
      <c r="D902" s="54" t="n"/>
      <c r="E902" s="54" t="n"/>
      <c r="F902" s="54" t="n"/>
      <c r="G902" s="65" t="n"/>
      <c r="H902" s="54" t="n"/>
      <c r="I902" s="106">
        <f>IF($C902="","",IFERROR(INDEX(Sens_Types,MATCH($C902,Liste_Types,0)),""))</f>
        <v/>
      </c>
      <c r="J902" s="107">
        <f>IF($I902="▲ ENTRÉE",$U902,"")</f>
        <v/>
      </c>
      <c r="K902" s="108">
        <f>IF($I902="▼ SORTIE",$U902,"")</f>
        <v/>
      </c>
      <c r="L902" s="109">
        <f>$L901+N($J902)-N($K902)</f>
        <v/>
      </c>
      <c r="M902" s="110" t="n"/>
      <c r="N902" s="54" t="n"/>
      <c r="O902" s="54" t="n"/>
      <c r="P902" s="54" t="n"/>
      <c r="Q902" s="110" t="n"/>
      <c r="R902" s="110" t="n"/>
      <c r="S902" s="54" t="n"/>
      <c r="T902" s="111">
        <f>IF($G902="","",IFERROR(INDEX(Taux_Devises,MATCH(IF($M902="",Devise_Base,$M902),Codes_Devises,0)),1))</f>
        <v/>
      </c>
      <c r="U902" s="112">
        <f>IF($G902="","",ROUND($G902*$T902,2))</f>
        <v/>
      </c>
      <c r="V902" s="113">
        <f>IF($B902="","",MONTH($B902))</f>
        <v/>
      </c>
      <c r="W902" s="113">
        <f>IF($B902="","",YEAR($B902))</f>
        <v/>
      </c>
    </row>
    <row r="903">
      <c r="B903" s="105" t="n"/>
      <c r="C903" s="54" t="n"/>
      <c r="D903" s="54" t="n"/>
      <c r="E903" s="54" t="n"/>
      <c r="F903" s="54" t="n"/>
      <c r="G903" s="65" t="n"/>
      <c r="H903" s="54" t="n"/>
      <c r="I903" s="106">
        <f>IF($C903="","",IFERROR(INDEX(Sens_Types,MATCH($C903,Liste_Types,0)),""))</f>
        <v/>
      </c>
      <c r="J903" s="107">
        <f>IF($I903="▲ ENTRÉE",$U903,"")</f>
        <v/>
      </c>
      <c r="K903" s="108">
        <f>IF($I903="▼ SORTIE",$U903,"")</f>
        <v/>
      </c>
      <c r="L903" s="109">
        <f>$L902+N($J903)-N($K903)</f>
        <v/>
      </c>
      <c r="M903" s="110" t="n"/>
      <c r="N903" s="54" t="n"/>
      <c r="O903" s="54" t="n"/>
      <c r="P903" s="54" t="n"/>
      <c r="Q903" s="110" t="n"/>
      <c r="R903" s="110" t="n"/>
      <c r="S903" s="54" t="n"/>
      <c r="T903" s="111">
        <f>IF($G903="","",IFERROR(INDEX(Taux_Devises,MATCH(IF($M903="",Devise_Base,$M903),Codes_Devises,0)),1))</f>
        <v/>
      </c>
      <c r="U903" s="112">
        <f>IF($G903="","",ROUND($G903*$T903,2))</f>
        <v/>
      </c>
      <c r="V903" s="113">
        <f>IF($B903="","",MONTH($B903))</f>
        <v/>
      </c>
      <c r="W903" s="113">
        <f>IF($B903="","",YEAR($B903))</f>
        <v/>
      </c>
    </row>
    <row r="904">
      <c r="B904" s="105" t="n"/>
      <c r="C904" s="54" t="n"/>
      <c r="D904" s="54" t="n"/>
      <c r="E904" s="54" t="n"/>
      <c r="F904" s="54" t="n"/>
      <c r="G904" s="65" t="n"/>
      <c r="H904" s="54" t="n"/>
      <c r="I904" s="106">
        <f>IF($C904="","",IFERROR(INDEX(Sens_Types,MATCH($C904,Liste_Types,0)),""))</f>
        <v/>
      </c>
      <c r="J904" s="107">
        <f>IF($I904="▲ ENTRÉE",$U904,"")</f>
        <v/>
      </c>
      <c r="K904" s="108">
        <f>IF($I904="▼ SORTIE",$U904,"")</f>
        <v/>
      </c>
      <c r="L904" s="109">
        <f>$L903+N($J904)-N($K904)</f>
        <v/>
      </c>
      <c r="M904" s="110" t="n"/>
      <c r="N904" s="54" t="n"/>
      <c r="O904" s="54" t="n"/>
      <c r="P904" s="54" t="n"/>
      <c r="Q904" s="110" t="n"/>
      <c r="R904" s="110" t="n"/>
      <c r="S904" s="54" t="n"/>
      <c r="T904" s="111">
        <f>IF($G904="","",IFERROR(INDEX(Taux_Devises,MATCH(IF($M904="",Devise_Base,$M904),Codes_Devises,0)),1))</f>
        <v/>
      </c>
      <c r="U904" s="112">
        <f>IF($G904="","",ROUND($G904*$T904,2))</f>
        <v/>
      </c>
      <c r="V904" s="113">
        <f>IF($B904="","",MONTH($B904))</f>
        <v/>
      </c>
      <c r="W904" s="113">
        <f>IF($B904="","",YEAR($B904))</f>
        <v/>
      </c>
    </row>
    <row r="905">
      <c r="B905" s="105" t="n"/>
      <c r="C905" s="54" t="n"/>
      <c r="D905" s="54" t="n"/>
      <c r="E905" s="54" t="n"/>
      <c r="F905" s="54" t="n"/>
      <c r="G905" s="65" t="n"/>
      <c r="H905" s="54" t="n"/>
      <c r="I905" s="106">
        <f>IF($C905="","",IFERROR(INDEX(Sens_Types,MATCH($C905,Liste_Types,0)),""))</f>
        <v/>
      </c>
      <c r="J905" s="107">
        <f>IF($I905="▲ ENTRÉE",$U905,"")</f>
        <v/>
      </c>
      <c r="K905" s="108">
        <f>IF($I905="▼ SORTIE",$U905,"")</f>
        <v/>
      </c>
      <c r="L905" s="109">
        <f>$L904+N($J905)-N($K905)</f>
        <v/>
      </c>
      <c r="M905" s="110" t="n"/>
      <c r="N905" s="54" t="n"/>
      <c r="O905" s="54" t="n"/>
      <c r="P905" s="54" t="n"/>
      <c r="Q905" s="110" t="n"/>
      <c r="R905" s="110" t="n"/>
      <c r="S905" s="54" t="n"/>
      <c r="T905" s="111">
        <f>IF($G905="","",IFERROR(INDEX(Taux_Devises,MATCH(IF($M905="",Devise_Base,$M905),Codes_Devises,0)),1))</f>
        <v/>
      </c>
      <c r="U905" s="112">
        <f>IF($G905="","",ROUND($G905*$T905,2))</f>
        <v/>
      </c>
      <c r="V905" s="113">
        <f>IF($B905="","",MONTH($B905))</f>
        <v/>
      </c>
      <c r="W905" s="113">
        <f>IF($B905="","",YEAR($B905))</f>
        <v/>
      </c>
    </row>
    <row r="906">
      <c r="B906" s="105" t="n"/>
      <c r="C906" s="54" t="n"/>
      <c r="D906" s="54" t="n"/>
      <c r="E906" s="54" t="n"/>
      <c r="F906" s="54" t="n"/>
      <c r="G906" s="65" t="n"/>
      <c r="H906" s="54" t="n"/>
      <c r="I906" s="106">
        <f>IF($C906="","",IFERROR(INDEX(Sens_Types,MATCH($C906,Liste_Types,0)),""))</f>
        <v/>
      </c>
      <c r="J906" s="107">
        <f>IF($I906="▲ ENTRÉE",$U906,"")</f>
        <v/>
      </c>
      <c r="K906" s="108">
        <f>IF($I906="▼ SORTIE",$U906,"")</f>
        <v/>
      </c>
      <c r="L906" s="109">
        <f>$L905+N($J906)-N($K906)</f>
        <v/>
      </c>
      <c r="M906" s="110" t="n"/>
      <c r="N906" s="54" t="n"/>
      <c r="O906" s="54" t="n"/>
      <c r="P906" s="54" t="n"/>
      <c r="Q906" s="110" t="n"/>
      <c r="R906" s="110" t="n"/>
      <c r="S906" s="54" t="n"/>
      <c r="T906" s="111">
        <f>IF($G906="","",IFERROR(INDEX(Taux_Devises,MATCH(IF($M906="",Devise_Base,$M906),Codes_Devises,0)),1))</f>
        <v/>
      </c>
      <c r="U906" s="112">
        <f>IF($G906="","",ROUND($G906*$T906,2))</f>
        <v/>
      </c>
      <c r="V906" s="113">
        <f>IF($B906="","",MONTH($B906))</f>
        <v/>
      </c>
      <c r="W906" s="113">
        <f>IF($B906="","",YEAR($B906))</f>
        <v/>
      </c>
    </row>
    <row r="907">
      <c r="B907" s="105" t="n"/>
      <c r="C907" s="54" t="n"/>
      <c r="D907" s="54" t="n"/>
      <c r="E907" s="54" t="n"/>
      <c r="F907" s="54" t="n"/>
      <c r="G907" s="65" t="n"/>
      <c r="H907" s="54" t="n"/>
      <c r="I907" s="106">
        <f>IF($C907="","",IFERROR(INDEX(Sens_Types,MATCH($C907,Liste_Types,0)),""))</f>
        <v/>
      </c>
      <c r="J907" s="107">
        <f>IF($I907="▲ ENTRÉE",$U907,"")</f>
        <v/>
      </c>
      <c r="K907" s="108">
        <f>IF($I907="▼ SORTIE",$U907,"")</f>
        <v/>
      </c>
      <c r="L907" s="109">
        <f>$L906+N($J907)-N($K907)</f>
        <v/>
      </c>
      <c r="M907" s="110" t="n"/>
      <c r="N907" s="54" t="n"/>
      <c r="O907" s="54" t="n"/>
      <c r="P907" s="54" t="n"/>
      <c r="Q907" s="110" t="n"/>
      <c r="R907" s="110" t="n"/>
      <c r="S907" s="54" t="n"/>
      <c r="T907" s="111">
        <f>IF($G907="","",IFERROR(INDEX(Taux_Devises,MATCH(IF($M907="",Devise_Base,$M907),Codes_Devises,0)),1))</f>
        <v/>
      </c>
      <c r="U907" s="112">
        <f>IF($G907="","",ROUND($G907*$T907,2))</f>
        <v/>
      </c>
      <c r="V907" s="113">
        <f>IF($B907="","",MONTH($B907))</f>
        <v/>
      </c>
      <c r="W907" s="113">
        <f>IF($B907="","",YEAR($B907))</f>
        <v/>
      </c>
    </row>
    <row r="908">
      <c r="B908" s="105" t="n"/>
      <c r="C908" s="54" t="n"/>
      <c r="D908" s="54" t="n"/>
      <c r="E908" s="54" t="n"/>
      <c r="F908" s="54" t="n"/>
      <c r="G908" s="65" t="n"/>
      <c r="H908" s="54" t="n"/>
      <c r="I908" s="106">
        <f>IF($C908="","",IFERROR(INDEX(Sens_Types,MATCH($C908,Liste_Types,0)),""))</f>
        <v/>
      </c>
      <c r="J908" s="107">
        <f>IF($I908="▲ ENTRÉE",$U908,"")</f>
        <v/>
      </c>
      <c r="K908" s="108">
        <f>IF($I908="▼ SORTIE",$U908,"")</f>
        <v/>
      </c>
      <c r="L908" s="109">
        <f>$L907+N($J908)-N($K908)</f>
        <v/>
      </c>
      <c r="M908" s="110" t="n"/>
      <c r="N908" s="54" t="n"/>
      <c r="O908" s="54" t="n"/>
      <c r="P908" s="54" t="n"/>
      <c r="Q908" s="110" t="n"/>
      <c r="R908" s="110" t="n"/>
      <c r="S908" s="54" t="n"/>
      <c r="T908" s="111">
        <f>IF($G908="","",IFERROR(INDEX(Taux_Devises,MATCH(IF($M908="",Devise_Base,$M908),Codes_Devises,0)),1))</f>
        <v/>
      </c>
      <c r="U908" s="112">
        <f>IF($G908="","",ROUND($G908*$T908,2))</f>
        <v/>
      </c>
      <c r="V908" s="113">
        <f>IF($B908="","",MONTH($B908))</f>
        <v/>
      </c>
      <c r="W908" s="113">
        <f>IF($B908="","",YEAR($B908))</f>
        <v/>
      </c>
    </row>
    <row r="909">
      <c r="B909" s="105" t="n"/>
      <c r="C909" s="54" t="n"/>
      <c r="D909" s="54" t="n"/>
      <c r="E909" s="54" t="n"/>
      <c r="F909" s="54" t="n"/>
      <c r="G909" s="65" t="n"/>
      <c r="H909" s="54" t="n"/>
      <c r="I909" s="106">
        <f>IF($C909="","",IFERROR(INDEX(Sens_Types,MATCH($C909,Liste_Types,0)),""))</f>
        <v/>
      </c>
      <c r="J909" s="107">
        <f>IF($I909="▲ ENTRÉE",$U909,"")</f>
        <v/>
      </c>
      <c r="K909" s="108">
        <f>IF($I909="▼ SORTIE",$U909,"")</f>
        <v/>
      </c>
      <c r="L909" s="109">
        <f>$L908+N($J909)-N($K909)</f>
        <v/>
      </c>
      <c r="M909" s="110" t="n"/>
      <c r="N909" s="54" t="n"/>
      <c r="O909" s="54" t="n"/>
      <c r="P909" s="54" t="n"/>
      <c r="Q909" s="110" t="n"/>
      <c r="R909" s="110" t="n"/>
      <c r="S909" s="54" t="n"/>
      <c r="T909" s="111">
        <f>IF($G909="","",IFERROR(INDEX(Taux_Devises,MATCH(IF($M909="",Devise_Base,$M909),Codes_Devises,0)),1))</f>
        <v/>
      </c>
      <c r="U909" s="112">
        <f>IF($G909="","",ROUND($G909*$T909,2))</f>
        <v/>
      </c>
      <c r="V909" s="113">
        <f>IF($B909="","",MONTH($B909))</f>
        <v/>
      </c>
      <c r="W909" s="113">
        <f>IF($B909="","",YEAR($B909))</f>
        <v/>
      </c>
    </row>
    <row r="910">
      <c r="B910" s="105" t="n"/>
      <c r="C910" s="54" t="n"/>
      <c r="D910" s="54" t="n"/>
      <c r="E910" s="54" t="n"/>
      <c r="F910" s="54" t="n"/>
      <c r="G910" s="65" t="n"/>
      <c r="H910" s="54" t="n"/>
      <c r="I910" s="106">
        <f>IF($C910="","",IFERROR(INDEX(Sens_Types,MATCH($C910,Liste_Types,0)),""))</f>
        <v/>
      </c>
      <c r="J910" s="107">
        <f>IF($I910="▲ ENTRÉE",$U910,"")</f>
        <v/>
      </c>
      <c r="K910" s="108">
        <f>IF($I910="▼ SORTIE",$U910,"")</f>
        <v/>
      </c>
      <c r="L910" s="109">
        <f>$L909+N($J910)-N($K910)</f>
        <v/>
      </c>
      <c r="M910" s="110" t="n"/>
      <c r="N910" s="54" t="n"/>
      <c r="O910" s="54" t="n"/>
      <c r="P910" s="54" t="n"/>
      <c r="Q910" s="110" t="n"/>
      <c r="R910" s="110" t="n"/>
      <c r="S910" s="54" t="n"/>
      <c r="T910" s="111">
        <f>IF($G910="","",IFERROR(INDEX(Taux_Devises,MATCH(IF($M910="",Devise_Base,$M910),Codes_Devises,0)),1))</f>
        <v/>
      </c>
      <c r="U910" s="112">
        <f>IF($G910="","",ROUND($G910*$T910,2))</f>
        <v/>
      </c>
      <c r="V910" s="113">
        <f>IF($B910="","",MONTH($B910))</f>
        <v/>
      </c>
      <c r="W910" s="113">
        <f>IF($B910="","",YEAR($B910))</f>
        <v/>
      </c>
    </row>
    <row r="911">
      <c r="B911" s="105" t="n"/>
      <c r="C911" s="54" t="n"/>
      <c r="D911" s="54" t="n"/>
      <c r="E911" s="54" t="n"/>
      <c r="F911" s="54" t="n"/>
      <c r="G911" s="65" t="n"/>
      <c r="H911" s="54" t="n"/>
      <c r="I911" s="106">
        <f>IF($C911="","",IFERROR(INDEX(Sens_Types,MATCH($C911,Liste_Types,0)),""))</f>
        <v/>
      </c>
      <c r="J911" s="107">
        <f>IF($I911="▲ ENTRÉE",$U911,"")</f>
        <v/>
      </c>
      <c r="K911" s="108">
        <f>IF($I911="▼ SORTIE",$U911,"")</f>
        <v/>
      </c>
      <c r="L911" s="109">
        <f>$L910+N($J911)-N($K911)</f>
        <v/>
      </c>
      <c r="M911" s="110" t="n"/>
      <c r="N911" s="54" t="n"/>
      <c r="O911" s="54" t="n"/>
      <c r="P911" s="54" t="n"/>
      <c r="Q911" s="110" t="n"/>
      <c r="R911" s="110" t="n"/>
      <c r="S911" s="54" t="n"/>
      <c r="T911" s="111">
        <f>IF($G911="","",IFERROR(INDEX(Taux_Devises,MATCH(IF($M911="",Devise_Base,$M911),Codes_Devises,0)),1))</f>
        <v/>
      </c>
      <c r="U911" s="112">
        <f>IF($G911="","",ROUND($G911*$T911,2))</f>
        <v/>
      </c>
      <c r="V911" s="113">
        <f>IF($B911="","",MONTH($B911))</f>
        <v/>
      </c>
      <c r="W911" s="113">
        <f>IF($B911="","",YEAR($B911))</f>
        <v/>
      </c>
    </row>
    <row r="912">
      <c r="B912" s="105" t="n"/>
      <c r="C912" s="54" t="n"/>
      <c r="D912" s="54" t="n"/>
      <c r="E912" s="54" t="n"/>
      <c r="F912" s="54" t="n"/>
      <c r="G912" s="65" t="n"/>
      <c r="H912" s="54" t="n"/>
      <c r="I912" s="106">
        <f>IF($C912="","",IFERROR(INDEX(Sens_Types,MATCH($C912,Liste_Types,0)),""))</f>
        <v/>
      </c>
      <c r="J912" s="107">
        <f>IF($I912="▲ ENTRÉE",$U912,"")</f>
        <v/>
      </c>
      <c r="K912" s="108">
        <f>IF($I912="▼ SORTIE",$U912,"")</f>
        <v/>
      </c>
      <c r="L912" s="109">
        <f>$L911+N($J912)-N($K912)</f>
        <v/>
      </c>
      <c r="M912" s="110" t="n"/>
      <c r="N912" s="54" t="n"/>
      <c r="O912" s="54" t="n"/>
      <c r="P912" s="54" t="n"/>
      <c r="Q912" s="110" t="n"/>
      <c r="R912" s="110" t="n"/>
      <c r="S912" s="54" t="n"/>
      <c r="T912" s="111">
        <f>IF($G912="","",IFERROR(INDEX(Taux_Devises,MATCH(IF($M912="",Devise_Base,$M912),Codes_Devises,0)),1))</f>
        <v/>
      </c>
      <c r="U912" s="112">
        <f>IF($G912="","",ROUND($G912*$T912,2))</f>
        <v/>
      </c>
      <c r="V912" s="113">
        <f>IF($B912="","",MONTH($B912))</f>
        <v/>
      </c>
      <c r="W912" s="113">
        <f>IF($B912="","",YEAR($B912))</f>
        <v/>
      </c>
    </row>
    <row r="913">
      <c r="B913" s="105" t="n"/>
      <c r="C913" s="54" t="n"/>
      <c r="D913" s="54" t="n"/>
      <c r="E913" s="54" t="n"/>
      <c r="F913" s="54" t="n"/>
      <c r="G913" s="65" t="n"/>
      <c r="H913" s="54" t="n"/>
      <c r="I913" s="106">
        <f>IF($C913="","",IFERROR(INDEX(Sens_Types,MATCH($C913,Liste_Types,0)),""))</f>
        <v/>
      </c>
      <c r="J913" s="107">
        <f>IF($I913="▲ ENTRÉE",$U913,"")</f>
        <v/>
      </c>
      <c r="K913" s="108">
        <f>IF($I913="▼ SORTIE",$U913,"")</f>
        <v/>
      </c>
      <c r="L913" s="109">
        <f>$L912+N($J913)-N($K913)</f>
        <v/>
      </c>
      <c r="M913" s="110" t="n"/>
      <c r="N913" s="54" t="n"/>
      <c r="O913" s="54" t="n"/>
      <c r="P913" s="54" t="n"/>
      <c r="Q913" s="110" t="n"/>
      <c r="R913" s="110" t="n"/>
      <c r="S913" s="54" t="n"/>
      <c r="T913" s="111">
        <f>IF($G913="","",IFERROR(INDEX(Taux_Devises,MATCH(IF($M913="",Devise_Base,$M913),Codes_Devises,0)),1))</f>
        <v/>
      </c>
      <c r="U913" s="112">
        <f>IF($G913="","",ROUND($G913*$T913,2))</f>
        <v/>
      </c>
      <c r="V913" s="113">
        <f>IF($B913="","",MONTH($B913))</f>
        <v/>
      </c>
      <c r="W913" s="113">
        <f>IF($B913="","",YEAR($B913))</f>
        <v/>
      </c>
    </row>
    <row r="914">
      <c r="B914" s="105" t="n"/>
      <c r="C914" s="54" t="n"/>
      <c r="D914" s="54" t="n"/>
      <c r="E914" s="54" t="n"/>
      <c r="F914" s="54" t="n"/>
      <c r="G914" s="65" t="n"/>
      <c r="H914" s="54" t="n"/>
      <c r="I914" s="106">
        <f>IF($C914="","",IFERROR(INDEX(Sens_Types,MATCH($C914,Liste_Types,0)),""))</f>
        <v/>
      </c>
      <c r="J914" s="107">
        <f>IF($I914="▲ ENTRÉE",$U914,"")</f>
        <v/>
      </c>
      <c r="K914" s="108">
        <f>IF($I914="▼ SORTIE",$U914,"")</f>
        <v/>
      </c>
      <c r="L914" s="109">
        <f>$L913+N($J914)-N($K914)</f>
        <v/>
      </c>
      <c r="M914" s="110" t="n"/>
      <c r="N914" s="54" t="n"/>
      <c r="O914" s="54" t="n"/>
      <c r="P914" s="54" t="n"/>
      <c r="Q914" s="110" t="n"/>
      <c r="R914" s="110" t="n"/>
      <c r="S914" s="54" t="n"/>
      <c r="T914" s="111">
        <f>IF($G914="","",IFERROR(INDEX(Taux_Devises,MATCH(IF($M914="",Devise_Base,$M914),Codes_Devises,0)),1))</f>
        <v/>
      </c>
      <c r="U914" s="112">
        <f>IF($G914="","",ROUND($G914*$T914,2))</f>
        <v/>
      </c>
      <c r="V914" s="113">
        <f>IF($B914="","",MONTH($B914))</f>
        <v/>
      </c>
      <c r="W914" s="113">
        <f>IF($B914="","",YEAR($B914))</f>
        <v/>
      </c>
    </row>
    <row r="915">
      <c r="B915" s="105" t="n"/>
      <c r="C915" s="54" t="n"/>
      <c r="D915" s="54" t="n"/>
      <c r="E915" s="54" t="n"/>
      <c r="F915" s="54" t="n"/>
      <c r="G915" s="65" t="n"/>
      <c r="H915" s="54" t="n"/>
      <c r="I915" s="106">
        <f>IF($C915="","",IFERROR(INDEX(Sens_Types,MATCH($C915,Liste_Types,0)),""))</f>
        <v/>
      </c>
      <c r="J915" s="107">
        <f>IF($I915="▲ ENTRÉE",$U915,"")</f>
        <v/>
      </c>
      <c r="K915" s="108">
        <f>IF($I915="▼ SORTIE",$U915,"")</f>
        <v/>
      </c>
      <c r="L915" s="109">
        <f>$L914+N($J915)-N($K915)</f>
        <v/>
      </c>
      <c r="M915" s="110" t="n"/>
      <c r="N915" s="54" t="n"/>
      <c r="O915" s="54" t="n"/>
      <c r="P915" s="54" t="n"/>
      <c r="Q915" s="110" t="n"/>
      <c r="R915" s="110" t="n"/>
      <c r="S915" s="54" t="n"/>
      <c r="T915" s="111">
        <f>IF($G915="","",IFERROR(INDEX(Taux_Devises,MATCH(IF($M915="",Devise_Base,$M915),Codes_Devises,0)),1))</f>
        <v/>
      </c>
      <c r="U915" s="112">
        <f>IF($G915="","",ROUND($G915*$T915,2))</f>
        <v/>
      </c>
      <c r="V915" s="113">
        <f>IF($B915="","",MONTH($B915))</f>
        <v/>
      </c>
      <c r="W915" s="113">
        <f>IF($B915="","",YEAR($B915))</f>
        <v/>
      </c>
    </row>
    <row r="916">
      <c r="B916" s="105" t="n"/>
      <c r="C916" s="54" t="n"/>
      <c r="D916" s="54" t="n"/>
      <c r="E916" s="54" t="n"/>
      <c r="F916" s="54" t="n"/>
      <c r="G916" s="65" t="n"/>
      <c r="H916" s="54" t="n"/>
      <c r="I916" s="106">
        <f>IF($C916="","",IFERROR(INDEX(Sens_Types,MATCH($C916,Liste_Types,0)),""))</f>
        <v/>
      </c>
      <c r="J916" s="107">
        <f>IF($I916="▲ ENTRÉE",$U916,"")</f>
        <v/>
      </c>
      <c r="K916" s="108">
        <f>IF($I916="▼ SORTIE",$U916,"")</f>
        <v/>
      </c>
      <c r="L916" s="109">
        <f>$L915+N($J916)-N($K916)</f>
        <v/>
      </c>
      <c r="M916" s="110" t="n"/>
      <c r="N916" s="54" t="n"/>
      <c r="O916" s="54" t="n"/>
      <c r="P916" s="54" t="n"/>
      <c r="Q916" s="110" t="n"/>
      <c r="R916" s="110" t="n"/>
      <c r="S916" s="54" t="n"/>
      <c r="T916" s="111">
        <f>IF($G916="","",IFERROR(INDEX(Taux_Devises,MATCH(IF($M916="",Devise_Base,$M916),Codes_Devises,0)),1))</f>
        <v/>
      </c>
      <c r="U916" s="112">
        <f>IF($G916="","",ROUND($G916*$T916,2))</f>
        <v/>
      </c>
      <c r="V916" s="113">
        <f>IF($B916="","",MONTH($B916))</f>
        <v/>
      </c>
      <c r="W916" s="113">
        <f>IF($B916="","",YEAR($B916))</f>
        <v/>
      </c>
    </row>
    <row r="917">
      <c r="B917" s="105" t="n"/>
      <c r="C917" s="54" t="n"/>
      <c r="D917" s="54" t="n"/>
      <c r="E917" s="54" t="n"/>
      <c r="F917" s="54" t="n"/>
      <c r="G917" s="65" t="n"/>
      <c r="H917" s="54" t="n"/>
      <c r="I917" s="106">
        <f>IF($C917="","",IFERROR(INDEX(Sens_Types,MATCH($C917,Liste_Types,0)),""))</f>
        <v/>
      </c>
      <c r="J917" s="107">
        <f>IF($I917="▲ ENTRÉE",$U917,"")</f>
        <v/>
      </c>
      <c r="K917" s="108">
        <f>IF($I917="▼ SORTIE",$U917,"")</f>
        <v/>
      </c>
      <c r="L917" s="109">
        <f>$L916+N($J917)-N($K917)</f>
        <v/>
      </c>
      <c r="M917" s="110" t="n"/>
      <c r="N917" s="54" t="n"/>
      <c r="O917" s="54" t="n"/>
      <c r="P917" s="54" t="n"/>
      <c r="Q917" s="110" t="n"/>
      <c r="R917" s="110" t="n"/>
      <c r="S917" s="54" t="n"/>
      <c r="T917" s="111">
        <f>IF($G917="","",IFERROR(INDEX(Taux_Devises,MATCH(IF($M917="",Devise_Base,$M917),Codes_Devises,0)),1))</f>
        <v/>
      </c>
      <c r="U917" s="112">
        <f>IF($G917="","",ROUND($G917*$T917,2))</f>
        <v/>
      </c>
      <c r="V917" s="113">
        <f>IF($B917="","",MONTH($B917))</f>
        <v/>
      </c>
      <c r="W917" s="113">
        <f>IF($B917="","",YEAR($B917))</f>
        <v/>
      </c>
    </row>
    <row r="918">
      <c r="B918" s="105" t="n"/>
      <c r="C918" s="54" t="n"/>
      <c r="D918" s="54" t="n"/>
      <c r="E918" s="54" t="n"/>
      <c r="F918" s="54" t="n"/>
      <c r="G918" s="65" t="n"/>
      <c r="H918" s="54" t="n"/>
      <c r="I918" s="106">
        <f>IF($C918="","",IFERROR(INDEX(Sens_Types,MATCH($C918,Liste_Types,0)),""))</f>
        <v/>
      </c>
      <c r="J918" s="107">
        <f>IF($I918="▲ ENTRÉE",$U918,"")</f>
        <v/>
      </c>
      <c r="K918" s="108">
        <f>IF($I918="▼ SORTIE",$U918,"")</f>
        <v/>
      </c>
      <c r="L918" s="109">
        <f>$L917+N($J918)-N($K918)</f>
        <v/>
      </c>
      <c r="M918" s="110" t="n"/>
      <c r="N918" s="54" t="n"/>
      <c r="O918" s="54" t="n"/>
      <c r="P918" s="54" t="n"/>
      <c r="Q918" s="110" t="n"/>
      <c r="R918" s="110" t="n"/>
      <c r="S918" s="54" t="n"/>
      <c r="T918" s="111">
        <f>IF($G918="","",IFERROR(INDEX(Taux_Devises,MATCH(IF($M918="",Devise_Base,$M918),Codes_Devises,0)),1))</f>
        <v/>
      </c>
      <c r="U918" s="112">
        <f>IF($G918="","",ROUND($G918*$T918,2))</f>
        <v/>
      </c>
      <c r="V918" s="113">
        <f>IF($B918="","",MONTH($B918))</f>
        <v/>
      </c>
      <c r="W918" s="113">
        <f>IF($B918="","",YEAR($B918))</f>
        <v/>
      </c>
    </row>
    <row r="919">
      <c r="B919" s="105" t="n"/>
      <c r="C919" s="54" t="n"/>
      <c r="D919" s="54" t="n"/>
      <c r="E919" s="54" t="n"/>
      <c r="F919" s="54" t="n"/>
      <c r="G919" s="65" t="n"/>
      <c r="H919" s="54" t="n"/>
      <c r="I919" s="106">
        <f>IF($C919="","",IFERROR(INDEX(Sens_Types,MATCH($C919,Liste_Types,0)),""))</f>
        <v/>
      </c>
      <c r="J919" s="107">
        <f>IF($I919="▲ ENTRÉE",$U919,"")</f>
        <v/>
      </c>
      <c r="K919" s="108">
        <f>IF($I919="▼ SORTIE",$U919,"")</f>
        <v/>
      </c>
      <c r="L919" s="109">
        <f>$L918+N($J919)-N($K919)</f>
        <v/>
      </c>
      <c r="M919" s="110" t="n"/>
      <c r="N919" s="54" t="n"/>
      <c r="O919" s="54" t="n"/>
      <c r="P919" s="54" t="n"/>
      <c r="Q919" s="110" t="n"/>
      <c r="R919" s="110" t="n"/>
      <c r="S919" s="54" t="n"/>
      <c r="T919" s="111">
        <f>IF($G919="","",IFERROR(INDEX(Taux_Devises,MATCH(IF($M919="",Devise_Base,$M919),Codes_Devises,0)),1))</f>
        <v/>
      </c>
      <c r="U919" s="112">
        <f>IF($G919="","",ROUND($G919*$T919,2))</f>
        <v/>
      </c>
      <c r="V919" s="113">
        <f>IF($B919="","",MONTH($B919))</f>
        <v/>
      </c>
      <c r="W919" s="113">
        <f>IF($B919="","",YEAR($B919))</f>
        <v/>
      </c>
    </row>
    <row r="920">
      <c r="B920" s="105" t="n"/>
      <c r="C920" s="54" t="n"/>
      <c r="D920" s="54" t="n"/>
      <c r="E920" s="54" t="n"/>
      <c r="F920" s="54" t="n"/>
      <c r="G920" s="65" t="n"/>
      <c r="H920" s="54" t="n"/>
      <c r="I920" s="106">
        <f>IF($C920="","",IFERROR(INDEX(Sens_Types,MATCH($C920,Liste_Types,0)),""))</f>
        <v/>
      </c>
      <c r="J920" s="107">
        <f>IF($I920="▲ ENTRÉE",$U920,"")</f>
        <v/>
      </c>
      <c r="K920" s="108">
        <f>IF($I920="▼ SORTIE",$U920,"")</f>
        <v/>
      </c>
      <c r="L920" s="109">
        <f>$L919+N($J920)-N($K920)</f>
        <v/>
      </c>
      <c r="M920" s="110" t="n"/>
      <c r="N920" s="54" t="n"/>
      <c r="O920" s="54" t="n"/>
      <c r="P920" s="54" t="n"/>
      <c r="Q920" s="110" t="n"/>
      <c r="R920" s="110" t="n"/>
      <c r="S920" s="54" t="n"/>
      <c r="T920" s="111">
        <f>IF($G920="","",IFERROR(INDEX(Taux_Devises,MATCH(IF($M920="",Devise_Base,$M920),Codes_Devises,0)),1))</f>
        <v/>
      </c>
      <c r="U920" s="112">
        <f>IF($G920="","",ROUND($G920*$T920,2))</f>
        <v/>
      </c>
      <c r="V920" s="113">
        <f>IF($B920="","",MONTH($B920))</f>
        <v/>
      </c>
      <c r="W920" s="113">
        <f>IF($B920="","",YEAR($B920))</f>
        <v/>
      </c>
    </row>
    <row r="921">
      <c r="B921" s="105" t="n"/>
      <c r="C921" s="54" t="n"/>
      <c r="D921" s="54" t="n"/>
      <c r="E921" s="54" t="n"/>
      <c r="F921" s="54" t="n"/>
      <c r="G921" s="65" t="n"/>
      <c r="H921" s="54" t="n"/>
      <c r="I921" s="106">
        <f>IF($C921="","",IFERROR(INDEX(Sens_Types,MATCH($C921,Liste_Types,0)),""))</f>
        <v/>
      </c>
      <c r="J921" s="107">
        <f>IF($I921="▲ ENTRÉE",$U921,"")</f>
        <v/>
      </c>
      <c r="K921" s="108">
        <f>IF($I921="▼ SORTIE",$U921,"")</f>
        <v/>
      </c>
      <c r="L921" s="109">
        <f>$L920+N($J921)-N($K921)</f>
        <v/>
      </c>
      <c r="M921" s="110" t="n"/>
      <c r="N921" s="54" t="n"/>
      <c r="O921" s="54" t="n"/>
      <c r="P921" s="54" t="n"/>
      <c r="Q921" s="110" t="n"/>
      <c r="R921" s="110" t="n"/>
      <c r="S921" s="54" t="n"/>
      <c r="T921" s="111">
        <f>IF($G921="","",IFERROR(INDEX(Taux_Devises,MATCH(IF($M921="",Devise_Base,$M921),Codes_Devises,0)),1))</f>
        <v/>
      </c>
      <c r="U921" s="112">
        <f>IF($G921="","",ROUND($G921*$T921,2))</f>
        <v/>
      </c>
      <c r="V921" s="113">
        <f>IF($B921="","",MONTH($B921))</f>
        <v/>
      </c>
      <c r="W921" s="113">
        <f>IF($B921="","",YEAR($B921))</f>
        <v/>
      </c>
    </row>
    <row r="922">
      <c r="B922" s="105" t="n"/>
      <c r="C922" s="54" t="n"/>
      <c r="D922" s="54" t="n"/>
      <c r="E922" s="54" t="n"/>
      <c r="F922" s="54" t="n"/>
      <c r="G922" s="65" t="n"/>
      <c r="H922" s="54" t="n"/>
      <c r="I922" s="106">
        <f>IF($C922="","",IFERROR(INDEX(Sens_Types,MATCH($C922,Liste_Types,0)),""))</f>
        <v/>
      </c>
      <c r="J922" s="107">
        <f>IF($I922="▲ ENTRÉE",$U922,"")</f>
        <v/>
      </c>
      <c r="K922" s="108">
        <f>IF($I922="▼ SORTIE",$U922,"")</f>
        <v/>
      </c>
      <c r="L922" s="109">
        <f>$L921+N($J922)-N($K922)</f>
        <v/>
      </c>
      <c r="M922" s="110" t="n"/>
      <c r="N922" s="54" t="n"/>
      <c r="O922" s="54" t="n"/>
      <c r="P922" s="54" t="n"/>
      <c r="Q922" s="110" t="n"/>
      <c r="R922" s="110" t="n"/>
      <c r="S922" s="54" t="n"/>
      <c r="T922" s="111">
        <f>IF($G922="","",IFERROR(INDEX(Taux_Devises,MATCH(IF($M922="",Devise_Base,$M922),Codes_Devises,0)),1))</f>
        <v/>
      </c>
      <c r="U922" s="112">
        <f>IF($G922="","",ROUND($G922*$T922,2))</f>
        <v/>
      </c>
      <c r="V922" s="113">
        <f>IF($B922="","",MONTH($B922))</f>
        <v/>
      </c>
      <c r="W922" s="113">
        <f>IF($B922="","",YEAR($B922))</f>
        <v/>
      </c>
    </row>
    <row r="923">
      <c r="B923" s="105" t="n"/>
      <c r="C923" s="54" t="n"/>
      <c r="D923" s="54" t="n"/>
      <c r="E923" s="54" t="n"/>
      <c r="F923" s="54" t="n"/>
      <c r="G923" s="65" t="n"/>
      <c r="H923" s="54" t="n"/>
      <c r="I923" s="106">
        <f>IF($C923="","",IFERROR(INDEX(Sens_Types,MATCH($C923,Liste_Types,0)),""))</f>
        <v/>
      </c>
      <c r="J923" s="107">
        <f>IF($I923="▲ ENTRÉE",$U923,"")</f>
        <v/>
      </c>
      <c r="K923" s="108">
        <f>IF($I923="▼ SORTIE",$U923,"")</f>
        <v/>
      </c>
      <c r="L923" s="109">
        <f>$L922+N($J923)-N($K923)</f>
        <v/>
      </c>
      <c r="M923" s="110" t="n"/>
      <c r="N923" s="54" t="n"/>
      <c r="O923" s="54" t="n"/>
      <c r="P923" s="54" t="n"/>
      <c r="Q923" s="110" t="n"/>
      <c r="R923" s="110" t="n"/>
      <c r="S923" s="54" t="n"/>
      <c r="T923" s="111">
        <f>IF($G923="","",IFERROR(INDEX(Taux_Devises,MATCH(IF($M923="",Devise_Base,$M923),Codes_Devises,0)),1))</f>
        <v/>
      </c>
      <c r="U923" s="112">
        <f>IF($G923="","",ROUND($G923*$T923,2))</f>
        <v/>
      </c>
      <c r="V923" s="113">
        <f>IF($B923="","",MONTH($B923))</f>
        <v/>
      </c>
      <c r="W923" s="113">
        <f>IF($B923="","",YEAR($B923))</f>
        <v/>
      </c>
    </row>
    <row r="924">
      <c r="B924" s="105" t="n"/>
      <c r="C924" s="54" t="n"/>
      <c r="D924" s="54" t="n"/>
      <c r="E924" s="54" t="n"/>
      <c r="F924" s="54" t="n"/>
      <c r="G924" s="65" t="n"/>
      <c r="H924" s="54" t="n"/>
      <c r="I924" s="106">
        <f>IF($C924="","",IFERROR(INDEX(Sens_Types,MATCH($C924,Liste_Types,0)),""))</f>
        <v/>
      </c>
      <c r="J924" s="107">
        <f>IF($I924="▲ ENTRÉE",$U924,"")</f>
        <v/>
      </c>
      <c r="K924" s="108">
        <f>IF($I924="▼ SORTIE",$U924,"")</f>
        <v/>
      </c>
      <c r="L924" s="109">
        <f>$L923+N($J924)-N($K924)</f>
        <v/>
      </c>
      <c r="M924" s="110" t="n"/>
      <c r="N924" s="54" t="n"/>
      <c r="O924" s="54" t="n"/>
      <c r="P924" s="54" t="n"/>
      <c r="Q924" s="110" t="n"/>
      <c r="R924" s="110" t="n"/>
      <c r="S924" s="54" t="n"/>
      <c r="T924" s="111">
        <f>IF($G924="","",IFERROR(INDEX(Taux_Devises,MATCH(IF($M924="",Devise_Base,$M924),Codes_Devises,0)),1))</f>
        <v/>
      </c>
      <c r="U924" s="112">
        <f>IF($G924="","",ROUND($G924*$T924,2))</f>
        <v/>
      </c>
      <c r="V924" s="113">
        <f>IF($B924="","",MONTH($B924))</f>
        <v/>
      </c>
      <c r="W924" s="113">
        <f>IF($B924="","",YEAR($B924))</f>
        <v/>
      </c>
    </row>
    <row r="925">
      <c r="B925" s="105" t="n"/>
      <c r="C925" s="54" t="n"/>
      <c r="D925" s="54" t="n"/>
      <c r="E925" s="54" t="n"/>
      <c r="F925" s="54" t="n"/>
      <c r="G925" s="65" t="n"/>
      <c r="H925" s="54" t="n"/>
      <c r="I925" s="106">
        <f>IF($C925="","",IFERROR(INDEX(Sens_Types,MATCH($C925,Liste_Types,0)),""))</f>
        <v/>
      </c>
      <c r="J925" s="107">
        <f>IF($I925="▲ ENTRÉE",$U925,"")</f>
        <v/>
      </c>
      <c r="K925" s="108">
        <f>IF($I925="▼ SORTIE",$U925,"")</f>
        <v/>
      </c>
      <c r="L925" s="109">
        <f>$L924+N($J925)-N($K925)</f>
        <v/>
      </c>
      <c r="M925" s="110" t="n"/>
      <c r="N925" s="54" t="n"/>
      <c r="O925" s="54" t="n"/>
      <c r="P925" s="54" t="n"/>
      <c r="Q925" s="110" t="n"/>
      <c r="R925" s="110" t="n"/>
      <c r="S925" s="54" t="n"/>
      <c r="T925" s="111">
        <f>IF($G925="","",IFERROR(INDEX(Taux_Devises,MATCH(IF($M925="",Devise_Base,$M925),Codes_Devises,0)),1))</f>
        <v/>
      </c>
      <c r="U925" s="112">
        <f>IF($G925="","",ROUND($G925*$T925,2))</f>
        <v/>
      </c>
      <c r="V925" s="113">
        <f>IF($B925="","",MONTH($B925))</f>
        <v/>
      </c>
      <c r="W925" s="113">
        <f>IF($B925="","",YEAR($B925))</f>
        <v/>
      </c>
    </row>
    <row r="926">
      <c r="B926" s="105" t="n"/>
      <c r="C926" s="54" t="n"/>
      <c r="D926" s="54" t="n"/>
      <c r="E926" s="54" t="n"/>
      <c r="F926" s="54" t="n"/>
      <c r="G926" s="65" t="n"/>
      <c r="H926" s="54" t="n"/>
      <c r="I926" s="106">
        <f>IF($C926="","",IFERROR(INDEX(Sens_Types,MATCH($C926,Liste_Types,0)),""))</f>
        <v/>
      </c>
      <c r="J926" s="107">
        <f>IF($I926="▲ ENTRÉE",$U926,"")</f>
        <v/>
      </c>
      <c r="K926" s="108">
        <f>IF($I926="▼ SORTIE",$U926,"")</f>
        <v/>
      </c>
      <c r="L926" s="109">
        <f>$L925+N($J926)-N($K926)</f>
        <v/>
      </c>
      <c r="M926" s="110" t="n"/>
      <c r="N926" s="54" t="n"/>
      <c r="O926" s="54" t="n"/>
      <c r="P926" s="54" t="n"/>
      <c r="Q926" s="110" t="n"/>
      <c r="R926" s="110" t="n"/>
      <c r="S926" s="54" t="n"/>
      <c r="T926" s="111">
        <f>IF($G926="","",IFERROR(INDEX(Taux_Devises,MATCH(IF($M926="",Devise_Base,$M926),Codes_Devises,0)),1))</f>
        <v/>
      </c>
      <c r="U926" s="112">
        <f>IF($G926="","",ROUND($G926*$T926,2))</f>
        <v/>
      </c>
      <c r="V926" s="113">
        <f>IF($B926="","",MONTH($B926))</f>
        <v/>
      </c>
      <c r="W926" s="113">
        <f>IF($B926="","",YEAR($B926))</f>
        <v/>
      </c>
    </row>
    <row r="927">
      <c r="B927" s="105" t="n"/>
      <c r="C927" s="54" t="n"/>
      <c r="D927" s="54" t="n"/>
      <c r="E927" s="54" t="n"/>
      <c r="F927" s="54" t="n"/>
      <c r="G927" s="65" t="n"/>
      <c r="H927" s="54" t="n"/>
      <c r="I927" s="106">
        <f>IF($C927="","",IFERROR(INDEX(Sens_Types,MATCH($C927,Liste_Types,0)),""))</f>
        <v/>
      </c>
      <c r="J927" s="107">
        <f>IF($I927="▲ ENTRÉE",$U927,"")</f>
        <v/>
      </c>
      <c r="K927" s="108">
        <f>IF($I927="▼ SORTIE",$U927,"")</f>
        <v/>
      </c>
      <c r="L927" s="109">
        <f>$L926+N($J927)-N($K927)</f>
        <v/>
      </c>
      <c r="M927" s="110" t="n"/>
      <c r="N927" s="54" t="n"/>
      <c r="O927" s="54" t="n"/>
      <c r="P927" s="54" t="n"/>
      <c r="Q927" s="110" t="n"/>
      <c r="R927" s="110" t="n"/>
      <c r="S927" s="54" t="n"/>
      <c r="T927" s="111">
        <f>IF($G927="","",IFERROR(INDEX(Taux_Devises,MATCH(IF($M927="",Devise_Base,$M927),Codes_Devises,0)),1))</f>
        <v/>
      </c>
      <c r="U927" s="112">
        <f>IF($G927="","",ROUND($G927*$T927,2))</f>
        <v/>
      </c>
      <c r="V927" s="113">
        <f>IF($B927="","",MONTH($B927))</f>
        <v/>
      </c>
      <c r="W927" s="113">
        <f>IF($B927="","",YEAR($B927))</f>
        <v/>
      </c>
    </row>
    <row r="928">
      <c r="B928" s="105" t="n"/>
      <c r="C928" s="54" t="n"/>
      <c r="D928" s="54" t="n"/>
      <c r="E928" s="54" t="n"/>
      <c r="F928" s="54" t="n"/>
      <c r="G928" s="65" t="n"/>
      <c r="H928" s="54" t="n"/>
      <c r="I928" s="106">
        <f>IF($C928="","",IFERROR(INDEX(Sens_Types,MATCH($C928,Liste_Types,0)),""))</f>
        <v/>
      </c>
      <c r="J928" s="107">
        <f>IF($I928="▲ ENTRÉE",$U928,"")</f>
        <v/>
      </c>
      <c r="K928" s="108">
        <f>IF($I928="▼ SORTIE",$U928,"")</f>
        <v/>
      </c>
      <c r="L928" s="109">
        <f>$L927+N($J928)-N($K928)</f>
        <v/>
      </c>
      <c r="M928" s="110" t="n"/>
      <c r="N928" s="54" t="n"/>
      <c r="O928" s="54" t="n"/>
      <c r="P928" s="54" t="n"/>
      <c r="Q928" s="110" t="n"/>
      <c r="R928" s="110" t="n"/>
      <c r="S928" s="54" t="n"/>
      <c r="T928" s="111">
        <f>IF($G928="","",IFERROR(INDEX(Taux_Devises,MATCH(IF($M928="",Devise_Base,$M928),Codes_Devises,0)),1))</f>
        <v/>
      </c>
      <c r="U928" s="112">
        <f>IF($G928="","",ROUND($G928*$T928,2))</f>
        <v/>
      </c>
      <c r="V928" s="113">
        <f>IF($B928="","",MONTH($B928))</f>
        <v/>
      </c>
      <c r="W928" s="113">
        <f>IF($B928="","",YEAR($B928))</f>
        <v/>
      </c>
    </row>
    <row r="929">
      <c r="B929" s="105" t="n"/>
      <c r="C929" s="54" t="n"/>
      <c r="D929" s="54" t="n"/>
      <c r="E929" s="54" t="n"/>
      <c r="F929" s="54" t="n"/>
      <c r="G929" s="65" t="n"/>
      <c r="H929" s="54" t="n"/>
      <c r="I929" s="106">
        <f>IF($C929="","",IFERROR(INDEX(Sens_Types,MATCH($C929,Liste_Types,0)),""))</f>
        <v/>
      </c>
      <c r="J929" s="107">
        <f>IF($I929="▲ ENTRÉE",$U929,"")</f>
        <v/>
      </c>
      <c r="K929" s="108">
        <f>IF($I929="▼ SORTIE",$U929,"")</f>
        <v/>
      </c>
      <c r="L929" s="109">
        <f>$L928+N($J929)-N($K929)</f>
        <v/>
      </c>
      <c r="M929" s="110" t="n"/>
      <c r="N929" s="54" t="n"/>
      <c r="O929" s="54" t="n"/>
      <c r="P929" s="54" t="n"/>
      <c r="Q929" s="110" t="n"/>
      <c r="R929" s="110" t="n"/>
      <c r="S929" s="54" t="n"/>
      <c r="T929" s="111">
        <f>IF($G929="","",IFERROR(INDEX(Taux_Devises,MATCH(IF($M929="",Devise_Base,$M929),Codes_Devises,0)),1))</f>
        <v/>
      </c>
      <c r="U929" s="112">
        <f>IF($G929="","",ROUND($G929*$T929,2))</f>
        <v/>
      </c>
      <c r="V929" s="113">
        <f>IF($B929="","",MONTH($B929))</f>
        <v/>
      </c>
      <c r="W929" s="113">
        <f>IF($B929="","",YEAR($B929))</f>
        <v/>
      </c>
    </row>
    <row r="930">
      <c r="B930" s="105" t="n"/>
      <c r="C930" s="54" t="n"/>
      <c r="D930" s="54" t="n"/>
      <c r="E930" s="54" t="n"/>
      <c r="F930" s="54" t="n"/>
      <c r="G930" s="65" t="n"/>
      <c r="H930" s="54" t="n"/>
      <c r="I930" s="106">
        <f>IF($C930="","",IFERROR(INDEX(Sens_Types,MATCH($C930,Liste_Types,0)),""))</f>
        <v/>
      </c>
      <c r="J930" s="107">
        <f>IF($I930="▲ ENTRÉE",$U930,"")</f>
        <v/>
      </c>
      <c r="K930" s="108">
        <f>IF($I930="▼ SORTIE",$U930,"")</f>
        <v/>
      </c>
      <c r="L930" s="109">
        <f>$L929+N($J930)-N($K930)</f>
        <v/>
      </c>
      <c r="M930" s="110" t="n"/>
      <c r="N930" s="54" t="n"/>
      <c r="O930" s="54" t="n"/>
      <c r="P930" s="54" t="n"/>
      <c r="Q930" s="110" t="n"/>
      <c r="R930" s="110" t="n"/>
      <c r="S930" s="54" t="n"/>
      <c r="T930" s="111">
        <f>IF($G930="","",IFERROR(INDEX(Taux_Devises,MATCH(IF($M930="",Devise_Base,$M930),Codes_Devises,0)),1))</f>
        <v/>
      </c>
      <c r="U930" s="112">
        <f>IF($G930="","",ROUND($G930*$T930,2))</f>
        <v/>
      </c>
      <c r="V930" s="113">
        <f>IF($B930="","",MONTH($B930))</f>
        <v/>
      </c>
      <c r="W930" s="113">
        <f>IF($B930="","",YEAR($B930))</f>
        <v/>
      </c>
    </row>
    <row r="931">
      <c r="B931" s="105" t="n"/>
      <c r="C931" s="54" t="n"/>
      <c r="D931" s="54" t="n"/>
      <c r="E931" s="54" t="n"/>
      <c r="F931" s="54" t="n"/>
      <c r="G931" s="65" t="n"/>
      <c r="H931" s="54" t="n"/>
      <c r="I931" s="106">
        <f>IF($C931="","",IFERROR(INDEX(Sens_Types,MATCH($C931,Liste_Types,0)),""))</f>
        <v/>
      </c>
      <c r="J931" s="107">
        <f>IF($I931="▲ ENTRÉE",$U931,"")</f>
        <v/>
      </c>
      <c r="K931" s="108">
        <f>IF($I931="▼ SORTIE",$U931,"")</f>
        <v/>
      </c>
      <c r="L931" s="109">
        <f>$L930+N($J931)-N($K931)</f>
        <v/>
      </c>
      <c r="M931" s="110" t="n"/>
      <c r="N931" s="54" t="n"/>
      <c r="O931" s="54" t="n"/>
      <c r="P931" s="54" t="n"/>
      <c r="Q931" s="110" t="n"/>
      <c r="R931" s="110" t="n"/>
      <c r="S931" s="54" t="n"/>
      <c r="T931" s="111">
        <f>IF($G931="","",IFERROR(INDEX(Taux_Devises,MATCH(IF($M931="",Devise_Base,$M931),Codes_Devises,0)),1))</f>
        <v/>
      </c>
      <c r="U931" s="112">
        <f>IF($G931="","",ROUND($G931*$T931,2))</f>
        <v/>
      </c>
      <c r="V931" s="113">
        <f>IF($B931="","",MONTH($B931))</f>
        <v/>
      </c>
      <c r="W931" s="113">
        <f>IF($B931="","",YEAR($B931))</f>
        <v/>
      </c>
    </row>
    <row r="932">
      <c r="B932" s="105" t="n"/>
      <c r="C932" s="54" t="n"/>
      <c r="D932" s="54" t="n"/>
      <c r="E932" s="54" t="n"/>
      <c r="F932" s="54" t="n"/>
      <c r="G932" s="65" t="n"/>
      <c r="H932" s="54" t="n"/>
      <c r="I932" s="106">
        <f>IF($C932="","",IFERROR(INDEX(Sens_Types,MATCH($C932,Liste_Types,0)),""))</f>
        <v/>
      </c>
      <c r="J932" s="107">
        <f>IF($I932="▲ ENTRÉE",$U932,"")</f>
        <v/>
      </c>
      <c r="K932" s="108">
        <f>IF($I932="▼ SORTIE",$U932,"")</f>
        <v/>
      </c>
      <c r="L932" s="109">
        <f>$L931+N($J932)-N($K932)</f>
        <v/>
      </c>
      <c r="M932" s="110" t="n"/>
      <c r="N932" s="54" t="n"/>
      <c r="O932" s="54" t="n"/>
      <c r="P932" s="54" t="n"/>
      <c r="Q932" s="110" t="n"/>
      <c r="R932" s="110" t="n"/>
      <c r="S932" s="54" t="n"/>
      <c r="T932" s="111">
        <f>IF($G932="","",IFERROR(INDEX(Taux_Devises,MATCH(IF($M932="",Devise_Base,$M932),Codes_Devises,0)),1))</f>
        <v/>
      </c>
      <c r="U932" s="112">
        <f>IF($G932="","",ROUND($G932*$T932,2))</f>
        <v/>
      </c>
      <c r="V932" s="113">
        <f>IF($B932="","",MONTH($B932))</f>
        <v/>
      </c>
      <c r="W932" s="113">
        <f>IF($B932="","",YEAR($B932))</f>
        <v/>
      </c>
    </row>
    <row r="933">
      <c r="B933" s="105" t="n"/>
      <c r="C933" s="54" t="n"/>
      <c r="D933" s="54" t="n"/>
      <c r="E933" s="54" t="n"/>
      <c r="F933" s="54" t="n"/>
      <c r="G933" s="65" t="n"/>
      <c r="H933" s="54" t="n"/>
      <c r="I933" s="106">
        <f>IF($C933="","",IFERROR(INDEX(Sens_Types,MATCH($C933,Liste_Types,0)),""))</f>
        <v/>
      </c>
      <c r="J933" s="107">
        <f>IF($I933="▲ ENTRÉE",$U933,"")</f>
        <v/>
      </c>
      <c r="K933" s="108">
        <f>IF($I933="▼ SORTIE",$U933,"")</f>
        <v/>
      </c>
      <c r="L933" s="109">
        <f>$L932+N($J933)-N($K933)</f>
        <v/>
      </c>
      <c r="M933" s="110" t="n"/>
      <c r="N933" s="54" t="n"/>
      <c r="O933" s="54" t="n"/>
      <c r="P933" s="54" t="n"/>
      <c r="Q933" s="110" t="n"/>
      <c r="R933" s="110" t="n"/>
      <c r="S933" s="54" t="n"/>
      <c r="T933" s="111">
        <f>IF($G933="","",IFERROR(INDEX(Taux_Devises,MATCH(IF($M933="",Devise_Base,$M933),Codes_Devises,0)),1))</f>
        <v/>
      </c>
      <c r="U933" s="112">
        <f>IF($G933="","",ROUND($G933*$T933,2))</f>
        <v/>
      </c>
      <c r="V933" s="113">
        <f>IF($B933="","",MONTH($B933))</f>
        <v/>
      </c>
      <c r="W933" s="113">
        <f>IF($B933="","",YEAR($B933))</f>
        <v/>
      </c>
    </row>
    <row r="934">
      <c r="B934" s="105" t="n"/>
      <c r="C934" s="54" t="n"/>
      <c r="D934" s="54" t="n"/>
      <c r="E934" s="54" t="n"/>
      <c r="F934" s="54" t="n"/>
      <c r="G934" s="65" t="n"/>
      <c r="H934" s="54" t="n"/>
      <c r="I934" s="106">
        <f>IF($C934="","",IFERROR(INDEX(Sens_Types,MATCH($C934,Liste_Types,0)),""))</f>
        <v/>
      </c>
      <c r="J934" s="107">
        <f>IF($I934="▲ ENTRÉE",$U934,"")</f>
        <v/>
      </c>
      <c r="K934" s="108">
        <f>IF($I934="▼ SORTIE",$U934,"")</f>
        <v/>
      </c>
      <c r="L934" s="109">
        <f>$L933+N($J934)-N($K934)</f>
        <v/>
      </c>
      <c r="M934" s="110" t="n"/>
      <c r="N934" s="54" t="n"/>
      <c r="O934" s="54" t="n"/>
      <c r="P934" s="54" t="n"/>
      <c r="Q934" s="110" t="n"/>
      <c r="R934" s="110" t="n"/>
      <c r="S934" s="54" t="n"/>
      <c r="T934" s="111">
        <f>IF($G934="","",IFERROR(INDEX(Taux_Devises,MATCH(IF($M934="",Devise_Base,$M934),Codes_Devises,0)),1))</f>
        <v/>
      </c>
      <c r="U934" s="112">
        <f>IF($G934="","",ROUND($G934*$T934,2))</f>
        <v/>
      </c>
      <c r="V934" s="113">
        <f>IF($B934="","",MONTH($B934))</f>
        <v/>
      </c>
      <c r="W934" s="113">
        <f>IF($B934="","",YEAR($B934))</f>
        <v/>
      </c>
    </row>
    <row r="935">
      <c r="B935" s="105" t="n"/>
      <c r="C935" s="54" t="n"/>
      <c r="D935" s="54" t="n"/>
      <c r="E935" s="54" t="n"/>
      <c r="F935" s="54" t="n"/>
      <c r="G935" s="65" t="n"/>
      <c r="H935" s="54" t="n"/>
      <c r="I935" s="106">
        <f>IF($C935="","",IFERROR(INDEX(Sens_Types,MATCH($C935,Liste_Types,0)),""))</f>
        <v/>
      </c>
      <c r="J935" s="107">
        <f>IF($I935="▲ ENTRÉE",$U935,"")</f>
        <v/>
      </c>
      <c r="K935" s="108">
        <f>IF($I935="▼ SORTIE",$U935,"")</f>
        <v/>
      </c>
      <c r="L935" s="109">
        <f>$L934+N($J935)-N($K935)</f>
        <v/>
      </c>
      <c r="M935" s="110" t="n"/>
      <c r="N935" s="54" t="n"/>
      <c r="O935" s="54" t="n"/>
      <c r="P935" s="54" t="n"/>
      <c r="Q935" s="110" t="n"/>
      <c r="R935" s="110" t="n"/>
      <c r="S935" s="54" t="n"/>
      <c r="T935" s="111">
        <f>IF($G935="","",IFERROR(INDEX(Taux_Devises,MATCH(IF($M935="",Devise_Base,$M935),Codes_Devises,0)),1))</f>
        <v/>
      </c>
      <c r="U935" s="112">
        <f>IF($G935="","",ROUND($G935*$T935,2))</f>
        <v/>
      </c>
      <c r="V935" s="113">
        <f>IF($B935="","",MONTH($B935))</f>
        <v/>
      </c>
      <c r="W935" s="113">
        <f>IF($B935="","",YEAR($B935))</f>
        <v/>
      </c>
    </row>
    <row r="936">
      <c r="B936" s="105" t="n"/>
      <c r="C936" s="54" t="n"/>
      <c r="D936" s="54" t="n"/>
      <c r="E936" s="54" t="n"/>
      <c r="F936" s="54" t="n"/>
      <c r="G936" s="65" t="n"/>
      <c r="H936" s="54" t="n"/>
      <c r="I936" s="106">
        <f>IF($C936="","",IFERROR(INDEX(Sens_Types,MATCH($C936,Liste_Types,0)),""))</f>
        <v/>
      </c>
      <c r="J936" s="107">
        <f>IF($I936="▲ ENTRÉE",$U936,"")</f>
        <v/>
      </c>
      <c r="K936" s="108">
        <f>IF($I936="▼ SORTIE",$U936,"")</f>
        <v/>
      </c>
      <c r="L936" s="109">
        <f>$L935+N($J936)-N($K936)</f>
        <v/>
      </c>
      <c r="M936" s="110" t="n"/>
      <c r="N936" s="54" t="n"/>
      <c r="O936" s="54" t="n"/>
      <c r="P936" s="54" t="n"/>
      <c r="Q936" s="110" t="n"/>
      <c r="R936" s="110" t="n"/>
      <c r="S936" s="54" t="n"/>
      <c r="T936" s="111">
        <f>IF($G936="","",IFERROR(INDEX(Taux_Devises,MATCH(IF($M936="",Devise_Base,$M936),Codes_Devises,0)),1))</f>
        <v/>
      </c>
      <c r="U936" s="112">
        <f>IF($G936="","",ROUND($G936*$T936,2))</f>
        <v/>
      </c>
      <c r="V936" s="113">
        <f>IF($B936="","",MONTH($B936))</f>
        <v/>
      </c>
      <c r="W936" s="113">
        <f>IF($B936="","",YEAR($B936))</f>
        <v/>
      </c>
    </row>
    <row r="937">
      <c r="B937" s="105" t="n"/>
      <c r="C937" s="54" t="n"/>
      <c r="D937" s="54" t="n"/>
      <c r="E937" s="54" t="n"/>
      <c r="F937" s="54" t="n"/>
      <c r="G937" s="65" t="n"/>
      <c r="H937" s="54" t="n"/>
      <c r="I937" s="106">
        <f>IF($C937="","",IFERROR(INDEX(Sens_Types,MATCH($C937,Liste_Types,0)),""))</f>
        <v/>
      </c>
      <c r="J937" s="107">
        <f>IF($I937="▲ ENTRÉE",$U937,"")</f>
        <v/>
      </c>
      <c r="K937" s="108">
        <f>IF($I937="▼ SORTIE",$U937,"")</f>
        <v/>
      </c>
      <c r="L937" s="109">
        <f>$L936+N($J937)-N($K937)</f>
        <v/>
      </c>
      <c r="M937" s="110" t="n"/>
      <c r="N937" s="54" t="n"/>
      <c r="O937" s="54" t="n"/>
      <c r="P937" s="54" t="n"/>
      <c r="Q937" s="110" t="n"/>
      <c r="R937" s="110" t="n"/>
      <c r="S937" s="54" t="n"/>
      <c r="T937" s="111">
        <f>IF($G937="","",IFERROR(INDEX(Taux_Devises,MATCH(IF($M937="",Devise_Base,$M937),Codes_Devises,0)),1))</f>
        <v/>
      </c>
      <c r="U937" s="112">
        <f>IF($G937="","",ROUND($G937*$T937,2))</f>
        <v/>
      </c>
      <c r="V937" s="113">
        <f>IF($B937="","",MONTH($B937))</f>
        <v/>
      </c>
      <c r="W937" s="113">
        <f>IF($B937="","",YEAR($B937))</f>
        <v/>
      </c>
    </row>
    <row r="938">
      <c r="B938" s="105" t="n"/>
      <c r="C938" s="54" t="n"/>
      <c r="D938" s="54" t="n"/>
      <c r="E938" s="54" t="n"/>
      <c r="F938" s="54" t="n"/>
      <c r="G938" s="65" t="n"/>
      <c r="H938" s="54" t="n"/>
      <c r="I938" s="106">
        <f>IF($C938="","",IFERROR(INDEX(Sens_Types,MATCH($C938,Liste_Types,0)),""))</f>
        <v/>
      </c>
      <c r="J938" s="107">
        <f>IF($I938="▲ ENTRÉE",$U938,"")</f>
        <v/>
      </c>
      <c r="K938" s="108">
        <f>IF($I938="▼ SORTIE",$U938,"")</f>
        <v/>
      </c>
      <c r="L938" s="109">
        <f>$L937+N($J938)-N($K938)</f>
        <v/>
      </c>
      <c r="M938" s="110" t="n"/>
      <c r="N938" s="54" t="n"/>
      <c r="O938" s="54" t="n"/>
      <c r="P938" s="54" t="n"/>
      <c r="Q938" s="110" t="n"/>
      <c r="R938" s="110" t="n"/>
      <c r="S938" s="54" t="n"/>
      <c r="T938" s="111">
        <f>IF($G938="","",IFERROR(INDEX(Taux_Devises,MATCH(IF($M938="",Devise_Base,$M938),Codes_Devises,0)),1))</f>
        <v/>
      </c>
      <c r="U938" s="112">
        <f>IF($G938="","",ROUND($G938*$T938,2))</f>
        <v/>
      </c>
      <c r="V938" s="113">
        <f>IF($B938="","",MONTH($B938))</f>
        <v/>
      </c>
      <c r="W938" s="113">
        <f>IF($B938="","",YEAR($B938))</f>
        <v/>
      </c>
    </row>
    <row r="939">
      <c r="B939" s="105" t="n"/>
      <c r="C939" s="54" t="n"/>
      <c r="D939" s="54" t="n"/>
      <c r="E939" s="54" t="n"/>
      <c r="F939" s="54" t="n"/>
      <c r="G939" s="65" t="n"/>
      <c r="H939" s="54" t="n"/>
      <c r="I939" s="106">
        <f>IF($C939="","",IFERROR(INDEX(Sens_Types,MATCH($C939,Liste_Types,0)),""))</f>
        <v/>
      </c>
      <c r="J939" s="107">
        <f>IF($I939="▲ ENTRÉE",$U939,"")</f>
        <v/>
      </c>
      <c r="K939" s="108">
        <f>IF($I939="▼ SORTIE",$U939,"")</f>
        <v/>
      </c>
      <c r="L939" s="109">
        <f>$L938+N($J939)-N($K939)</f>
        <v/>
      </c>
      <c r="M939" s="110" t="n"/>
      <c r="N939" s="54" t="n"/>
      <c r="O939" s="54" t="n"/>
      <c r="P939" s="54" t="n"/>
      <c r="Q939" s="110" t="n"/>
      <c r="R939" s="110" t="n"/>
      <c r="S939" s="54" t="n"/>
      <c r="T939" s="111">
        <f>IF($G939="","",IFERROR(INDEX(Taux_Devises,MATCH(IF($M939="",Devise_Base,$M939),Codes_Devises,0)),1))</f>
        <v/>
      </c>
      <c r="U939" s="112">
        <f>IF($G939="","",ROUND($G939*$T939,2))</f>
        <v/>
      </c>
      <c r="V939" s="113">
        <f>IF($B939="","",MONTH($B939))</f>
        <v/>
      </c>
      <c r="W939" s="113">
        <f>IF($B939="","",YEAR($B939))</f>
        <v/>
      </c>
    </row>
    <row r="940">
      <c r="B940" s="105" t="n"/>
      <c r="C940" s="54" t="n"/>
      <c r="D940" s="54" t="n"/>
      <c r="E940" s="54" t="n"/>
      <c r="F940" s="54" t="n"/>
      <c r="G940" s="65" t="n"/>
      <c r="H940" s="54" t="n"/>
      <c r="I940" s="106">
        <f>IF($C940="","",IFERROR(INDEX(Sens_Types,MATCH($C940,Liste_Types,0)),""))</f>
        <v/>
      </c>
      <c r="J940" s="107">
        <f>IF($I940="▲ ENTRÉE",$U940,"")</f>
        <v/>
      </c>
      <c r="K940" s="108">
        <f>IF($I940="▼ SORTIE",$U940,"")</f>
        <v/>
      </c>
      <c r="L940" s="109">
        <f>$L939+N($J940)-N($K940)</f>
        <v/>
      </c>
      <c r="M940" s="110" t="n"/>
      <c r="N940" s="54" t="n"/>
      <c r="O940" s="54" t="n"/>
      <c r="P940" s="54" t="n"/>
      <c r="Q940" s="110" t="n"/>
      <c r="R940" s="110" t="n"/>
      <c r="S940" s="54" t="n"/>
      <c r="T940" s="111">
        <f>IF($G940="","",IFERROR(INDEX(Taux_Devises,MATCH(IF($M940="",Devise_Base,$M940),Codes_Devises,0)),1))</f>
        <v/>
      </c>
      <c r="U940" s="112">
        <f>IF($G940="","",ROUND($G940*$T940,2))</f>
        <v/>
      </c>
      <c r="V940" s="113">
        <f>IF($B940="","",MONTH($B940))</f>
        <v/>
      </c>
      <c r="W940" s="113">
        <f>IF($B940="","",YEAR($B940))</f>
        <v/>
      </c>
    </row>
    <row r="941">
      <c r="B941" s="105" t="n"/>
      <c r="C941" s="54" t="n"/>
      <c r="D941" s="54" t="n"/>
      <c r="E941" s="54" t="n"/>
      <c r="F941" s="54" t="n"/>
      <c r="G941" s="65" t="n"/>
      <c r="H941" s="54" t="n"/>
      <c r="I941" s="106">
        <f>IF($C941="","",IFERROR(INDEX(Sens_Types,MATCH($C941,Liste_Types,0)),""))</f>
        <v/>
      </c>
      <c r="J941" s="107">
        <f>IF($I941="▲ ENTRÉE",$U941,"")</f>
        <v/>
      </c>
      <c r="K941" s="108">
        <f>IF($I941="▼ SORTIE",$U941,"")</f>
        <v/>
      </c>
      <c r="L941" s="109">
        <f>$L940+N($J941)-N($K941)</f>
        <v/>
      </c>
      <c r="M941" s="110" t="n"/>
      <c r="N941" s="54" t="n"/>
      <c r="O941" s="54" t="n"/>
      <c r="P941" s="54" t="n"/>
      <c r="Q941" s="110" t="n"/>
      <c r="R941" s="110" t="n"/>
      <c r="S941" s="54" t="n"/>
      <c r="T941" s="111">
        <f>IF($G941="","",IFERROR(INDEX(Taux_Devises,MATCH(IF($M941="",Devise_Base,$M941),Codes_Devises,0)),1))</f>
        <v/>
      </c>
      <c r="U941" s="112">
        <f>IF($G941="","",ROUND($G941*$T941,2))</f>
        <v/>
      </c>
      <c r="V941" s="113">
        <f>IF($B941="","",MONTH($B941))</f>
        <v/>
      </c>
      <c r="W941" s="113">
        <f>IF($B941="","",YEAR($B941))</f>
        <v/>
      </c>
    </row>
    <row r="942">
      <c r="B942" s="105" t="n"/>
      <c r="C942" s="54" t="n"/>
      <c r="D942" s="54" t="n"/>
      <c r="E942" s="54" t="n"/>
      <c r="F942" s="54" t="n"/>
      <c r="G942" s="65" t="n"/>
      <c r="H942" s="54" t="n"/>
      <c r="I942" s="106">
        <f>IF($C942="","",IFERROR(INDEX(Sens_Types,MATCH($C942,Liste_Types,0)),""))</f>
        <v/>
      </c>
      <c r="J942" s="107">
        <f>IF($I942="▲ ENTRÉE",$U942,"")</f>
        <v/>
      </c>
      <c r="K942" s="108">
        <f>IF($I942="▼ SORTIE",$U942,"")</f>
        <v/>
      </c>
      <c r="L942" s="109">
        <f>$L941+N($J942)-N($K942)</f>
        <v/>
      </c>
      <c r="M942" s="110" t="n"/>
      <c r="N942" s="54" t="n"/>
      <c r="O942" s="54" t="n"/>
      <c r="P942" s="54" t="n"/>
      <c r="Q942" s="110" t="n"/>
      <c r="R942" s="110" t="n"/>
      <c r="S942" s="54" t="n"/>
      <c r="T942" s="111">
        <f>IF($G942="","",IFERROR(INDEX(Taux_Devises,MATCH(IF($M942="",Devise_Base,$M942),Codes_Devises,0)),1))</f>
        <v/>
      </c>
      <c r="U942" s="112">
        <f>IF($G942="","",ROUND($G942*$T942,2))</f>
        <v/>
      </c>
      <c r="V942" s="113">
        <f>IF($B942="","",MONTH($B942))</f>
        <v/>
      </c>
      <c r="W942" s="113">
        <f>IF($B942="","",YEAR($B942))</f>
        <v/>
      </c>
    </row>
    <row r="943">
      <c r="B943" s="105" t="n"/>
      <c r="C943" s="54" t="n"/>
      <c r="D943" s="54" t="n"/>
      <c r="E943" s="54" t="n"/>
      <c r="F943" s="54" t="n"/>
      <c r="G943" s="65" t="n"/>
      <c r="H943" s="54" t="n"/>
      <c r="I943" s="106">
        <f>IF($C943="","",IFERROR(INDEX(Sens_Types,MATCH($C943,Liste_Types,0)),""))</f>
        <v/>
      </c>
      <c r="J943" s="107">
        <f>IF($I943="▲ ENTRÉE",$U943,"")</f>
        <v/>
      </c>
      <c r="K943" s="108">
        <f>IF($I943="▼ SORTIE",$U943,"")</f>
        <v/>
      </c>
      <c r="L943" s="109">
        <f>$L942+N($J943)-N($K943)</f>
        <v/>
      </c>
      <c r="M943" s="110" t="n"/>
      <c r="N943" s="54" t="n"/>
      <c r="O943" s="54" t="n"/>
      <c r="P943" s="54" t="n"/>
      <c r="Q943" s="110" t="n"/>
      <c r="R943" s="110" t="n"/>
      <c r="S943" s="54" t="n"/>
      <c r="T943" s="111">
        <f>IF($G943="","",IFERROR(INDEX(Taux_Devises,MATCH(IF($M943="",Devise_Base,$M943),Codes_Devises,0)),1))</f>
        <v/>
      </c>
      <c r="U943" s="112">
        <f>IF($G943="","",ROUND($G943*$T943,2))</f>
        <v/>
      </c>
      <c r="V943" s="113">
        <f>IF($B943="","",MONTH($B943))</f>
        <v/>
      </c>
      <c r="W943" s="113">
        <f>IF($B943="","",YEAR($B943))</f>
        <v/>
      </c>
    </row>
    <row r="944">
      <c r="B944" s="105" t="n"/>
      <c r="C944" s="54" t="n"/>
      <c r="D944" s="54" t="n"/>
      <c r="E944" s="54" t="n"/>
      <c r="F944" s="54" t="n"/>
      <c r="G944" s="65" t="n"/>
      <c r="H944" s="54" t="n"/>
      <c r="I944" s="106">
        <f>IF($C944="","",IFERROR(INDEX(Sens_Types,MATCH($C944,Liste_Types,0)),""))</f>
        <v/>
      </c>
      <c r="J944" s="107">
        <f>IF($I944="▲ ENTRÉE",$U944,"")</f>
        <v/>
      </c>
      <c r="K944" s="108">
        <f>IF($I944="▼ SORTIE",$U944,"")</f>
        <v/>
      </c>
      <c r="L944" s="109">
        <f>$L943+N($J944)-N($K944)</f>
        <v/>
      </c>
      <c r="M944" s="110" t="n"/>
      <c r="N944" s="54" t="n"/>
      <c r="O944" s="54" t="n"/>
      <c r="P944" s="54" t="n"/>
      <c r="Q944" s="110" t="n"/>
      <c r="R944" s="110" t="n"/>
      <c r="S944" s="54" t="n"/>
      <c r="T944" s="111">
        <f>IF($G944="","",IFERROR(INDEX(Taux_Devises,MATCH(IF($M944="",Devise_Base,$M944),Codes_Devises,0)),1))</f>
        <v/>
      </c>
      <c r="U944" s="112">
        <f>IF($G944="","",ROUND($G944*$T944,2))</f>
        <v/>
      </c>
      <c r="V944" s="113">
        <f>IF($B944="","",MONTH($B944))</f>
        <v/>
      </c>
      <c r="W944" s="113">
        <f>IF($B944="","",YEAR($B944))</f>
        <v/>
      </c>
    </row>
    <row r="945">
      <c r="B945" s="105" t="n"/>
      <c r="C945" s="54" t="n"/>
      <c r="D945" s="54" t="n"/>
      <c r="E945" s="54" t="n"/>
      <c r="F945" s="54" t="n"/>
      <c r="G945" s="65" t="n"/>
      <c r="H945" s="54" t="n"/>
      <c r="I945" s="106">
        <f>IF($C945="","",IFERROR(INDEX(Sens_Types,MATCH($C945,Liste_Types,0)),""))</f>
        <v/>
      </c>
      <c r="J945" s="107">
        <f>IF($I945="▲ ENTRÉE",$U945,"")</f>
        <v/>
      </c>
      <c r="K945" s="108">
        <f>IF($I945="▼ SORTIE",$U945,"")</f>
        <v/>
      </c>
      <c r="L945" s="109">
        <f>$L944+N($J945)-N($K945)</f>
        <v/>
      </c>
      <c r="M945" s="110" t="n"/>
      <c r="N945" s="54" t="n"/>
      <c r="O945" s="54" t="n"/>
      <c r="P945" s="54" t="n"/>
      <c r="Q945" s="110" t="n"/>
      <c r="R945" s="110" t="n"/>
      <c r="S945" s="54" t="n"/>
      <c r="T945" s="111">
        <f>IF($G945="","",IFERROR(INDEX(Taux_Devises,MATCH(IF($M945="",Devise_Base,$M945),Codes_Devises,0)),1))</f>
        <v/>
      </c>
      <c r="U945" s="112">
        <f>IF($G945="","",ROUND($G945*$T945,2))</f>
        <v/>
      </c>
      <c r="V945" s="113">
        <f>IF($B945="","",MONTH($B945))</f>
        <v/>
      </c>
      <c r="W945" s="113">
        <f>IF($B945="","",YEAR($B945))</f>
        <v/>
      </c>
    </row>
    <row r="946">
      <c r="B946" s="105" t="n"/>
      <c r="C946" s="54" t="n"/>
      <c r="D946" s="54" t="n"/>
      <c r="E946" s="54" t="n"/>
      <c r="F946" s="54" t="n"/>
      <c r="G946" s="65" t="n"/>
      <c r="H946" s="54" t="n"/>
      <c r="I946" s="106">
        <f>IF($C946="","",IFERROR(INDEX(Sens_Types,MATCH($C946,Liste_Types,0)),""))</f>
        <v/>
      </c>
      <c r="J946" s="107">
        <f>IF($I946="▲ ENTRÉE",$U946,"")</f>
        <v/>
      </c>
      <c r="K946" s="108">
        <f>IF($I946="▼ SORTIE",$U946,"")</f>
        <v/>
      </c>
      <c r="L946" s="109">
        <f>$L945+N($J946)-N($K946)</f>
        <v/>
      </c>
      <c r="M946" s="110" t="n"/>
      <c r="N946" s="54" t="n"/>
      <c r="O946" s="54" t="n"/>
      <c r="P946" s="54" t="n"/>
      <c r="Q946" s="110" t="n"/>
      <c r="R946" s="110" t="n"/>
      <c r="S946" s="54" t="n"/>
      <c r="T946" s="111">
        <f>IF($G946="","",IFERROR(INDEX(Taux_Devises,MATCH(IF($M946="",Devise_Base,$M946),Codes_Devises,0)),1))</f>
        <v/>
      </c>
      <c r="U946" s="112">
        <f>IF($G946="","",ROUND($G946*$T946,2))</f>
        <v/>
      </c>
      <c r="V946" s="113">
        <f>IF($B946="","",MONTH($B946))</f>
        <v/>
      </c>
      <c r="W946" s="113">
        <f>IF($B946="","",YEAR($B946))</f>
        <v/>
      </c>
    </row>
    <row r="947">
      <c r="B947" s="105" t="n"/>
      <c r="C947" s="54" t="n"/>
      <c r="D947" s="54" t="n"/>
      <c r="E947" s="54" t="n"/>
      <c r="F947" s="54" t="n"/>
      <c r="G947" s="65" t="n"/>
      <c r="H947" s="54" t="n"/>
      <c r="I947" s="106">
        <f>IF($C947="","",IFERROR(INDEX(Sens_Types,MATCH($C947,Liste_Types,0)),""))</f>
        <v/>
      </c>
      <c r="J947" s="107">
        <f>IF($I947="▲ ENTRÉE",$U947,"")</f>
        <v/>
      </c>
      <c r="K947" s="108">
        <f>IF($I947="▼ SORTIE",$U947,"")</f>
        <v/>
      </c>
      <c r="L947" s="109">
        <f>$L946+N($J947)-N($K947)</f>
        <v/>
      </c>
      <c r="M947" s="110" t="n"/>
      <c r="N947" s="54" t="n"/>
      <c r="O947" s="54" t="n"/>
      <c r="P947" s="54" t="n"/>
      <c r="Q947" s="110" t="n"/>
      <c r="R947" s="110" t="n"/>
      <c r="S947" s="54" t="n"/>
      <c r="T947" s="111">
        <f>IF($G947="","",IFERROR(INDEX(Taux_Devises,MATCH(IF($M947="",Devise_Base,$M947),Codes_Devises,0)),1))</f>
        <v/>
      </c>
      <c r="U947" s="112">
        <f>IF($G947="","",ROUND($G947*$T947,2))</f>
        <v/>
      </c>
      <c r="V947" s="113">
        <f>IF($B947="","",MONTH($B947))</f>
        <v/>
      </c>
      <c r="W947" s="113">
        <f>IF($B947="","",YEAR($B947))</f>
        <v/>
      </c>
    </row>
    <row r="948">
      <c r="B948" s="105" t="n"/>
      <c r="C948" s="54" t="n"/>
      <c r="D948" s="54" t="n"/>
      <c r="E948" s="54" t="n"/>
      <c r="F948" s="54" t="n"/>
      <c r="G948" s="65" t="n"/>
      <c r="H948" s="54" t="n"/>
      <c r="I948" s="106">
        <f>IF($C948="","",IFERROR(INDEX(Sens_Types,MATCH($C948,Liste_Types,0)),""))</f>
        <v/>
      </c>
      <c r="J948" s="107">
        <f>IF($I948="▲ ENTRÉE",$U948,"")</f>
        <v/>
      </c>
      <c r="K948" s="108">
        <f>IF($I948="▼ SORTIE",$U948,"")</f>
        <v/>
      </c>
      <c r="L948" s="109">
        <f>$L947+N($J948)-N($K948)</f>
        <v/>
      </c>
      <c r="M948" s="110" t="n"/>
      <c r="N948" s="54" t="n"/>
      <c r="O948" s="54" t="n"/>
      <c r="P948" s="54" t="n"/>
      <c r="Q948" s="110" t="n"/>
      <c r="R948" s="110" t="n"/>
      <c r="S948" s="54" t="n"/>
      <c r="T948" s="111">
        <f>IF($G948="","",IFERROR(INDEX(Taux_Devises,MATCH(IF($M948="",Devise_Base,$M948),Codes_Devises,0)),1))</f>
        <v/>
      </c>
      <c r="U948" s="112">
        <f>IF($G948="","",ROUND($G948*$T948,2))</f>
        <v/>
      </c>
      <c r="V948" s="113">
        <f>IF($B948="","",MONTH($B948))</f>
        <v/>
      </c>
      <c r="W948" s="113">
        <f>IF($B948="","",YEAR($B948))</f>
        <v/>
      </c>
    </row>
    <row r="949">
      <c r="B949" s="105" t="n"/>
      <c r="C949" s="54" t="n"/>
      <c r="D949" s="54" t="n"/>
      <c r="E949" s="54" t="n"/>
      <c r="F949" s="54" t="n"/>
      <c r="G949" s="65" t="n"/>
      <c r="H949" s="54" t="n"/>
      <c r="I949" s="106">
        <f>IF($C949="","",IFERROR(INDEX(Sens_Types,MATCH($C949,Liste_Types,0)),""))</f>
        <v/>
      </c>
      <c r="J949" s="107">
        <f>IF($I949="▲ ENTRÉE",$U949,"")</f>
        <v/>
      </c>
      <c r="K949" s="108">
        <f>IF($I949="▼ SORTIE",$U949,"")</f>
        <v/>
      </c>
      <c r="L949" s="109">
        <f>$L948+N($J949)-N($K949)</f>
        <v/>
      </c>
      <c r="M949" s="110" t="n"/>
      <c r="N949" s="54" t="n"/>
      <c r="O949" s="54" t="n"/>
      <c r="P949" s="54" t="n"/>
      <c r="Q949" s="110" t="n"/>
      <c r="R949" s="110" t="n"/>
      <c r="S949" s="54" t="n"/>
      <c r="T949" s="111">
        <f>IF($G949="","",IFERROR(INDEX(Taux_Devises,MATCH(IF($M949="",Devise_Base,$M949),Codes_Devises,0)),1))</f>
        <v/>
      </c>
      <c r="U949" s="112">
        <f>IF($G949="","",ROUND($G949*$T949,2))</f>
        <v/>
      </c>
      <c r="V949" s="113">
        <f>IF($B949="","",MONTH($B949))</f>
        <v/>
      </c>
      <c r="W949" s="113">
        <f>IF($B949="","",YEAR($B949))</f>
        <v/>
      </c>
    </row>
    <row r="950">
      <c r="B950" s="105" t="n"/>
      <c r="C950" s="54" t="n"/>
      <c r="D950" s="54" t="n"/>
      <c r="E950" s="54" t="n"/>
      <c r="F950" s="54" t="n"/>
      <c r="G950" s="65" t="n"/>
      <c r="H950" s="54" t="n"/>
      <c r="I950" s="106">
        <f>IF($C950="","",IFERROR(INDEX(Sens_Types,MATCH($C950,Liste_Types,0)),""))</f>
        <v/>
      </c>
      <c r="J950" s="107">
        <f>IF($I950="▲ ENTRÉE",$U950,"")</f>
        <v/>
      </c>
      <c r="K950" s="108">
        <f>IF($I950="▼ SORTIE",$U950,"")</f>
        <v/>
      </c>
      <c r="L950" s="109">
        <f>$L949+N($J950)-N($K950)</f>
        <v/>
      </c>
      <c r="M950" s="110" t="n"/>
      <c r="N950" s="54" t="n"/>
      <c r="O950" s="54" t="n"/>
      <c r="P950" s="54" t="n"/>
      <c r="Q950" s="110" t="n"/>
      <c r="R950" s="110" t="n"/>
      <c r="S950" s="54" t="n"/>
      <c r="T950" s="111">
        <f>IF($G950="","",IFERROR(INDEX(Taux_Devises,MATCH(IF($M950="",Devise_Base,$M950),Codes_Devises,0)),1))</f>
        <v/>
      </c>
      <c r="U950" s="112">
        <f>IF($G950="","",ROUND($G950*$T950,2))</f>
        <v/>
      </c>
      <c r="V950" s="113">
        <f>IF($B950="","",MONTH($B950))</f>
        <v/>
      </c>
      <c r="W950" s="113">
        <f>IF($B950="","",YEAR($B950))</f>
        <v/>
      </c>
    </row>
    <row r="951">
      <c r="B951" s="105" t="n"/>
      <c r="C951" s="54" t="n"/>
      <c r="D951" s="54" t="n"/>
      <c r="E951" s="54" t="n"/>
      <c r="F951" s="54" t="n"/>
      <c r="G951" s="65" t="n"/>
      <c r="H951" s="54" t="n"/>
      <c r="I951" s="106">
        <f>IF($C951="","",IFERROR(INDEX(Sens_Types,MATCH($C951,Liste_Types,0)),""))</f>
        <v/>
      </c>
      <c r="J951" s="107">
        <f>IF($I951="▲ ENTRÉE",$U951,"")</f>
        <v/>
      </c>
      <c r="K951" s="108">
        <f>IF($I951="▼ SORTIE",$U951,"")</f>
        <v/>
      </c>
      <c r="L951" s="109">
        <f>$L950+N($J951)-N($K951)</f>
        <v/>
      </c>
      <c r="M951" s="110" t="n"/>
      <c r="N951" s="54" t="n"/>
      <c r="O951" s="54" t="n"/>
      <c r="P951" s="54" t="n"/>
      <c r="Q951" s="110" t="n"/>
      <c r="R951" s="110" t="n"/>
      <c r="S951" s="54" t="n"/>
      <c r="T951" s="111">
        <f>IF($G951="","",IFERROR(INDEX(Taux_Devises,MATCH(IF($M951="",Devise_Base,$M951),Codes_Devises,0)),1))</f>
        <v/>
      </c>
      <c r="U951" s="112">
        <f>IF($G951="","",ROUND($G951*$T951,2))</f>
        <v/>
      </c>
      <c r="V951" s="113">
        <f>IF($B951="","",MONTH($B951))</f>
        <v/>
      </c>
      <c r="W951" s="113">
        <f>IF($B951="","",YEAR($B951))</f>
        <v/>
      </c>
    </row>
    <row r="952">
      <c r="B952" s="105" t="n"/>
      <c r="C952" s="54" t="n"/>
      <c r="D952" s="54" t="n"/>
      <c r="E952" s="54" t="n"/>
      <c r="F952" s="54" t="n"/>
      <c r="G952" s="65" t="n"/>
      <c r="H952" s="54" t="n"/>
      <c r="I952" s="106">
        <f>IF($C952="","",IFERROR(INDEX(Sens_Types,MATCH($C952,Liste_Types,0)),""))</f>
        <v/>
      </c>
      <c r="J952" s="107">
        <f>IF($I952="▲ ENTRÉE",$U952,"")</f>
        <v/>
      </c>
      <c r="K952" s="108">
        <f>IF($I952="▼ SORTIE",$U952,"")</f>
        <v/>
      </c>
      <c r="L952" s="109">
        <f>$L951+N($J952)-N($K952)</f>
        <v/>
      </c>
      <c r="M952" s="110" t="n"/>
      <c r="N952" s="54" t="n"/>
      <c r="O952" s="54" t="n"/>
      <c r="P952" s="54" t="n"/>
      <c r="Q952" s="110" t="n"/>
      <c r="R952" s="110" t="n"/>
      <c r="S952" s="54" t="n"/>
      <c r="T952" s="111">
        <f>IF($G952="","",IFERROR(INDEX(Taux_Devises,MATCH(IF($M952="",Devise_Base,$M952),Codes_Devises,0)),1))</f>
        <v/>
      </c>
      <c r="U952" s="112">
        <f>IF($G952="","",ROUND($G952*$T952,2))</f>
        <v/>
      </c>
      <c r="V952" s="113">
        <f>IF($B952="","",MONTH($B952))</f>
        <v/>
      </c>
      <c r="W952" s="113">
        <f>IF($B952="","",YEAR($B952))</f>
        <v/>
      </c>
    </row>
    <row r="953">
      <c r="B953" s="105" t="n"/>
      <c r="C953" s="54" t="n"/>
      <c r="D953" s="54" t="n"/>
      <c r="E953" s="54" t="n"/>
      <c r="F953" s="54" t="n"/>
      <c r="G953" s="65" t="n"/>
      <c r="H953" s="54" t="n"/>
      <c r="I953" s="106">
        <f>IF($C953="","",IFERROR(INDEX(Sens_Types,MATCH($C953,Liste_Types,0)),""))</f>
        <v/>
      </c>
      <c r="J953" s="107">
        <f>IF($I953="▲ ENTRÉE",$U953,"")</f>
        <v/>
      </c>
      <c r="K953" s="108">
        <f>IF($I953="▼ SORTIE",$U953,"")</f>
        <v/>
      </c>
      <c r="L953" s="109">
        <f>$L952+N($J953)-N($K953)</f>
        <v/>
      </c>
      <c r="M953" s="110" t="n"/>
      <c r="N953" s="54" t="n"/>
      <c r="O953" s="54" t="n"/>
      <c r="P953" s="54" t="n"/>
      <c r="Q953" s="110" t="n"/>
      <c r="R953" s="110" t="n"/>
      <c r="S953" s="54" t="n"/>
      <c r="T953" s="111">
        <f>IF($G953="","",IFERROR(INDEX(Taux_Devises,MATCH(IF($M953="",Devise_Base,$M953),Codes_Devises,0)),1))</f>
        <v/>
      </c>
      <c r="U953" s="112">
        <f>IF($G953="","",ROUND($G953*$T953,2))</f>
        <v/>
      </c>
      <c r="V953" s="113">
        <f>IF($B953="","",MONTH($B953))</f>
        <v/>
      </c>
      <c r="W953" s="113">
        <f>IF($B953="","",YEAR($B953))</f>
        <v/>
      </c>
    </row>
    <row r="954">
      <c r="B954" s="105" t="n"/>
      <c r="C954" s="54" t="n"/>
      <c r="D954" s="54" t="n"/>
      <c r="E954" s="54" t="n"/>
      <c r="F954" s="54" t="n"/>
      <c r="G954" s="65" t="n"/>
      <c r="H954" s="54" t="n"/>
      <c r="I954" s="106">
        <f>IF($C954="","",IFERROR(INDEX(Sens_Types,MATCH($C954,Liste_Types,0)),""))</f>
        <v/>
      </c>
      <c r="J954" s="107">
        <f>IF($I954="▲ ENTRÉE",$U954,"")</f>
        <v/>
      </c>
      <c r="K954" s="108">
        <f>IF($I954="▼ SORTIE",$U954,"")</f>
        <v/>
      </c>
      <c r="L954" s="109">
        <f>$L953+N($J954)-N($K954)</f>
        <v/>
      </c>
      <c r="M954" s="110" t="n"/>
      <c r="N954" s="54" t="n"/>
      <c r="O954" s="54" t="n"/>
      <c r="P954" s="54" t="n"/>
      <c r="Q954" s="110" t="n"/>
      <c r="R954" s="110" t="n"/>
      <c r="S954" s="54" t="n"/>
      <c r="T954" s="111">
        <f>IF($G954="","",IFERROR(INDEX(Taux_Devises,MATCH(IF($M954="",Devise_Base,$M954),Codes_Devises,0)),1))</f>
        <v/>
      </c>
      <c r="U954" s="112">
        <f>IF($G954="","",ROUND($G954*$T954,2))</f>
        <v/>
      </c>
      <c r="V954" s="113">
        <f>IF($B954="","",MONTH($B954))</f>
        <v/>
      </c>
      <c r="W954" s="113">
        <f>IF($B954="","",YEAR($B954))</f>
        <v/>
      </c>
    </row>
    <row r="955">
      <c r="B955" s="105" t="n"/>
      <c r="C955" s="54" t="n"/>
      <c r="D955" s="54" t="n"/>
      <c r="E955" s="54" t="n"/>
      <c r="F955" s="54" t="n"/>
      <c r="G955" s="65" t="n"/>
      <c r="H955" s="54" t="n"/>
      <c r="I955" s="106">
        <f>IF($C955="","",IFERROR(INDEX(Sens_Types,MATCH($C955,Liste_Types,0)),""))</f>
        <v/>
      </c>
      <c r="J955" s="107">
        <f>IF($I955="▲ ENTRÉE",$U955,"")</f>
        <v/>
      </c>
      <c r="K955" s="108">
        <f>IF($I955="▼ SORTIE",$U955,"")</f>
        <v/>
      </c>
      <c r="L955" s="109">
        <f>$L954+N($J955)-N($K955)</f>
        <v/>
      </c>
      <c r="M955" s="110" t="n"/>
      <c r="N955" s="54" t="n"/>
      <c r="O955" s="54" t="n"/>
      <c r="P955" s="54" t="n"/>
      <c r="Q955" s="110" t="n"/>
      <c r="R955" s="110" t="n"/>
      <c r="S955" s="54" t="n"/>
      <c r="T955" s="111">
        <f>IF($G955="","",IFERROR(INDEX(Taux_Devises,MATCH(IF($M955="",Devise_Base,$M955),Codes_Devises,0)),1))</f>
        <v/>
      </c>
      <c r="U955" s="112">
        <f>IF($G955="","",ROUND($G955*$T955,2))</f>
        <v/>
      </c>
      <c r="V955" s="113">
        <f>IF($B955="","",MONTH($B955))</f>
        <v/>
      </c>
      <c r="W955" s="113">
        <f>IF($B955="","",YEAR($B955))</f>
        <v/>
      </c>
    </row>
    <row r="956">
      <c r="B956" s="105" t="n"/>
      <c r="C956" s="54" t="n"/>
      <c r="D956" s="54" t="n"/>
      <c r="E956" s="54" t="n"/>
      <c r="F956" s="54" t="n"/>
      <c r="G956" s="65" t="n"/>
      <c r="H956" s="54" t="n"/>
      <c r="I956" s="106">
        <f>IF($C956="","",IFERROR(INDEX(Sens_Types,MATCH($C956,Liste_Types,0)),""))</f>
        <v/>
      </c>
      <c r="J956" s="107">
        <f>IF($I956="▲ ENTRÉE",$U956,"")</f>
        <v/>
      </c>
      <c r="K956" s="108">
        <f>IF($I956="▼ SORTIE",$U956,"")</f>
        <v/>
      </c>
      <c r="L956" s="109">
        <f>$L955+N($J956)-N($K956)</f>
        <v/>
      </c>
      <c r="M956" s="110" t="n"/>
      <c r="N956" s="54" t="n"/>
      <c r="O956" s="54" t="n"/>
      <c r="P956" s="54" t="n"/>
      <c r="Q956" s="110" t="n"/>
      <c r="R956" s="110" t="n"/>
      <c r="S956" s="54" t="n"/>
      <c r="T956" s="111">
        <f>IF($G956="","",IFERROR(INDEX(Taux_Devises,MATCH(IF($M956="",Devise_Base,$M956),Codes_Devises,0)),1))</f>
        <v/>
      </c>
      <c r="U956" s="112">
        <f>IF($G956="","",ROUND($G956*$T956,2))</f>
        <v/>
      </c>
      <c r="V956" s="113">
        <f>IF($B956="","",MONTH($B956))</f>
        <v/>
      </c>
      <c r="W956" s="113">
        <f>IF($B956="","",YEAR($B956))</f>
        <v/>
      </c>
    </row>
    <row r="957">
      <c r="B957" s="105" t="n"/>
      <c r="C957" s="54" t="n"/>
      <c r="D957" s="54" t="n"/>
      <c r="E957" s="54" t="n"/>
      <c r="F957" s="54" t="n"/>
      <c r="G957" s="65" t="n"/>
      <c r="H957" s="54" t="n"/>
      <c r="I957" s="106">
        <f>IF($C957="","",IFERROR(INDEX(Sens_Types,MATCH($C957,Liste_Types,0)),""))</f>
        <v/>
      </c>
      <c r="J957" s="107">
        <f>IF($I957="▲ ENTRÉE",$U957,"")</f>
        <v/>
      </c>
      <c r="K957" s="108">
        <f>IF($I957="▼ SORTIE",$U957,"")</f>
        <v/>
      </c>
      <c r="L957" s="109">
        <f>$L956+N($J957)-N($K957)</f>
        <v/>
      </c>
      <c r="M957" s="110" t="n"/>
      <c r="N957" s="54" t="n"/>
      <c r="O957" s="54" t="n"/>
      <c r="P957" s="54" t="n"/>
      <c r="Q957" s="110" t="n"/>
      <c r="R957" s="110" t="n"/>
      <c r="S957" s="54" t="n"/>
      <c r="T957" s="111">
        <f>IF($G957="","",IFERROR(INDEX(Taux_Devises,MATCH(IF($M957="",Devise_Base,$M957),Codes_Devises,0)),1))</f>
        <v/>
      </c>
      <c r="U957" s="112">
        <f>IF($G957="","",ROUND($G957*$T957,2))</f>
        <v/>
      </c>
      <c r="V957" s="113">
        <f>IF($B957="","",MONTH($B957))</f>
        <v/>
      </c>
      <c r="W957" s="113">
        <f>IF($B957="","",YEAR($B957))</f>
        <v/>
      </c>
    </row>
    <row r="958">
      <c r="B958" s="105" t="n"/>
      <c r="C958" s="54" t="n"/>
      <c r="D958" s="54" t="n"/>
      <c r="E958" s="54" t="n"/>
      <c r="F958" s="54" t="n"/>
      <c r="G958" s="65" t="n"/>
      <c r="H958" s="54" t="n"/>
      <c r="I958" s="106">
        <f>IF($C958="","",IFERROR(INDEX(Sens_Types,MATCH($C958,Liste_Types,0)),""))</f>
        <v/>
      </c>
      <c r="J958" s="107">
        <f>IF($I958="▲ ENTRÉE",$U958,"")</f>
        <v/>
      </c>
      <c r="K958" s="108">
        <f>IF($I958="▼ SORTIE",$U958,"")</f>
        <v/>
      </c>
      <c r="L958" s="109">
        <f>$L957+N($J958)-N($K958)</f>
        <v/>
      </c>
      <c r="M958" s="110" t="n"/>
      <c r="N958" s="54" t="n"/>
      <c r="O958" s="54" t="n"/>
      <c r="P958" s="54" t="n"/>
      <c r="Q958" s="110" t="n"/>
      <c r="R958" s="110" t="n"/>
      <c r="S958" s="54" t="n"/>
      <c r="T958" s="111">
        <f>IF($G958="","",IFERROR(INDEX(Taux_Devises,MATCH(IF($M958="",Devise_Base,$M958),Codes_Devises,0)),1))</f>
        <v/>
      </c>
      <c r="U958" s="112">
        <f>IF($G958="","",ROUND($G958*$T958,2))</f>
        <v/>
      </c>
      <c r="V958" s="113">
        <f>IF($B958="","",MONTH($B958))</f>
        <v/>
      </c>
      <c r="W958" s="113">
        <f>IF($B958="","",YEAR($B958))</f>
        <v/>
      </c>
    </row>
    <row r="959">
      <c r="B959" s="105" t="n"/>
      <c r="C959" s="54" t="n"/>
      <c r="D959" s="54" t="n"/>
      <c r="E959" s="54" t="n"/>
      <c r="F959" s="54" t="n"/>
      <c r="G959" s="65" t="n"/>
      <c r="H959" s="54" t="n"/>
      <c r="I959" s="106">
        <f>IF($C959="","",IFERROR(INDEX(Sens_Types,MATCH($C959,Liste_Types,0)),""))</f>
        <v/>
      </c>
      <c r="J959" s="107">
        <f>IF($I959="▲ ENTRÉE",$U959,"")</f>
        <v/>
      </c>
      <c r="K959" s="108">
        <f>IF($I959="▼ SORTIE",$U959,"")</f>
        <v/>
      </c>
      <c r="L959" s="109">
        <f>$L958+N($J959)-N($K959)</f>
        <v/>
      </c>
      <c r="M959" s="110" t="n"/>
      <c r="N959" s="54" t="n"/>
      <c r="O959" s="54" t="n"/>
      <c r="P959" s="54" t="n"/>
      <c r="Q959" s="110" t="n"/>
      <c r="R959" s="110" t="n"/>
      <c r="S959" s="54" t="n"/>
      <c r="T959" s="111">
        <f>IF($G959="","",IFERROR(INDEX(Taux_Devises,MATCH(IF($M959="",Devise_Base,$M959),Codes_Devises,0)),1))</f>
        <v/>
      </c>
      <c r="U959" s="112">
        <f>IF($G959="","",ROUND($G959*$T959,2))</f>
        <v/>
      </c>
      <c r="V959" s="113">
        <f>IF($B959="","",MONTH($B959))</f>
        <v/>
      </c>
      <c r="W959" s="113">
        <f>IF($B959="","",YEAR($B959))</f>
        <v/>
      </c>
    </row>
    <row r="960">
      <c r="B960" s="105" t="n"/>
      <c r="C960" s="54" t="n"/>
      <c r="D960" s="54" t="n"/>
      <c r="E960" s="54" t="n"/>
      <c r="F960" s="54" t="n"/>
      <c r="G960" s="65" t="n"/>
      <c r="H960" s="54" t="n"/>
      <c r="I960" s="106">
        <f>IF($C960="","",IFERROR(INDEX(Sens_Types,MATCH($C960,Liste_Types,0)),""))</f>
        <v/>
      </c>
      <c r="J960" s="107">
        <f>IF($I960="▲ ENTRÉE",$U960,"")</f>
        <v/>
      </c>
      <c r="K960" s="108">
        <f>IF($I960="▼ SORTIE",$U960,"")</f>
        <v/>
      </c>
      <c r="L960" s="109">
        <f>$L959+N($J960)-N($K960)</f>
        <v/>
      </c>
      <c r="M960" s="110" t="n"/>
      <c r="N960" s="54" t="n"/>
      <c r="O960" s="54" t="n"/>
      <c r="P960" s="54" t="n"/>
      <c r="Q960" s="110" t="n"/>
      <c r="R960" s="110" t="n"/>
      <c r="S960" s="54" t="n"/>
      <c r="T960" s="111">
        <f>IF($G960="","",IFERROR(INDEX(Taux_Devises,MATCH(IF($M960="",Devise_Base,$M960),Codes_Devises,0)),1))</f>
        <v/>
      </c>
      <c r="U960" s="112">
        <f>IF($G960="","",ROUND($G960*$T960,2))</f>
        <v/>
      </c>
      <c r="V960" s="113">
        <f>IF($B960="","",MONTH($B960))</f>
        <v/>
      </c>
      <c r="W960" s="113">
        <f>IF($B960="","",YEAR($B960))</f>
        <v/>
      </c>
    </row>
    <row r="961">
      <c r="B961" s="105" t="n"/>
      <c r="C961" s="54" t="n"/>
      <c r="D961" s="54" t="n"/>
      <c r="E961" s="54" t="n"/>
      <c r="F961" s="54" t="n"/>
      <c r="G961" s="65" t="n"/>
      <c r="H961" s="54" t="n"/>
      <c r="I961" s="106">
        <f>IF($C961="","",IFERROR(INDEX(Sens_Types,MATCH($C961,Liste_Types,0)),""))</f>
        <v/>
      </c>
      <c r="J961" s="107">
        <f>IF($I961="▲ ENTRÉE",$U961,"")</f>
        <v/>
      </c>
      <c r="K961" s="108">
        <f>IF($I961="▼ SORTIE",$U961,"")</f>
        <v/>
      </c>
      <c r="L961" s="109">
        <f>$L960+N($J961)-N($K961)</f>
        <v/>
      </c>
      <c r="M961" s="110" t="n"/>
      <c r="N961" s="54" t="n"/>
      <c r="O961" s="54" t="n"/>
      <c r="P961" s="54" t="n"/>
      <c r="Q961" s="110" t="n"/>
      <c r="R961" s="110" t="n"/>
      <c r="S961" s="54" t="n"/>
      <c r="T961" s="111">
        <f>IF($G961="","",IFERROR(INDEX(Taux_Devises,MATCH(IF($M961="",Devise_Base,$M961),Codes_Devises,0)),1))</f>
        <v/>
      </c>
      <c r="U961" s="112">
        <f>IF($G961="","",ROUND($G961*$T961,2))</f>
        <v/>
      </c>
      <c r="V961" s="113">
        <f>IF($B961="","",MONTH($B961))</f>
        <v/>
      </c>
      <c r="W961" s="113">
        <f>IF($B961="","",YEAR($B961))</f>
        <v/>
      </c>
    </row>
    <row r="962">
      <c r="B962" s="105" t="n"/>
      <c r="C962" s="54" t="n"/>
      <c r="D962" s="54" t="n"/>
      <c r="E962" s="54" t="n"/>
      <c r="F962" s="54" t="n"/>
      <c r="G962" s="65" t="n"/>
      <c r="H962" s="54" t="n"/>
      <c r="I962" s="106">
        <f>IF($C962="","",IFERROR(INDEX(Sens_Types,MATCH($C962,Liste_Types,0)),""))</f>
        <v/>
      </c>
      <c r="J962" s="107">
        <f>IF($I962="▲ ENTRÉE",$U962,"")</f>
        <v/>
      </c>
      <c r="K962" s="108">
        <f>IF($I962="▼ SORTIE",$U962,"")</f>
        <v/>
      </c>
      <c r="L962" s="109">
        <f>$L961+N($J962)-N($K962)</f>
        <v/>
      </c>
      <c r="M962" s="110" t="n"/>
      <c r="N962" s="54" t="n"/>
      <c r="O962" s="54" t="n"/>
      <c r="P962" s="54" t="n"/>
      <c r="Q962" s="110" t="n"/>
      <c r="R962" s="110" t="n"/>
      <c r="S962" s="54" t="n"/>
      <c r="T962" s="111">
        <f>IF($G962="","",IFERROR(INDEX(Taux_Devises,MATCH(IF($M962="",Devise_Base,$M962),Codes_Devises,0)),1))</f>
        <v/>
      </c>
      <c r="U962" s="112">
        <f>IF($G962="","",ROUND($G962*$T962,2))</f>
        <v/>
      </c>
      <c r="V962" s="113">
        <f>IF($B962="","",MONTH($B962))</f>
        <v/>
      </c>
      <c r="W962" s="113">
        <f>IF($B962="","",YEAR($B962))</f>
        <v/>
      </c>
    </row>
    <row r="963">
      <c r="B963" s="105" t="n"/>
      <c r="C963" s="54" t="n"/>
      <c r="D963" s="54" t="n"/>
      <c r="E963" s="54" t="n"/>
      <c r="F963" s="54" t="n"/>
      <c r="G963" s="65" t="n"/>
      <c r="H963" s="54" t="n"/>
      <c r="I963" s="106">
        <f>IF($C963="","",IFERROR(INDEX(Sens_Types,MATCH($C963,Liste_Types,0)),""))</f>
        <v/>
      </c>
      <c r="J963" s="107">
        <f>IF($I963="▲ ENTRÉE",$U963,"")</f>
        <v/>
      </c>
      <c r="K963" s="108">
        <f>IF($I963="▼ SORTIE",$U963,"")</f>
        <v/>
      </c>
      <c r="L963" s="109">
        <f>$L962+N($J963)-N($K963)</f>
        <v/>
      </c>
      <c r="M963" s="110" t="n"/>
      <c r="N963" s="54" t="n"/>
      <c r="O963" s="54" t="n"/>
      <c r="P963" s="54" t="n"/>
      <c r="Q963" s="110" t="n"/>
      <c r="R963" s="110" t="n"/>
      <c r="S963" s="54" t="n"/>
      <c r="T963" s="111">
        <f>IF($G963="","",IFERROR(INDEX(Taux_Devises,MATCH(IF($M963="",Devise_Base,$M963),Codes_Devises,0)),1))</f>
        <v/>
      </c>
      <c r="U963" s="112">
        <f>IF($G963="","",ROUND($G963*$T963,2))</f>
        <v/>
      </c>
      <c r="V963" s="113">
        <f>IF($B963="","",MONTH($B963))</f>
        <v/>
      </c>
      <c r="W963" s="113">
        <f>IF($B963="","",YEAR($B963))</f>
        <v/>
      </c>
    </row>
    <row r="964">
      <c r="B964" s="105" t="n"/>
      <c r="C964" s="54" t="n"/>
      <c r="D964" s="54" t="n"/>
      <c r="E964" s="54" t="n"/>
      <c r="F964" s="54" t="n"/>
      <c r="G964" s="65" t="n"/>
      <c r="H964" s="54" t="n"/>
      <c r="I964" s="106">
        <f>IF($C964="","",IFERROR(INDEX(Sens_Types,MATCH($C964,Liste_Types,0)),""))</f>
        <v/>
      </c>
      <c r="J964" s="107">
        <f>IF($I964="▲ ENTRÉE",$U964,"")</f>
        <v/>
      </c>
      <c r="K964" s="108">
        <f>IF($I964="▼ SORTIE",$U964,"")</f>
        <v/>
      </c>
      <c r="L964" s="109">
        <f>$L963+N($J964)-N($K964)</f>
        <v/>
      </c>
      <c r="M964" s="110" t="n"/>
      <c r="N964" s="54" t="n"/>
      <c r="O964" s="54" t="n"/>
      <c r="P964" s="54" t="n"/>
      <c r="Q964" s="110" t="n"/>
      <c r="R964" s="110" t="n"/>
      <c r="S964" s="54" t="n"/>
      <c r="T964" s="111">
        <f>IF($G964="","",IFERROR(INDEX(Taux_Devises,MATCH(IF($M964="",Devise_Base,$M964),Codes_Devises,0)),1))</f>
        <v/>
      </c>
      <c r="U964" s="112">
        <f>IF($G964="","",ROUND($G964*$T964,2))</f>
        <v/>
      </c>
      <c r="V964" s="113">
        <f>IF($B964="","",MONTH($B964))</f>
        <v/>
      </c>
      <c r="W964" s="113">
        <f>IF($B964="","",YEAR($B964))</f>
        <v/>
      </c>
    </row>
    <row r="965">
      <c r="B965" s="105" t="n"/>
      <c r="C965" s="54" t="n"/>
      <c r="D965" s="54" t="n"/>
      <c r="E965" s="54" t="n"/>
      <c r="F965" s="54" t="n"/>
      <c r="G965" s="65" t="n"/>
      <c r="H965" s="54" t="n"/>
      <c r="I965" s="106">
        <f>IF($C965="","",IFERROR(INDEX(Sens_Types,MATCH($C965,Liste_Types,0)),""))</f>
        <v/>
      </c>
      <c r="J965" s="107">
        <f>IF($I965="▲ ENTRÉE",$U965,"")</f>
        <v/>
      </c>
      <c r="K965" s="108">
        <f>IF($I965="▼ SORTIE",$U965,"")</f>
        <v/>
      </c>
      <c r="L965" s="109">
        <f>$L964+N($J965)-N($K965)</f>
        <v/>
      </c>
      <c r="M965" s="110" t="n"/>
      <c r="N965" s="54" t="n"/>
      <c r="O965" s="54" t="n"/>
      <c r="P965" s="54" t="n"/>
      <c r="Q965" s="110" t="n"/>
      <c r="R965" s="110" t="n"/>
      <c r="S965" s="54" t="n"/>
      <c r="T965" s="111">
        <f>IF($G965="","",IFERROR(INDEX(Taux_Devises,MATCH(IF($M965="",Devise_Base,$M965),Codes_Devises,0)),1))</f>
        <v/>
      </c>
      <c r="U965" s="112">
        <f>IF($G965="","",ROUND($G965*$T965,2))</f>
        <v/>
      </c>
      <c r="V965" s="113">
        <f>IF($B965="","",MONTH($B965))</f>
        <v/>
      </c>
      <c r="W965" s="113">
        <f>IF($B965="","",YEAR($B965))</f>
        <v/>
      </c>
    </row>
    <row r="966">
      <c r="B966" s="105" t="n"/>
      <c r="C966" s="54" t="n"/>
      <c r="D966" s="54" t="n"/>
      <c r="E966" s="54" t="n"/>
      <c r="F966" s="54" t="n"/>
      <c r="G966" s="65" t="n"/>
      <c r="H966" s="54" t="n"/>
      <c r="I966" s="106">
        <f>IF($C966="","",IFERROR(INDEX(Sens_Types,MATCH($C966,Liste_Types,0)),""))</f>
        <v/>
      </c>
      <c r="J966" s="107">
        <f>IF($I966="▲ ENTRÉE",$U966,"")</f>
        <v/>
      </c>
      <c r="K966" s="108">
        <f>IF($I966="▼ SORTIE",$U966,"")</f>
        <v/>
      </c>
      <c r="L966" s="109">
        <f>$L965+N($J966)-N($K966)</f>
        <v/>
      </c>
      <c r="M966" s="110" t="n"/>
      <c r="N966" s="54" t="n"/>
      <c r="O966" s="54" t="n"/>
      <c r="P966" s="54" t="n"/>
      <c r="Q966" s="110" t="n"/>
      <c r="R966" s="110" t="n"/>
      <c r="S966" s="54" t="n"/>
      <c r="T966" s="111">
        <f>IF($G966="","",IFERROR(INDEX(Taux_Devises,MATCH(IF($M966="",Devise_Base,$M966),Codes_Devises,0)),1))</f>
        <v/>
      </c>
      <c r="U966" s="112">
        <f>IF($G966="","",ROUND($G966*$T966,2))</f>
        <v/>
      </c>
      <c r="V966" s="113">
        <f>IF($B966="","",MONTH($B966))</f>
        <v/>
      </c>
      <c r="W966" s="113">
        <f>IF($B966="","",YEAR($B966))</f>
        <v/>
      </c>
    </row>
    <row r="967">
      <c r="B967" s="105" t="n"/>
      <c r="C967" s="54" t="n"/>
      <c r="D967" s="54" t="n"/>
      <c r="E967" s="54" t="n"/>
      <c r="F967" s="54" t="n"/>
      <c r="G967" s="65" t="n"/>
      <c r="H967" s="54" t="n"/>
      <c r="I967" s="106">
        <f>IF($C967="","",IFERROR(INDEX(Sens_Types,MATCH($C967,Liste_Types,0)),""))</f>
        <v/>
      </c>
      <c r="J967" s="107">
        <f>IF($I967="▲ ENTRÉE",$U967,"")</f>
        <v/>
      </c>
      <c r="K967" s="108">
        <f>IF($I967="▼ SORTIE",$U967,"")</f>
        <v/>
      </c>
      <c r="L967" s="109">
        <f>$L966+N($J967)-N($K967)</f>
        <v/>
      </c>
      <c r="M967" s="110" t="n"/>
      <c r="N967" s="54" t="n"/>
      <c r="O967" s="54" t="n"/>
      <c r="P967" s="54" t="n"/>
      <c r="Q967" s="110" t="n"/>
      <c r="R967" s="110" t="n"/>
      <c r="S967" s="54" t="n"/>
      <c r="T967" s="111">
        <f>IF($G967="","",IFERROR(INDEX(Taux_Devises,MATCH(IF($M967="",Devise_Base,$M967),Codes_Devises,0)),1))</f>
        <v/>
      </c>
      <c r="U967" s="112">
        <f>IF($G967="","",ROUND($G967*$T967,2))</f>
        <v/>
      </c>
      <c r="V967" s="113">
        <f>IF($B967="","",MONTH($B967))</f>
        <v/>
      </c>
      <c r="W967" s="113">
        <f>IF($B967="","",YEAR($B967))</f>
        <v/>
      </c>
    </row>
    <row r="968">
      <c r="B968" s="105" t="n"/>
      <c r="C968" s="54" t="n"/>
      <c r="D968" s="54" t="n"/>
      <c r="E968" s="54" t="n"/>
      <c r="F968" s="54" t="n"/>
      <c r="G968" s="65" t="n"/>
      <c r="H968" s="54" t="n"/>
      <c r="I968" s="106">
        <f>IF($C968="","",IFERROR(INDEX(Sens_Types,MATCH($C968,Liste_Types,0)),""))</f>
        <v/>
      </c>
      <c r="J968" s="107">
        <f>IF($I968="▲ ENTRÉE",$U968,"")</f>
        <v/>
      </c>
      <c r="K968" s="108">
        <f>IF($I968="▼ SORTIE",$U968,"")</f>
        <v/>
      </c>
      <c r="L968" s="109">
        <f>$L967+N($J968)-N($K968)</f>
        <v/>
      </c>
      <c r="M968" s="110" t="n"/>
      <c r="N968" s="54" t="n"/>
      <c r="O968" s="54" t="n"/>
      <c r="P968" s="54" t="n"/>
      <c r="Q968" s="110" t="n"/>
      <c r="R968" s="110" t="n"/>
      <c r="S968" s="54" t="n"/>
      <c r="T968" s="111">
        <f>IF($G968="","",IFERROR(INDEX(Taux_Devises,MATCH(IF($M968="",Devise_Base,$M968),Codes_Devises,0)),1))</f>
        <v/>
      </c>
      <c r="U968" s="112">
        <f>IF($G968="","",ROUND($G968*$T968,2))</f>
        <v/>
      </c>
      <c r="V968" s="113">
        <f>IF($B968="","",MONTH($B968))</f>
        <v/>
      </c>
      <c r="W968" s="113">
        <f>IF($B968="","",YEAR($B968))</f>
        <v/>
      </c>
    </row>
    <row r="969">
      <c r="B969" s="105" t="n"/>
      <c r="C969" s="54" t="n"/>
      <c r="D969" s="54" t="n"/>
      <c r="E969" s="54" t="n"/>
      <c r="F969" s="54" t="n"/>
      <c r="G969" s="65" t="n"/>
      <c r="H969" s="54" t="n"/>
      <c r="I969" s="106">
        <f>IF($C969="","",IFERROR(INDEX(Sens_Types,MATCH($C969,Liste_Types,0)),""))</f>
        <v/>
      </c>
      <c r="J969" s="107">
        <f>IF($I969="▲ ENTRÉE",$U969,"")</f>
        <v/>
      </c>
      <c r="K969" s="108">
        <f>IF($I969="▼ SORTIE",$U969,"")</f>
        <v/>
      </c>
      <c r="L969" s="109">
        <f>$L968+N($J969)-N($K969)</f>
        <v/>
      </c>
      <c r="M969" s="110" t="n"/>
      <c r="N969" s="54" t="n"/>
      <c r="O969" s="54" t="n"/>
      <c r="P969" s="54" t="n"/>
      <c r="Q969" s="110" t="n"/>
      <c r="R969" s="110" t="n"/>
      <c r="S969" s="54" t="n"/>
      <c r="T969" s="111">
        <f>IF($G969="","",IFERROR(INDEX(Taux_Devises,MATCH(IF($M969="",Devise_Base,$M969),Codes_Devises,0)),1))</f>
        <v/>
      </c>
      <c r="U969" s="112">
        <f>IF($G969="","",ROUND($G969*$T969,2))</f>
        <v/>
      </c>
      <c r="V969" s="113">
        <f>IF($B969="","",MONTH($B969))</f>
        <v/>
      </c>
      <c r="W969" s="113">
        <f>IF($B969="","",YEAR($B969))</f>
        <v/>
      </c>
    </row>
    <row r="970">
      <c r="B970" s="105" t="n"/>
      <c r="C970" s="54" t="n"/>
      <c r="D970" s="54" t="n"/>
      <c r="E970" s="54" t="n"/>
      <c r="F970" s="54" t="n"/>
      <c r="G970" s="65" t="n"/>
      <c r="H970" s="54" t="n"/>
      <c r="I970" s="106">
        <f>IF($C970="","",IFERROR(INDEX(Sens_Types,MATCH($C970,Liste_Types,0)),""))</f>
        <v/>
      </c>
      <c r="J970" s="107">
        <f>IF($I970="▲ ENTRÉE",$U970,"")</f>
        <v/>
      </c>
      <c r="K970" s="108">
        <f>IF($I970="▼ SORTIE",$U970,"")</f>
        <v/>
      </c>
      <c r="L970" s="109">
        <f>$L969+N($J970)-N($K970)</f>
        <v/>
      </c>
      <c r="M970" s="110" t="n"/>
      <c r="N970" s="54" t="n"/>
      <c r="O970" s="54" t="n"/>
      <c r="P970" s="54" t="n"/>
      <c r="Q970" s="110" t="n"/>
      <c r="R970" s="110" t="n"/>
      <c r="S970" s="54" t="n"/>
      <c r="T970" s="111">
        <f>IF($G970="","",IFERROR(INDEX(Taux_Devises,MATCH(IF($M970="",Devise_Base,$M970),Codes_Devises,0)),1))</f>
        <v/>
      </c>
      <c r="U970" s="112">
        <f>IF($G970="","",ROUND($G970*$T970,2))</f>
        <v/>
      </c>
      <c r="V970" s="113">
        <f>IF($B970="","",MONTH($B970))</f>
        <v/>
      </c>
      <c r="W970" s="113">
        <f>IF($B970="","",YEAR($B970))</f>
        <v/>
      </c>
    </row>
    <row r="971">
      <c r="B971" s="105" t="n"/>
      <c r="C971" s="54" t="n"/>
      <c r="D971" s="54" t="n"/>
      <c r="E971" s="54" t="n"/>
      <c r="F971" s="54" t="n"/>
      <c r="G971" s="65" t="n"/>
      <c r="H971" s="54" t="n"/>
      <c r="I971" s="106">
        <f>IF($C971="","",IFERROR(INDEX(Sens_Types,MATCH($C971,Liste_Types,0)),""))</f>
        <v/>
      </c>
      <c r="J971" s="107">
        <f>IF($I971="▲ ENTRÉE",$U971,"")</f>
        <v/>
      </c>
      <c r="K971" s="108">
        <f>IF($I971="▼ SORTIE",$U971,"")</f>
        <v/>
      </c>
      <c r="L971" s="109">
        <f>$L970+N($J971)-N($K971)</f>
        <v/>
      </c>
      <c r="M971" s="110" t="n"/>
      <c r="N971" s="54" t="n"/>
      <c r="O971" s="54" t="n"/>
      <c r="P971" s="54" t="n"/>
      <c r="Q971" s="110" t="n"/>
      <c r="R971" s="110" t="n"/>
      <c r="S971" s="54" t="n"/>
      <c r="T971" s="111">
        <f>IF($G971="","",IFERROR(INDEX(Taux_Devises,MATCH(IF($M971="",Devise_Base,$M971),Codes_Devises,0)),1))</f>
        <v/>
      </c>
      <c r="U971" s="112">
        <f>IF($G971="","",ROUND($G971*$T971,2))</f>
        <v/>
      </c>
      <c r="V971" s="113">
        <f>IF($B971="","",MONTH($B971))</f>
        <v/>
      </c>
      <c r="W971" s="113">
        <f>IF($B971="","",YEAR($B971))</f>
        <v/>
      </c>
    </row>
    <row r="972">
      <c r="B972" s="105" t="n"/>
      <c r="C972" s="54" t="n"/>
      <c r="D972" s="54" t="n"/>
      <c r="E972" s="54" t="n"/>
      <c r="F972" s="54" t="n"/>
      <c r="G972" s="65" t="n"/>
      <c r="H972" s="54" t="n"/>
      <c r="I972" s="106">
        <f>IF($C972="","",IFERROR(INDEX(Sens_Types,MATCH($C972,Liste_Types,0)),""))</f>
        <v/>
      </c>
      <c r="J972" s="107">
        <f>IF($I972="▲ ENTRÉE",$U972,"")</f>
        <v/>
      </c>
      <c r="K972" s="108">
        <f>IF($I972="▼ SORTIE",$U972,"")</f>
        <v/>
      </c>
      <c r="L972" s="109">
        <f>$L971+N($J972)-N($K972)</f>
        <v/>
      </c>
      <c r="M972" s="110" t="n"/>
      <c r="N972" s="54" t="n"/>
      <c r="O972" s="54" t="n"/>
      <c r="P972" s="54" t="n"/>
      <c r="Q972" s="110" t="n"/>
      <c r="R972" s="110" t="n"/>
      <c r="S972" s="54" t="n"/>
      <c r="T972" s="111">
        <f>IF($G972="","",IFERROR(INDEX(Taux_Devises,MATCH(IF($M972="",Devise_Base,$M972),Codes_Devises,0)),1))</f>
        <v/>
      </c>
      <c r="U972" s="112">
        <f>IF($G972="","",ROUND($G972*$T972,2))</f>
        <v/>
      </c>
      <c r="V972" s="113">
        <f>IF($B972="","",MONTH($B972))</f>
        <v/>
      </c>
      <c r="W972" s="113">
        <f>IF($B972="","",YEAR($B972))</f>
        <v/>
      </c>
    </row>
    <row r="973">
      <c r="B973" s="105" t="n"/>
      <c r="C973" s="54" t="n"/>
      <c r="D973" s="54" t="n"/>
      <c r="E973" s="54" t="n"/>
      <c r="F973" s="54" t="n"/>
      <c r="G973" s="65" t="n"/>
      <c r="H973" s="54" t="n"/>
      <c r="I973" s="106">
        <f>IF($C973="","",IFERROR(INDEX(Sens_Types,MATCH($C973,Liste_Types,0)),""))</f>
        <v/>
      </c>
      <c r="J973" s="107">
        <f>IF($I973="▲ ENTRÉE",$U973,"")</f>
        <v/>
      </c>
      <c r="K973" s="108">
        <f>IF($I973="▼ SORTIE",$U973,"")</f>
        <v/>
      </c>
      <c r="L973" s="109">
        <f>$L972+N($J973)-N($K973)</f>
        <v/>
      </c>
      <c r="M973" s="110" t="n"/>
      <c r="N973" s="54" t="n"/>
      <c r="O973" s="54" t="n"/>
      <c r="P973" s="54" t="n"/>
      <c r="Q973" s="110" t="n"/>
      <c r="R973" s="110" t="n"/>
      <c r="S973" s="54" t="n"/>
      <c r="T973" s="111">
        <f>IF($G973="","",IFERROR(INDEX(Taux_Devises,MATCH(IF($M973="",Devise_Base,$M973),Codes_Devises,0)),1))</f>
        <v/>
      </c>
      <c r="U973" s="112">
        <f>IF($G973="","",ROUND($G973*$T973,2))</f>
        <v/>
      </c>
      <c r="V973" s="113">
        <f>IF($B973="","",MONTH($B973))</f>
        <v/>
      </c>
      <c r="W973" s="113">
        <f>IF($B973="","",YEAR($B973))</f>
        <v/>
      </c>
    </row>
    <row r="974">
      <c r="B974" s="105" t="n"/>
      <c r="C974" s="54" t="n"/>
      <c r="D974" s="54" t="n"/>
      <c r="E974" s="54" t="n"/>
      <c r="F974" s="54" t="n"/>
      <c r="G974" s="65" t="n"/>
      <c r="H974" s="54" t="n"/>
      <c r="I974" s="106">
        <f>IF($C974="","",IFERROR(INDEX(Sens_Types,MATCH($C974,Liste_Types,0)),""))</f>
        <v/>
      </c>
      <c r="J974" s="107">
        <f>IF($I974="▲ ENTRÉE",$U974,"")</f>
        <v/>
      </c>
      <c r="K974" s="108">
        <f>IF($I974="▼ SORTIE",$U974,"")</f>
        <v/>
      </c>
      <c r="L974" s="109">
        <f>$L973+N($J974)-N($K974)</f>
        <v/>
      </c>
      <c r="M974" s="110" t="n"/>
      <c r="N974" s="54" t="n"/>
      <c r="O974" s="54" t="n"/>
      <c r="P974" s="54" t="n"/>
      <c r="Q974" s="110" t="n"/>
      <c r="R974" s="110" t="n"/>
      <c r="S974" s="54" t="n"/>
      <c r="T974" s="111">
        <f>IF($G974="","",IFERROR(INDEX(Taux_Devises,MATCH(IF($M974="",Devise_Base,$M974),Codes_Devises,0)),1))</f>
        <v/>
      </c>
      <c r="U974" s="112">
        <f>IF($G974="","",ROUND($G974*$T974,2))</f>
        <v/>
      </c>
      <c r="V974" s="113">
        <f>IF($B974="","",MONTH($B974))</f>
        <v/>
      </c>
      <c r="W974" s="113">
        <f>IF($B974="","",YEAR($B974))</f>
        <v/>
      </c>
    </row>
    <row r="975">
      <c r="B975" s="105" t="n"/>
      <c r="C975" s="54" t="n"/>
      <c r="D975" s="54" t="n"/>
      <c r="E975" s="54" t="n"/>
      <c r="F975" s="54" t="n"/>
      <c r="G975" s="65" t="n"/>
      <c r="H975" s="54" t="n"/>
      <c r="I975" s="106">
        <f>IF($C975="","",IFERROR(INDEX(Sens_Types,MATCH($C975,Liste_Types,0)),""))</f>
        <v/>
      </c>
      <c r="J975" s="107">
        <f>IF($I975="▲ ENTRÉE",$U975,"")</f>
        <v/>
      </c>
      <c r="K975" s="108">
        <f>IF($I975="▼ SORTIE",$U975,"")</f>
        <v/>
      </c>
      <c r="L975" s="109">
        <f>$L974+N($J975)-N($K975)</f>
        <v/>
      </c>
      <c r="M975" s="110" t="n"/>
      <c r="N975" s="54" t="n"/>
      <c r="O975" s="54" t="n"/>
      <c r="P975" s="54" t="n"/>
      <c r="Q975" s="110" t="n"/>
      <c r="R975" s="110" t="n"/>
      <c r="S975" s="54" t="n"/>
      <c r="T975" s="111">
        <f>IF($G975="","",IFERROR(INDEX(Taux_Devises,MATCH(IF($M975="",Devise_Base,$M975),Codes_Devises,0)),1))</f>
        <v/>
      </c>
      <c r="U975" s="112">
        <f>IF($G975="","",ROUND($G975*$T975,2))</f>
        <v/>
      </c>
      <c r="V975" s="113">
        <f>IF($B975="","",MONTH($B975))</f>
        <v/>
      </c>
      <c r="W975" s="113">
        <f>IF($B975="","",YEAR($B975))</f>
        <v/>
      </c>
    </row>
    <row r="976">
      <c r="B976" s="105" t="n"/>
      <c r="C976" s="54" t="n"/>
      <c r="D976" s="54" t="n"/>
      <c r="E976" s="54" t="n"/>
      <c r="F976" s="54" t="n"/>
      <c r="G976" s="65" t="n"/>
      <c r="H976" s="54" t="n"/>
      <c r="I976" s="106">
        <f>IF($C976="","",IFERROR(INDEX(Sens_Types,MATCH($C976,Liste_Types,0)),""))</f>
        <v/>
      </c>
      <c r="J976" s="107">
        <f>IF($I976="▲ ENTRÉE",$U976,"")</f>
        <v/>
      </c>
      <c r="K976" s="108">
        <f>IF($I976="▼ SORTIE",$U976,"")</f>
        <v/>
      </c>
      <c r="L976" s="109">
        <f>$L975+N($J976)-N($K976)</f>
        <v/>
      </c>
      <c r="M976" s="110" t="n"/>
      <c r="N976" s="54" t="n"/>
      <c r="O976" s="54" t="n"/>
      <c r="P976" s="54" t="n"/>
      <c r="Q976" s="110" t="n"/>
      <c r="R976" s="110" t="n"/>
      <c r="S976" s="54" t="n"/>
      <c r="T976" s="111">
        <f>IF($G976="","",IFERROR(INDEX(Taux_Devises,MATCH(IF($M976="",Devise_Base,$M976),Codes_Devises,0)),1))</f>
        <v/>
      </c>
      <c r="U976" s="112">
        <f>IF($G976="","",ROUND($G976*$T976,2))</f>
        <v/>
      </c>
      <c r="V976" s="113">
        <f>IF($B976="","",MONTH($B976))</f>
        <v/>
      </c>
      <c r="W976" s="113">
        <f>IF($B976="","",YEAR($B976))</f>
        <v/>
      </c>
    </row>
    <row r="977">
      <c r="B977" s="105" t="n"/>
      <c r="C977" s="54" t="n"/>
      <c r="D977" s="54" t="n"/>
      <c r="E977" s="54" t="n"/>
      <c r="F977" s="54" t="n"/>
      <c r="G977" s="65" t="n"/>
      <c r="H977" s="54" t="n"/>
      <c r="I977" s="106">
        <f>IF($C977="","",IFERROR(INDEX(Sens_Types,MATCH($C977,Liste_Types,0)),""))</f>
        <v/>
      </c>
      <c r="J977" s="107">
        <f>IF($I977="▲ ENTRÉE",$U977,"")</f>
        <v/>
      </c>
      <c r="K977" s="108">
        <f>IF($I977="▼ SORTIE",$U977,"")</f>
        <v/>
      </c>
      <c r="L977" s="109">
        <f>$L976+N($J977)-N($K977)</f>
        <v/>
      </c>
      <c r="M977" s="110" t="n"/>
      <c r="N977" s="54" t="n"/>
      <c r="O977" s="54" t="n"/>
      <c r="P977" s="54" t="n"/>
      <c r="Q977" s="110" t="n"/>
      <c r="R977" s="110" t="n"/>
      <c r="S977" s="54" t="n"/>
      <c r="T977" s="111">
        <f>IF($G977="","",IFERROR(INDEX(Taux_Devises,MATCH(IF($M977="",Devise_Base,$M977),Codes_Devises,0)),1))</f>
        <v/>
      </c>
      <c r="U977" s="112">
        <f>IF($G977="","",ROUND($G977*$T977,2))</f>
        <v/>
      </c>
      <c r="V977" s="113">
        <f>IF($B977="","",MONTH($B977))</f>
        <v/>
      </c>
      <c r="W977" s="113">
        <f>IF($B977="","",YEAR($B977))</f>
        <v/>
      </c>
    </row>
    <row r="978">
      <c r="B978" s="105" t="n"/>
      <c r="C978" s="54" t="n"/>
      <c r="D978" s="54" t="n"/>
      <c r="E978" s="54" t="n"/>
      <c r="F978" s="54" t="n"/>
      <c r="G978" s="65" t="n"/>
      <c r="H978" s="54" t="n"/>
      <c r="I978" s="106">
        <f>IF($C978="","",IFERROR(INDEX(Sens_Types,MATCH($C978,Liste_Types,0)),""))</f>
        <v/>
      </c>
      <c r="J978" s="107">
        <f>IF($I978="▲ ENTRÉE",$U978,"")</f>
        <v/>
      </c>
      <c r="K978" s="108">
        <f>IF($I978="▼ SORTIE",$U978,"")</f>
        <v/>
      </c>
      <c r="L978" s="109">
        <f>$L977+N($J978)-N($K978)</f>
        <v/>
      </c>
      <c r="M978" s="110" t="n"/>
      <c r="N978" s="54" t="n"/>
      <c r="O978" s="54" t="n"/>
      <c r="P978" s="54" t="n"/>
      <c r="Q978" s="110" t="n"/>
      <c r="R978" s="110" t="n"/>
      <c r="S978" s="54" t="n"/>
      <c r="T978" s="111">
        <f>IF($G978="","",IFERROR(INDEX(Taux_Devises,MATCH(IF($M978="",Devise_Base,$M978),Codes_Devises,0)),1))</f>
        <v/>
      </c>
      <c r="U978" s="112">
        <f>IF($G978="","",ROUND($G978*$T978,2))</f>
        <v/>
      </c>
      <c r="V978" s="113">
        <f>IF($B978="","",MONTH($B978))</f>
        <v/>
      </c>
      <c r="W978" s="113">
        <f>IF($B978="","",YEAR($B978))</f>
        <v/>
      </c>
    </row>
    <row r="979">
      <c r="B979" s="105" t="n"/>
      <c r="C979" s="54" t="n"/>
      <c r="D979" s="54" t="n"/>
      <c r="E979" s="54" t="n"/>
      <c r="F979" s="54" t="n"/>
      <c r="G979" s="65" t="n"/>
      <c r="H979" s="54" t="n"/>
      <c r="I979" s="106">
        <f>IF($C979="","",IFERROR(INDEX(Sens_Types,MATCH($C979,Liste_Types,0)),""))</f>
        <v/>
      </c>
      <c r="J979" s="107">
        <f>IF($I979="▲ ENTRÉE",$U979,"")</f>
        <v/>
      </c>
      <c r="K979" s="108">
        <f>IF($I979="▼ SORTIE",$U979,"")</f>
        <v/>
      </c>
      <c r="L979" s="109">
        <f>$L978+N($J979)-N($K979)</f>
        <v/>
      </c>
      <c r="M979" s="110" t="n"/>
      <c r="N979" s="54" t="n"/>
      <c r="O979" s="54" t="n"/>
      <c r="P979" s="54" t="n"/>
      <c r="Q979" s="110" t="n"/>
      <c r="R979" s="110" t="n"/>
      <c r="S979" s="54" t="n"/>
      <c r="T979" s="111">
        <f>IF($G979="","",IFERROR(INDEX(Taux_Devises,MATCH(IF($M979="",Devise_Base,$M979),Codes_Devises,0)),1))</f>
        <v/>
      </c>
      <c r="U979" s="112">
        <f>IF($G979="","",ROUND($G979*$T979,2))</f>
        <v/>
      </c>
      <c r="V979" s="113">
        <f>IF($B979="","",MONTH($B979))</f>
        <v/>
      </c>
      <c r="W979" s="113">
        <f>IF($B979="","",YEAR($B979))</f>
        <v/>
      </c>
    </row>
    <row r="980">
      <c r="B980" s="105" t="n"/>
      <c r="C980" s="54" t="n"/>
      <c r="D980" s="54" t="n"/>
      <c r="E980" s="54" t="n"/>
      <c r="F980" s="54" t="n"/>
      <c r="G980" s="65" t="n"/>
      <c r="H980" s="54" t="n"/>
      <c r="I980" s="106">
        <f>IF($C980="","",IFERROR(INDEX(Sens_Types,MATCH($C980,Liste_Types,0)),""))</f>
        <v/>
      </c>
      <c r="J980" s="107">
        <f>IF($I980="▲ ENTRÉE",$U980,"")</f>
        <v/>
      </c>
      <c r="K980" s="108">
        <f>IF($I980="▼ SORTIE",$U980,"")</f>
        <v/>
      </c>
      <c r="L980" s="109">
        <f>$L979+N($J980)-N($K980)</f>
        <v/>
      </c>
      <c r="M980" s="110" t="n"/>
      <c r="N980" s="54" t="n"/>
      <c r="O980" s="54" t="n"/>
      <c r="P980" s="54" t="n"/>
      <c r="Q980" s="110" t="n"/>
      <c r="R980" s="110" t="n"/>
      <c r="S980" s="54" t="n"/>
      <c r="T980" s="111">
        <f>IF($G980="","",IFERROR(INDEX(Taux_Devises,MATCH(IF($M980="",Devise_Base,$M980),Codes_Devises,0)),1))</f>
        <v/>
      </c>
      <c r="U980" s="112">
        <f>IF($G980="","",ROUND($G980*$T980,2))</f>
        <v/>
      </c>
      <c r="V980" s="113">
        <f>IF($B980="","",MONTH($B980))</f>
        <v/>
      </c>
      <c r="W980" s="113">
        <f>IF($B980="","",YEAR($B980))</f>
        <v/>
      </c>
    </row>
    <row r="981">
      <c r="B981" s="105" t="n"/>
      <c r="C981" s="54" t="n"/>
      <c r="D981" s="54" t="n"/>
      <c r="E981" s="54" t="n"/>
      <c r="F981" s="54" t="n"/>
      <c r="G981" s="65" t="n"/>
      <c r="H981" s="54" t="n"/>
      <c r="I981" s="106">
        <f>IF($C981="","",IFERROR(INDEX(Sens_Types,MATCH($C981,Liste_Types,0)),""))</f>
        <v/>
      </c>
      <c r="J981" s="107">
        <f>IF($I981="▲ ENTRÉE",$U981,"")</f>
        <v/>
      </c>
      <c r="K981" s="108">
        <f>IF($I981="▼ SORTIE",$U981,"")</f>
        <v/>
      </c>
      <c r="L981" s="109">
        <f>$L980+N($J981)-N($K981)</f>
        <v/>
      </c>
      <c r="M981" s="110" t="n"/>
      <c r="N981" s="54" t="n"/>
      <c r="O981" s="54" t="n"/>
      <c r="P981" s="54" t="n"/>
      <c r="Q981" s="110" t="n"/>
      <c r="R981" s="110" t="n"/>
      <c r="S981" s="54" t="n"/>
      <c r="T981" s="111">
        <f>IF($G981="","",IFERROR(INDEX(Taux_Devises,MATCH(IF($M981="",Devise_Base,$M981),Codes_Devises,0)),1))</f>
        <v/>
      </c>
      <c r="U981" s="112">
        <f>IF($G981="","",ROUND($G981*$T981,2))</f>
        <v/>
      </c>
      <c r="V981" s="113">
        <f>IF($B981="","",MONTH($B981))</f>
        <v/>
      </c>
      <c r="W981" s="113">
        <f>IF($B981="","",YEAR($B981))</f>
        <v/>
      </c>
    </row>
    <row r="982">
      <c r="B982" s="105" t="n"/>
      <c r="C982" s="54" t="n"/>
      <c r="D982" s="54" t="n"/>
      <c r="E982" s="54" t="n"/>
      <c r="F982" s="54" t="n"/>
      <c r="G982" s="65" t="n"/>
      <c r="H982" s="54" t="n"/>
      <c r="I982" s="106">
        <f>IF($C982="","",IFERROR(INDEX(Sens_Types,MATCH($C982,Liste_Types,0)),""))</f>
        <v/>
      </c>
      <c r="J982" s="107">
        <f>IF($I982="▲ ENTRÉE",$U982,"")</f>
        <v/>
      </c>
      <c r="K982" s="108">
        <f>IF($I982="▼ SORTIE",$U982,"")</f>
        <v/>
      </c>
      <c r="L982" s="109">
        <f>$L981+N($J982)-N($K982)</f>
        <v/>
      </c>
      <c r="M982" s="110" t="n"/>
      <c r="N982" s="54" t="n"/>
      <c r="O982" s="54" t="n"/>
      <c r="P982" s="54" t="n"/>
      <c r="Q982" s="110" t="n"/>
      <c r="R982" s="110" t="n"/>
      <c r="S982" s="54" t="n"/>
      <c r="T982" s="111">
        <f>IF($G982="","",IFERROR(INDEX(Taux_Devises,MATCH(IF($M982="",Devise_Base,$M982),Codes_Devises,0)),1))</f>
        <v/>
      </c>
      <c r="U982" s="112">
        <f>IF($G982="","",ROUND($G982*$T982,2))</f>
        <v/>
      </c>
      <c r="V982" s="113">
        <f>IF($B982="","",MONTH($B982))</f>
        <v/>
      </c>
      <c r="W982" s="113">
        <f>IF($B982="","",YEAR($B982))</f>
        <v/>
      </c>
    </row>
    <row r="983">
      <c r="B983" s="105" t="n"/>
      <c r="C983" s="54" t="n"/>
      <c r="D983" s="54" t="n"/>
      <c r="E983" s="54" t="n"/>
      <c r="F983" s="54" t="n"/>
      <c r="G983" s="65" t="n"/>
      <c r="H983" s="54" t="n"/>
      <c r="I983" s="106">
        <f>IF($C983="","",IFERROR(INDEX(Sens_Types,MATCH($C983,Liste_Types,0)),""))</f>
        <v/>
      </c>
      <c r="J983" s="107">
        <f>IF($I983="▲ ENTRÉE",$U983,"")</f>
        <v/>
      </c>
      <c r="K983" s="108">
        <f>IF($I983="▼ SORTIE",$U983,"")</f>
        <v/>
      </c>
      <c r="L983" s="109">
        <f>$L982+N($J983)-N($K983)</f>
        <v/>
      </c>
      <c r="M983" s="110" t="n"/>
      <c r="N983" s="54" t="n"/>
      <c r="O983" s="54" t="n"/>
      <c r="P983" s="54" t="n"/>
      <c r="Q983" s="110" t="n"/>
      <c r="R983" s="110" t="n"/>
      <c r="S983" s="54" t="n"/>
      <c r="T983" s="111">
        <f>IF($G983="","",IFERROR(INDEX(Taux_Devises,MATCH(IF($M983="",Devise_Base,$M983),Codes_Devises,0)),1))</f>
        <v/>
      </c>
      <c r="U983" s="112">
        <f>IF($G983="","",ROUND($G983*$T983,2))</f>
        <v/>
      </c>
      <c r="V983" s="113">
        <f>IF($B983="","",MONTH($B983))</f>
        <v/>
      </c>
      <c r="W983" s="113">
        <f>IF($B983="","",YEAR($B983))</f>
        <v/>
      </c>
    </row>
    <row r="984">
      <c r="B984" s="105" t="n"/>
      <c r="C984" s="54" t="n"/>
      <c r="D984" s="54" t="n"/>
      <c r="E984" s="54" t="n"/>
      <c r="F984" s="54" t="n"/>
      <c r="G984" s="65" t="n"/>
      <c r="H984" s="54" t="n"/>
      <c r="I984" s="106">
        <f>IF($C984="","",IFERROR(INDEX(Sens_Types,MATCH($C984,Liste_Types,0)),""))</f>
        <v/>
      </c>
      <c r="J984" s="107">
        <f>IF($I984="▲ ENTRÉE",$U984,"")</f>
        <v/>
      </c>
      <c r="K984" s="108">
        <f>IF($I984="▼ SORTIE",$U984,"")</f>
        <v/>
      </c>
      <c r="L984" s="109">
        <f>$L983+N($J984)-N($K984)</f>
        <v/>
      </c>
      <c r="M984" s="110" t="n"/>
      <c r="N984" s="54" t="n"/>
      <c r="O984" s="54" t="n"/>
      <c r="P984" s="54" t="n"/>
      <c r="Q984" s="110" t="n"/>
      <c r="R984" s="110" t="n"/>
      <c r="S984" s="54" t="n"/>
      <c r="T984" s="111">
        <f>IF($G984="","",IFERROR(INDEX(Taux_Devises,MATCH(IF($M984="",Devise_Base,$M984),Codes_Devises,0)),1))</f>
        <v/>
      </c>
      <c r="U984" s="112">
        <f>IF($G984="","",ROUND($G984*$T984,2))</f>
        <v/>
      </c>
      <c r="V984" s="113">
        <f>IF($B984="","",MONTH($B984))</f>
        <v/>
      </c>
      <c r="W984" s="113">
        <f>IF($B984="","",YEAR($B984))</f>
        <v/>
      </c>
    </row>
    <row r="985">
      <c r="B985" s="105" t="n"/>
      <c r="C985" s="54" t="n"/>
      <c r="D985" s="54" t="n"/>
      <c r="E985" s="54" t="n"/>
      <c r="F985" s="54" t="n"/>
      <c r="G985" s="65" t="n"/>
      <c r="H985" s="54" t="n"/>
      <c r="I985" s="106">
        <f>IF($C985="","",IFERROR(INDEX(Sens_Types,MATCH($C985,Liste_Types,0)),""))</f>
        <v/>
      </c>
      <c r="J985" s="107">
        <f>IF($I985="▲ ENTRÉE",$U985,"")</f>
        <v/>
      </c>
      <c r="K985" s="108">
        <f>IF($I985="▼ SORTIE",$U985,"")</f>
        <v/>
      </c>
      <c r="L985" s="109">
        <f>$L984+N($J985)-N($K985)</f>
        <v/>
      </c>
      <c r="M985" s="110" t="n"/>
      <c r="N985" s="54" t="n"/>
      <c r="O985" s="54" t="n"/>
      <c r="P985" s="54" t="n"/>
      <c r="Q985" s="110" t="n"/>
      <c r="R985" s="110" t="n"/>
      <c r="S985" s="54" t="n"/>
      <c r="T985" s="111">
        <f>IF($G985="","",IFERROR(INDEX(Taux_Devises,MATCH(IF($M985="",Devise_Base,$M985),Codes_Devises,0)),1))</f>
        <v/>
      </c>
      <c r="U985" s="112">
        <f>IF($G985="","",ROUND($G985*$T985,2))</f>
        <v/>
      </c>
      <c r="V985" s="113">
        <f>IF($B985="","",MONTH($B985))</f>
        <v/>
      </c>
      <c r="W985" s="113">
        <f>IF($B985="","",YEAR($B985))</f>
        <v/>
      </c>
    </row>
    <row r="986">
      <c r="B986" s="105" t="n"/>
      <c r="C986" s="54" t="n"/>
      <c r="D986" s="54" t="n"/>
      <c r="E986" s="54" t="n"/>
      <c r="F986" s="54" t="n"/>
      <c r="G986" s="65" t="n"/>
      <c r="H986" s="54" t="n"/>
      <c r="I986" s="106">
        <f>IF($C986="","",IFERROR(INDEX(Sens_Types,MATCH($C986,Liste_Types,0)),""))</f>
        <v/>
      </c>
      <c r="J986" s="107">
        <f>IF($I986="▲ ENTRÉE",$U986,"")</f>
        <v/>
      </c>
      <c r="K986" s="108">
        <f>IF($I986="▼ SORTIE",$U986,"")</f>
        <v/>
      </c>
      <c r="L986" s="109">
        <f>$L985+N($J986)-N($K986)</f>
        <v/>
      </c>
      <c r="M986" s="110" t="n"/>
      <c r="N986" s="54" t="n"/>
      <c r="O986" s="54" t="n"/>
      <c r="P986" s="54" t="n"/>
      <c r="Q986" s="110" t="n"/>
      <c r="R986" s="110" t="n"/>
      <c r="S986" s="54" t="n"/>
      <c r="T986" s="111">
        <f>IF($G986="","",IFERROR(INDEX(Taux_Devises,MATCH(IF($M986="",Devise_Base,$M986),Codes_Devises,0)),1))</f>
        <v/>
      </c>
      <c r="U986" s="112">
        <f>IF($G986="","",ROUND($G986*$T986,2))</f>
        <v/>
      </c>
      <c r="V986" s="113">
        <f>IF($B986="","",MONTH($B986))</f>
        <v/>
      </c>
      <c r="W986" s="113">
        <f>IF($B986="","",YEAR($B986))</f>
        <v/>
      </c>
    </row>
    <row r="987">
      <c r="B987" s="105" t="n"/>
      <c r="C987" s="54" t="n"/>
      <c r="D987" s="54" t="n"/>
      <c r="E987" s="54" t="n"/>
      <c r="F987" s="54" t="n"/>
      <c r="G987" s="65" t="n"/>
      <c r="H987" s="54" t="n"/>
      <c r="I987" s="106">
        <f>IF($C987="","",IFERROR(INDEX(Sens_Types,MATCH($C987,Liste_Types,0)),""))</f>
        <v/>
      </c>
      <c r="J987" s="107">
        <f>IF($I987="▲ ENTRÉE",$U987,"")</f>
        <v/>
      </c>
      <c r="K987" s="108">
        <f>IF($I987="▼ SORTIE",$U987,"")</f>
        <v/>
      </c>
      <c r="L987" s="109">
        <f>$L986+N($J987)-N($K987)</f>
        <v/>
      </c>
      <c r="M987" s="110" t="n"/>
      <c r="N987" s="54" t="n"/>
      <c r="O987" s="54" t="n"/>
      <c r="P987" s="54" t="n"/>
      <c r="Q987" s="110" t="n"/>
      <c r="R987" s="110" t="n"/>
      <c r="S987" s="54" t="n"/>
      <c r="T987" s="111">
        <f>IF($G987="","",IFERROR(INDEX(Taux_Devises,MATCH(IF($M987="",Devise_Base,$M987),Codes_Devises,0)),1))</f>
        <v/>
      </c>
      <c r="U987" s="112">
        <f>IF($G987="","",ROUND($G987*$T987,2))</f>
        <v/>
      </c>
      <c r="V987" s="113">
        <f>IF($B987="","",MONTH($B987))</f>
        <v/>
      </c>
      <c r="W987" s="113">
        <f>IF($B987="","",YEAR($B987))</f>
        <v/>
      </c>
    </row>
    <row r="988">
      <c r="B988" s="105" t="n"/>
      <c r="C988" s="54" t="n"/>
      <c r="D988" s="54" t="n"/>
      <c r="E988" s="54" t="n"/>
      <c r="F988" s="54" t="n"/>
      <c r="G988" s="65" t="n"/>
      <c r="H988" s="54" t="n"/>
      <c r="I988" s="106">
        <f>IF($C988="","",IFERROR(INDEX(Sens_Types,MATCH($C988,Liste_Types,0)),""))</f>
        <v/>
      </c>
      <c r="J988" s="107">
        <f>IF($I988="▲ ENTRÉE",$U988,"")</f>
        <v/>
      </c>
      <c r="K988" s="108">
        <f>IF($I988="▼ SORTIE",$U988,"")</f>
        <v/>
      </c>
      <c r="L988" s="109">
        <f>$L987+N($J988)-N($K988)</f>
        <v/>
      </c>
      <c r="M988" s="110" t="n"/>
      <c r="N988" s="54" t="n"/>
      <c r="O988" s="54" t="n"/>
      <c r="P988" s="54" t="n"/>
      <c r="Q988" s="110" t="n"/>
      <c r="R988" s="110" t="n"/>
      <c r="S988" s="54" t="n"/>
      <c r="T988" s="111">
        <f>IF($G988="","",IFERROR(INDEX(Taux_Devises,MATCH(IF($M988="",Devise_Base,$M988),Codes_Devises,0)),1))</f>
        <v/>
      </c>
      <c r="U988" s="112">
        <f>IF($G988="","",ROUND($G988*$T988,2))</f>
        <v/>
      </c>
      <c r="V988" s="113">
        <f>IF($B988="","",MONTH($B988))</f>
        <v/>
      </c>
      <c r="W988" s="113">
        <f>IF($B988="","",YEAR($B988))</f>
        <v/>
      </c>
    </row>
    <row r="989">
      <c r="B989" s="105" t="n"/>
      <c r="C989" s="54" t="n"/>
      <c r="D989" s="54" t="n"/>
      <c r="E989" s="54" t="n"/>
      <c r="F989" s="54" t="n"/>
      <c r="G989" s="65" t="n"/>
      <c r="H989" s="54" t="n"/>
      <c r="I989" s="106">
        <f>IF($C989="","",IFERROR(INDEX(Sens_Types,MATCH($C989,Liste_Types,0)),""))</f>
        <v/>
      </c>
      <c r="J989" s="107">
        <f>IF($I989="▲ ENTRÉE",$U989,"")</f>
        <v/>
      </c>
      <c r="K989" s="108">
        <f>IF($I989="▼ SORTIE",$U989,"")</f>
        <v/>
      </c>
      <c r="L989" s="109">
        <f>$L988+N($J989)-N($K989)</f>
        <v/>
      </c>
      <c r="M989" s="110" t="n"/>
      <c r="N989" s="54" t="n"/>
      <c r="O989" s="54" t="n"/>
      <c r="P989" s="54" t="n"/>
      <c r="Q989" s="110" t="n"/>
      <c r="R989" s="110" t="n"/>
      <c r="S989" s="54" t="n"/>
      <c r="T989" s="111">
        <f>IF($G989="","",IFERROR(INDEX(Taux_Devises,MATCH(IF($M989="",Devise_Base,$M989),Codes_Devises,0)),1))</f>
        <v/>
      </c>
      <c r="U989" s="112">
        <f>IF($G989="","",ROUND($G989*$T989,2))</f>
        <v/>
      </c>
      <c r="V989" s="113">
        <f>IF($B989="","",MONTH($B989))</f>
        <v/>
      </c>
      <c r="W989" s="113">
        <f>IF($B989="","",YEAR($B989))</f>
        <v/>
      </c>
    </row>
    <row r="990">
      <c r="B990" s="105" t="n"/>
      <c r="C990" s="54" t="n"/>
      <c r="D990" s="54" t="n"/>
      <c r="E990" s="54" t="n"/>
      <c r="F990" s="54" t="n"/>
      <c r="G990" s="65" t="n"/>
      <c r="H990" s="54" t="n"/>
      <c r="I990" s="106">
        <f>IF($C990="","",IFERROR(INDEX(Sens_Types,MATCH($C990,Liste_Types,0)),""))</f>
        <v/>
      </c>
      <c r="J990" s="107">
        <f>IF($I990="▲ ENTRÉE",$U990,"")</f>
        <v/>
      </c>
      <c r="K990" s="108">
        <f>IF($I990="▼ SORTIE",$U990,"")</f>
        <v/>
      </c>
      <c r="L990" s="109">
        <f>$L989+N($J990)-N($K990)</f>
        <v/>
      </c>
      <c r="M990" s="110" t="n"/>
      <c r="N990" s="54" t="n"/>
      <c r="O990" s="54" t="n"/>
      <c r="P990" s="54" t="n"/>
      <c r="Q990" s="110" t="n"/>
      <c r="R990" s="110" t="n"/>
      <c r="S990" s="54" t="n"/>
      <c r="T990" s="111">
        <f>IF($G990="","",IFERROR(INDEX(Taux_Devises,MATCH(IF($M990="",Devise_Base,$M990),Codes_Devises,0)),1))</f>
        <v/>
      </c>
      <c r="U990" s="112">
        <f>IF($G990="","",ROUND($G990*$T990,2))</f>
        <v/>
      </c>
      <c r="V990" s="113">
        <f>IF($B990="","",MONTH($B990))</f>
        <v/>
      </c>
      <c r="W990" s="113">
        <f>IF($B990="","",YEAR($B990))</f>
        <v/>
      </c>
    </row>
    <row r="991">
      <c r="B991" s="105" t="n"/>
      <c r="C991" s="54" t="n"/>
      <c r="D991" s="54" t="n"/>
      <c r="E991" s="54" t="n"/>
      <c r="F991" s="54" t="n"/>
      <c r="G991" s="65" t="n"/>
      <c r="H991" s="54" t="n"/>
      <c r="I991" s="106">
        <f>IF($C991="","",IFERROR(INDEX(Sens_Types,MATCH($C991,Liste_Types,0)),""))</f>
        <v/>
      </c>
      <c r="J991" s="107">
        <f>IF($I991="▲ ENTRÉE",$U991,"")</f>
        <v/>
      </c>
      <c r="K991" s="108">
        <f>IF($I991="▼ SORTIE",$U991,"")</f>
        <v/>
      </c>
      <c r="L991" s="109">
        <f>$L990+N($J991)-N($K991)</f>
        <v/>
      </c>
      <c r="M991" s="110" t="n"/>
      <c r="N991" s="54" t="n"/>
      <c r="O991" s="54" t="n"/>
      <c r="P991" s="54" t="n"/>
      <c r="Q991" s="110" t="n"/>
      <c r="R991" s="110" t="n"/>
      <c r="S991" s="54" t="n"/>
      <c r="T991" s="111">
        <f>IF($G991="","",IFERROR(INDEX(Taux_Devises,MATCH(IF($M991="",Devise_Base,$M991),Codes_Devises,0)),1))</f>
        <v/>
      </c>
      <c r="U991" s="112">
        <f>IF($G991="","",ROUND($G991*$T991,2))</f>
        <v/>
      </c>
      <c r="V991" s="113">
        <f>IF($B991="","",MONTH($B991))</f>
        <v/>
      </c>
      <c r="W991" s="113">
        <f>IF($B991="","",YEAR($B991))</f>
        <v/>
      </c>
    </row>
    <row r="992">
      <c r="B992" s="105" t="n"/>
      <c r="C992" s="54" t="n"/>
      <c r="D992" s="54" t="n"/>
      <c r="E992" s="54" t="n"/>
      <c r="F992" s="54" t="n"/>
      <c r="G992" s="65" t="n"/>
      <c r="H992" s="54" t="n"/>
      <c r="I992" s="106">
        <f>IF($C992="","",IFERROR(INDEX(Sens_Types,MATCH($C992,Liste_Types,0)),""))</f>
        <v/>
      </c>
      <c r="J992" s="107">
        <f>IF($I992="▲ ENTRÉE",$U992,"")</f>
        <v/>
      </c>
      <c r="K992" s="108">
        <f>IF($I992="▼ SORTIE",$U992,"")</f>
        <v/>
      </c>
      <c r="L992" s="109">
        <f>$L991+N($J992)-N($K992)</f>
        <v/>
      </c>
      <c r="M992" s="110" t="n"/>
      <c r="N992" s="54" t="n"/>
      <c r="O992" s="54" t="n"/>
      <c r="P992" s="54" t="n"/>
      <c r="Q992" s="110" t="n"/>
      <c r="R992" s="110" t="n"/>
      <c r="S992" s="54" t="n"/>
      <c r="T992" s="111">
        <f>IF($G992="","",IFERROR(INDEX(Taux_Devises,MATCH(IF($M992="",Devise_Base,$M992),Codes_Devises,0)),1))</f>
        <v/>
      </c>
      <c r="U992" s="112">
        <f>IF($G992="","",ROUND($G992*$T992,2))</f>
        <v/>
      </c>
      <c r="V992" s="113">
        <f>IF($B992="","",MONTH($B992))</f>
        <v/>
      </c>
      <c r="W992" s="113">
        <f>IF($B992="","",YEAR($B992))</f>
        <v/>
      </c>
    </row>
    <row r="993">
      <c r="B993" s="105" t="n"/>
      <c r="C993" s="54" t="n"/>
      <c r="D993" s="54" t="n"/>
      <c r="E993" s="54" t="n"/>
      <c r="F993" s="54" t="n"/>
      <c r="G993" s="65" t="n"/>
      <c r="H993" s="54" t="n"/>
      <c r="I993" s="106">
        <f>IF($C993="","",IFERROR(INDEX(Sens_Types,MATCH($C993,Liste_Types,0)),""))</f>
        <v/>
      </c>
      <c r="J993" s="107">
        <f>IF($I993="▲ ENTRÉE",$U993,"")</f>
        <v/>
      </c>
      <c r="K993" s="108">
        <f>IF($I993="▼ SORTIE",$U993,"")</f>
        <v/>
      </c>
      <c r="L993" s="109">
        <f>$L992+N($J993)-N($K993)</f>
        <v/>
      </c>
      <c r="M993" s="110" t="n"/>
      <c r="N993" s="54" t="n"/>
      <c r="O993" s="54" t="n"/>
      <c r="P993" s="54" t="n"/>
      <c r="Q993" s="110" t="n"/>
      <c r="R993" s="110" t="n"/>
      <c r="S993" s="54" t="n"/>
      <c r="T993" s="111">
        <f>IF($G993="","",IFERROR(INDEX(Taux_Devises,MATCH(IF($M993="",Devise_Base,$M993),Codes_Devises,0)),1))</f>
        <v/>
      </c>
      <c r="U993" s="112">
        <f>IF($G993="","",ROUND($G993*$T993,2))</f>
        <v/>
      </c>
      <c r="V993" s="113">
        <f>IF($B993="","",MONTH($B993))</f>
        <v/>
      </c>
      <c r="W993" s="113">
        <f>IF($B993="","",YEAR($B993))</f>
        <v/>
      </c>
    </row>
    <row r="994">
      <c r="B994" s="105" t="n"/>
      <c r="C994" s="54" t="n"/>
      <c r="D994" s="54" t="n"/>
      <c r="E994" s="54" t="n"/>
      <c r="F994" s="54" t="n"/>
      <c r="G994" s="65" t="n"/>
      <c r="H994" s="54" t="n"/>
      <c r="I994" s="106">
        <f>IF($C994="","",IFERROR(INDEX(Sens_Types,MATCH($C994,Liste_Types,0)),""))</f>
        <v/>
      </c>
      <c r="J994" s="107">
        <f>IF($I994="▲ ENTRÉE",$U994,"")</f>
        <v/>
      </c>
      <c r="K994" s="108">
        <f>IF($I994="▼ SORTIE",$U994,"")</f>
        <v/>
      </c>
      <c r="L994" s="109">
        <f>$L993+N($J994)-N($K994)</f>
        <v/>
      </c>
      <c r="M994" s="110" t="n"/>
      <c r="N994" s="54" t="n"/>
      <c r="O994" s="54" t="n"/>
      <c r="P994" s="54" t="n"/>
      <c r="Q994" s="110" t="n"/>
      <c r="R994" s="110" t="n"/>
      <c r="S994" s="54" t="n"/>
      <c r="T994" s="111">
        <f>IF($G994="","",IFERROR(INDEX(Taux_Devises,MATCH(IF($M994="",Devise_Base,$M994),Codes_Devises,0)),1))</f>
        <v/>
      </c>
      <c r="U994" s="112">
        <f>IF($G994="","",ROUND($G994*$T994,2))</f>
        <v/>
      </c>
      <c r="V994" s="113">
        <f>IF($B994="","",MONTH($B994))</f>
        <v/>
      </c>
      <c r="W994" s="113">
        <f>IF($B994="","",YEAR($B994))</f>
        <v/>
      </c>
    </row>
    <row r="995">
      <c r="B995" s="105" t="n"/>
      <c r="C995" s="54" t="n"/>
      <c r="D995" s="54" t="n"/>
      <c r="E995" s="54" t="n"/>
      <c r="F995" s="54" t="n"/>
      <c r="G995" s="65" t="n"/>
      <c r="H995" s="54" t="n"/>
      <c r="I995" s="106">
        <f>IF($C995="","",IFERROR(INDEX(Sens_Types,MATCH($C995,Liste_Types,0)),""))</f>
        <v/>
      </c>
      <c r="J995" s="107">
        <f>IF($I995="▲ ENTRÉE",$U995,"")</f>
        <v/>
      </c>
      <c r="K995" s="108">
        <f>IF($I995="▼ SORTIE",$U995,"")</f>
        <v/>
      </c>
      <c r="L995" s="109">
        <f>$L994+N($J995)-N($K995)</f>
        <v/>
      </c>
      <c r="M995" s="110" t="n"/>
      <c r="N995" s="54" t="n"/>
      <c r="O995" s="54" t="n"/>
      <c r="P995" s="54" t="n"/>
      <c r="Q995" s="110" t="n"/>
      <c r="R995" s="110" t="n"/>
      <c r="S995" s="54" t="n"/>
      <c r="T995" s="111">
        <f>IF($G995="","",IFERROR(INDEX(Taux_Devises,MATCH(IF($M995="",Devise_Base,$M995),Codes_Devises,0)),1))</f>
        <v/>
      </c>
      <c r="U995" s="112">
        <f>IF($G995="","",ROUND($G995*$T995,2))</f>
        <v/>
      </c>
      <c r="V995" s="113">
        <f>IF($B995="","",MONTH($B995))</f>
        <v/>
      </c>
      <c r="W995" s="113">
        <f>IF($B995="","",YEAR($B995))</f>
        <v/>
      </c>
    </row>
    <row r="996">
      <c r="B996" s="105" t="n"/>
      <c r="C996" s="54" t="n"/>
      <c r="D996" s="54" t="n"/>
      <c r="E996" s="54" t="n"/>
      <c r="F996" s="54" t="n"/>
      <c r="G996" s="65" t="n"/>
      <c r="H996" s="54" t="n"/>
      <c r="I996" s="106">
        <f>IF($C996="","",IFERROR(INDEX(Sens_Types,MATCH($C996,Liste_Types,0)),""))</f>
        <v/>
      </c>
      <c r="J996" s="107">
        <f>IF($I996="▲ ENTRÉE",$U996,"")</f>
        <v/>
      </c>
      <c r="K996" s="108">
        <f>IF($I996="▼ SORTIE",$U996,"")</f>
        <v/>
      </c>
      <c r="L996" s="109">
        <f>$L995+N($J996)-N($K996)</f>
        <v/>
      </c>
      <c r="M996" s="110" t="n"/>
      <c r="N996" s="54" t="n"/>
      <c r="O996" s="54" t="n"/>
      <c r="P996" s="54" t="n"/>
      <c r="Q996" s="110" t="n"/>
      <c r="R996" s="110" t="n"/>
      <c r="S996" s="54" t="n"/>
      <c r="T996" s="111">
        <f>IF($G996="","",IFERROR(INDEX(Taux_Devises,MATCH(IF($M996="",Devise_Base,$M996),Codes_Devises,0)),1))</f>
        <v/>
      </c>
      <c r="U996" s="112">
        <f>IF($G996="","",ROUND($G996*$T996,2))</f>
        <v/>
      </c>
      <c r="V996" s="113">
        <f>IF($B996="","",MONTH($B996))</f>
        <v/>
      </c>
      <c r="W996" s="113">
        <f>IF($B996="","",YEAR($B996))</f>
        <v/>
      </c>
    </row>
    <row r="997">
      <c r="B997" s="105" t="n"/>
      <c r="C997" s="54" t="n"/>
      <c r="D997" s="54" t="n"/>
      <c r="E997" s="54" t="n"/>
      <c r="F997" s="54" t="n"/>
      <c r="G997" s="65" t="n"/>
      <c r="H997" s="54" t="n"/>
      <c r="I997" s="106">
        <f>IF($C997="","",IFERROR(INDEX(Sens_Types,MATCH($C997,Liste_Types,0)),""))</f>
        <v/>
      </c>
      <c r="J997" s="107">
        <f>IF($I997="▲ ENTRÉE",$U997,"")</f>
        <v/>
      </c>
      <c r="K997" s="108">
        <f>IF($I997="▼ SORTIE",$U997,"")</f>
        <v/>
      </c>
      <c r="L997" s="109">
        <f>$L996+N($J997)-N($K997)</f>
        <v/>
      </c>
      <c r="M997" s="110" t="n"/>
      <c r="N997" s="54" t="n"/>
      <c r="O997" s="54" t="n"/>
      <c r="P997" s="54" t="n"/>
      <c r="Q997" s="110" t="n"/>
      <c r="R997" s="110" t="n"/>
      <c r="S997" s="54" t="n"/>
      <c r="T997" s="111">
        <f>IF($G997="","",IFERROR(INDEX(Taux_Devises,MATCH(IF($M997="",Devise_Base,$M997),Codes_Devises,0)),1))</f>
        <v/>
      </c>
      <c r="U997" s="112">
        <f>IF($G997="","",ROUND($G997*$T997,2))</f>
        <v/>
      </c>
      <c r="V997" s="113">
        <f>IF($B997="","",MONTH($B997))</f>
        <v/>
      </c>
      <c r="W997" s="113">
        <f>IF($B997="","",YEAR($B997))</f>
        <v/>
      </c>
    </row>
    <row r="998">
      <c r="B998" s="105" t="n"/>
      <c r="C998" s="54" t="n"/>
      <c r="D998" s="54" t="n"/>
      <c r="E998" s="54" t="n"/>
      <c r="F998" s="54" t="n"/>
      <c r="G998" s="65" t="n"/>
      <c r="H998" s="54" t="n"/>
      <c r="I998" s="106">
        <f>IF($C998="","",IFERROR(INDEX(Sens_Types,MATCH($C998,Liste_Types,0)),""))</f>
        <v/>
      </c>
      <c r="J998" s="107">
        <f>IF($I998="▲ ENTRÉE",$U998,"")</f>
        <v/>
      </c>
      <c r="K998" s="108">
        <f>IF($I998="▼ SORTIE",$U998,"")</f>
        <v/>
      </c>
      <c r="L998" s="109">
        <f>$L997+N($J998)-N($K998)</f>
        <v/>
      </c>
      <c r="M998" s="110" t="n"/>
      <c r="N998" s="54" t="n"/>
      <c r="O998" s="54" t="n"/>
      <c r="P998" s="54" t="n"/>
      <c r="Q998" s="110" t="n"/>
      <c r="R998" s="110" t="n"/>
      <c r="S998" s="54" t="n"/>
      <c r="T998" s="111">
        <f>IF($G998="","",IFERROR(INDEX(Taux_Devises,MATCH(IF($M998="",Devise_Base,$M998),Codes_Devises,0)),1))</f>
        <v/>
      </c>
      <c r="U998" s="112">
        <f>IF($G998="","",ROUND($G998*$T998,2))</f>
        <v/>
      </c>
      <c r="V998" s="113">
        <f>IF($B998="","",MONTH($B998))</f>
        <v/>
      </c>
      <c r="W998" s="113">
        <f>IF($B998="","",YEAR($B998))</f>
        <v/>
      </c>
    </row>
    <row r="999">
      <c r="B999" s="105" t="n"/>
      <c r="C999" s="54" t="n"/>
      <c r="D999" s="54" t="n"/>
      <c r="E999" s="54" t="n"/>
      <c r="F999" s="54" t="n"/>
      <c r="G999" s="65" t="n"/>
      <c r="H999" s="54" t="n"/>
      <c r="I999" s="106">
        <f>IF($C999="","",IFERROR(INDEX(Sens_Types,MATCH($C999,Liste_Types,0)),""))</f>
        <v/>
      </c>
      <c r="J999" s="107">
        <f>IF($I999="▲ ENTRÉE",$U999,"")</f>
        <v/>
      </c>
      <c r="K999" s="108">
        <f>IF($I999="▼ SORTIE",$U999,"")</f>
        <v/>
      </c>
      <c r="L999" s="109">
        <f>$L998+N($J999)-N($K999)</f>
        <v/>
      </c>
      <c r="M999" s="110" t="n"/>
      <c r="N999" s="54" t="n"/>
      <c r="O999" s="54" t="n"/>
      <c r="P999" s="54" t="n"/>
      <c r="Q999" s="110" t="n"/>
      <c r="R999" s="110" t="n"/>
      <c r="S999" s="54" t="n"/>
      <c r="T999" s="111">
        <f>IF($G999="","",IFERROR(INDEX(Taux_Devises,MATCH(IF($M999="",Devise_Base,$M999),Codes_Devises,0)),1))</f>
        <v/>
      </c>
      <c r="U999" s="112">
        <f>IF($G999="","",ROUND($G999*$T999,2))</f>
        <v/>
      </c>
      <c r="V999" s="113">
        <f>IF($B999="","",MONTH($B999))</f>
        <v/>
      </c>
      <c r="W999" s="113">
        <f>IF($B999="","",YEAR($B999))</f>
        <v/>
      </c>
    </row>
    <row r="1000">
      <c r="B1000" s="105" t="n"/>
      <c r="C1000" s="54" t="n"/>
      <c r="D1000" s="54" t="n"/>
      <c r="E1000" s="54" t="n"/>
      <c r="F1000" s="54" t="n"/>
      <c r="G1000" s="65" t="n"/>
      <c r="H1000" s="54" t="n"/>
      <c r="I1000" s="106">
        <f>IF($C1000="","",IFERROR(INDEX(Sens_Types,MATCH($C1000,Liste_Types,0)),""))</f>
        <v/>
      </c>
      <c r="J1000" s="107">
        <f>IF($I1000="▲ ENTRÉE",$U1000,"")</f>
        <v/>
      </c>
      <c r="K1000" s="108">
        <f>IF($I1000="▼ SORTIE",$U1000,"")</f>
        <v/>
      </c>
      <c r="L1000" s="109">
        <f>$L999+N($J1000)-N($K1000)</f>
        <v/>
      </c>
      <c r="M1000" s="110" t="n"/>
      <c r="N1000" s="54" t="n"/>
      <c r="O1000" s="54" t="n"/>
      <c r="P1000" s="54" t="n"/>
      <c r="Q1000" s="110" t="n"/>
      <c r="R1000" s="110" t="n"/>
      <c r="S1000" s="54" t="n"/>
      <c r="T1000" s="111">
        <f>IF($G1000="","",IFERROR(INDEX(Taux_Devises,MATCH(IF($M1000="",Devise_Base,$M1000),Codes_Devises,0)),1))</f>
        <v/>
      </c>
      <c r="U1000" s="112">
        <f>IF($G1000="","",ROUND($G1000*$T1000,2))</f>
        <v/>
      </c>
      <c r="V1000" s="113">
        <f>IF($B1000="","",MONTH($B1000))</f>
        <v/>
      </c>
      <c r="W1000" s="113">
        <f>IF($B1000="","",YEAR($B1000))</f>
        <v/>
      </c>
    </row>
    <row r="1001">
      <c r="B1001" s="105" t="n"/>
      <c r="C1001" s="54" t="n"/>
      <c r="D1001" s="54" t="n"/>
      <c r="E1001" s="54" t="n"/>
      <c r="F1001" s="54" t="n"/>
      <c r="G1001" s="65" t="n"/>
      <c r="H1001" s="54" t="n"/>
      <c r="I1001" s="106">
        <f>IF($C1001="","",IFERROR(INDEX(Sens_Types,MATCH($C1001,Liste_Types,0)),""))</f>
        <v/>
      </c>
      <c r="J1001" s="107">
        <f>IF($I1001="▲ ENTRÉE",$U1001,"")</f>
        <v/>
      </c>
      <c r="K1001" s="108">
        <f>IF($I1001="▼ SORTIE",$U1001,"")</f>
        <v/>
      </c>
      <c r="L1001" s="109">
        <f>$L1000+N($J1001)-N($K1001)</f>
        <v/>
      </c>
      <c r="M1001" s="110" t="n"/>
      <c r="N1001" s="54" t="n"/>
      <c r="O1001" s="54" t="n"/>
      <c r="P1001" s="54" t="n"/>
      <c r="Q1001" s="110" t="n"/>
      <c r="R1001" s="110" t="n"/>
      <c r="S1001" s="54" t="n"/>
      <c r="T1001" s="111">
        <f>IF($G1001="","",IFERROR(INDEX(Taux_Devises,MATCH(IF($M1001="",Devise_Base,$M1001),Codes_Devises,0)),1))</f>
        <v/>
      </c>
      <c r="U1001" s="112">
        <f>IF($G1001="","",ROUND($G1001*$T1001,2))</f>
        <v/>
      </c>
      <c r="V1001" s="113">
        <f>IF($B1001="","",MONTH($B1001))</f>
        <v/>
      </c>
      <c r="W1001" s="113">
        <f>IF($B1001="","",YEAR($B1001))</f>
        <v/>
      </c>
    </row>
    <row r="1002">
      <c r="B1002" s="105" t="n"/>
      <c r="C1002" s="54" t="n"/>
      <c r="D1002" s="54" t="n"/>
      <c r="E1002" s="54" t="n"/>
      <c r="F1002" s="54" t="n"/>
      <c r="G1002" s="65" t="n"/>
      <c r="H1002" s="54" t="n"/>
      <c r="I1002" s="106">
        <f>IF($C1002="","",IFERROR(INDEX(Sens_Types,MATCH($C1002,Liste_Types,0)),""))</f>
        <v/>
      </c>
      <c r="J1002" s="107">
        <f>IF($I1002="▲ ENTRÉE",$U1002,"")</f>
        <v/>
      </c>
      <c r="K1002" s="108">
        <f>IF($I1002="▼ SORTIE",$U1002,"")</f>
        <v/>
      </c>
      <c r="L1002" s="109">
        <f>$L1001+N($J1002)-N($K1002)</f>
        <v/>
      </c>
      <c r="M1002" s="110" t="n"/>
      <c r="N1002" s="54" t="n"/>
      <c r="O1002" s="54" t="n"/>
      <c r="P1002" s="54" t="n"/>
      <c r="Q1002" s="110" t="n"/>
      <c r="R1002" s="110" t="n"/>
      <c r="S1002" s="54" t="n"/>
      <c r="T1002" s="111">
        <f>IF($G1002="","",IFERROR(INDEX(Taux_Devises,MATCH(IF($M1002="",Devise_Base,$M1002),Codes_Devises,0)),1))</f>
        <v/>
      </c>
      <c r="U1002" s="112">
        <f>IF($G1002="","",ROUND($G1002*$T1002,2))</f>
        <v/>
      </c>
      <c r="V1002" s="113">
        <f>IF($B1002="","",MONTH($B1002))</f>
        <v/>
      </c>
      <c r="W1002" s="113">
        <f>IF($B1002="","",YEAR($B1002))</f>
        <v/>
      </c>
    </row>
    <row r="1003">
      <c r="B1003" s="105" t="n"/>
      <c r="C1003" s="54" t="n"/>
      <c r="D1003" s="54" t="n"/>
      <c r="E1003" s="54" t="n"/>
      <c r="F1003" s="54" t="n"/>
      <c r="G1003" s="65" t="n"/>
      <c r="H1003" s="54" t="n"/>
      <c r="I1003" s="106">
        <f>IF($C1003="","",IFERROR(INDEX(Sens_Types,MATCH($C1003,Liste_Types,0)),""))</f>
        <v/>
      </c>
      <c r="J1003" s="107">
        <f>IF($I1003="▲ ENTRÉE",$U1003,"")</f>
        <v/>
      </c>
      <c r="K1003" s="108">
        <f>IF($I1003="▼ SORTIE",$U1003,"")</f>
        <v/>
      </c>
      <c r="L1003" s="109">
        <f>$L1002+N($J1003)-N($K1003)</f>
        <v/>
      </c>
      <c r="M1003" s="110" t="n"/>
      <c r="N1003" s="54" t="n"/>
      <c r="O1003" s="54" t="n"/>
      <c r="P1003" s="54" t="n"/>
      <c r="Q1003" s="110" t="n"/>
      <c r="R1003" s="110" t="n"/>
      <c r="S1003" s="54" t="n"/>
      <c r="T1003" s="111">
        <f>IF($G1003="","",IFERROR(INDEX(Taux_Devises,MATCH(IF($M1003="",Devise_Base,$M1003),Codes_Devises,0)),1))</f>
        <v/>
      </c>
      <c r="U1003" s="112">
        <f>IF($G1003="","",ROUND($G1003*$T1003,2))</f>
        <v/>
      </c>
      <c r="V1003" s="113">
        <f>IF($B1003="","",MONTH($B1003))</f>
        <v/>
      </c>
      <c r="W1003" s="113">
        <f>IF($B1003="","",YEAR($B1003))</f>
        <v/>
      </c>
    </row>
    <row r="1004">
      <c r="B1004" s="105" t="n"/>
      <c r="C1004" s="54" t="n"/>
      <c r="D1004" s="54" t="n"/>
      <c r="E1004" s="54" t="n"/>
      <c r="F1004" s="54" t="n"/>
      <c r="G1004" s="65" t="n"/>
      <c r="H1004" s="54" t="n"/>
      <c r="I1004" s="106">
        <f>IF($C1004="","",IFERROR(INDEX(Sens_Types,MATCH($C1004,Liste_Types,0)),""))</f>
        <v/>
      </c>
      <c r="J1004" s="107">
        <f>IF($I1004="▲ ENTRÉE",$U1004,"")</f>
        <v/>
      </c>
      <c r="K1004" s="108">
        <f>IF($I1004="▼ SORTIE",$U1004,"")</f>
        <v/>
      </c>
      <c r="L1004" s="109">
        <f>$L1003+N($J1004)-N($K1004)</f>
        <v/>
      </c>
      <c r="M1004" s="110" t="n"/>
      <c r="N1004" s="54" t="n"/>
      <c r="O1004" s="54" t="n"/>
      <c r="P1004" s="54" t="n"/>
      <c r="Q1004" s="110" t="n"/>
      <c r="R1004" s="110" t="n"/>
      <c r="S1004" s="54" t="n"/>
      <c r="T1004" s="111">
        <f>IF($G1004="","",IFERROR(INDEX(Taux_Devises,MATCH(IF($M1004="",Devise_Base,$M1004),Codes_Devises,0)),1))</f>
        <v/>
      </c>
      <c r="U1004" s="112">
        <f>IF($G1004="","",ROUND($G1004*$T1004,2))</f>
        <v/>
      </c>
      <c r="V1004" s="113">
        <f>IF($B1004="","",MONTH($B1004))</f>
        <v/>
      </c>
      <c r="W1004" s="113">
        <f>IF($B1004="","",YEAR($B1004))</f>
        <v/>
      </c>
    </row>
    <row r="1005">
      <c r="B1005" s="105" t="n"/>
      <c r="C1005" s="54" t="n"/>
      <c r="D1005" s="54" t="n"/>
      <c r="E1005" s="54" t="n"/>
      <c r="F1005" s="54" t="n"/>
      <c r="G1005" s="65" t="n"/>
      <c r="H1005" s="54" t="n"/>
      <c r="I1005" s="106">
        <f>IF($C1005="","",IFERROR(INDEX(Sens_Types,MATCH($C1005,Liste_Types,0)),""))</f>
        <v/>
      </c>
      <c r="J1005" s="107">
        <f>IF($I1005="▲ ENTRÉE",$U1005,"")</f>
        <v/>
      </c>
      <c r="K1005" s="108">
        <f>IF($I1005="▼ SORTIE",$U1005,"")</f>
        <v/>
      </c>
      <c r="L1005" s="109">
        <f>$L1004+N($J1005)-N($K1005)</f>
        <v/>
      </c>
      <c r="M1005" s="110" t="n"/>
      <c r="N1005" s="54" t="n"/>
      <c r="O1005" s="54" t="n"/>
      <c r="P1005" s="54" t="n"/>
      <c r="Q1005" s="110" t="n"/>
      <c r="R1005" s="110" t="n"/>
      <c r="S1005" s="54" t="n"/>
      <c r="T1005" s="111">
        <f>IF($G1005="","",IFERROR(INDEX(Taux_Devises,MATCH(IF($M1005="",Devise_Base,$M1005),Codes_Devises,0)),1))</f>
        <v/>
      </c>
      <c r="U1005" s="112">
        <f>IF($G1005="","",ROUND($G1005*$T1005,2))</f>
        <v/>
      </c>
      <c r="V1005" s="113">
        <f>IF($B1005="","",MONTH($B1005))</f>
        <v/>
      </c>
      <c r="W1005" s="113">
        <f>IF($B1005="","",YEAR($B1005))</f>
        <v/>
      </c>
    </row>
    <row r="1006">
      <c r="B1006" s="105" t="n"/>
      <c r="C1006" s="54" t="n"/>
      <c r="D1006" s="54" t="n"/>
      <c r="E1006" s="54" t="n"/>
      <c r="F1006" s="54" t="n"/>
      <c r="G1006" s="65" t="n"/>
      <c r="H1006" s="54" t="n"/>
      <c r="I1006" s="106">
        <f>IF($C1006="","",IFERROR(INDEX(Sens_Types,MATCH($C1006,Liste_Types,0)),""))</f>
        <v/>
      </c>
      <c r="J1006" s="107">
        <f>IF($I1006="▲ ENTRÉE",$U1006,"")</f>
        <v/>
      </c>
      <c r="K1006" s="108">
        <f>IF($I1006="▼ SORTIE",$U1006,"")</f>
        <v/>
      </c>
      <c r="L1006" s="109">
        <f>$L1005+N($J1006)-N($K1006)</f>
        <v/>
      </c>
      <c r="M1006" s="110" t="n"/>
      <c r="N1006" s="54" t="n"/>
      <c r="O1006" s="54" t="n"/>
      <c r="P1006" s="54" t="n"/>
      <c r="Q1006" s="110" t="n"/>
      <c r="R1006" s="110" t="n"/>
      <c r="S1006" s="54" t="n"/>
      <c r="T1006" s="111">
        <f>IF($G1006="","",IFERROR(INDEX(Taux_Devises,MATCH(IF($M1006="",Devise_Base,$M1006),Codes_Devises,0)),1))</f>
        <v/>
      </c>
      <c r="U1006" s="112">
        <f>IF($G1006="","",ROUND($G1006*$T1006,2))</f>
        <v/>
      </c>
      <c r="V1006" s="113">
        <f>IF($B1006="","",MONTH($B1006))</f>
        <v/>
      </c>
      <c r="W1006" s="113">
        <f>IF($B1006="","",YEAR($B1006))</f>
        <v/>
      </c>
    </row>
    <row r="1007">
      <c r="B1007" s="105" t="n"/>
      <c r="C1007" s="54" t="n"/>
      <c r="D1007" s="54" t="n"/>
      <c r="E1007" s="54" t="n"/>
      <c r="F1007" s="54" t="n"/>
      <c r="G1007" s="65" t="n"/>
      <c r="H1007" s="54" t="n"/>
      <c r="I1007" s="106">
        <f>IF($C1007="","",IFERROR(INDEX(Sens_Types,MATCH($C1007,Liste_Types,0)),""))</f>
        <v/>
      </c>
      <c r="J1007" s="107">
        <f>IF($I1007="▲ ENTRÉE",$U1007,"")</f>
        <v/>
      </c>
      <c r="K1007" s="108">
        <f>IF($I1007="▼ SORTIE",$U1007,"")</f>
        <v/>
      </c>
      <c r="L1007" s="109">
        <f>$L1006+N($J1007)-N($K1007)</f>
        <v/>
      </c>
      <c r="M1007" s="110" t="n"/>
      <c r="N1007" s="54" t="n"/>
      <c r="O1007" s="54" t="n"/>
      <c r="P1007" s="54" t="n"/>
      <c r="Q1007" s="110" t="n"/>
      <c r="R1007" s="110" t="n"/>
      <c r="S1007" s="54" t="n"/>
      <c r="T1007" s="111">
        <f>IF($G1007="","",IFERROR(INDEX(Taux_Devises,MATCH(IF($M1007="",Devise_Base,$M1007),Codes_Devises,0)),1))</f>
        <v/>
      </c>
      <c r="U1007" s="112">
        <f>IF($G1007="","",ROUND($G1007*$T1007,2))</f>
        <v/>
      </c>
      <c r="V1007" s="113">
        <f>IF($B1007="","",MONTH($B1007))</f>
        <v/>
      </c>
      <c r="W1007" s="113">
        <f>IF($B1007="","",YEAR($B1007))</f>
        <v/>
      </c>
    </row>
    <row r="1008">
      <c r="B1008" s="105" t="n"/>
      <c r="C1008" s="54" t="n"/>
      <c r="D1008" s="54" t="n"/>
      <c r="E1008" s="54" t="n"/>
      <c r="F1008" s="54" t="n"/>
      <c r="G1008" s="65" t="n"/>
      <c r="H1008" s="54" t="n"/>
      <c r="I1008" s="106">
        <f>IF($C1008="","",IFERROR(INDEX(Sens_Types,MATCH($C1008,Liste_Types,0)),""))</f>
        <v/>
      </c>
      <c r="J1008" s="107">
        <f>IF($I1008="▲ ENTRÉE",$U1008,"")</f>
        <v/>
      </c>
      <c r="K1008" s="108">
        <f>IF($I1008="▼ SORTIE",$U1008,"")</f>
        <v/>
      </c>
      <c r="L1008" s="109">
        <f>$L1007+N($J1008)-N($K1008)</f>
        <v/>
      </c>
      <c r="M1008" s="110" t="n"/>
      <c r="N1008" s="54" t="n"/>
      <c r="O1008" s="54" t="n"/>
      <c r="P1008" s="54" t="n"/>
      <c r="Q1008" s="110" t="n"/>
      <c r="R1008" s="110" t="n"/>
      <c r="S1008" s="54" t="n"/>
      <c r="T1008" s="111">
        <f>IF($G1008="","",IFERROR(INDEX(Taux_Devises,MATCH(IF($M1008="",Devise_Base,$M1008),Codes_Devises,0)),1))</f>
        <v/>
      </c>
      <c r="U1008" s="112">
        <f>IF($G1008="","",ROUND($G1008*$T1008,2))</f>
        <v/>
      </c>
      <c r="V1008" s="113">
        <f>IF($B1008="","",MONTH($B1008))</f>
        <v/>
      </c>
      <c r="W1008" s="113">
        <f>IF($B1008="","",YEAR($B1008))</f>
        <v/>
      </c>
    </row>
    <row r="1009">
      <c r="B1009" s="105" t="n"/>
      <c r="C1009" s="54" t="n"/>
      <c r="D1009" s="54" t="n"/>
      <c r="E1009" s="54" t="n"/>
      <c r="F1009" s="54" t="n"/>
      <c r="G1009" s="65" t="n"/>
      <c r="H1009" s="54" t="n"/>
      <c r="I1009" s="106">
        <f>IF($C1009="","",IFERROR(INDEX(Sens_Types,MATCH($C1009,Liste_Types,0)),""))</f>
        <v/>
      </c>
      <c r="J1009" s="107">
        <f>IF($I1009="▲ ENTRÉE",$U1009,"")</f>
        <v/>
      </c>
      <c r="K1009" s="108">
        <f>IF($I1009="▼ SORTIE",$U1009,"")</f>
        <v/>
      </c>
      <c r="L1009" s="109">
        <f>$L1008+N($J1009)-N($K1009)</f>
        <v/>
      </c>
      <c r="M1009" s="110" t="n"/>
      <c r="N1009" s="54" t="n"/>
      <c r="O1009" s="54" t="n"/>
      <c r="P1009" s="54" t="n"/>
      <c r="Q1009" s="110" t="n"/>
      <c r="R1009" s="110" t="n"/>
      <c r="S1009" s="54" t="n"/>
      <c r="T1009" s="111">
        <f>IF($G1009="","",IFERROR(INDEX(Taux_Devises,MATCH(IF($M1009="",Devise_Base,$M1009),Codes_Devises,0)),1))</f>
        <v/>
      </c>
      <c r="U1009" s="112">
        <f>IF($G1009="","",ROUND($G1009*$T1009,2))</f>
        <v/>
      </c>
      <c r="V1009" s="113">
        <f>IF($B1009="","",MONTH($B1009))</f>
        <v/>
      </c>
      <c r="W1009" s="113">
        <f>IF($B1009="","",YEAR($B1009))</f>
        <v/>
      </c>
    </row>
    <row r="1010">
      <c r="B1010" s="105" t="n"/>
      <c r="C1010" s="54" t="n"/>
      <c r="D1010" s="54" t="n"/>
      <c r="E1010" s="54" t="n"/>
      <c r="F1010" s="54" t="n"/>
      <c r="G1010" s="65" t="n"/>
      <c r="H1010" s="54" t="n"/>
      <c r="I1010" s="106">
        <f>IF($C1010="","",IFERROR(INDEX(Sens_Types,MATCH($C1010,Liste_Types,0)),""))</f>
        <v/>
      </c>
      <c r="J1010" s="107">
        <f>IF($I1010="▲ ENTRÉE",$U1010,"")</f>
        <v/>
      </c>
      <c r="K1010" s="108">
        <f>IF($I1010="▼ SORTIE",$U1010,"")</f>
        <v/>
      </c>
      <c r="L1010" s="109">
        <f>$L1009+N($J1010)-N($K1010)</f>
        <v/>
      </c>
      <c r="M1010" s="110" t="n"/>
      <c r="N1010" s="54" t="n"/>
      <c r="O1010" s="54" t="n"/>
      <c r="P1010" s="54" t="n"/>
      <c r="Q1010" s="110" t="n"/>
      <c r="R1010" s="110" t="n"/>
      <c r="S1010" s="54" t="n"/>
      <c r="T1010" s="111">
        <f>IF($G1010="","",IFERROR(INDEX(Taux_Devises,MATCH(IF($M1010="",Devise_Base,$M1010),Codes_Devises,0)),1))</f>
        <v/>
      </c>
      <c r="U1010" s="112">
        <f>IF($G1010="","",ROUND($G1010*$T1010,2))</f>
        <v/>
      </c>
      <c r="V1010" s="113">
        <f>IF($B1010="","",MONTH($B1010))</f>
        <v/>
      </c>
      <c r="W1010" s="113">
        <f>IF($B1010="","",YEAR($B1010))</f>
        <v/>
      </c>
    </row>
    <row r="1011">
      <c r="B1011" s="105" t="n"/>
      <c r="C1011" s="54" t="n"/>
      <c r="D1011" s="54" t="n"/>
      <c r="E1011" s="54" t="n"/>
      <c r="F1011" s="54" t="n"/>
      <c r="G1011" s="65" t="n"/>
      <c r="H1011" s="54" t="n"/>
      <c r="I1011" s="106">
        <f>IF($C1011="","",IFERROR(INDEX(Sens_Types,MATCH($C1011,Liste_Types,0)),""))</f>
        <v/>
      </c>
      <c r="J1011" s="107">
        <f>IF($I1011="▲ ENTRÉE",$U1011,"")</f>
        <v/>
      </c>
      <c r="K1011" s="108">
        <f>IF($I1011="▼ SORTIE",$U1011,"")</f>
        <v/>
      </c>
      <c r="L1011" s="109">
        <f>$L1010+N($J1011)-N($K1011)</f>
        <v/>
      </c>
      <c r="M1011" s="110" t="n"/>
      <c r="N1011" s="54" t="n"/>
      <c r="O1011" s="54" t="n"/>
      <c r="P1011" s="54" t="n"/>
      <c r="Q1011" s="110" t="n"/>
      <c r="R1011" s="110" t="n"/>
      <c r="S1011" s="54" t="n"/>
      <c r="T1011" s="111">
        <f>IF($G1011="","",IFERROR(INDEX(Taux_Devises,MATCH(IF($M1011="",Devise_Base,$M1011),Codes_Devises,0)),1))</f>
        <v/>
      </c>
      <c r="U1011" s="112">
        <f>IF($G1011="","",ROUND($G1011*$T1011,2))</f>
        <v/>
      </c>
      <c r="V1011" s="113">
        <f>IF($B1011="","",MONTH($B1011))</f>
        <v/>
      </c>
      <c r="W1011" s="113">
        <f>IF($B1011="","",YEAR($B1011))</f>
        <v/>
      </c>
    </row>
    <row r="1012">
      <c r="B1012" s="105" t="n"/>
      <c r="C1012" s="54" t="n"/>
      <c r="D1012" s="54" t="n"/>
      <c r="E1012" s="54" t="n"/>
      <c r="F1012" s="54" t="n"/>
      <c r="G1012" s="65" t="n"/>
      <c r="H1012" s="54" t="n"/>
      <c r="I1012" s="106">
        <f>IF($C1012="","",IFERROR(INDEX(Sens_Types,MATCH($C1012,Liste_Types,0)),""))</f>
        <v/>
      </c>
      <c r="J1012" s="107">
        <f>IF($I1012="▲ ENTRÉE",$U1012,"")</f>
        <v/>
      </c>
      <c r="K1012" s="108">
        <f>IF($I1012="▼ SORTIE",$U1012,"")</f>
        <v/>
      </c>
      <c r="L1012" s="109">
        <f>$L1011+N($J1012)-N($K1012)</f>
        <v/>
      </c>
      <c r="M1012" s="110" t="n"/>
      <c r="N1012" s="54" t="n"/>
      <c r="O1012" s="54" t="n"/>
      <c r="P1012" s="54" t="n"/>
      <c r="Q1012" s="110" t="n"/>
      <c r="R1012" s="110" t="n"/>
      <c r="S1012" s="54" t="n"/>
      <c r="T1012" s="111">
        <f>IF($G1012="","",IFERROR(INDEX(Taux_Devises,MATCH(IF($M1012="",Devise_Base,$M1012),Codes_Devises,0)),1))</f>
        <v/>
      </c>
      <c r="U1012" s="112">
        <f>IF($G1012="","",ROUND($G1012*$T1012,2))</f>
        <v/>
      </c>
      <c r="V1012" s="113">
        <f>IF($B1012="","",MONTH($B1012))</f>
        <v/>
      </c>
      <c r="W1012" s="113">
        <f>IF($B1012="","",YEAR($B1012))</f>
        <v/>
      </c>
    </row>
    <row r="1013">
      <c r="B1013" s="105" t="n"/>
      <c r="C1013" s="54" t="n"/>
      <c r="D1013" s="54" t="n"/>
      <c r="E1013" s="54" t="n"/>
      <c r="F1013" s="54" t="n"/>
      <c r="G1013" s="65" t="n"/>
      <c r="H1013" s="54" t="n"/>
      <c r="I1013" s="106">
        <f>IF($C1013="","",IFERROR(INDEX(Sens_Types,MATCH($C1013,Liste_Types,0)),""))</f>
        <v/>
      </c>
      <c r="J1013" s="107">
        <f>IF($I1013="▲ ENTRÉE",$U1013,"")</f>
        <v/>
      </c>
      <c r="K1013" s="108">
        <f>IF($I1013="▼ SORTIE",$U1013,"")</f>
        <v/>
      </c>
      <c r="L1013" s="109">
        <f>$L1012+N($J1013)-N($K1013)</f>
        <v/>
      </c>
      <c r="M1013" s="110" t="n"/>
      <c r="N1013" s="54" t="n"/>
      <c r="O1013" s="54" t="n"/>
      <c r="P1013" s="54" t="n"/>
      <c r="Q1013" s="110" t="n"/>
      <c r="R1013" s="110" t="n"/>
      <c r="S1013" s="54" t="n"/>
      <c r="T1013" s="111">
        <f>IF($G1013="","",IFERROR(INDEX(Taux_Devises,MATCH(IF($M1013="",Devise_Base,$M1013),Codes_Devises,0)),1))</f>
        <v/>
      </c>
      <c r="U1013" s="112">
        <f>IF($G1013="","",ROUND($G1013*$T1013,2))</f>
        <v/>
      </c>
      <c r="V1013" s="113">
        <f>IF($B1013="","",MONTH($B1013))</f>
        <v/>
      </c>
      <c r="W1013" s="113">
        <f>IF($B1013="","",YEAR($B1013))</f>
        <v/>
      </c>
    </row>
    <row r="1014">
      <c r="B1014" s="105" t="n"/>
      <c r="C1014" s="54" t="n"/>
      <c r="D1014" s="54" t="n"/>
      <c r="E1014" s="54" t="n"/>
      <c r="F1014" s="54" t="n"/>
      <c r="G1014" s="65" t="n"/>
      <c r="H1014" s="54" t="n"/>
      <c r="I1014" s="106">
        <f>IF($C1014="","",IFERROR(INDEX(Sens_Types,MATCH($C1014,Liste_Types,0)),""))</f>
        <v/>
      </c>
      <c r="J1014" s="107">
        <f>IF($I1014="▲ ENTRÉE",$U1014,"")</f>
        <v/>
      </c>
      <c r="K1014" s="108">
        <f>IF($I1014="▼ SORTIE",$U1014,"")</f>
        <v/>
      </c>
      <c r="L1014" s="109">
        <f>$L1013+N($J1014)-N($K1014)</f>
        <v/>
      </c>
      <c r="M1014" s="110" t="n"/>
      <c r="N1014" s="54" t="n"/>
      <c r="O1014" s="54" t="n"/>
      <c r="P1014" s="54" t="n"/>
      <c r="Q1014" s="110" t="n"/>
      <c r="R1014" s="110" t="n"/>
      <c r="S1014" s="54" t="n"/>
      <c r="T1014" s="111">
        <f>IF($G1014="","",IFERROR(INDEX(Taux_Devises,MATCH(IF($M1014="",Devise_Base,$M1014),Codes_Devises,0)),1))</f>
        <v/>
      </c>
      <c r="U1014" s="112">
        <f>IF($G1014="","",ROUND($G1014*$T1014,2))</f>
        <v/>
      </c>
      <c r="V1014" s="113">
        <f>IF($B1014="","",MONTH($B1014))</f>
        <v/>
      </c>
      <c r="W1014" s="113">
        <f>IF($B1014="","",YEAR($B1014))</f>
        <v/>
      </c>
    </row>
    <row r="1015">
      <c r="B1015" s="105" t="n"/>
      <c r="C1015" s="54" t="n"/>
      <c r="D1015" s="54" t="n"/>
      <c r="E1015" s="54" t="n"/>
      <c r="F1015" s="54" t="n"/>
      <c r="G1015" s="65" t="n"/>
      <c r="H1015" s="54" t="n"/>
      <c r="I1015" s="106">
        <f>IF($C1015="","",IFERROR(INDEX(Sens_Types,MATCH($C1015,Liste_Types,0)),""))</f>
        <v/>
      </c>
      <c r="J1015" s="107">
        <f>IF($I1015="▲ ENTRÉE",$U1015,"")</f>
        <v/>
      </c>
      <c r="K1015" s="108">
        <f>IF($I1015="▼ SORTIE",$U1015,"")</f>
        <v/>
      </c>
      <c r="L1015" s="109">
        <f>$L1014+N($J1015)-N($K1015)</f>
        <v/>
      </c>
      <c r="M1015" s="110" t="n"/>
      <c r="N1015" s="54" t="n"/>
      <c r="O1015" s="54" t="n"/>
      <c r="P1015" s="54" t="n"/>
      <c r="Q1015" s="110" t="n"/>
      <c r="R1015" s="110" t="n"/>
      <c r="S1015" s="54" t="n"/>
      <c r="T1015" s="111">
        <f>IF($G1015="","",IFERROR(INDEX(Taux_Devises,MATCH(IF($M1015="",Devise_Base,$M1015),Codes_Devises,0)),1))</f>
        <v/>
      </c>
      <c r="U1015" s="112">
        <f>IF($G1015="","",ROUND($G1015*$T1015,2))</f>
        <v/>
      </c>
      <c r="V1015" s="113">
        <f>IF($B1015="","",MONTH($B1015))</f>
        <v/>
      </c>
      <c r="W1015" s="113">
        <f>IF($B1015="","",YEAR($B1015))</f>
        <v/>
      </c>
    </row>
    <row r="1016">
      <c r="B1016" s="105" t="n"/>
      <c r="C1016" s="54" t="n"/>
      <c r="D1016" s="54" t="n"/>
      <c r="E1016" s="54" t="n"/>
      <c r="F1016" s="54" t="n"/>
      <c r="G1016" s="65" t="n"/>
      <c r="H1016" s="54" t="n"/>
      <c r="I1016" s="106">
        <f>IF($C1016="","",IFERROR(INDEX(Sens_Types,MATCH($C1016,Liste_Types,0)),""))</f>
        <v/>
      </c>
      <c r="J1016" s="107">
        <f>IF($I1016="▲ ENTRÉE",$U1016,"")</f>
        <v/>
      </c>
      <c r="K1016" s="108">
        <f>IF($I1016="▼ SORTIE",$U1016,"")</f>
        <v/>
      </c>
      <c r="L1016" s="109">
        <f>$L1015+N($J1016)-N($K1016)</f>
        <v/>
      </c>
      <c r="M1016" s="110" t="n"/>
      <c r="N1016" s="54" t="n"/>
      <c r="O1016" s="54" t="n"/>
      <c r="P1016" s="54" t="n"/>
      <c r="Q1016" s="110" t="n"/>
      <c r="R1016" s="110" t="n"/>
      <c r="S1016" s="54" t="n"/>
      <c r="T1016" s="111">
        <f>IF($G1016="","",IFERROR(INDEX(Taux_Devises,MATCH(IF($M1016="",Devise_Base,$M1016),Codes_Devises,0)),1))</f>
        <v/>
      </c>
      <c r="U1016" s="112">
        <f>IF($G1016="","",ROUND($G1016*$T1016,2))</f>
        <v/>
      </c>
      <c r="V1016" s="113">
        <f>IF($B1016="","",MONTH($B1016))</f>
        <v/>
      </c>
      <c r="W1016" s="113">
        <f>IF($B1016="","",YEAR($B1016))</f>
        <v/>
      </c>
    </row>
    <row r="1017">
      <c r="B1017" s="105" t="n"/>
      <c r="C1017" s="54" t="n"/>
      <c r="D1017" s="54" t="n"/>
      <c r="E1017" s="54" t="n"/>
      <c r="F1017" s="54" t="n"/>
      <c r="G1017" s="65" t="n"/>
      <c r="H1017" s="54" t="n"/>
      <c r="I1017" s="106">
        <f>IF($C1017="","",IFERROR(INDEX(Sens_Types,MATCH($C1017,Liste_Types,0)),""))</f>
        <v/>
      </c>
      <c r="J1017" s="107">
        <f>IF($I1017="▲ ENTRÉE",$U1017,"")</f>
        <v/>
      </c>
      <c r="K1017" s="108">
        <f>IF($I1017="▼ SORTIE",$U1017,"")</f>
        <v/>
      </c>
      <c r="L1017" s="109">
        <f>$L1016+N($J1017)-N($K1017)</f>
        <v/>
      </c>
      <c r="M1017" s="110" t="n"/>
      <c r="N1017" s="54" t="n"/>
      <c r="O1017" s="54" t="n"/>
      <c r="P1017" s="54" t="n"/>
      <c r="Q1017" s="110" t="n"/>
      <c r="R1017" s="110" t="n"/>
      <c r="S1017" s="54" t="n"/>
      <c r="T1017" s="111">
        <f>IF($G1017="","",IFERROR(INDEX(Taux_Devises,MATCH(IF($M1017="",Devise_Base,$M1017),Codes_Devises,0)),1))</f>
        <v/>
      </c>
      <c r="U1017" s="112">
        <f>IF($G1017="","",ROUND($G1017*$T1017,2))</f>
        <v/>
      </c>
      <c r="V1017" s="113">
        <f>IF($B1017="","",MONTH($B1017))</f>
        <v/>
      </c>
      <c r="W1017" s="113">
        <f>IF($B1017="","",YEAR($B1017))</f>
        <v/>
      </c>
    </row>
    <row r="1018">
      <c r="B1018" s="105" t="n"/>
      <c r="C1018" s="54" t="n"/>
      <c r="D1018" s="54" t="n"/>
      <c r="E1018" s="54" t="n"/>
      <c r="F1018" s="54" t="n"/>
      <c r="G1018" s="65" t="n"/>
      <c r="H1018" s="54" t="n"/>
      <c r="I1018" s="106">
        <f>IF($C1018="","",IFERROR(INDEX(Sens_Types,MATCH($C1018,Liste_Types,0)),""))</f>
        <v/>
      </c>
      <c r="J1018" s="107">
        <f>IF($I1018="▲ ENTRÉE",$U1018,"")</f>
        <v/>
      </c>
      <c r="K1018" s="108">
        <f>IF($I1018="▼ SORTIE",$U1018,"")</f>
        <v/>
      </c>
      <c r="L1018" s="109">
        <f>$L1017+N($J1018)-N($K1018)</f>
        <v/>
      </c>
      <c r="M1018" s="110" t="n"/>
      <c r="N1018" s="54" t="n"/>
      <c r="O1018" s="54" t="n"/>
      <c r="P1018" s="54" t="n"/>
      <c r="Q1018" s="110" t="n"/>
      <c r="R1018" s="110" t="n"/>
      <c r="S1018" s="54" t="n"/>
      <c r="T1018" s="111">
        <f>IF($G1018="","",IFERROR(INDEX(Taux_Devises,MATCH(IF($M1018="",Devise_Base,$M1018),Codes_Devises,0)),1))</f>
        <v/>
      </c>
      <c r="U1018" s="112">
        <f>IF($G1018="","",ROUND($G1018*$T1018,2))</f>
        <v/>
      </c>
      <c r="V1018" s="113">
        <f>IF($B1018="","",MONTH($B1018))</f>
        <v/>
      </c>
      <c r="W1018" s="113">
        <f>IF($B1018="","",YEAR($B1018))</f>
        <v/>
      </c>
    </row>
    <row r="1019">
      <c r="B1019" s="105" t="n"/>
      <c r="C1019" s="54" t="n"/>
      <c r="D1019" s="54" t="n"/>
      <c r="E1019" s="54" t="n"/>
      <c r="F1019" s="54" t="n"/>
      <c r="G1019" s="65" t="n"/>
      <c r="H1019" s="54" t="n"/>
      <c r="I1019" s="106">
        <f>IF($C1019="","",IFERROR(INDEX(Sens_Types,MATCH($C1019,Liste_Types,0)),""))</f>
        <v/>
      </c>
      <c r="J1019" s="107">
        <f>IF($I1019="▲ ENTRÉE",$U1019,"")</f>
        <v/>
      </c>
      <c r="K1019" s="108">
        <f>IF($I1019="▼ SORTIE",$U1019,"")</f>
        <v/>
      </c>
      <c r="L1019" s="109">
        <f>$L1018+N($J1019)-N($K1019)</f>
        <v/>
      </c>
      <c r="M1019" s="110" t="n"/>
      <c r="N1019" s="54" t="n"/>
      <c r="O1019" s="54" t="n"/>
      <c r="P1019" s="54" t="n"/>
      <c r="Q1019" s="110" t="n"/>
      <c r="R1019" s="110" t="n"/>
      <c r="S1019" s="54" t="n"/>
      <c r="T1019" s="111">
        <f>IF($G1019="","",IFERROR(INDEX(Taux_Devises,MATCH(IF($M1019="",Devise_Base,$M1019),Codes_Devises,0)),1))</f>
        <v/>
      </c>
      <c r="U1019" s="112">
        <f>IF($G1019="","",ROUND($G1019*$T1019,2))</f>
        <v/>
      </c>
      <c r="V1019" s="113">
        <f>IF($B1019="","",MONTH($B1019))</f>
        <v/>
      </c>
      <c r="W1019" s="113">
        <f>IF($B1019="","",YEAR($B1019))</f>
        <v/>
      </c>
    </row>
    <row r="1020">
      <c r="B1020" s="105" t="n"/>
      <c r="C1020" s="54" t="n"/>
      <c r="D1020" s="54" t="n"/>
      <c r="E1020" s="54" t="n"/>
      <c r="F1020" s="54" t="n"/>
      <c r="G1020" s="65" t="n"/>
      <c r="H1020" s="54" t="n"/>
      <c r="I1020" s="106">
        <f>IF($C1020="","",IFERROR(INDEX(Sens_Types,MATCH($C1020,Liste_Types,0)),""))</f>
        <v/>
      </c>
      <c r="J1020" s="107">
        <f>IF($I1020="▲ ENTRÉE",$U1020,"")</f>
        <v/>
      </c>
      <c r="K1020" s="108">
        <f>IF($I1020="▼ SORTIE",$U1020,"")</f>
        <v/>
      </c>
      <c r="L1020" s="109">
        <f>$L1019+N($J1020)-N($K1020)</f>
        <v/>
      </c>
      <c r="M1020" s="110" t="n"/>
      <c r="N1020" s="54" t="n"/>
      <c r="O1020" s="54" t="n"/>
      <c r="P1020" s="54" t="n"/>
      <c r="Q1020" s="110" t="n"/>
      <c r="R1020" s="110" t="n"/>
      <c r="S1020" s="54" t="n"/>
      <c r="T1020" s="111">
        <f>IF($G1020="","",IFERROR(INDEX(Taux_Devises,MATCH(IF($M1020="",Devise_Base,$M1020),Codes_Devises,0)),1))</f>
        <v/>
      </c>
      <c r="U1020" s="112">
        <f>IF($G1020="","",ROUND($G1020*$T1020,2))</f>
        <v/>
      </c>
      <c r="V1020" s="113">
        <f>IF($B1020="","",MONTH($B1020))</f>
        <v/>
      </c>
      <c r="W1020" s="113">
        <f>IF($B1020="","",YEAR($B1020))</f>
        <v/>
      </c>
    </row>
    <row r="1021">
      <c r="B1021" s="105" t="n"/>
      <c r="C1021" s="54" t="n"/>
      <c r="D1021" s="54" t="n"/>
      <c r="E1021" s="54" t="n"/>
      <c r="F1021" s="54" t="n"/>
      <c r="G1021" s="65" t="n"/>
      <c r="H1021" s="54" t="n"/>
      <c r="I1021" s="106">
        <f>IF($C1021="","",IFERROR(INDEX(Sens_Types,MATCH($C1021,Liste_Types,0)),""))</f>
        <v/>
      </c>
      <c r="J1021" s="107">
        <f>IF($I1021="▲ ENTRÉE",$U1021,"")</f>
        <v/>
      </c>
      <c r="K1021" s="108">
        <f>IF($I1021="▼ SORTIE",$U1021,"")</f>
        <v/>
      </c>
      <c r="L1021" s="109">
        <f>$L1020+N($J1021)-N($K1021)</f>
        <v/>
      </c>
      <c r="M1021" s="110" t="n"/>
      <c r="N1021" s="54" t="n"/>
      <c r="O1021" s="54" t="n"/>
      <c r="P1021" s="54" t="n"/>
      <c r="Q1021" s="110" t="n"/>
      <c r="R1021" s="110" t="n"/>
      <c r="S1021" s="54" t="n"/>
      <c r="T1021" s="111">
        <f>IF($G1021="","",IFERROR(INDEX(Taux_Devises,MATCH(IF($M1021="",Devise_Base,$M1021),Codes_Devises,0)),1))</f>
        <v/>
      </c>
      <c r="U1021" s="112">
        <f>IF($G1021="","",ROUND($G1021*$T1021,2))</f>
        <v/>
      </c>
      <c r="V1021" s="113">
        <f>IF($B1021="","",MONTH($B1021))</f>
        <v/>
      </c>
      <c r="W1021" s="113">
        <f>IF($B1021="","",YEAR($B1021))</f>
        <v/>
      </c>
    </row>
    <row r="1022">
      <c r="B1022" s="105" t="n"/>
      <c r="C1022" s="54" t="n"/>
      <c r="D1022" s="54" t="n"/>
      <c r="E1022" s="54" t="n"/>
      <c r="F1022" s="54" t="n"/>
      <c r="G1022" s="65" t="n"/>
      <c r="H1022" s="54" t="n"/>
      <c r="I1022" s="106">
        <f>IF($C1022="","",IFERROR(INDEX(Sens_Types,MATCH($C1022,Liste_Types,0)),""))</f>
        <v/>
      </c>
      <c r="J1022" s="107">
        <f>IF($I1022="▲ ENTRÉE",$U1022,"")</f>
        <v/>
      </c>
      <c r="K1022" s="108">
        <f>IF($I1022="▼ SORTIE",$U1022,"")</f>
        <v/>
      </c>
      <c r="L1022" s="109">
        <f>$L1021+N($J1022)-N($K1022)</f>
        <v/>
      </c>
      <c r="M1022" s="110" t="n"/>
      <c r="N1022" s="54" t="n"/>
      <c r="O1022" s="54" t="n"/>
      <c r="P1022" s="54" t="n"/>
      <c r="Q1022" s="110" t="n"/>
      <c r="R1022" s="110" t="n"/>
      <c r="S1022" s="54" t="n"/>
      <c r="T1022" s="111">
        <f>IF($G1022="","",IFERROR(INDEX(Taux_Devises,MATCH(IF($M1022="",Devise_Base,$M1022),Codes_Devises,0)),1))</f>
        <v/>
      </c>
      <c r="U1022" s="112">
        <f>IF($G1022="","",ROUND($G1022*$T1022,2))</f>
        <v/>
      </c>
      <c r="V1022" s="113">
        <f>IF($B1022="","",MONTH($B1022))</f>
        <v/>
      </c>
      <c r="W1022" s="113">
        <f>IF($B1022="","",YEAR($B1022))</f>
        <v/>
      </c>
    </row>
    <row r="1023">
      <c r="B1023" s="105" t="n"/>
      <c r="C1023" s="54" t="n"/>
      <c r="D1023" s="54" t="n"/>
      <c r="E1023" s="54" t="n"/>
      <c r="F1023" s="54" t="n"/>
      <c r="G1023" s="65" t="n"/>
      <c r="H1023" s="54" t="n"/>
      <c r="I1023" s="106">
        <f>IF($C1023="","",IFERROR(INDEX(Sens_Types,MATCH($C1023,Liste_Types,0)),""))</f>
        <v/>
      </c>
      <c r="J1023" s="107">
        <f>IF($I1023="▲ ENTRÉE",$U1023,"")</f>
        <v/>
      </c>
      <c r="K1023" s="108">
        <f>IF($I1023="▼ SORTIE",$U1023,"")</f>
        <v/>
      </c>
      <c r="L1023" s="109">
        <f>$L1022+N($J1023)-N($K1023)</f>
        <v/>
      </c>
      <c r="M1023" s="110" t="n"/>
      <c r="N1023" s="54" t="n"/>
      <c r="O1023" s="54" t="n"/>
      <c r="P1023" s="54" t="n"/>
      <c r="Q1023" s="110" t="n"/>
      <c r="R1023" s="110" t="n"/>
      <c r="S1023" s="54" t="n"/>
      <c r="T1023" s="111">
        <f>IF($G1023="","",IFERROR(INDEX(Taux_Devises,MATCH(IF($M1023="",Devise_Base,$M1023),Codes_Devises,0)),1))</f>
        <v/>
      </c>
      <c r="U1023" s="112">
        <f>IF($G1023="","",ROUND($G1023*$T1023,2))</f>
        <v/>
      </c>
      <c r="V1023" s="113">
        <f>IF($B1023="","",MONTH($B1023))</f>
        <v/>
      </c>
      <c r="W1023" s="113">
        <f>IF($B1023="","",YEAR($B1023))</f>
        <v/>
      </c>
    </row>
    <row r="1024">
      <c r="B1024" s="105" t="n"/>
      <c r="C1024" s="54" t="n"/>
      <c r="D1024" s="54" t="n"/>
      <c r="E1024" s="54" t="n"/>
      <c r="F1024" s="54" t="n"/>
      <c r="G1024" s="65" t="n"/>
      <c r="H1024" s="54" t="n"/>
      <c r="I1024" s="106">
        <f>IF($C1024="","",IFERROR(INDEX(Sens_Types,MATCH($C1024,Liste_Types,0)),""))</f>
        <v/>
      </c>
      <c r="J1024" s="107">
        <f>IF($I1024="▲ ENTRÉE",$U1024,"")</f>
        <v/>
      </c>
      <c r="K1024" s="108">
        <f>IF($I1024="▼ SORTIE",$U1024,"")</f>
        <v/>
      </c>
      <c r="L1024" s="109">
        <f>$L1023+N($J1024)-N($K1024)</f>
        <v/>
      </c>
      <c r="M1024" s="110" t="n"/>
      <c r="N1024" s="54" t="n"/>
      <c r="O1024" s="54" t="n"/>
      <c r="P1024" s="54" t="n"/>
      <c r="Q1024" s="110" t="n"/>
      <c r="R1024" s="110" t="n"/>
      <c r="S1024" s="54" t="n"/>
      <c r="T1024" s="111">
        <f>IF($G1024="","",IFERROR(INDEX(Taux_Devises,MATCH(IF($M1024="",Devise_Base,$M1024),Codes_Devises,0)),1))</f>
        <v/>
      </c>
      <c r="U1024" s="112">
        <f>IF($G1024="","",ROUND($G1024*$T1024,2))</f>
        <v/>
      </c>
      <c r="V1024" s="113">
        <f>IF($B1024="","",MONTH($B1024))</f>
        <v/>
      </c>
      <c r="W1024" s="113">
        <f>IF($B1024="","",YEAR($B1024))</f>
        <v/>
      </c>
    </row>
    <row r="1025">
      <c r="B1025" s="105" t="n"/>
      <c r="C1025" s="54" t="n"/>
      <c r="D1025" s="54" t="n"/>
      <c r="E1025" s="54" t="n"/>
      <c r="F1025" s="54" t="n"/>
      <c r="G1025" s="65" t="n"/>
      <c r="H1025" s="54" t="n"/>
      <c r="I1025" s="106">
        <f>IF($C1025="","",IFERROR(INDEX(Sens_Types,MATCH($C1025,Liste_Types,0)),""))</f>
        <v/>
      </c>
      <c r="J1025" s="107">
        <f>IF($I1025="▲ ENTRÉE",$U1025,"")</f>
        <v/>
      </c>
      <c r="K1025" s="108">
        <f>IF($I1025="▼ SORTIE",$U1025,"")</f>
        <v/>
      </c>
      <c r="L1025" s="109">
        <f>$L1024+N($J1025)-N($K1025)</f>
        <v/>
      </c>
      <c r="M1025" s="110" t="n"/>
      <c r="N1025" s="54" t="n"/>
      <c r="O1025" s="54" t="n"/>
      <c r="P1025" s="54" t="n"/>
      <c r="Q1025" s="110" t="n"/>
      <c r="R1025" s="110" t="n"/>
      <c r="S1025" s="54" t="n"/>
      <c r="T1025" s="111">
        <f>IF($G1025="","",IFERROR(INDEX(Taux_Devises,MATCH(IF($M1025="",Devise_Base,$M1025),Codes_Devises,0)),1))</f>
        <v/>
      </c>
      <c r="U1025" s="112">
        <f>IF($G1025="","",ROUND($G1025*$T1025,2))</f>
        <v/>
      </c>
      <c r="V1025" s="113">
        <f>IF($B1025="","",MONTH($B1025))</f>
        <v/>
      </c>
      <c r="W1025" s="113">
        <f>IF($B1025="","",YEAR($B1025))</f>
        <v/>
      </c>
    </row>
    <row r="1026">
      <c r="B1026" s="105" t="n"/>
      <c r="C1026" s="54" t="n"/>
      <c r="D1026" s="54" t="n"/>
      <c r="E1026" s="54" t="n"/>
      <c r="F1026" s="54" t="n"/>
      <c r="G1026" s="65" t="n"/>
      <c r="H1026" s="54" t="n"/>
      <c r="I1026" s="106">
        <f>IF($C1026="","",IFERROR(INDEX(Sens_Types,MATCH($C1026,Liste_Types,0)),""))</f>
        <v/>
      </c>
      <c r="J1026" s="107">
        <f>IF($I1026="▲ ENTRÉE",$U1026,"")</f>
        <v/>
      </c>
      <c r="K1026" s="108">
        <f>IF($I1026="▼ SORTIE",$U1026,"")</f>
        <v/>
      </c>
      <c r="L1026" s="109">
        <f>$L1025+N($J1026)-N($K1026)</f>
        <v/>
      </c>
      <c r="M1026" s="110" t="n"/>
      <c r="N1026" s="54" t="n"/>
      <c r="O1026" s="54" t="n"/>
      <c r="P1026" s="54" t="n"/>
      <c r="Q1026" s="110" t="n"/>
      <c r="R1026" s="110" t="n"/>
      <c r="S1026" s="54" t="n"/>
      <c r="T1026" s="111">
        <f>IF($G1026="","",IFERROR(INDEX(Taux_Devises,MATCH(IF($M1026="",Devise_Base,$M1026),Codes_Devises,0)),1))</f>
        <v/>
      </c>
      <c r="U1026" s="112">
        <f>IF($G1026="","",ROUND($G1026*$T1026,2))</f>
        <v/>
      </c>
      <c r="V1026" s="113">
        <f>IF($B1026="","",MONTH($B1026))</f>
        <v/>
      </c>
      <c r="W1026" s="113">
        <f>IF($B1026="","",YEAR($B1026))</f>
        <v/>
      </c>
    </row>
    <row r="1027">
      <c r="B1027" s="105" t="n"/>
      <c r="C1027" s="54" t="n"/>
      <c r="D1027" s="54" t="n"/>
      <c r="E1027" s="54" t="n"/>
      <c r="F1027" s="54" t="n"/>
      <c r="G1027" s="65" t="n"/>
      <c r="H1027" s="54" t="n"/>
      <c r="I1027" s="106">
        <f>IF($C1027="","",IFERROR(INDEX(Sens_Types,MATCH($C1027,Liste_Types,0)),""))</f>
        <v/>
      </c>
      <c r="J1027" s="107">
        <f>IF($I1027="▲ ENTRÉE",$U1027,"")</f>
        <v/>
      </c>
      <c r="K1027" s="108">
        <f>IF($I1027="▼ SORTIE",$U1027,"")</f>
        <v/>
      </c>
      <c r="L1027" s="109">
        <f>$L1026+N($J1027)-N($K1027)</f>
        <v/>
      </c>
      <c r="M1027" s="110" t="n"/>
      <c r="N1027" s="54" t="n"/>
      <c r="O1027" s="54" t="n"/>
      <c r="P1027" s="54" t="n"/>
      <c r="Q1027" s="110" t="n"/>
      <c r="R1027" s="110" t="n"/>
      <c r="S1027" s="54" t="n"/>
      <c r="T1027" s="111">
        <f>IF($G1027="","",IFERROR(INDEX(Taux_Devises,MATCH(IF($M1027="",Devise_Base,$M1027),Codes_Devises,0)),1))</f>
        <v/>
      </c>
      <c r="U1027" s="112">
        <f>IF($G1027="","",ROUND($G1027*$T1027,2))</f>
        <v/>
      </c>
      <c r="V1027" s="113">
        <f>IF($B1027="","",MONTH($B1027))</f>
        <v/>
      </c>
      <c r="W1027" s="113">
        <f>IF($B1027="","",YEAR($B1027))</f>
        <v/>
      </c>
    </row>
    <row r="1028">
      <c r="B1028" s="105" t="n"/>
      <c r="C1028" s="54" t="n"/>
      <c r="D1028" s="54" t="n"/>
      <c r="E1028" s="54" t="n"/>
      <c r="F1028" s="54" t="n"/>
      <c r="G1028" s="65" t="n"/>
      <c r="H1028" s="54" t="n"/>
      <c r="I1028" s="106">
        <f>IF($C1028="","",IFERROR(INDEX(Sens_Types,MATCH($C1028,Liste_Types,0)),""))</f>
        <v/>
      </c>
      <c r="J1028" s="107">
        <f>IF($I1028="▲ ENTRÉE",$U1028,"")</f>
        <v/>
      </c>
      <c r="K1028" s="108">
        <f>IF($I1028="▼ SORTIE",$U1028,"")</f>
        <v/>
      </c>
      <c r="L1028" s="109">
        <f>$L1027+N($J1028)-N($K1028)</f>
        <v/>
      </c>
      <c r="M1028" s="110" t="n"/>
      <c r="N1028" s="54" t="n"/>
      <c r="O1028" s="54" t="n"/>
      <c r="P1028" s="54" t="n"/>
      <c r="Q1028" s="110" t="n"/>
      <c r="R1028" s="110" t="n"/>
      <c r="S1028" s="54" t="n"/>
      <c r="T1028" s="111">
        <f>IF($G1028="","",IFERROR(INDEX(Taux_Devises,MATCH(IF($M1028="",Devise_Base,$M1028),Codes_Devises,0)),1))</f>
        <v/>
      </c>
      <c r="U1028" s="112">
        <f>IF($G1028="","",ROUND($G1028*$T1028,2))</f>
        <v/>
      </c>
      <c r="V1028" s="113">
        <f>IF($B1028="","",MONTH($B1028))</f>
        <v/>
      </c>
      <c r="W1028" s="113">
        <f>IF($B1028="","",YEAR($B1028))</f>
        <v/>
      </c>
    </row>
    <row r="1029">
      <c r="B1029" s="105" t="n"/>
      <c r="C1029" s="54" t="n"/>
      <c r="D1029" s="54" t="n"/>
      <c r="E1029" s="54" t="n"/>
      <c r="F1029" s="54" t="n"/>
      <c r="G1029" s="65" t="n"/>
      <c r="H1029" s="54" t="n"/>
      <c r="I1029" s="106">
        <f>IF($C1029="","",IFERROR(INDEX(Sens_Types,MATCH($C1029,Liste_Types,0)),""))</f>
        <v/>
      </c>
      <c r="J1029" s="107">
        <f>IF($I1029="▲ ENTRÉE",$U1029,"")</f>
        <v/>
      </c>
      <c r="K1029" s="108">
        <f>IF($I1029="▼ SORTIE",$U1029,"")</f>
        <v/>
      </c>
      <c r="L1029" s="109">
        <f>$L1028+N($J1029)-N($K1029)</f>
        <v/>
      </c>
      <c r="M1029" s="110" t="n"/>
      <c r="N1029" s="54" t="n"/>
      <c r="O1029" s="54" t="n"/>
      <c r="P1029" s="54" t="n"/>
      <c r="Q1029" s="110" t="n"/>
      <c r="R1029" s="110" t="n"/>
      <c r="S1029" s="54" t="n"/>
      <c r="T1029" s="111">
        <f>IF($G1029="","",IFERROR(INDEX(Taux_Devises,MATCH(IF($M1029="",Devise_Base,$M1029),Codes_Devises,0)),1))</f>
        <v/>
      </c>
      <c r="U1029" s="112">
        <f>IF($G1029="","",ROUND($G1029*$T1029,2))</f>
        <v/>
      </c>
      <c r="V1029" s="113">
        <f>IF($B1029="","",MONTH($B1029))</f>
        <v/>
      </c>
      <c r="W1029" s="113">
        <f>IF($B1029="","",YEAR($B1029))</f>
        <v/>
      </c>
    </row>
    <row r="1030">
      <c r="B1030" s="105" t="n"/>
      <c r="C1030" s="54" t="n"/>
      <c r="D1030" s="54" t="n"/>
      <c r="E1030" s="54" t="n"/>
      <c r="F1030" s="54" t="n"/>
      <c r="G1030" s="65" t="n"/>
      <c r="H1030" s="54" t="n"/>
      <c r="I1030" s="106">
        <f>IF($C1030="","",IFERROR(INDEX(Sens_Types,MATCH($C1030,Liste_Types,0)),""))</f>
        <v/>
      </c>
      <c r="J1030" s="107">
        <f>IF($I1030="▲ ENTRÉE",$U1030,"")</f>
        <v/>
      </c>
      <c r="K1030" s="108">
        <f>IF($I1030="▼ SORTIE",$U1030,"")</f>
        <v/>
      </c>
      <c r="L1030" s="109">
        <f>$L1029+N($J1030)-N($K1030)</f>
        <v/>
      </c>
      <c r="M1030" s="110" t="n"/>
      <c r="N1030" s="54" t="n"/>
      <c r="O1030" s="54" t="n"/>
      <c r="P1030" s="54" t="n"/>
      <c r="Q1030" s="110" t="n"/>
      <c r="R1030" s="110" t="n"/>
      <c r="S1030" s="54" t="n"/>
      <c r="T1030" s="111">
        <f>IF($G1030="","",IFERROR(INDEX(Taux_Devises,MATCH(IF($M1030="",Devise_Base,$M1030),Codes_Devises,0)),1))</f>
        <v/>
      </c>
      <c r="U1030" s="112">
        <f>IF($G1030="","",ROUND($G1030*$T1030,2))</f>
        <v/>
      </c>
      <c r="V1030" s="113">
        <f>IF($B1030="","",MONTH($B1030))</f>
        <v/>
      </c>
      <c r="W1030" s="113">
        <f>IF($B1030="","",YEAR($B1030))</f>
        <v/>
      </c>
    </row>
    <row r="1031">
      <c r="B1031" s="105" t="n"/>
      <c r="C1031" s="54" t="n"/>
      <c r="D1031" s="54" t="n"/>
      <c r="E1031" s="54" t="n"/>
      <c r="F1031" s="54" t="n"/>
      <c r="G1031" s="65" t="n"/>
      <c r="H1031" s="54" t="n"/>
      <c r="I1031" s="106">
        <f>IF($C1031="","",IFERROR(INDEX(Sens_Types,MATCH($C1031,Liste_Types,0)),""))</f>
        <v/>
      </c>
      <c r="J1031" s="107">
        <f>IF($I1031="▲ ENTRÉE",$U1031,"")</f>
        <v/>
      </c>
      <c r="K1031" s="108">
        <f>IF($I1031="▼ SORTIE",$U1031,"")</f>
        <v/>
      </c>
      <c r="L1031" s="109">
        <f>$L1030+N($J1031)-N($K1031)</f>
        <v/>
      </c>
      <c r="M1031" s="110" t="n"/>
      <c r="N1031" s="54" t="n"/>
      <c r="O1031" s="54" t="n"/>
      <c r="P1031" s="54" t="n"/>
      <c r="Q1031" s="110" t="n"/>
      <c r="R1031" s="110" t="n"/>
      <c r="S1031" s="54" t="n"/>
      <c r="T1031" s="111">
        <f>IF($G1031="","",IFERROR(INDEX(Taux_Devises,MATCH(IF($M1031="",Devise_Base,$M1031),Codes_Devises,0)),1))</f>
        <v/>
      </c>
      <c r="U1031" s="112">
        <f>IF($G1031="","",ROUND($G1031*$T1031,2))</f>
        <v/>
      </c>
      <c r="V1031" s="113">
        <f>IF($B1031="","",MONTH($B1031))</f>
        <v/>
      </c>
      <c r="W1031" s="113">
        <f>IF($B1031="","",YEAR($B1031))</f>
        <v/>
      </c>
    </row>
    <row r="1032">
      <c r="B1032" s="105" t="n"/>
      <c r="C1032" s="54" t="n"/>
      <c r="D1032" s="54" t="n"/>
      <c r="E1032" s="54" t="n"/>
      <c r="F1032" s="54" t="n"/>
      <c r="G1032" s="65" t="n"/>
      <c r="H1032" s="54" t="n"/>
      <c r="I1032" s="106">
        <f>IF($C1032="","",IFERROR(INDEX(Sens_Types,MATCH($C1032,Liste_Types,0)),""))</f>
        <v/>
      </c>
      <c r="J1032" s="107">
        <f>IF($I1032="▲ ENTRÉE",$U1032,"")</f>
        <v/>
      </c>
      <c r="K1032" s="108">
        <f>IF($I1032="▼ SORTIE",$U1032,"")</f>
        <v/>
      </c>
      <c r="L1032" s="109">
        <f>$L1031+N($J1032)-N($K1032)</f>
        <v/>
      </c>
      <c r="M1032" s="110" t="n"/>
      <c r="N1032" s="54" t="n"/>
      <c r="O1032" s="54" t="n"/>
      <c r="P1032" s="54" t="n"/>
      <c r="Q1032" s="110" t="n"/>
      <c r="R1032" s="110" t="n"/>
      <c r="S1032" s="54" t="n"/>
      <c r="T1032" s="111">
        <f>IF($G1032="","",IFERROR(INDEX(Taux_Devises,MATCH(IF($M1032="",Devise_Base,$M1032),Codes_Devises,0)),1))</f>
        <v/>
      </c>
      <c r="U1032" s="112">
        <f>IF($G1032="","",ROUND($G1032*$T1032,2))</f>
        <v/>
      </c>
      <c r="V1032" s="113">
        <f>IF($B1032="","",MONTH($B1032))</f>
        <v/>
      </c>
      <c r="W1032" s="113">
        <f>IF($B1032="","",YEAR($B1032))</f>
        <v/>
      </c>
    </row>
    <row r="1033">
      <c r="B1033" s="105" t="n"/>
      <c r="C1033" s="54" t="n"/>
      <c r="D1033" s="54" t="n"/>
      <c r="E1033" s="54" t="n"/>
      <c r="F1033" s="54" t="n"/>
      <c r="G1033" s="65" t="n"/>
      <c r="H1033" s="54" t="n"/>
      <c r="I1033" s="106">
        <f>IF($C1033="","",IFERROR(INDEX(Sens_Types,MATCH($C1033,Liste_Types,0)),""))</f>
        <v/>
      </c>
      <c r="J1033" s="107">
        <f>IF($I1033="▲ ENTRÉE",$U1033,"")</f>
        <v/>
      </c>
      <c r="K1033" s="108">
        <f>IF($I1033="▼ SORTIE",$U1033,"")</f>
        <v/>
      </c>
      <c r="L1033" s="109">
        <f>$L1032+N($J1033)-N($K1033)</f>
        <v/>
      </c>
      <c r="M1033" s="110" t="n"/>
      <c r="N1033" s="54" t="n"/>
      <c r="O1033" s="54" t="n"/>
      <c r="P1033" s="54" t="n"/>
      <c r="Q1033" s="110" t="n"/>
      <c r="R1033" s="110" t="n"/>
      <c r="S1033" s="54" t="n"/>
      <c r="T1033" s="111">
        <f>IF($G1033="","",IFERROR(INDEX(Taux_Devises,MATCH(IF($M1033="",Devise_Base,$M1033),Codes_Devises,0)),1))</f>
        <v/>
      </c>
      <c r="U1033" s="112">
        <f>IF($G1033="","",ROUND($G1033*$T1033,2))</f>
        <v/>
      </c>
      <c r="V1033" s="113">
        <f>IF($B1033="","",MONTH($B1033))</f>
        <v/>
      </c>
      <c r="W1033" s="113">
        <f>IF($B1033="","",YEAR($B1033))</f>
        <v/>
      </c>
    </row>
    <row r="1034">
      <c r="B1034" s="105" t="n"/>
      <c r="C1034" s="54" t="n"/>
      <c r="D1034" s="54" t="n"/>
      <c r="E1034" s="54" t="n"/>
      <c r="F1034" s="54" t="n"/>
      <c r="G1034" s="65" t="n"/>
      <c r="H1034" s="54" t="n"/>
      <c r="I1034" s="106">
        <f>IF($C1034="","",IFERROR(INDEX(Sens_Types,MATCH($C1034,Liste_Types,0)),""))</f>
        <v/>
      </c>
      <c r="J1034" s="107">
        <f>IF($I1034="▲ ENTRÉE",$U1034,"")</f>
        <v/>
      </c>
      <c r="K1034" s="108">
        <f>IF($I1034="▼ SORTIE",$U1034,"")</f>
        <v/>
      </c>
      <c r="L1034" s="109">
        <f>$L1033+N($J1034)-N($K1034)</f>
        <v/>
      </c>
      <c r="M1034" s="110" t="n"/>
      <c r="N1034" s="54" t="n"/>
      <c r="O1034" s="54" t="n"/>
      <c r="P1034" s="54" t="n"/>
      <c r="Q1034" s="110" t="n"/>
      <c r="R1034" s="110" t="n"/>
      <c r="S1034" s="54" t="n"/>
      <c r="T1034" s="111">
        <f>IF($G1034="","",IFERROR(INDEX(Taux_Devises,MATCH(IF($M1034="",Devise_Base,$M1034),Codes_Devises,0)),1))</f>
        <v/>
      </c>
      <c r="U1034" s="112">
        <f>IF($G1034="","",ROUND($G1034*$T1034,2))</f>
        <v/>
      </c>
      <c r="V1034" s="113">
        <f>IF($B1034="","",MONTH($B1034))</f>
        <v/>
      </c>
      <c r="W1034" s="113">
        <f>IF($B1034="","",YEAR($B1034))</f>
        <v/>
      </c>
    </row>
    <row r="1035">
      <c r="B1035" s="105" t="n"/>
      <c r="C1035" s="54" t="n"/>
      <c r="D1035" s="54" t="n"/>
      <c r="E1035" s="54" t="n"/>
      <c r="F1035" s="54" t="n"/>
      <c r="G1035" s="65" t="n"/>
      <c r="H1035" s="54" t="n"/>
      <c r="I1035" s="106">
        <f>IF($C1035="","",IFERROR(INDEX(Sens_Types,MATCH($C1035,Liste_Types,0)),""))</f>
        <v/>
      </c>
      <c r="J1035" s="107">
        <f>IF($I1035="▲ ENTRÉE",$U1035,"")</f>
        <v/>
      </c>
      <c r="K1035" s="108">
        <f>IF($I1035="▼ SORTIE",$U1035,"")</f>
        <v/>
      </c>
      <c r="L1035" s="109">
        <f>$L1034+N($J1035)-N($K1035)</f>
        <v/>
      </c>
      <c r="M1035" s="110" t="n"/>
      <c r="N1035" s="54" t="n"/>
      <c r="O1035" s="54" t="n"/>
      <c r="P1035" s="54" t="n"/>
      <c r="Q1035" s="110" t="n"/>
      <c r="R1035" s="110" t="n"/>
      <c r="S1035" s="54" t="n"/>
      <c r="T1035" s="111">
        <f>IF($G1035="","",IFERROR(INDEX(Taux_Devises,MATCH(IF($M1035="",Devise_Base,$M1035),Codes_Devises,0)),1))</f>
        <v/>
      </c>
      <c r="U1035" s="112">
        <f>IF($G1035="","",ROUND($G1035*$T1035,2))</f>
        <v/>
      </c>
      <c r="V1035" s="113">
        <f>IF($B1035="","",MONTH($B1035))</f>
        <v/>
      </c>
      <c r="W1035" s="113">
        <f>IF($B1035="","",YEAR($B1035))</f>
        <v/>
      </c>
    </row>
    <row r="1036">
      <c r="B1036" s="105" t="n"/>
      <c r="C1036" s="54" t="n"/>
      <c r="D1036" s="54" t="n"/>
      <c r="E1036" s="54" t="n"/>
      <c r="F1036" s="54" t="n"/>
      <c r="G1036" s="65" t="n"/>
      <c r="H1036" s="54" t="n"/>
      <c r="I1036" s="106">
        <f>IF($C1036="","",IFERROR(INDEX(Sens_Types,MATCH($C1036,Liste_Types,0)),""))</f>
        <v/>
      </c>
      <c r="J1036" s="107">
        <f>IF($I1036="▲ ENTRÉE",$U1036,"")</f>
        <v/>
      </c>
      <c r="K1036" s="108">
        <f>IF($I1036="▼ SORTIE",$U1036,"")</f>
        <v/>
      </c>
      <c r="L1036" s="109">
        <f>$L1035+N($J1036)-N($K1036)</f>
        <v/>
      </c>
      <c r="M1036" s="110" t="n"/>
      <c r="N1036" s="54" t="n"/>
      <c r="O1036" s="54" t="n"/>
      <c r="P1036" s="54" t="n"/>
      <c r="Q1036" s="110" t="n"/>
      <c r="R1036" s="110" t="n"/>
      <c r="S1036" s="54" t="n"/>
      <c r="T1036" s="111">
        <f>IF($G1036="","",IFERROR(INDEX(Taux_Devises,MATCH(IF($M1036="",Devise_Base,$M1036),Codes_Devises,0)),1))</f>
        <v/>
      </c>
      <c r="U1036" s="112">
        <f>IF($G1036="","",ROUND($G1036*$T1036,2))</f>
        <v/>
      </c>
      <c r="V1036" s="113">
        <f>IF($B1036="","",MONTH($B1036))</f>
        <v/>
      </c>
      <c r="W1036" s="113">
        <f>IF($B1036="","",YEAR($B1036))</f>
        <v/>
      </c>
    </row>
    <row r="1037">
      <c r="B1037" s="105" t="n"/>
      <c r="C1037" s="54" t="n"/>
      <c r="D1037" s="54" t="n"/>
      <c r="E1037" s="54" t="n"/>
      <c r="F1037" s="54" t="n"/>
      <c r="G1037" s="65" t="n"/>
      <c r="H1037" s="54" t="n"/>
      <c r="I1037" s="106">
        <f>IF($C1037="","",IFERROR(INDEX(Sens_Types,MATCH($C1037,Liste_Types,0)),""))</f>
        <v/>
      </c>
      <c r="J1037" s="107">
        <f>IF($I1037="▲ ENTRÉE",$U1037,"")</f>
        <v/>
      </c>
      <c r="K1037" s="108">
        <f>IF($I1037="▼ SORTIE",$U1037,"")</f>
        <v/>
      </c>
      <c r="L1037" s="109">
        <f>$L1036+N($J1037)-N($K1037)</f>
        <v/>
      </c>
      <c r="M1037" s="110" t="n"/>
      <c r="N1037" s="54" t="n"/>
      <c r="O1037" s="54" t="n"/>
      <c r="P1037" s="54" t="n"/>
      <c r="Q1037" s="110" t="n"/>
      <c r="R1037" s="110" t="n"/>
      <c r="S1037" s="54" t="n"/>
      <c r="T1037" s="111">
        <f>IF($G1037="","",IFERROR(INDEX(Taux_Devises,MATCH(IF($M1037="",Devise_Base,$M1037),Codes_Devises,0)),1))</f>
        <v/>
      </c>
      <c r="U1037" s="112">
        <f>IF($G1037="","",ROUND($G1037*$T1037,2))</f>
        <v/>
      </c>
      <c r="V1037" s="113">
        <f>IF($B1037="","",MONTH($B1037))</f>
        <v/>
      </c>
      <c r="W1037" s="113">
        <f>IF($B1037="","",YEAR($B1037))</f>
        <v/>
      </c>
    </row>
    <row r="1038">
      <c r="B1038" s="105" t="n"/>
      <c r="C1038" s="54" t="n"/>
      <c r="D1038" s="54" t="n"/>
      <c r="E1038" s="54" t="n"/>
      <c r="F1038" s="54" t="n"/>
      <c r="G1038" s="65" t="n"/>
      <c r="H1038" s="54" t="n"/>
      <c r="I1038" s="106">
        <f>IF($C1038="","",IFERROR(INDEX(Sens_Types,MATCH($C1038,Liste_Types,0)),""))</f>
        <v/>
      </c>
      <c r="J1038" s="107">
        <f>IF($I1038="▲ ENTRÉE",$U1038,"")</f>
        <v/>
      </c>
      <c r="K1038" s="108">
        <f>IF($I1038="▼ SORTIE",$U1038,"")</f>
        <v/>
      </c>
      <c r="L1038" s="109">
        <f>$L1037+N($J1038)-N($K1038)</f>
        <v/>
      </c>
      <c r="M1038" s="110" t="n"/>
      <c r="N1038" s="54" t="n"/>
      <c r="O1038" s="54" t="n"/>
      <c r="P1038" s="54" t="n"/>
      <c r="Q1038" s="110" t="n"/>
      <c r="R1038" s="110" t="n"/>
      <c r="S1038" s="54" t="n"/>
      <c r="T1038" s="111">
        <f>IF($G1038="","",IFERROR(INDEX(Taux_Devises,MATCH(IF($M1038="",Devise_Base,$M1038),Codes_Devises,0)),1))</f>
        <v/>
      </c>
      <c r="U1038" s="112">
        <f>IF($G1038="","",ROUND($G1038*$T1038,2))</f>
        <v/>
      </c>
      <c r="V1038" s="113">
        <f>IF($B1038="","",MONTH($B1038))</f>
        <v/>
      </c>
      <c r="W1038" s="113">
        <f>IF($B1038="","",YEAR($B1038))</f>
        <v/>
      </c>
    </row>
    <row r="1039">
      <c r="B1039" s="105" t="n"/>
      <c r="C1039" s="54" t="n"/>
      <c r="D1039" s="54" t="n"/>
      <c r="E1039" s="54" t="n"/>
      <c r="F1039" s="54" t="n"/>
      <c r="G1039" s="65" t="n"/>
      <c r="H1039" s="54" t="n"/>
      <c r="I1039" s="106">
        <f>IF($C1039="","",IFERROR(INDEX(Sens_Types,MATCH($C1039,Liste_Types,0)),""))</f>
        <v/>
      </c>
      <c r="J1039" s="107">
        <f>IF($I1039="▲ ENTRÉE",$U1039,"")</f>
        <v/>
      </c>
      <c r="K1039" s="108">
        <f>IF($I1039="▼ SORTIE",$U1039,"")</f>
        <v/>
      </c>
      <c r="L1039" s="109">
        <f>$L1038+N($J1039)-N($K1039)</f>
        <v/>
      </c>
      <c r="M1039" s="110" t="n"/>
      <c r="N1039" s="54" t="n"/>
      <c r="O1039" s="54" t="n"/>
      <c r="P1039" s="54" t="n"/>
      <c r="Q1039" s="110" t="n"/>
      <c r="R1039" s="110" t="n"/>
      <c r="S1039" s="54" t="n"/>
      <c r="T1039" s="111">
        <f>IF($G1039="","",IFERROR(INDEX(Taux_Devises,MATCH(IF($M1039="",Devise_Base,$M1039),Codes_Devises,0)),1))</f>
        <v/>
      </c>
      <c r="U1039" s="112">
        <f>IF($G1039="","",ROUND($G1039*$T1039,2))</f>
        <v/>
      </c>
      <c r="V1039" s="113">
        <f>IF($B1039="","",MONTH($B1039))</f>
        <v/>
      </c>
      <c r="W1039" s="113">
        <f>IF($B1039="","",YEAR($B1039))</f>
        <v/>
      </c>
    </row>
    <row r="1040">
      <c r="B1040" s="105" t="n"/>
      <c r="C1040" s="54" t="n"/>
      <c r="D1040" s="54" t="n"/>
      <c r="E1040" s="54" t="n"/>
      <c r="F1040" s="54" t="n"/>
      <c r="G1040" s="65" t="n"/>
      <c r="H1040" s="54" t="n"/>
      <c r="I1040" s="106">
        <f>IF($C1040="","",IFERROR(INDEX(Sens_Types,MATCH($C1040,Liste_Types,0)),""))</f>
        <v/>
      </c>
      <c r="J1040" s="107">
        <f>IF($I1040="▲ ENTRÉE",$U1040,"")</f>
        <v/>
      </c>
      <c r="K1040" s="108">
        <f>IF($I1040="▼ SORTIE",$U1040,"")</f>
        <v/>
      </c>
      <c r="L1040" s="109">
        <f>$L1039+N($J1040)-N($K1040)</f>
        <v/>
      </c>
      <c r="M1040" s="110" t="n"/>
      <c r="N1040" s="54" t="n"/>
      <c r="O1040" s="54" t="n"/>
      <c r="P1040" s="54" t="n"/>
      <c r="Q1040" s="110" t="n"/>
      <c r="R1040" s="110" t="n"/>
      <c r="S1040" s="54" t="n"/>
      <c r="T1040" s="111">
        <f>IF($G1040="","",IFERROR(INDEX(Taux_Devises,MATCH(IF($M1040="",Devise_Base,$M1040),Codes_Devises,0)),1))</f>
        <v/>
      </c>
      <c r="U1040" s="112">
        <f>IF($G1040="","",ROUND($G1040*$T1040,2))</f>
        <v/>
      </c>
      <c r="V1040" s="113">
        <f>IF($B1040="","",MONTH($B1040))</f>
        <v/>
      </c>
      <c r="W1040" s="113">
        <f>IF($B1040="","",YEAR($B1040))</f>
        <v/>
      </c>
    </row>
    <row r="1041">
      <c r="B1041" s="105" t="n"/>
      <c r="C1041" s="54" t="n"/>
      <c r="D1041" s="54" t="n"/>
      <c r="E1041" s="54" t="n"/>
      <c r="F1041" s="54" t="n"/>
      <c r="G1041" s="65" t="n"/>
      <c r="H1041" s="54" t="n"/>
      <c r="I1041" s="106">
        <f>IF($C1041="","",IFERROR(INDEX(Sens_Types,MATCH($C1041,Liste_Types,0)),""))</f>
        <v/>
      </c>
      <c r="J1041" s="107">
        <f>IF($I1041="▲ ENTRÉE",$U1041,"")</f>
        <v/>
      </c>
      <c r="K1041" s="108">
        <f>IF($I1041="▼ SORTIE",$U1041,"")</f>
        <v/>
      </c>
      <c r="L1041" s="109">
        <f>$L1040+N($J1041)-N($K1041)</f>
        <v/>
      </c>
      <c r="M1041" s="110" t="n"/>
      <c r="N1041" s="54" t="n"/>
      <c r="O1041" s="54" t="n"/>
      <c r="P1041" s="54" t="n"/>
      <c r="Q1041" s="110" t="n"/>
      <c r="R1041" s="110" t="n"/>
      <c r="S1041" s="54" t="n"/>
      <c r="T1041" s="111">
        <f>IF($G1041="","",IFERROR(INDEX(Taux_Devises,MATCH(IF($M1041="",Devise_Base,$M1041),Codes_Devises,0)),1))</f>
        <v/>
      </c>
      <c r="U1041" s="112">
        <f>IF($G1041="","",ROUND($G1041*$T1041,2))</f>
        <v/>
      </c>
      <c r="V1041" s="113">
        <f>IF($B1041="","",MONTH($B1041))</f>
        <v/>
      </c>
      <c r="W1041" s="113">
        <f>IF($B1041="","",YEAR($B1041))</f>
        <v/>
      </c>
    </row>
    <row r="1042">
      <c r="B1042" s="105" t="n"/>
      <c r="C1042" s="54" t="n"/>
      <c r="D1042" s="54" t="n"/>
      <c r="E1042" s="54" t="n"/>
      <c r="F1042" s="54" t="n"/>
      <c r="G1042" s="65" t="n"/>
      <c r="H1042" s="54" t="n"/>
      <c r="I1042" s="106">
        <f>IF($C1042="","",IFERROR(INDEX(Sens_Types,MATCH($C1042,Liste_Types,0)),""))</f>
        <v/>
      </c>
      <c r="J1042" s="107">
        <f>IF($I1042="▲ ENTRÉE",$U1042,"")</f>
        <v/>
      </c>
      <c r="K1042" s="108">
        <f>IF($I1042="▼ SORTIE",$U1042,"")</f>
        <v/>
      </c>
      <c r="L1042" s="109">
        <f>$L1041+N($J1042)-N($K1042)</f>
        <v/>
      </c>
      <c r="M1042" s="110" t="n"/>
      <c r="N1042" s="54" t="n"/>
      <c r="O1042" s="54" t="n"/>
      <c r="P1042" s="54" t="n"/>
      <c r="Q1042" s="110" t="n"/>
      <c r="R1042" s="110" t="n"/>
      <c r="S1042" s="54" t="n"/>
      <c r="T1042" s="111">
        <f>IF($G1042="","",IFERROR(INDEX(Taux_Devises,MATCH(IF($M1042="",Devise_Base,$M1042),Codes_Devises,0)),1))</f>
        <v/>
      </c>
      <c r="U1042" s="112">
        <f>IF($G1042="","",ROUND($G1042*$T1042,2))</f>
        <v/>
      </c>
      <c r="V1042" s="113">
        <f>IF($B1042="","",MONTH($B1042))</f>
        <v/>
      </c>
      <c r="W1042" s="113">
        <f>IF($B1042="","",YEAR($B1042))</f>
        <v/>
      </c>
    </row>
    <row r="1043">
      <c r="B1043" s="105" t="n"/>
      <c r="C1043" s="54" t="n"/>
      <c r="D1043" s="54" t="n"/>
      <c r="E1043" s="54" t="n"/>
      <c r="F1043" s="54" t="n"/>
      <c r="G1043" s="65" t="n"/>
      <c r="H1043" s="54" t="n"/>
      <c r="I1043" s="106">
        <f>IF($C1043="","",IFERROR(INDEX(Sens_Types,MATCH($C1043,Liste_Types,0)),""))</f>
        <v/>
      </c>
      <c r="J1043" s="107">
        <f>IF($I1043="▲ ENTRÉE",$U1043,"")</f>
        <v/>
      </c>
      <c r="K1043" s="108">
        <f>IF($I1043="▼ SORTIE",$U1043,"")</f>
        <v/>
      </c>
      <c r="L1043" s="109">
        <f>$L1042+N($J1043)-N($K1043)</f>
        <v/>
      </c>
      <c r="M1043" s="110" t="n"/>
      <c r="N1043" s="54" t="n"/>
      <c r="O1043" s="54" t="n"/>
      <c r="P1043" s="54" t="n"/>
      <c r="Q1043" s="110" t="n"/>
      <c r="R1043" s="110" t="n"/>
      <c r="S1043" s="54" t="n"/>
      <c r="T1043" s="111">
        <f>IF($G1043="","",IFERROR(INDEX(Taux_Devises,MATCH(IF($M1043="",Devise_Base,$M1043),Codes_Devises,0)),1))</f>
        <v/>
      </c>
      <c r="U1043" s="112">
        <f>IF($G1043="","",ROUND($G1043*$T1043,2))</f>
        <v/>
      </c>
      <c r="V1043" s="113">
        <f>IF($B1043="","",MONTH($B1043))</f>
        <v/>
      </c>
      <c r="W1043" s="113">
        <f>IF($B1043="","",YEAR($B1043))</f>
        <v/>
      </c>
    </row>
    <row r="1044">
      <c r="B1044" s="105" t="n"/>
      <c r="C1044" s="54" t="n"/>
      <c r="D1044" s="54" t="n"/>
      <c r="E1044" s="54" t="n"/>
      <c r="F1044" s="54" t="n"/>
      <c r="G1044" s="65" t="n"/>
      <c r="H1044" s="54" t="n"/>
      <c r="I1044" s="106">
        <f>IF($C1044="","",IFERROR(INDEX(Sens_Types,MATCH($C1044,Liste_Types,0)),""))</f>
        <v/>
      </c>
      <c r="J1044" s="107">
        <f>IF($I1044="▲ ENTRÉE",$U1044,"")</f>
        <v/>
      </c>
      <c r="K1044" s="108">
        <f>IF($I1044="▼ SORTIE",$U1044,"")</f>
        <v/>
      </c>
      <c r="L1044" s="109">
        <f>$L1043+N($J1044)-N($K1044)</f>
        <v/>
      </c>
      <c r="M1044" s="110" t="n"/>
      <c r="N1044" s="54" t="n"/>
      <c r="O1044" s="54" t="n"/>
      <c r="P1044" s="54" t="n"/>
      <c r="Q1044" s="110" t="n"/>
      <c r="R1044" s="110" t="n"/>
      <c r="S1044" s="54" t="n"/>
      <c r="T1044" s="111">
        <f>IF($G1044="","",IFERROR(INDEX(Taux_Devises,MATCH(IF($M1044="",Devise_Base,$M1044),Codes_Devises,0)),1))</f>
        <v/>
      </c>
      <c r="U1044" s="112">
        <f>IF($G1044="","",ROUND($G1044*$T1044,2))</f>
        <v/>
      </c>
      <c r="V1044" s="113">
        <f>IF($B1044="","",MONTH($B1044))</f>
        <v/>
      </c>
      <c r="W1044" s="113">
        <f>IF($B1044="","",YEAR($B1044))</f>
        <v/>
      </c>
    </row>
    <row r="1045">
      <c r="B1045" s="105" t="n"/>
      <c r="C1045" s="54" t="n"/>
      <c r="D1045" s="54" t="n"/>
      <c r="E1045" s="54" t="n"/>
      <c r="F1045" s="54" t="n"/>
      <c r="G1045" s="65" t="n"/>
      <c r="H1045" s="54" t="n"/>
      <c r="I1045" s="106">
        <f>IF($C1045="","",IFERROR(INDEX(Sens_Types,MATCH($C1045,Liste_Types,0)),""))</f>
        <v/>
      </c>
      <c r="J1045" s="107">
        <f>IF($I1045="▲ ENTRÉE",$U1045,"")</f>
        <v/>
      </c>
      <c r="K1045" s="108">
        <f>IF($I1045="▼ SORTIE",$U1045,"")</f>
        <v/>
      </c>
      <c r="L1045" s="109">
        <f>$L1044+N($J1045)-N($K1045)</f>
        <v/>
      </c>
      <c r="M1045" s="110" t="n"/>
      <c r="N1045" s="54" t="n"/>
      <c r="O1045" s="54" t="n"/>
      <c r="P1045" s="54" t="n"/>
      <c r="Q1045" s="110" t="n"/>
      <c r="R1045" s="110" t="n"/>
      <c r="S1045" s="54" t="n"/>
      <c r="T1045" s="111">
        <f>IF($G1045="","",IFERROR(INDEX(Taux_Devises,MATCH(IF($M1045="",Devise_Base,$M1045),Codes_Devises,0)),1))</f>
        <v/>
      </c>
      <c r="U1045" s="112">
        <f>IF($G1045="","",ROUND($G1045*$T1045,2))</f>
        <v/>
      </c>
      <c r="V1045" s="113">
        <f>IF($B1045="","",MONTH($B1045))</f>
        <v/>
      </c>
      <c r="W1045" s="113">
        <f>IF($B1045="","",YEAR($B1045))</f>
        <v/>
      </c>
    </row>
    <row r="1046">
      <c r="B1046" s="105" t="n"/>
      <c r="C1046" s="54" t="n"/>
      <c r="D1046" s="54" t="n"/>
      <c r="E1046" s="54" t="n"/>
      <c r="F1046" s="54" t="n"/>
      <c r="G1046" s="65" t="n"/>
      <c r="H1046" s="54" t="n"/>
      <c r="I1046" s="106">
        <f>IF($C1046="","",IFERROR(INDEX(Sens_Types,MATCH($C1046,Liste_Types,0)),""))</f>
        <v/>
      </c>
      <c r="J1046" s="107">
        <f>IF($I1046="▲ ENTRÉE",$U1046,"")</f>
        <v/>
      </c>
      <c r="K1046" s="108">
        <f>IF($I1046="▼ SORTIE",$U1046,"")</f>
        <v/>
      </c>
      <c r="L1046" s="109">
        <f>$L1045+N($J1046)-N($K1046)</f>
        <v/>
      </c>
      <c r="M1046" s="110" t="n"/>
      <c r="N1046" s="54" t="n"/>
      <c r="O1046" s="54" t="n"/>
      <c r="P1046" s="54" t="n"/>
      <c r="Q1046" s="110" t="n"/>
      <c r="R1046" s="110" t="n"/>
      <c r="S1046" s="54" t="n"/>
      <c r="T1046" s="111">
        <f>IF($G1046="","",IFERROR(INDEX(Taux_Devises,MATCH(IF($M1046="",Devise_Base,$M1046),Codes_Devises,0)),1))</f>
        <v/>
      </c>
      <c r="U1046" s="112">
        <f>IF($G1046="","",ROUND($G1046*$T1046,2))</f>
        <v/>
      </c>
      <c r="V1046" s="113">
        <f>IF($B1046="","",MONTH($B1046))</f>
        <v/>
      </c>
      <c r="W1046" s="113">
        <f>IF($B1046="","",YEAR($B1046))</f>
        <v/>
      </c>
    </row>
    <row r="1047">
      <c r="B1047" s="105" t="n"/>
      <c r="C1047" s="54" t="n"/>
      <c r="D1047" s="54" t="n"/>
      <c r="E1047" s="54" t="n"/>
      <c r="F1047" s="54" t="n"/>
      <c r="G1047" s="65" t="n"/>
      <c r="H1047" s="54" t="n"/>
      <c r="I1047" s="106">
        <f>IF($C1047="","",IFERROR(INDEX(Sens_Types,MATCH($C1047,Liste_Types,0)),""))</f>
        <v/>
      </c>
      <c r="J1047" s="107">
        <f>IF($I1047="▲ ENTRÉE",$U1047,"")</f>
        <v/>
      </c>
      <c r="K1047" s="108">
        <f>IF($I1047="▼ SORTIE",$U1047,"")</f>
        <v/>
      </c>
      <c r="L1047" s="109">
        <f>$L1046+N($J1047)-N($K1047)</f>
        <v/>
      </c>
      <c r="M1047" s="110" t="n"/>
      <c r="N1047" s="54" t="n"/>
      <c r="O1047" s="54" t="n"/>
      <c r="P1047" s="54" t="n"/>
      <c r="Q1047" s="110" t="n"/>
      <c r="R1047" s="110" t="n"/>
      <c r="S1047" s="54" t="n"/>
      <c r="T1047" s="111">
        <f>IF($G1047="","",IFERROR(INDEX(Taux_Devises,MATCH(IF($M1047="",Devise_Base,$M1047),Codes_Devises,0)),1))</f>
        <v/>
      </c>
      <c r="U1047" s="112">
        <f>IF($G1047="","",ROUND($G1047*$T1047,2))</f>
        <v/>
      </c>
      <c r="V1047" s="113">
        <f>IF($B1047="","",MONTH($B1047))</f>
        <v/>
      </c>
      <c r="W1047" s="113">
        <f>IF($B1047="","",YEAR($B1047))</f>
        <v/>
      </c>
    </row>
    <row r="1048">
      <c r="B1048" s="105" t="n"/>
      <c r="C1048" s="54" t="n"/>
      <c r="D1048" s="54" t="n"/>
      <c r="E1048" s="54" t="n"/>
      <c r="F1048" s="54" t="n"/>
      <c r="G1048" s="65" t="n"/>
      <c r="H1048" s="54" t="n"/>
      <c r="I1048" s="106">
        <f>IF($C1048="","",IFERROR(INDEX(Sens_Types,MATCH($C1048,Liste_Types,0)),""))</f>
        <v/>
      </c>
      <c r="J1048" s="107">
        <f>IF($I1048="▲ ENTRÉE",$U1048,"")</f>
        <v/>
      </c>
      <c r="K1048" s="108">
        <f>IF($I1048="▼ SORTIE",$U1048,"")</f>
        <v/>
      </c>
      <c r="L1048" s="109">
        <f>$L1047+N($J1048)-N($K1048)</f>
        <v/>
      </c>
      <c r="M1048" s="110" t="n"/>
      <c r="N1048" s="54" t="n"/>
      <c r="O1048" s="54" t="n"/>
      <c r="P1048" s="54" t="n"/>
      <c r="Q1048" s="110" t="n"/>
      <c r="R1048" s="110" t="n"/>
      <c r="S1048" s="54" t="n"/>
      <c r="T1048" s="111">
        <f>IF($G1048="","",IFERROR(INDEX(Taux_Devises,MATCH(IF($M1048="",Devise_Base,$M1048),Codes_Devises,0)),1))</f>
        <v/>
      </c>
      <c r="U1048" s="112">
        <f>IF($G1048="","",ROUND($G1048*$T1048,2))</f>
        <v/>
      </c>
      <c r="V1048" s="113">
        <f>IF($B1048="","",MONTH($B1048))</f>
        <v/>
      </c>
      <c r="W1048" s="113">
        <f>IF($B1048="","",YEAR($B1048))</f>
        <v/>
      </c>
    </row>
    <row r="1049">
      <c r="B1049" s="105" t="n"/>
      <c r="C1049" s="54" t="n"/>
      <c r="D1049" s="54" t="n"/>
      <c r="E1049" s="54" t="n"/>
      <c r="F1049" s="54" t="n"/>
      <c r="G1049" s="65" t="n"/>
      <c r="H1049" s="54" t="n"/>
      <c r="I1049" s="106">
        <f>IF($C1049="","",IFERROR(INDEX(Sens_Types,MATCH($C1049,Liste_Types,0)),""))</f>
        <v/>
      </c>
      <c r="J1049" s="107">
        <f>IF($I1049="▲ ENTRÉE",$U1049,"")</f>
        <v/>
      </c>
      <c r="K1049" s="108">
        <f>IF($I1049="▼ SORTIE",$U1049,"")</f>
        <v/>
      </c>
      <c r="L1049" s="109">
        <f>$L1048+N($J1049)-N($K1049)</f>
        <v/>
      </c>
      <c r="M1049" s="110" t="n"/>
      <c r="N1049" s="54" t="n"/>
      <c r="O1049" s="54" t="n"/>
      <c r="P1049" s="54" t="n"/>
      <c r="Q1049" s="110" t="n"/>
      <c r="R1049" s="110" t="n"/>
      <c r="S1049" s="54" t="n"/>
      <c r="T1049" s="111">
        <f>IF($G1049="","",IFERROR(INDEX(Taux_Devises,MATCH(IF($M1049="",Devise_Base,$M1049),Codes_Devises,0)),1))</f>
        <v/>
      </c>
      <c r="U1049" s="112">
        <f>IF($G1049="","",ROUND($G1049*$T1049,2))</f>
        <v/>
      </c>
      <c r="V1049" s="113">
        <f>IF($B1049="","",MONTH($B1049))</f>
        <v/>
      </c>
      <c r="W1049" s="113">
        <f>IF($B1049="","",YEAR($B1049))</f>
        <v/>
      </c>
    </row>
    <row r="1050">
      <c r="B1050" s="105" t="n"/>
      <c r="C1050" s="54" t="n"/>
      <c r="D1050" s="54" t="n"/>
      <c r="E1050" s="54" t="n"/>
      <c r="F1050" s="54" t="n"/>
      <c r="G1050" s="65" t="n"/>
      <c r="H1050" s="54" t="n"/>
      <c r="I1050" s="106">
        <f>IF($C1050="","",IFERROR(INDEX(Sens_Types,MATCH($C1050,Liste_Types,0)),""))</f>
        <v/>
      </c>
      <c r="J1050" s="107">
        <f>IF($I1050="▲ ENTRÉE",$U1050,"")</f>
        <v/>
      </c>
      <c r="K1050" s="108">
        <f>IF($I1050="▼ SORTIE",$U1050,"")</f>
        <v/>
      </c>
      <c r="L1050" s="109">
        <f>$L1049+N($J1050)-N($K1050)</f>
        <v/>
      </c>
      <c r="M1050" s="110" t="n"/>
      <c r="N1050" s="54" t="n"/>
      <c r="O1050" s="54" t="n"/>
      <c r="P1050" s="54" t="n"/>
      <c r="Q1050" s="110" t="n"/>
      <c r="R1050" s="110" t="n"/>
      <c r="S1050" s="54" t="n"/>
      <c r="T1050" s="111">
        <f>IF($G1050="","",IFERROR(INDEX(Taux_Devises,MATCH(IF($M1050="",Devise_Base,$M1050),Codes_Devises,0)),1))</f>
        <v/>
      </c>
      <c r="U1050" s="112">
        <f>IF($G1050="","",ROUND($G1050*$T1050,2))</f>
        <v/>
      </c>
      <c r="V1050" s="113">
        <f>IF($B1050="","",MONTH($B1050))</f>
        <v/>
      </c>
      <c r="W1050" s="113">
        <f>IF($B1050="","",YEAR($B1050))</f>
        <v/>
      </c>
    </row>
    <row r="1051">
      <c r="B1051" s="105" t="n"/>
      <c r="C1051" s="54" t="n"/>
      <c r="D1051" s="54" t="n"/>
      <c r="E1051" s="54" t="n"/>
      <c r="F1051" s="54" t="n"/>
      <c r="G1051" s="65" t="n"/>
      <c r="H1051" s="54" t="n"/>
      <c r="I1051" s="106">
        <f>IF($C1051="","",IFERROR(INDEX(Sens_Types,MATCH($C1051,Liste_Types,0)),""))</f>
        <v/>
      </c>
      <c r="J1051" s="107">
        <f>IF($I1051="▲ ENTRÉE",$U1051,"")</f>
        <v/>
      </c>
      <c r="K1051" s="108">
        <f>IF($I1051="▼ SORTIE",$U1051,"")</f>
        <v/>
      </c>
      <c r="L1051" s="109">
        <f>$L1050+N($J1051)-N($K1051)</f>
        <v/>
      </c>
      <c r="M1051" s="110" t="n"/>
      <c r="N1051" s="54" t="n"/>
      <c r="O1051" s="54" t="n"/>
      <c r="P1051" s="54" t="n"/>
      <c r="Q1051" s="110" t="n"/>
      <c r="R1051" s="110" t="n"/>
      <c r="S1051" s="54" t="n"/>
      <c r="T1051" s="111">
        <f>IF($G1051="","",IFERROR(INDEX(Taux_Devises,MATCH(IF($M1051="",Devise_Base,$M1051),Codes_Devises,0)),1))</f>
        <v/>
      </c>
      <c r="U1051" s="112">
        <f>IF($G1051="","",ROUND($G1051*$T1051,2))</f>
        <v/>
      </c>
      <c r="V1051" s="113">
        <f>IF($B1051="","",MONTH($B1051))</f>
        <v/>
      </c>
      <c r="W1051" s="113">
        <f>IF($B1051="","",YEAR($B1051))</f>
        <v/>
      </c>
    </row>
    <row r="1052">
      <c r="B1052" s="105" t="n"/>
      <c r="C1052" s="54" t="n"/>
      <c r="D1052" s="54" t="n"/>
      <c r="E1052" s="54" t="n"/>
      <c r="F1052" s="54" t="n"/>
      <c r="G1052" s="65" t="n"/>
      <c r="H1052" s="54" t="n"/>
      <c r="I1052" s="106">
        <f>IF($C1052="","",IFERROR(INDEX(Sens_Types,MATCH($C1052,Liste_Types,0)),""))</f>
        <v/>
      </c>
      <c r="J1052" s="107">
        <f>IF($I1052="▲ ENTRÉE",$U1052,"")</f>
        <v/>
      </c>
      <c r="K1052" s="108">
        <f>IF($I1052="▼ SORTIE",$U1052,"")</f>
        <v/>
      </c>
      <c r="L1052" s="109">
        <f>$L1051+N($J1052)-N($K1052)</f>
        <v/>
      </c>
      <c r="M1052" s="110" t="n"/>
      <c r="N1052" s="54" t="n"/>
      <c r="O1052" s="54" t="n"/>
      <c r="P1052" s="54" t="n"/>
      <c r="Q1052" s="110" t="n"/>
      <c r="R1052" s="110" t="n"/>
      <c r="S1052" s="54" t="n"/>
      <c r="T1052" s="111">
        <f>IF($G1052="","",IFERROR(INDEX(Taux_Devises,MATCH(IF($M1052="",Devise_Base,$M1052),Codes_Devises,0)),1))</f>
        <v/>
      </c>
      <c r="U1052" s="112">
        <f>IF($G1052="","",ROUND($G1052*$T1052,2))</f>
        <v/>
      </c>
      <c r="V1052" s="113">
        <f>IF($B1052="","",MONTH($B1052))</f>
        <v/>
      </c>
      <c r="W1052" s="113">
        <f>IF($B1052="","",YEAR($B1052))</f>
        <v/>
      </c>
    </row>
    <row r="1053">
      <c r="B1053" s="105" t="n"/>
      <c r="C1053" s="54" t="n"/>
      <c r="D1053" s="54" t="n"/>
      <c r="E1053" s="54" t="n"/>
      <c r="F1053" s="54" t="n"/>
      <c r="G1053" s="65" t="n"/>
      <c r="H1053" s="54" t="n"/>
      <c r="I1053" s="106">
        <f>IF($C1053="","",IFERROR(INDEX(Sens_Types,MATCH($C1053,Liste_Types,0)),""))</f>
        <v/>
      </c>
      <c r="J1053" s="107">
        <f>IF($I1053="▲ ENTRÉE",$U1053,"")</f>
        <v/>
      </c>
      <c r="K1053" s="108">
        <f>IF($I1053="▼ SORTIE",$U1053,"")</f>
        <v/>
      </c>
      <c r="L1053" s="109">
        <f>$L1052+N($J1053)-N($K1053)</f>
        <v/>
      </c>
      <c r="M1053" s="110" t="n"/>
      <c r="N1053" s="54" t="n"/>
      <c r="O1053" s="54" t="n"/>
      <c r="P1053" s="54" t="n"/>
      <c r="Q1053" s="110" t="n"/>
      <c r="R1053" s="110" t="n"/>
      <c r="S1053" s="54" t="n"/>
      <c r="T1053" s="111">
        <f>IF($G1053="","",IFERROR(INDEX(Taux_Devises,MATCH(IF($M1053="",Devise_Base,$M1053),Codes_Devises,0)),1))</f>
        <v/>
      </c>
      <c r="U1053" s="112">
        <f>IF($G1053="","",ROUND($G1053*$T1053,2))</f>
        <v/>
      </c>
      <c r="V1053" s="113">
        <f>IF($B1053="","",MONTH($B1053))</f>
        <v/>
      </c>
      <c r="W1053" s="113">
        <f>IF($B1053="","",YEAR($B1053))</f>
        <v/>
      </c>
    </row>
    <row r="1054">
      <c r="B1054" s="105" t="n"/>
      <c r="C1054" s="54" t="n"/>
      <c r="D1054" s="54" t="n"/>
      <c r="E1054" s="54" t="n"/>
      <c r="F1054" s="54" t="n"/>
      <c r="G1054" s="65" t="n"/>
      <c r="H1054" s="54" t="n"/>
      <c r="I1054" s="106">
        <f>IF($C1054="","",IFERROR(INDEX(Sens_Types,MATCH($C1054,Liste_Types,0)),""))</f>
        <v/>
      </c>
      <c r="J1054" s="107">
        <f>IF($I1054="▲ ENTRÉE",$U1054,"")</f>
        <v/>
      </c>
      <c r="K1054" s="108">
        <f>IF($I1054="▼ SORTIE",$U1054,"")</f>
        <v/>
      </c>
      <c r="L1054" s="109">
        <f>$L1053+N($J1054)-N($K1054)</f>
        <v/>
      </c>
      <c r="M1054" s="110" t="n"/>
      <c r="N1054" s="54" t="n"/>
      <c r="O1054" s="54" t="n"/>
      <c r="P1054" s="54" t="n"/>
      <c r="Q1054" s="110" t="n"/>
      <c r="R1054" s="110" t="n"/>
      <c r="S1054" s="54" t="n"/>
      <c r="T1054" s="111">
        <f>IF($G1054="","",IFERROR(INDEX(Taux_Devises,MATCH(IF($M1054="",Devise_Base,$M1054),Codes_Devises,0)),1))</f>
        <v/>
      </c>
      <c r="U1054" s="112">
        <f>IF($G1054="","",ROUND($G1054*$T1054,2))</f>
        <v/>
      </c>
      <c r="V1054" s="113">
        <f>IF($B1054="","",MONTH($B1054))</f>
        <v/>
      </c>
      <c r="W1054" s="113">
        <f>IF($B1054="","",YEAR($B1054))</f>
        <v/>
      </c>
    </row>
    <row r="1055">
      <c r="B1055" s="105" t="n"/>
      <c r="C1055" s="54" t="n"/>
      <c r="D1055" s="54" t="n"/>
      <c r="E1055" s="54" t="n"/>
      <c r="F1055" s="54" t="n"/>
      <c r="G1055" s="65" t="n"/>
      <c r="H1055" s="54" t="n"/>
      <c r="I1055" s="106">
        <f>IF($C1055="","",IFERROR(INDEX(Sens_Types,MATCH($C1055,Liste_Types,0)),""))</f>
        <v/>
      </c>
      <c r="J1055" s="107">
        <f>IF($I1055="▲ ENTRÉE",$U1055,"")</f>
        <v/>
      </c>
      <c r="K1055" s="108">
        <f>IF($I1055="▼ SORTIE",$U1055,"")</f>
        <v/>
      </c>
      <c r="L1055" s="109">
        <f>$L1054+N($J1055)-N($K1055)</f>
        <v/>
      </c>
      <c r="M1055" s="110" t="n"/>
      <c r="N1055" s="54" t="n"/>
      <c r="O1055" s="54" t="n"/>
      <c r="P1055" s="54" t="n"/>
      <c r="Q1055" s="110" t="n"/>
      <c r="R1055" s="110" t="n"/>
      <c r="S1055" s="54" t="n"/>
      <c r="T1055" s="111">
        <f>IF($G1055="","",IFERROR(INDEX(Taux_Devises,MATCH(IF($M1055="",Devise_Base,$M1055),Codes_Devises,0)),1))</f>
        <v/>
      </c>
      <c r="U1055" s="112">
        <f>IF($G1055="","",ROUND($G1055*$T1055,2))</f>
        <v/>
      </c>
      <c r="V1055" s="113">
        <f>IF($B1055="","",MONTH($B1055))</f>
        <v/>
      </c>
      <c r="W1055" s="113">
        <f>IF($B1055="","",YEAR($B1055))</f>
        <v/>
      </c>
    </row>
    <row r="1056">
      <c r="B1056" s="105" t="n"/>
      <c r="C1056" s="54" t="n"/>
      <c r="D1056" s="54" t="n"/>
      <c r="E1056" s="54" t="n"/>
      <c r="F1056" s="54" t="n"/>
      <c r="G1056" s="65" t="n"/>
      <c r="H1056" s="54" t="n"/>
      <c r="I1056" s="106">
        <f>IF($C1056="","",IFERROR(INDEX(Sens_Types,MATCH($C1056,Liste_Types,0)),""))</f>
        <v/>
      </c>
      <c r="J1056" s="107">
        <f>IF($I1056="▲ ENTRÉE",$U1056,"")</f>
        <v/>
      </c>
      <c r="K1056" s="108">
        <f>IF($I1056="▼ SORTIE",$U1056,"")</f>
        <v/>
      </c>
      <c r="L1056" s="109">
        <f>$L1055+N($J1056)-N($K1056)</f>
        <v/>
      </c>
      <c r="M1056" s="110" t="n"/>
      <c r="N1056" s="54" t="n"/>
      <c r="O1056" s="54" t="n"/>
      <c r="P1056" s="54" t="n"/>
      <c r="Q1056" s="110" t="n"/>
      <c r="R1056" s="110" t="n"/>
      <c r="S1056" s="54" t="n"/>
      <c r="T1056" s="111">
        <f>IF($G1056="","",IFERROR(INDEX(Taux_Devises,MATCH(IF($M1056="",Devise_Base,$M1056),Codes_Devises,0)),1))</f>
        <v/>
      </c>
      <c r="U1056" s="112">
        <f>IF($G1056="","",ROUND($G1056*$T1056,2))</f>
        <v/>
      </c>
      <c r="V1056" s="113">
        <f>IF($B1056="","",MONTH($B1056))</f>
        <v/>
      </c>
      <c r="W1056" s="113">
        <f>IF($B1056="","",YEAR($B1056))</f>
        <v/>
      </c>
    </row>
    <row r="1057">
      <c r="B1057" s="105" t="n"/>
      <c r="C1057" s="54" t="n"/>
      <c r="D1057" s="54" t="n"/>
      <c r="E1057" s="54" t="n"/>
      <c r="F1057" s="54" t="n"/>
      <c r="G1057" s="65" t="n"/>
      <c r="H1057" s="54" t="n"/>
      <c r="I1057" s="106">
        <f>IF($C1057="","",IFERROR(INDEX(Sens_Types,MATCH($C1057,Liste_Types,0)),""))</f>
        <v/>
      </c>
      <c r="J1057" s="107">
        <f>IF($I1057="▲ ENTRÉE",$U1057,"")</f>
        <v/>
      </c>
      <c r="K1057" s="108">
        <f>IF($I1057="▼ SORTIE",$U1057,"")</f>
        <v/>
      </c>
      <c r="L1057" s="109">
        <f>$L1056+N($J1057)-N($K1057)</f>
        <v/>
      </c>
      <c r="M1057" s="110" t="n"/>
      <c r="N1057" s="54" t="n"/>
      <c r="O1057" s="54" t="n"/>
      <c r="P1057" s="54" t="n"/>
      <c r="Q1057" s="110" t="n"/>
      <c r="R1057" s="110" t="n"/>
      <c r="S1057" s="54" t="n"/>
      <c r="T1057" s="111">
        <f>IF($G1057="","",IFERROR(INDEX(Taux_Devises,MATCH(IF($M1057="",Devise_Base,$M1057),Codes_Devises,0)),1))</f>
        <v/>
      </c>
      <c r="U1057" s="112">
        <f>IF($G1057="","",ROUND($G1057*$T1057,2))</f>
        <v/>
      </c>
      <c r="V1057" s="113">
        <f>IF($B1057="","",MONTH($B1057))</f>
        <v/>
      </c>
      <c r="W1057" s="113">
        <f>IF($B1057="","",YEAR($B1057))</f>
        <v/>
      </c>
    </row>
    <row r="1058">
      <c r="B1058" s="105" t="n"/>
      <c r="C1058" s="54" t="n"/>
      <c r="D1058" s="54" t="n"/>
      <c r="E1058" s="54" t="n"/>
      <c r="F1058" s="54" t="n"/>
      <c r="G1058" s="65" t="n"/>
      <c r="H1058" s="54" t="n"/>
      <c r="I1058" s="106">
        <f>IF($C1058="","",IFERROR(INDEX(Sens_Types,MATCH($C1058,Liste_Types,0)),""))</f>
        <v/>
      </c>
      <c r="J1058" s="107">
        <f>IF($I1058="▲ ENTRÉE",$U1058,"")</f>
        <v/>
      </c>
      <c r="K1058" s="108">
        <f>IF($I1058="▼ SORTIE",$U1058,"")</f>
        <v/>
      </c>
      <c r="L1058" s="109">
        <f>$L1057+N($J1058)-N($K1058)</f>
        <v/>
      </c>
      <c r="M1058" s="110" t="n"/>
      <c r="N1058" s="54" t="n"/>
      <c r="O1058" s="54" t="n"/>
      <c r="P1058" s="54" t="n"/>
      <c r="Q1058" s="110" t="n"/>
      <c r="R1058" s="110" t="n"/>
      <c r="S1058" s="54" t="n"/>
      <c r="T1058" s="111">
        <f>IF($G1058="","",IFERROR(INDEX(Taux_Devises,MATCH(IF($M1058="",Devise_Base,$M1058),Codes_Devises,0)),1))</f>
        <v/>
      </c>
      <c r="U1058" s="112">
        <f>IF($G1058="","",ROUND($G1058*$T1058,2))</f>
        <v/>
      </c>
      <c r="V1058" s="113">
        <f>IF($B1058="","",MONTH($B1058))</f>
        <v/>
      </c>
      <c r="W1058" s="113">
        <f>IF($B1058="","",YEAR($B1058))</f>
        <v/>
      </c>
    </row>
    <row r="1059">
      <c r="B1059" s="105" t="n"/>
      <c r="C1059" s="54" t="n"/>
      <c r="D1059" s="54" t="n"/>
      <c r="E1059" s="54" t="n"/>
      <c r="F1059" s="54" t="n"/>
      <c r="G1059" s="65" t="n"/>
      <c r="H1059" s="54" t="n"/>
      <c r="I1059" s="106">
        <f>IF($C1059="","",IFERROR(INDEX(Sens_Types,MATCH($C1059,Liste_Types,0)),""))</f>
        <v/>
      </c>
      <c r="J1059" s="107">
        <f>IF($I1059="▲ ENTRÉE",$U1059,"")</f>
        <v/>
      </c>
      <c r="K1059" s="108">
        <f>IF($I1059="▼ SORTIE",$U1059,"")</f>
        <v/>
      </c>
      <c r="L1059" s="109">
        <f>$L1058+N($J1059)-N($K1059)</f>
        <v/>
      </c>
      <c r="M1059" s="110" t="n"/>
      <c r="N1059" s="54" t="n"/>
      <c r="O1059" s="54" t="n"/>
      <c r="P1059" s="54" t="n"/>
      <c r="Q1059" s="110" t="n"/>
      <c r="R1059" s="110" t="n"/>
      <c r="S1059" s="54" t="n"/>
      <c r="T1059" s="111">
        <f>IF($G1059="","",IFERROR(INDEX(Taux_Devises,MATCH(IF($M1059="",Devise_Base,$M1059),Codes_Devises,0)),1))</f>
        <v/>
      </c>
      <c r="U1059" s="112">
        <f>IF($G1059="","",ROUND($G1059*$T1059,2))</f>
        <v/>
      </c>
      <c r="V1059" s="113">
        <f>IF($B1059="","",MONTH($B1059))</f>
        <v/>
      </c>
      <c r="W1059" s="113">
        <f>IF($B1059="","",YEAR($B1059))</f>
        <v/>
      </c>
    </row>
    <row r="1060">
      <c r="B1060" s="105" t="n"/>
      <c r="C1060" s="54" t="n"/>
      <c r="D1060" s="54" t="n"/>
      <c r="E1060" s="54" t="n"/>
      <c r="F1060" s="54" t="n"/>
      <c r="G1060" s="65" t="n"/>
      <c r="H1060" s="54" t="n"/>
      <c r="I1060" s="106">
        <f>IF($C1060="","",IFERROR(INDEX(Sens_Types,MATCH($C1060,Liste_Types,0)),""))</f>
        <v/>
      </c>
      <c r="J1060" s="107">
        <f>IF($I1060="▲ ENTRÉE",$U1060,"")</f>
        <v/>
      </c>
      <c r="K1060" s="108">
        <f>IF($I1060="▼ SORTIE",$U1060,"")</f>
        <v/>
      </c>
      <c r="L1060" s="109">
        <f>$L1059+N($J1060)-N($K1060)</f>
        <v/>
      </c>
      <c r="M1060" s="110" t="n"/>
      <c r="N1060" s="54" t="n"/>
      <c r="O1060" s="54" t="n"/>
      <c r="P1060" s="54" t="n"/>
      <c r="Q1060" s="110" t="n"/>
      <c r="R1060" s="110" t="n"/>
      <c r="S1060" s="54" t="n"/>
      <c r="T1060" s="111">
        <f>IF($G1060="","",IFERROR(INDEX(Taux_Devises,MATCH(IF($M1060="",Devise_Base,$M1060),Codes_Devises,0)),1))</f>
        <v/>
      </c>
      <c r="U1060" s="112">
        <f>IF($G1060="","",ROUND($G1060*$T1060,2))</f>
        <v/>
      </c>
      <c r="V1060" s="113">
        <f>IF($B1060="","",MONTH($B1060))</f>
        <v/>
      </c>
      <c r="W1060" s="113">
        <f>IF($B1060="","",YEAR($B1060))</f>
        <v/>
      </c>
    </row>
    <row r="1061">
      <c r="B1061" s="105" t="n"/>
      <c r="C1061" s="54" t="n"/>
      <c r="D1061" s="54" t="n"/>
      <c r="E1061" s="54" t="n"/>
      <c r="F1061" s="54" t="n"/>
      <c r="G1061" s="65" t="n"/>
      <c r="H1061" s="54" t="n"/>
      <c r="I1061" s="106">
        <f>IF($C1061="","",IFERROR(INDEX(Sens_Types,MATCH($C1061,Liste_Types,0)),""))</f>
        <v/>
      </c>
      <c r="J1061" s="107">
        <f>IF($I1061="▲ ENTRÉE",$U1061,"")</f>
        <v/>
      </c>
      <c r="K1061" s="108">
        <f>IF($I1061="▼ SORTIE",$U1061,"")</f>
        <v/>
      </c>
      <c r="L1061" s="109">
        <f>$L1060+N($J1061)-N($K1061)</f>
        <v/>
      </c>
      <c r="M1061" s="110" t="n"/>
      <c r="N1061" s="54" t="n"/>
      <c r="O1061" s="54" t="n"/>
      <c r="P1061" s="54" t="n"/>
      <c r="Q1061" s="110" t="n"/>
      <c r="R1061" s="110" t="n"/>
      <c r="S1061" s="54" t="n"/>
      <c r="T1061" s="111">
        <f>IF($G1061="","",IFERROR(INDEX(Taux_Devises,MATCH(IF($M1061="",Devise_Base,$M1061),Codes_Devises,0)),1))</f>
        <v/>
      </c>
      <c r="U1061" s="112">
        <f>IF($G1061="","",ROUND($G1061*$T1061,2))</f>
        <v/>
      </c>
      <c r="V1061" s="113">
        <f>IF($B1061="","",MONTH($B1061))</f>
        <v/>
      </c>
      <c r="W1061" s="113">
        <f>IF($B1061="","",YEAR($B1061))</f>
        <v/>
      </c>
    </row>
    <row r="1062">
      <c r="B1062" s="105" t="n"/>
      <c r="C1062" s="54" t="n"/>
      <c r="D1062" s="54" t="n"/>
      <c r="E1062" s="54" t="n"/>
      <c r="F1062" s="54" t="n"/>
      <c r="G1062" s="65" t="n"/>
      <c r="H1062" s="54" t="n"/>
      <c r="I1062" s="106">
        <f>IF($C1062="","",IFERROR(INDEX(Sens_Types,MATCH($C1062,Liste_Types,0)),""))</f>
        <v/>
      </c>
      <c r="J1062" s="107">
        <f>IF($I1062="▲ ENTRÉE",$U1062,"")</f>
        <v/>
      </c>
      <c r="K1062" s="108">
        <f>IF($I1062="▼ SORTIE",$U1062,"")</f>
        <v/>
      </c>
      <c r="L1062" s="109">
        <f>$L1061+N($J1062)-N($K1062)</f>
        <v/>
      </c>
      <c r="M1062" s="110" t="n"/>
      <c r="N1062" s="54" t="n"/>
      <c r="O1062" s="54" t="n"/>
      <c r="P1062" s="54" t="n"/>
      <c r="Q1062" s="110" t="n"/>
      <c r="R1062" s="110" t="n"/>
      <c r="S1062" s="54" t="n"/>
      <c r="T1062" s="111">
        <f>IF($G1062="","",IFERROR(INDEX(Taux_Devises,MATCH(IF($M1062="",Devise_Base,$M1062),Codes_Devises,0)),1))</f>
        <v/>
      </c>
      <c r="U1062" s="112">
        <f>IF($G1062="","",ROUND($G1062*$T1062,2))</f>
        <v/>
      </c>
      <c r="V1062" s="113">
        <f>IF($B1062="","",MONTH($B1062))</f>
        <v/>
      </c>
      <c r="W1062" s="113">
        <f>IF($B1062="","",YEAR($B1062))</f>
        <v/>
      </c>
    </row>
    <row r="1063">
      <c r="B1063" s="105" t="n"/>
      <c r="C1063" s="54" t="n"/>
      <c r="D1063" s="54" t="n"/>
      <c r="E1063" s="54" t="n"/>
      <c r="F1063" s="54" t="n"/>
      <c r="G1063" s="65" t="n"/>
      <c r="H1063" s="54" t="n"/>
      <c r="I1063" s="106">
        <f>IF($C1063="","",IFERROR(INDEX(Sens_Types,MATCH($C1063,Liste_Types,0)),""))</f>
        <v/>
      </c>
      <c r="J1063" s="107">
        <f>IF($I1063="▲ ENTRÉE",$U1063,"")</f>
        <v/>
      </c>
      <c r="K1063" s="108">
        <f>IF($I1063="▼ SORTIE",$U1063,"")</f>
        <v/>
      </c>
      <c r="L1063" s="109">
        <f>$L1062+N($J1063)-N($K1063)</f>
        <v/>
      </c>
      <c r="M1063" s="110" t="n"/>
      <c r="N1063" s="54" t="n"/>
      <c r="O1063" s="54" t="n"/>
      <c r="P1063" s="54" t="n"/>
      <c r="Q1063" s="110" t="n"/>
      <c r="R1063" s="110" t="n"/>
      <c r="S1063" s="54" t="n"/>
      <c r="T1063" s="111">
        <f>IF($G1063="","",IFERROR(INDEX(Taux_Devises,MATCH(IF($M1063="",Devise_Base,$M1063),Codes_Devises,0)),1))</f>
        <v/>
      </c>
      <c r="U1063" s="112">
        <f>IF($G1063="","",ROUND($G1063*$T1063,2))</f>
        <v/>
      </c>
      <c r="V1063" s="113">
        <f>IF($B1063="","",MONTH($B1063))</f>
        <v/>
      </c>
      <c r="W1063" s="113">
        <f>IF($B1063="","",YEAR($B1063))</f>
        <v/>
      </c>
    </row>
    <row r="1064">
      <c r="B1064" s="105" t="n"/>
      <c r="C1064" s="54" t="n"/>
      <c r="D1064" s="54" t="n"/>
      <c r="E1064" s="54" t="n"/>
      <c r="F1064" s="54" t="n"/>
      <c r="G1064" s="65" t="n"/>
      <c r="H1064" s="54" t="n"/>
      <c r="I1064" s="106">
        <f>IF($C1064="","",IFERROR(INDEX(Sens_Types,MATCH($C1064,Liste_Types,0)),""))</f>
        <v/>
      </c>
      <c r="J1064" s="107">
        <f>IF($I1064="▲ ENTRÉE",$U1064,"")</f>
        <v/>
      </c>
      <c r="K1064" s="108">
        <f>IF($I1064="▼ SORTIE",$U1064,"")</f>
        <v/>
      </c>
      <c r="L1064" s="109">
        <f>$L1063+N($J1064)-N($K1064)</f>
        <v/>
      </c>
      <c r="M1064" s="110" t="n"/>
      <c r="N1064" s="54" t="n"/>
      <c r="O1064" s="54" t="n"/>
      <c r="P1064" s="54" t="n"/>
      <c r="Q1064" s="110" t="n"/>
      <c r="R1064" s="110" t="n"/>
      <c r="S1064" s="54" t="n"/>
      <c r="T1064" s="111">
        <f>IF($G1064="","",IFERROR(INDEX(Taux_Devises,MATCH(IF($M1064="",Devise_Base,$M1064),Codes_Devises,0)),1))</f>
        <v/>
      </c>
      <c r="U1064" s="112">
        <f>IF($G1064="","",ROUND($G1064*$T1064,2))</f>
        <v/>
      </c>
      <c r="V1064" s="113">
        <f>IF($B1064="","",MONTH($B1064))</f>
        <v/>
      </c>
      <c r="W1064" s="113">
        <f>IF($B1064="","",YEAR($B1064))</f>
        <v/>
      </c>
    </row>
    <row r="1065">
      <c r="B1065" s="105" t="n"/>
      <c r="C1065" s="54" t="n"/>
      <c r="D1065" s="54" t="n"/>
      <c r="E1065" s="54" t="n"/>
      <c r="F1065" s="54" t="n"/>
      <c r="G1065" s="65" t="n"/>
      <c r="H1065" s="54" t="n"/>
      <c r="I1065" s="106">
        <f>IF($C1065="","",IFERROR(INDEX(Sens_Types,MATCH($C1065,Liste_Types,0)),""))</f>
        <v/>
      </c>
      <c r="J1065" s="107">
        <f>IF($I1065="▲ ENTRÉE",$U1065,"")</f>
        <v/>
      </c>
      <c r="K1065" s="108">
        <f>IF($I1065="▼ SORTIE",$U1065,"")</f>
        <v/>
      </c>
      <c r="L1065" s="109">
        <f>$L1064+N($J1065)-N($K1065)</f>
        <v/>
      </c>
      <c r="M1065" s="110" t="n"/>
      <c r="N1065" s="54" t="n"/>
      <c r="O1065" s="54" t="n"/>
      <c r="P1065" s="54" t="n"/>
      <c r="Q1065" s="110" t="n"/>
      <c r="R1065" s="110" t="n"/>
      <c r="S1065" s="54" t="n"/>
      <c r="T1065" s="111">
        <f>IF($G1065="","",IFERROR(INDEX(Taux_Devises,MATCH(IF($M1065="",Devise_Base,$M1065),Codes_Devises,0)),1))</f>
        <v/>
      </c>
      <c r="U1065" s="112">
        <f>IF($G1065="","",ROUND($G1065*$T1065,2))</f>
        <v/>
      </c>
      <c r="V1065" s="113">
        <f>IF($B1065="","",MONTH($B1065))</f>
        <v/>
      </c>
      <c r="W1065" s="113">
        <f>IF($B1065="","",YEAR($B1065))</f>
        <v/>
      </c>
    </row>
    <row r="1066">
      <c r="B1066" s="105" t="n"/>
      <c r="C1066" s="54" t="n"/>
      <c r="D1066" s="54" t="n"/>
      <c r="E1066" s="54" t="n"/>
      <c r="F1066" s="54" t="n"/>
      <c r="G1066" s="65" t="n"/>
      <c r="H1066" s="54" t="n"/>
      <c r="I1066" s="106">
        <f>IF($C1066="","",IFERROR(INDEX(Sens_Types,MATCH($C1066,Liste_Types,0)),""))</f>
        <v/>
      </c>
      <c r="J1066" s="107">
        <f>IF($I1066="▲ ENTRÉE",$U1066,"")</f>
        <v/>
      </c>
      <c r="K1066" s="108">
        <f>IF($I1066="▼ SORTIE",$U1066,"")</f>
        <v/>
      </c>
      <c r="L1066" s="109">
        <f>$L1065+N($J1066)-N($K1066)</f>
        <v/>
      </c>
      <c r="M1066" s="110" t="n"/>
      <c r="N1066" s="54" t="n"/>
      <c r="O1066" s="54" t="n"/>
      <c r="P1066" s="54" t="n"/>
      <c r="Q1066" s="110" t="n"/>
      <c r="R1066" s="110" t="n"/>
      <c r="S1066" s="54" t="n"/>
      <c r="T1066" s="111">
        <f>IF($G1066="","",IFERROR(INDEX(Taux_Devises,MATCH(IF($M1066="",Devise_Base,$M1066),Codes_Devises,0)),1))</f>
        <v/>
      </c>
      <c r="U1066" s="112">
        <f>IF($G1066="","",ROUND($G1066*$T1066,2))</f>
        <v/>
      </c>
      <c r="V1066" s="113">
        <f>IF($B1066="","",MONTH($B1066))</f>
        <v/>
      </c>
      <c r="W1066" s="113">
        <f>IF($B1066="","",YEAR($B1066))</f>
        <v/>
      </c>
    </row>
    <row r="1067">
      <c r="B1067" s="105" t="n"/>
      <c r="C1067" s="54" t="n"/>
      <c r="D1067" s="54" t="n"/>
      <c r="E1067" s="54" t="n"/>
      <c r="F1067" s="54" t="n"/>
      <c r="G1067" s="65" t="n"/>
      <c r="H1067" s="54" t="n"/>
      <c r="I1067" s="106">
        <f>IF($C1067="","",IFERROR(INDEX(Sens_Types,MATCH($C1067,Liste_Types,0)),""))</f>
        <v/>
      </c>
      <c r="J1067" s="107">
        <f>IF($I1067="▲ ENTRÉE",$U1067,"")</f>
        <v/>
      </c>
      <c r="K1067" s="108">
        <f>IF($I1067="▼ SORTIE",$U1067,"")</f>
        <v/>
      </c>
      <c r="L1067" s="109">
        <f>$L1066+N($J1067)-N($K1067)</f>
        <v/>
      </c>
      <c r="M1067" s="110" t="n"/>
      <c r="N1067" s="54" t="n"/>
      <c r="O1067" s="54" t="n"/>
      <c r="P1067" s="54" t="n"/>
      <c r="Q1067" s="110" t="n"/>
      <c r="R1067" s="110" t="n"/>
      <c r="S1067" s="54" t="n"/>
      <c r="T1067" s="111">
        <f>IF($G1067="","",IFERROR(INDEX(Taux_Devises,MATCH(IF($M1067="",Devise_Base,$M1067),Codes_Devises,0)),1))</f>
        <v/>
      </c>
      <c r="U1067" s="112">
        <f>IF($G1067="","",ROUND($G1067*$T1067,2))</f>
        <v/>
      </c>
      <c r="V1067" s="113">
        <f>IF($B1067="","",MONTH($B1067))</f>
        <v/>
      </c>
      <c r="W1067" s="113">
        <f>IF($B1067="","",YEAR($B1067))</f>
        <v/>
      </c>
    </row>
    <row r="1068">
      <c r="B1068" s="105" t="n"/>
      <c r="C1068" s="54" t="n"/>
      <c r="D1068" s="54" t="n"/>
      <c r="E1068" s="54" t="n"/>
      <c r="F1068" s="54" t="n"/>
      <c r="G1068" s="65" t="n"/>
      <c r="H1068" s="54" t="n"/>
      <c r="I1068" s="106">
        <f>IF($C1068="","",IFERROR(INDEX(Sens_Types,MATCH($C1068,Liste_Types,0)),""))</f>
        <v/>
      </c>
      <c r="J1068" s="107">
        <f>IF($I1068="▲ ENTRÉE",$U1068,"")</f>
        <v/>
      </c>
      <c r="K1068" s="108">
        <f>IF($I1068="▼ SORTIE",$U1068,"")</f>
        <v/>
      </c>
      <c r="L1068" s="109">
        <f>$L1067+N($J1068)-N($K1068)</f>
        <v/>
      </c>
      <c r="M1068" s="110" t="n"/>
      <c r="N1068" s="54" t="n"/>
      <c r="O1068" s="54" t="n"/>
      <c r="P1068" s="54" t="n"/>
      <c r="Q1068" s="110" t="n"/>
      <c r="R1068" s="110" t="n"/>
      <c r="S1068" s="54" t="n"/>
      <c r="T1068" s="111">
        <f>IF($G1068="","",IFERROR(INDEX(Taux_Devises,MATCH(IF($M1068="",Devise_Base,$M1068),Codes_Devises,0)),1))</f>
        <v/>
      </c>
      <c r="U1068" s="112">
        <f>IF($G1068="","",ROUND($G1068*$T1068,2))</f>
        <v/>
      </c>
      <c r="V1068" s="113">
        <f>IF($B1068="","",MONTH($B1068))</f>
        <v/>
      </c>
      <c r="W1068" s="113">
        <f>IF($B1068="","",YEAR($B1068))</f>
        <v/>
      </c>
    </row>
    <row r="1069">
      <c r="B1069" s="105" t="n"/>
      <c r="C1069" s="54" t="n"/>
      <c r="D1069" s="54" t="n"/>
      <c r="E1069" s="54" t="n"/>
      <c r="F1069" s="54" t="n"/>
      <c r="G1069" s="65" t="n"/>
      <c r="H1069" s="54" t="n"/>
      <c r="I1069" s="106">
        <f>IF($C1069="","",IFERROR(INDEX(Sens_Types,MATCH($C1069,Liste_Types,0)),""))</f>
        <v/>
      </c>
      <c r="J1069" s="107">
        <f>IF($I1069="▲ ENTRÉE",$U1069,"")</f>
        <v/>
      </c>
      <c r="K1069" s="108">
        <f>IF($I1069="▼ SORTIE",$U1069,"")</f>
        <v/>
      </c>
      <c r="L1069" s="109">
        <f>$L1068+N($J1069)-N($K1069)</f>
        <v/>
      </c>
      <c r="M1069" s="110" t="n"/>
      <c r="N1069" s="54" t="n"/>
      <c r="O1069" s="54" t="n"/>
      <c r="P1069" s="54" t="n"/>
      <c r="Q1069" s="110" t="n"/>
      <c r="R1069" s="110" t="n"/>
      <c r="S1069" s="54" t="n"/>
      <c r="T1069" s="111">
        <f>IF($G1069="","",IFERROR(INDEX(Taux_Devises,MATCH(IF($M1069="",Devise_Base,$M1069),Codes_Devises,0)),1))</f>
        <v/>
      </c>
      <c r="U1069" s="112">
        <f>IF($G1069="","",ROUND($G1069*$T1069,2))</f>
        <v/>
      </c>
      <c r="V1069" s="113">
        <f>IF($B1069="","",MONTH($B1069))</f>
        <v/>
      </c>
      <c r="W1069" s="113">
        <f>IF($B1069="","",YEAR($B1069))</f>
        <v/>
      </c>
    </row>
    <row r="1070">
      <c r="B1070" s="105" t="n"/>
      <c r="C1070" s="54" t="n"/>
      <c r="D1070" s="54" t="n"/>
      <c r="E1070" s="54" t="n"/>
      <c r="F1070" s="54" t="n"/>
      <c r="G1070" s="65" t="n"/>
      <c r="H1070" s="54" t="n"/>
      <c r="I1070" s="106">
        <f>IF($C1070="","",IFERROR(INDEX(Sens_Types,MATCH($C1070,Liste_Types,0)),""))</f>
        <v/>
      </c>
      <c r="J1070" s="107">
        <f>IF($I1070="▲ ENTRÉE",$U1070,"")</f>
        <v/>
      </c>
      <c r="K1070" s="108">
        <f>IF($I1070="▼ SORTIE",$U1070,"")</f>
        <v/>
      </c>
      <c r="L1070" s="109">
        <f>$L1069+N($J1070)-N($K1070)</f>
        <v/>
      </c>
      <c r="M1070" s="110" t="n"/>
      <c r="N1070" s="54" t="n"/>
      <c r="O1070" s="54" t="n"/>
      <c r="P1070" s="54" t="n"/>
      <c r="Q1070" s="110" t="n"/>
      <c r="R1070" s="110" t="n"/>
      <c r="S1070" s="54" t="n"/>
      <c r="T1070" s="111">
        <f>IF($G1070="","",IFERROR(INDEX(Taux_Devises,MATCH(IF($M1070="",Devise_Base,$M1070),Codes_Devises,0)),1))</f>
        <v/>
      </c>
      <c r="U1070" s="112">
        <f>IF($G1070="","",ROUND($G1070*$T1070,2))</f>
        <v/>
      </c>
      <c r="V1070" s="113">
        <f>IF($B1070="","",MONTH($B1070))</f>
        <v/>
      </c>
      <c r="W1070" s="113">
        <f>IF($B1070="","",YEAR($B1070))</f>
        <v/>
      </c>
    </row>
    <row r="1071">
      <c r="B1071" s="105" t="n"/>
      <c r="C1071" s="54" t="n"/>
      <c r="D1071" s="54" t="n"/>
      <c r="E1071" s="54" t="n"/>
      <c r="F1071" s="54" t="n"/>
      <c r="G1071" s="65" t="n"/>
      <c r="H1071" s="54" t="n"/>
      <c r="I1071" s="106">
        <f>IF($C1071="","",IFERROR(INDEX(Sens_Types,MATCH($C1071,Liste_Types,0)),""))</f>
        <v/>
      </c>
      <c r="J1071" s="107">
        <f>IF($I1071="▲ ENTRÉE",$U1071,"")</f>
        <v/>
      </c>
      <c r="K1071" s="108">
        <f>IF($I1071="▼ SORTIE",$U1071,"")</f>
        <v/>
      </c>
      <c r="L1071" s="109">
        <f>$L1070+N($J1071)-N($K1071)</f>
        <v/>
      </c>
      <c r="M1071" s="110" t="n"/>
      <c r="N1071" s="54" t="n"/>
      <c r="O1071" s="54" t="n"/>
      <c r="P1071" s="54" t="n"/>
      <c r="Q1071" s="110" t="n"/>
      <c r="R1071" s="110" t="n"/>
      <c r="S1071" s="54" t="n"/>
      <c r="T1071" s="111">
        <f>IF($G1071="","",IFERROR(INDEX(Taux_Devises,MATCH(IF($M1071="",Devise_Base,$M1071),Codes_Devises,0)),1))</f>
        <v/>
      </c>
      <c r="U1071" s="112">
        <f>IF($G1071="","",ROUND($G1071*$T1071,2))</f>
        <v/>
      </c>
      <c r="V1071" s="113">
        <f>IF($B1071="","",MONTH($B1071))</f>
        <v/>
      </c>
      <c r="W1071" s="113">
        <f>IF($B1071="","",YEAR($B1071))</f>
        <v/>
      </c>
    </row>
    <row r="1072">
      <c r="B1072" s="105" t="n"/>
      <c r="C1072" s="54" t="n"/>
      <c r="D1072" s="54" t="n"/>
      <c r="E1072" s="54" t="n"/>
      <c r="F1072" s="54" t="n"/>
      <c r="G1072" s="65" t="n"/>
      <c r="H1072" s="54" t="n"/>
      <c r="I1072" s="106">
        <f>IF($C1072="","",IFERROR(INDEX(Sens_Types,MATCH($C1072,Liste_Types,0)),""))</f>
        <v/>
      </c>
      <c r="J1072" s="107">
        <f>IF($I1072="▲ ENTRÉE",$U1072,"")</f>
        <v/>
      </c>
      <c r="K1072" s="108">
        <f>IF($I1072="▼ SORTIE",$U1072,"")</f>
        <v/>
      </c>
      <c r="L1072" s="109">
        <f>$L1071+N($J1072)-N($K1072)</f>
        <v/>
      </c>
      <c r="M1072" s="110" t="n"/>
      <c r="N1072" s="54" t="n"/>
      <c r="O1072" s="54" t="n"/>
      <c r="P1072" s="54" t="n"/>
      <c r="Q1072" s="110" t="n"/>
      <c r="R1072" s="110" t="n"/>
      <c r="S1072" s="54" t="n"/>
      <c r="T1072" s="111">
        <f>IF($G1072="","",IFERROR(INDEX(Taux_Devises,MATCH(IF($M1072="",Devise_Base,$M1072),Codes_Devises,0)),1))</f>
        <v/>
      </c>
      <c r="U1072" s="112">
        <f>IF($G1072="","",ROUND($G1072*$T1072,2))</f>
        <v/>
      </c>
      <c r="V1072" s="113">
        <f>IF($B1072="","",MONTH($B1072))</f>
        <v/>
      </c>
      <c r="W1072" s="113">
        <f>IF($B1072="","",YEAR($B1072))</f>
        <v/>
      </c>
    </row>
    <row r="1073">
      <c r="B1073" s="105" t="n"/>
      <c r="C1073" s="54" t="n"/>
      <c r="D1073" s="54" t="n"/>
      <c r="E1073" s="54" t="n"/>
      <c r="F1073" s="54" t="n"/>
      <c r="G1073" s="65" t="n"/>
      <c r="H1073" s="54" t="n"/>
      <c r="I1073" s="106">
        <f>IF($C1073="","",IFERROR(INDEX(Sens_Types,MATCH($C1073,Liste_Types,0)),""))</f>
        <v/>
      </c>
      <c r="J1073" s="107">
        <f>IF($I1073="▲ ENTRÉE",$U1073,"")</f>
        <v/>
      </c>
      <c r="K1073" s="108">
        <f>IF($I1073="▼ SORTIE",$U1073,"")</f>
        <v/>
      </c>
      <c r="L1073" s="109">
        <f>$L1072+N($J1073)-N($K1073)</f>
        <v/>
      </c>
      <c r="M1073" s="110" t="n"/>
      <c r="N1073" s="54" t="n"/>
      <c r="O1073" s="54" t="n"/>
      <c r="P1073" s="54" t="n"/>
      <c r="Q1073" s="110" t="n"/>
      <c r="R1073" s="110" t="n"/>
      <c r="S1073" s="54" t="n"/>
      <c r="T1073" s="111">
        <f>IF($G1073="","",IFERROR(INDEX(Taux_Devises,MATCH(IF($M1073="",Devise_Base,$M1073),Codes_Devises,0)),1))</f>
        <v/>
      </c>
      <c r="U1073" s="112">
        <f>IF($G1073="","",ROUND($G1073*$T1073,2))</f>
        <v/>
      </c>
      <c r="V1073" s="113">
        <f>IF($B1073="","",MONTH($B1073))</f>
        <v/>
      </c>
      <c r="W1073" s="113">
        <f>IF($B1073="","",YEAR($B1073))</f>
        <v/>
      </c>
    </row>
    <row r="1074">
      <c r="B1074" s="105" t="n"/>
      <c r="C1074" s="54" t="n"/>
      <c r="D1074" s="54" t="n"/>
      <c r="E1074" s="54" t="n"/>
      <c r="F1074" s="54" t="n"/>
      <c r="G1074" s="65" t="n"/>
      <c r="H1074" s="54" t="n"/>
      <c r="I1074" s="106">
        <f>IF($C1074="","",IFERROR(INDEX(Sens_Types,MATCH($C1074,Liste_Types,0)),""))</f>
        <v/>
      </c>
      <c r="J1074" s="107">
        <f>IF($I1074="▲ ENTRÉE",$U1074,"")</f>
        <v/>
      </c>
      <c r="K1074" s="108">
        <f>IF($I1074="▼ SORTIE",$U1074,"")</f>
        <v/>
      </c>
      <c r="L1074" s="109">
        <f>$L1073+N($J1074)-N($K1074)</f>
        <v/>
      </c>
      <c r="M1074" s="110" t="n"/>
      <c r="N1074" s="54" t="n"/>
      <c r="O1074" s="54" t="n"/>
      <c r="P1074" s="54" t="n"/>
      <c r="Q1074" s="110" t="n"/>
      <c r="R1074" s="110" t="n"/>
      <c r="S1074" s="54" t="n"/>
      <c r="T1074" s="111">
        <f>IF($G1074="","",IFERROR(INDEX(Taux_Devises,MATCH(IF($M1074="",Devise_Base,$M1074),Codes_Devises,0)),1))</f>
        <v/>
      </c>
      <c r="U1074" s="112">
        <f>IF($G1074="","",ROUND($G1074*$T1074,2))</f>
        <v/>
      </c>
      <c r="V1074" s="113">
        <f>IF($B1074="","",MONTH($B1074))</f>
        <v/>
      </c>
      <c r="W1074" s="113">
        <f>IF($B1074="","",YEAR($B1074))</f>
        <v/>
      </c>
    </row>
    <row r="1075">
      <c r="B1075" s="105" t="n"/>
      <c r="C1075" s="54" t="n"/>
      <c r="D1075" s="54" t="n"/>
      <c r="E1075" s="54" t="n"/>
      <c r="F1075" s="54" t="n"/>
      <c r="G1075" s="65" t="n"/>
      <c r="H1075" s="54" t="n"/>
      <c r="I1075" s="106">
        <f>IF($C1075="","",IFERROR(INDEX(Sens_Types,MATCH($C1075,Liste_Types,0)),""))</f>
        <v/>
      </c>
      <c r="J1075" s="107">
        <f>IF($I1075="▲ ENTRÉE",$U1075,"")</f>
        <v/>
      </c>
      <c r="K1075" s="108">
        <f>IF($I1075="▼ SORTIE",$U1075,"")</f>
        <v/>
      </c>
      <c r="L1075" s="109">
        <f>$L1074+N($J1075)-N($K1075)</f>
        <v/>
      </c>
      <c r="M1075" s="110" t="n"/>
      <c r="N1075" s="54" t="n"/>
      <c r="O1075" s="54" t="n"/>
      <c r="P1075" s="54" t="n"/>
      <c r="Q1075" s="110" t="n"/>
      <c r="R1075" s="110" t="n"/>
      <c r="S1075" s="54" t="n"/>
      <c r="T1075" s="111">
        <f>IF($G1075="","",IFERROR(INDEX(Taux_Devises,MATCH(IF($M1075="",Devise_Base,$M1075),Codes_Devises,0)),1))</f>
        <v/>
      </c>
      <c r="U1075" s="112">
        <f>IF($G1075="","",ROUND($G1075*$T1075,2))</f>
        <v/>
      </c>
      <c r="V1075" s="113">
        <f>IF($B1075="","",MONTH($B1075))</f>
        <v/>
      </c>
      <c r="W1075" s="113">
        <f>IF($B1075="","",YEAR($B1075))</f>
        <v/>
      </c>
    </row>
    <row r="1076">
      <c r="B1076" s="105" t="n"/>
      <c r="C1076" s="54" t="n"/>
      <c r="D1076" s="54" t="n"/>
      <c r="E1076" s="54" t="n"/>
      <c r="F1076" s="54" t="n"/>
      <c r="G1076" s="65" t="n"/>
      <c r="H1076" s="54" t="n"/>
      <c r="I1076" s="106">
        <f>IF($C1076="","",IFERROR(INDEX(Sens_Types,MATCH($C1076,Liste_Types,0)),""))</f>
        <v/>
      </c>
      <c r="J1076" s="107">
        <f>IF($I1076="▲ ENTRÉE",$U1076,"")</f>
        <v/>
      </c>
      <c r="K1076" s="108">
        <f>IF($I1076="▼ SORTIE",$U1076,"")</f>
        <v/>
      </c>
      <c r="L1076" s="109">
        <f>$L1075+N($J1076)-N($K1076)</f>
        <v/>
      </c>
      <c r="M1076" s="110" t="n"/>
      <c r="N1076" s="54" t="n"/>
      <c r="O1076" s="54" t="n"/>
      <c r="P1076" s="54" t="n"/>
      <c r="Q1076" s="110" t="n"/>
      <c r="R1076" s="110" t="n"/>
      <c r="S1076" s="54" t="n"/>
      <c r="T1076" s="111">
        <f>IF($G1076="","",IFERROR(INDEX(Taux_Devises,MATCH(IF($M1076="",Devise_Base,$M1076),Codes_Devises,0)),1))</f>
        <v/>
      </c>
      <c r="U1076" s="112">
        <f>IF($G1076="","",ROUND($G1076*$T1076,2))</f>
        <v/>
      </c>
      <c r="V1076" s="113">
        <f>IF($B1076="","",MONTH($B1076))</f>
        <v/>
      </c>
      <c r="W1076" s="113">
        <f>IF($B1076="","",YEAR($B1076))</f>
        <v/>
      </c>
    </row>
    <row r="1077">
      <c r="B1077" s="105" t="n"/>
      <c r="C1077" s="54" t="n"/>
      <c r="D1077" s="54" t="n"/>
      <c r="E1077" s="54" t="n"/>
      <c r="F1077" s="54" t="n"/>
      <c r="G1077" s="65" t="n"/>
      <c r="H1077" s="54" t="n"/>
      <c r="I1077" s="106">
        <f>IF($C1077="","",IFERROR(INDEX(Sens_Types,MATCH($C1077,Liste_Types,0)),""))</f>
        <v/>
      </c>
      <c r="J1077" s="107">
        <f>IF($I1077="▲ ENTRÉE",$U1077,"")</f>
        <v/>
      </c>
      <c r="K1077" s="108">
        <f>IF($I1077="▼ SORTIE",$U1077,"")</f>
        <v/>
      </c>
      <c r="L1077" s="109">
        <f>$L1076+N($J1077)-N($K1077)</f>
        <v/>
      </c>
      <c r="M1077" s="110" t="n"/>
      <c r="N1077" s="54" t="n"/>
      <c r="O1077" s="54" t="n"/>
      <c r="P1077" s="54" t="n"/>
      <c r="Q1077" s="110" t="n"/>
      <c r="R1077" s="110" t="n"/>
      <c r="S1077" s="54" t="n"/>
      <c r="T1077" s="111">
        <f>IF($G1077="","",IFERROR(INDEX(Taux_Devises,MATCH(IF($M1077="",Devise_Base,$M1077),Codes_Devises,0)),1))</f>
        <v/>
      </c>
      <c r="U1077" s="112">
        <f>IF($G1077="","",ROUND($G1077*$T1077,2))</f>
        <v/>
      </c>
      <c r="V1077" s="113">
        <f>IF($B1077="","",MONTH($B1077))</f>
        <v/>
      </c>
      <c r="W1077" s="113">
        <f>IF($B1077="","",YEAR($B1077))</f>
        <v/>
      </c>
    </row>
    <row r="1078">
      <c r="B1078" s="105" t="n"/>
      <c r="C1078" s="54" t="n"/>
      <c r="D1078" s="54" t="n"/>
      <c r="E1078" s="54" t="n"/>
      <c r="F1078" s="54" t="n"/>
      <c r="G1078" s="65" t="n"/>
      <c r="H1078" s="54" t="n"/>
      <c r="I1078" s="106">
        <f>IF($C1078="","",IFERROR(INDEX(Sens_Types,MATCH($C1078,Liste_Types,0)),""))</f>
        <v/>
      </c>
      <c r="J1078" s="107">
        <f>IF($I1078="▲ ENTRÉE",$U1078,"")</f>
        <v/>
      </c>
      <c r="K1078" s="108">
        <f>IF($I1078="▼ SORTIE",$U1078,"")</f>
        <v/>
      </c>
      <c r="L1078" s="109">
        <f>$L1077+N($J1078)-N($K1078)</f>
        <v/>
      </c>
      <c r="M1078" s="110" t="n"/>
      <c r="N1078" s="54" t="n"/>
      <c r="O1078" s="54" t="n"/>
      <c r="P1078" s="54" t="n"/>
      <c r="Q1078" s="110" t="n"/>
      <c r="R1078" s="110" t="n"/>
      <c r="S1078" s="54" t="n"/>
      <c r="T1078" s="111">
        <f>IF($G1078="","",IFERROR(INDEX(Taux_Devises,MATCH(IF($M1078="",Devise_Base,$M1078),Codes_Devises,0)),1))</f>
        <v/>
      </c>
      <c r="U1078" s="112">
        <f>IF($G1078="","",ROUND($G1078*$T1078,2))</f>
        <v/>
      </c>
      <c r="V1078" s="113">
        <f>IF($B1078="","",MONTH($B1078))</f>
        <v/>
      </c>
      <c r="W1078" s="113">
        <f>IF($B1078="","",YEAR($B1078))</f>
        <v/>
      </c>
    </row>
    <row r="1079">
      <c r="B1079" s="105" t="n"/>
      <c r="C1079" s="54" t="n"/>
      <c r="D1079" s="54" t="n"/>
      <c r="E1079" s="54" t="n"/>
      <c r="F1079" s="54" t="n"/>
      <c r="G1079" s="65" t="n"/>
      <c r="H1079" s="54" t="n"/>
      <c r="I1079" s="106">
        <f>IF($C1079="","",IFERROR(INDEX(Sens_Types,MATCH($C1079,Liste_Types,0)),""))</f>
        <v/>
      </c>
      <c r="J1079" s="107">
        <f>IF($I1079="▲ ENTRÉE",$U1079,"")</f>
        <v/>
      </c>
      <c r="K1079" s="108">
        <f>IF($I1079="▼ SORTIE",$U1079,"")</f>
        <v/>
      </c>
      <c r="L1079" s="109">
        <f>$L1078+N($J1079)-N($K1079)</f>
        <v/>
      </c>
      <c r="M1079" s="110" t="n"/>
      <c r="N1079" s="54" t="n"/>
      <c r="O1079" s="54" t="n"/>
      <c r="P1079" s="54" t="n"/>
      <c r="Q1079" s="110" t="n"/>
      <c r="R1079" s="110" t="n"/>
      <c r="S1079" s="54" t="n"/>
      <c r="T1079" s="111">
        <f>IF($G1079="","",IFERROR(INDEX(Taux_Devises,MATCH(IF($M1079="",Devise_Base,$M1079),Codes_Devises,0)),1))</f>
        <v/>
      </c>
      <c r="U1079" s="112">
        <f>IF($G1079="","",ROUND($G1079*$T1079,2))</f>
        <v/>
      </c>
      <c r="V1079" s="113">
        <f>IF($B1079="","",MONTH($B1079))</f>
        <v/>
      </c>
      <c r="W1079" s="113">
        <f>IF($B1079="","",YEAR($B1079))</f>
        <v/>
      </c>
    </row>
    <row r="1080">
      <c r="B1080" s="105" t="n"/>
      <c r="C1080" s="54" t="n"/>
      <c r="D1080" s="54" t="n"/>
      <c r="E1080" s="54" t="n"/>
      <c r="F1080" s="54" t="n"/>
      <c r="G1080" s="65" t="n"/>
      <c r="H1080" s="54" t="n"/>
      <c r="I1080" s="106">
        <f>IF($C1080="","",IFERROR(INDEX(Sens_Types,MATCH($C1080,Liste_Types,0)),""))</f>
        <v/>
      </c>
      <c r="J1080" s="107">
        <f>IF($I1080="▲ ENTRÉE",$U1080,"")</f>
        <v/>
      </c>
      <c r="K1080" s="108">
        <f>IF($I1080="▼ SORTIE",$U1080,"")</f>
        <v/>
      </c>
      <c r="L1080" s="109">
        <f>$L1079+N($J1080)-N($K1080)</f>
        <v/>
      </c>
      <c r="M1080" s="110" t="n"/>
      <c r="N1080" s="54" t="n"/>
      <c r="O1080" s="54" t="n"/>
      <c r="P1080" s="54" t="n"/>
      <c r="Q1080" s="110" t="n"/>
      <c r="R1080" s="110" t="n"/>
      <c r="S1080" s="54" t="n"/>
      <c r="T1080" s="111">
        <f>IF($G1080="","",IFERROR(INDEX(Taux_Devises,MATCH(IF($M1080="",Devise_Base,$M1080),Codes_Devises,0)),1))</f>
        <v/>
      </c>
      <c r="U1080" s="112">
        <f>IF($G1080="","",ROUND($G1080*$T1080,2))</f>
        <v/>
      </c>
      <c r="V1080" s="113">
        <f>IF($B1080="","",MONTH($B1080))</f>
        <v/>
      </c>
      <c r="W1080" s="113">
        <f>IF($B1080="","",YEAR($B1080))</f>
        <v/>
      </c>
    </row>
    <row r="1081">
      <c r="B1081" s="105" t="n"/>
      <c r="C1081" s="54" t="n"/>
      <c r="D1081" s="54" t="n"/>
      <c r="E1081" s="54" t="n"/>
      <c r="F1081" s="54" t="n"/>
      <c r="G1081" s="65" t="n"/>
      <c r="H1081" s="54" t="n"/>
      <c r="I1081" s="106">
        <f>IF($C1081="","",IFERROR(INDEX(Sens_Types,MATCH($C1081,Liste_Types,0)),""))</f>
        <v/>
      </c>
      <c r="J1081" s="107">
        <f>IF($I1081="▲ ENTRÉE",$U1081,"")</f>
        <v/>
      </c>
      <c r="K1081" s="108">
        <f>IF($I1081="▼ SORTIE",$U1081,"")</f>
        <v/>
      </c>
      <c r="L1081" s="109">
        <f>$L1080+N($J1081)-N($K1081)</f>
        <v/>
      </c>
      <c r="M1081" s="110" t="n"/>
      <c r="N1081" s="54" t="n"/>
      <c r="O1081" s="54" t="n"/>
      <c r="P1081" s="54" t="n"/>
      <c r="Q1081" s="110" t="n"/>
      <c r="R1081" s="110" t="n"/>
      <c r="S1081" s="54" t="n"/>
      <c r="T1081" s="111">
        <f>IF($G1081="","",IFERROR(INDEX(Taux_Devises,MATCH(IF($M1081="",Devise_Base,$M1081),Codes_Devises,0)),1))</f>
        <v/>
      </c>
      <c r="U1081" s="112">
        <f>IF($G1081="","",ROUND($G1081*$T1081,2))</f>
        <v/>
      </c>
      <c r="V1081" s="113">
        <f>IF($B1081="","",MONTH($B1081))</f>
        <v/>
      </c>
      <c r="W1081" s="113">
        <f>IF($B1081="","",YEAR($B1081))</f>
        <v/>
      </c>
    </row>
    <row r="1082">
      <c r="B1082" s="105" t="n"/>
      <c r="C1082" s="54" t="n"/>
      <c r="D1082" s="54" t="n"/>
      <c r="E1082" s="54" t="n"/>
      <c r="F1082" s="54" t="n"/>
      <c r="G1082" s="65" t="n"/>
      <c r="H1082" s="54" t="n"/>
      <c r="I1082" s="106">
        <f>IF($C1082="","",IFERROR(INDEX(Sens_Types,MATCH($C1082,Liste_Types,0)),""))</f>
        <v/>
      </c>
      <c r="J1082" s="107">
        <f>IF($I1082="▲ ENTRÉE",$U1082,"")</f>
        <v/>
      </c>
      <c r="K1082" s="108">
        <f>IF($I1082="▼ SORTIE",$U1082,"")</f>
        <v/>
      </c>
      <c r="L1082" s="109">
        <f>$L1081+N($J1082)-N($K1082)</f>
        <v/>
      </c>
      <c r="M1082" s="110" t="n"/>
      <c r="N1082" s="54" t="n"/>
      <c r="O1082" s="54" t="n"/>
      <c r="P1082" s="54" t="n"/>
      <c r="Q1082" s="110" t="n"/>
      <c r="R1082" s="110" t="n"/>
      <c r="S1082" s="54" t="n"/>
      <c r="T1082" s="111">
        <f>IF($G1082="","",IFERROR(INDEX(Taux_Devises,MATCH(IF($M1082="",Devise_Base,$M1082),Codes_Devises,0)),1))</f>
        <v/>
      </c>
      <c r="U1082" s="112">
        <f>IF($G1082="","",ROUND($G1082*$T1082,2))</f>
        <v/>
      </c>
      <c r="V1082" s="113">
        <f>IF($B1082="","",MONTH($B1082))</f>
        <v/>
      </c>
      <c r="W1082" s="113">
        <f>IF($B1082="","",YEAR($B1082))</f>
        <v/>
      </c>
    </row>
    <row r="1083">
      <c r="B1083" s="105" t="n"/>
      <c r="C1083" s="54" t="n"/>
      <c r="D1083" s="54" t="n"/>
      <c r="E1083" s="54" t="n"/>
      <c r="F1083" s="54" t="n"/>
      <c r="G1083" s="65" t="n"/>
      <c r="H1083" s="54" t="n"/>
      <c r="I1083" s="106">
        <f>IF($C1083="","",IFERROR(INDEX(Sens_Types,MATCH($C1083,Liste_Types,0)),""))</f>
        <v/>
      </c>
      <c r="J1083" s="107">
        <f>IF($I1083="▲ ENTRÉE",$U1083,"")</f>
        <v/>
      </c>
      <c r="K1083" s="108">
        <f>IF($I1083="▼ SORTIE",$U1083,"")</f>
        <v/>
      </c>
      <c r="L1083" s="109">
        <f>$L1082+N($J1083)-N($K1083)</f>
        <v/>
      </c>
      <c r="M1083" s="110" t="n"/>
      <c r="N1083" s="54" t="n"/>
      <c r="O1083" s="54" t="n"/>
      <c r="P1083" s="54" t="n"/>
      <c r="Q1083" s="110" t="n"/>
      <c r="R1083" s="110" t="n"/>
      <c r="S1083" s="54" t="n"/>
      <c r="T1083" s="111">
        <f>IF($G1083="","",IFERROR(INDEX(Taux_Devises,MATCH(IF($M1083="",Devise_Base,$M1083),Codes_Devises,0)),1))</f>
        <v/>
      </c>
      <c r="U1083" s="112">
        <f>IF($G1083="","",ROUND($G1083*$T1083,2))</f>
        <v/>
      </c>
      <c r="V1083" s="113">
        <f>IF($B1083="","",MONTH($B1083))</f>
        <v/>
      </c>
      <c r="W1083" s="113">
        <f>IF($B1083="","",YEAR($B1083))</f>
        <v/>
      </c>
    </row>
    <row r="1084">
      <c r="B1084" s="105" t="n"/>
      <c r="C1084" s="54" t="n"/>
      <c r="D1084" s="54" t="n"/>
      <c r="E1084" s="54" t="n"/>
      <c r="F1084" s="54" t="n"/>
      <c r="G1084" s="65" t="n"/>
      <c r="H1084" s="54" t="n"/>
      <c r="I1084" s="106">
        <f>IF($C1084="","",IFERROR(INDEX(Sens_Types,MATCH($C1084,Liste_Types,0)),""))</f>
        <v/>
      </c>
      <c r="J1084" s="107">
        <f>IF($I1084="▲ ENTRÉE",$U1084,"")</f>
        <v/>
      </c>
      <c r="K1084" s="108">
        <f>IF($I1084="▼ SORTIE",$U1084,"")</f>
        <v/>
      </c>
      <c r="L1084" s="109">
        <f>$L1083+N($J1084)-N($K1084)</f>
        <v/>
      </c>
      <c r="M1084" s="110" t="n"/>
      <c r="N1084" s="54" t="n"/>
      <c r="O1084" s="54" t="n"/>
      <c r="P1084" s="54" t="n"/>
      <c r="Q1084" s="110" t="n"/>
      <c r="R1084" s="110" t="n"/>
      <c r="S1084" s="54" t="n"/>
      <c r="T1084" s="111">
        <f>IF($G1084="","",IFERROR(INDEX(Taux_Devises,MATCH(IF($M1084="",Devise_Base,$M1084),Codes_Devises,0)),1))</f>
        <v/>
      </c>
      <c r="U1084" s="112">
        <f>IF($G1084="","",ROUND($G1084*$T1084,2))</f>
        <v/>
      </c>
      <c r="V1084" s="113">
        <f>IF($B1084="","",MONTH($B1084))</f>
        <v/>
      </c>
      <c r="W1084" s="113">
        <f>IF($B1084="","",YEAR($B1084))</f>
        <v/>
      </c>
    </row>
    <row r="1085">
      <c r="B1085" s="105" t="n"/>
      <c r="C1085" s="54" t="n"/>
      <c r="D1085" s="54" t="n"/>
      <c r="E1085" s="54" t="n"/>
      <c r="F1085" s="54" t="n"/>
      <c r="G1085" s="65" t="n"/>
      <c r="H1085" s="54" t="n"/>
      <c r="I1085" s="106">
        <f>IF($C1085="","",IFERROR(INDEX(Sens_Types,MATCH($C1085,Liste_Types,0)),""))</f>
        <v/>
      </c>
      <c r="J1085" s="107">
        <f>IF($I1085="▲ ENTRÉE",$U1085,"")</f>
        <v/>
      </c>
      <c r="K1085" s="108">
        <f>IF($I1085="▼ SORTIE",$U1085,"")</f>
        <v/>
      </c>
      <c r="L1085" s="109">
        <f>$L1084+N($J1085)-N($K1085)</f>
        <v/>
      </c>
      <c r="M1085" s="110" t="n"/>
      <c r="N1085" s="54" t="n"/>
      <c r="O1085" s="54" t="n"/>
      <c r="P1085" s="54" t="n"/>
      <c r="Q1085" s="110" t="n"/>
      <c r="R1085" s="110" t="n"/>
      <c r="S1085" s="54" t="n"/>
      <c r="T1085" s="111">
        <f>IF($G1085="","",IFERROR(INDEX(Taux_Devises,MATCH(IF($M1085="",Devise_Base,$M1085),Codes_Devises,0)),1))</f>
        <v/>
      </c>
      <c r="U1085" s="112">
        <f>IF($G1085="","",ROUND($G1085*$T1085,2))</f>
        <v/>
      </c>
      <c r="V1085" s="113">
        <f>IF($B1085="","",MONTH($B1085))</f>
        <v/>
      </c>
      <c r="W1085" s="113">
        <f>IF($B1085="","",YEAR($B1085))</f>
        <v/>
      </c>
    </row>
    <row r="1086">
      <c r="B1086" s="105" t="n"/>
      <c r="C1086" s="54" t="n"/>
      <c r="D1086" s="54" t="n"/>
      <c r="E1086" s="54" t="n"/>
      <c r="F1086" s="54" t="n"/>
      <c r="G1086" s="65" t="n"/>
      <c r="H1086" s="54" t="n"/>
      <c r="I1086" s="106">
        <f>IF($C1086="","",IFERROR(INDEX(Sens_Types,MATCH($C1086,Liste_Types,0)),""))</f>
        <v/>
      </c>
      <c r="J1086" s="107">
        <f>IF($I1086="▲ ENTRÉE",$U1086,"")</f>
        <v/>
      </c>
      <c r="K1086" s="108">
        <f>IF($I1086="▼ SORTIE",$U1086,"")</f>
        <v/>
      </c>
      <c r="L1086" s="109">
        <f>$L1085+N($J1086)-N($K1086)</f>
        <v/>
      </c>
      <c r="M1086" s="110" t="n"/>
      <c r="N1086" s="54" t="n"/>
      <c r="O1086" s="54" t="n"/>
      <c r="P1086" s="54" t="n"/>
      <c r="Q1086" s="110" t="n"/>
      <c r="R1086" s="110" t="n"/>
      <c r="S1086" s="54" t="n"/>
      <c r="T1086" s="111">
        <f>IF($G1086="","",IFERROR(INDEX(Taux_Devises,MATCH(IF($M1086="",Devise_Base,$M1086),Codes_Devises,0)),1))</f>
        <v/>
      </c>
      <c r="U1086" s="112">
        <f>IF($G1086="","",ROUND($G1086*$T1086,2))</f>
        <v/>
      </c>
      <c r="V1086" s="113">
        <f>IF($B1086="","",MONTH($B1086))</f>
        <v/>
      </c>
      <c r="W1086" s="113">
        <f>IF($B1086="","",YEAR($B1086))</f>
        <v/>
      </c>
    </row>
    <row r="1087">
      <c r="B1087" s="105" t="n"/>
      <c r="C1087" s="54" t="n"/>
      <c r="D1087" s="54" t="n"/>
      <c r="E1087" s="54" t="n"/>
      <c r="F1087" s="54" t="n"/>
      <c r="G1087" s="65" t="n"/>
      <c r="H1087" s="54" t="n"/>
      <c r="I1087" s="106">
        <f>IF($C1087="","",IFERROR(INDEX(Sens_Types,MATCH($C1087,Liste_Types,0)),""))</f>
        <v/>
      </c>
      <c r="J1087" s="107">
        <f>IF($I1087="▲ ENTRÉE",$U1087,"")</f>
        <v/>
      </c>
      <c r="K1087" s="108">
        <f>IF($I1087="▼ SORTIE",$U1087,"")</f>
        <v/>
      </c>
      <c r="L1087" s="109">
        <f>$L1086+N($J1087)-N($K1087)</f>
        <v/>
      </c>
      <c r="M1087" s="110" t="n"/>
      <c r="N1087" s="54" t="n"/>
      <c r="O1087" s="54" t="n"/>
      <c r="P1087" s="54" t="n"/>
      <c r="Q1087" s="110" t="n"/>
      <c r="R1087" s="110" t="n"/>
      <c r="S1087" s="54" t="n"/>
      <c r="T1087" s="111">
        <f>IF($G1087="","",IFERROR(INDEX(Taux_Devises,MATCH(IF($M1087="",Devise_Base,$M1087),Codes_Devises,0)),1))</f>
        <v/>
      </c>
      <c r="U1087" s="112">
        <f>IF($G1087="","",ROUND($G1087*$T1087,2))</f>
        <v/>
      </c>
      <c r="V1087" s="113">
        <f>IF($B1087="","",MONTH($B1087))</f>
        <v/>
      </c>
      <c r="W1087" s="113">
        <f>IF($B1087="","",YEAR($B1087))</f>
        <v/>
      </c>
    </row>
    <row r="1088">
      <c r="B1088" s="105" t="n"/>
      <c r="C1088" s="54" t="n"/>
      <c r="D1088" s="54" t="n"/>
      <c r="E1088" s="54" t="n"/>
      <c r="F1088" s="54" t="n"/>
      <c r="G1088" s="65" t="n"/>
      <c r="H1088" s="54" t="n"/>
      <c r="I1088" s="106">
        <f>IF($C1088="","",IFERROR(INDEX(Sens_Types,MATCH($C1088,Liste_Types,0)),""))</f>
        <v/>
      </c>
      <c r="J1088" s="107">
        <f>IF($I1088="▲ ENTRÉE",$U1088,"")</f>
        <v/>
      </c>
      <c r="K1088" s="108">
        <f>IF($I1088="▼ SORTIE",$U1088,"")</f>
        <v/>
      </c>
      <c r="L1088" s="109">
        <f>$L1087+N($J1088)-N($K1088)</f>
        <v/>
      </c>
      <c r="M1088" s="110" t="n"/>
      <c r="N1088" s="54" t="n"/>
      <c r="O1088" s="54" t="n"/>
      <c r="P1088" s="54" t="n"/>
      <c r="Q1088" s="110" t="n"/>
      <c r="R1088" s="110" t="n"/>
      <c r="S1088" s="54" t="n"/>
      <c r="T1088" s="111">
        <f>IF($G1088="","",IFERROR(INDEX(Taux_Devises,MATCH(IF($M1088="",Devise_Base,$M1088),Codes_Devises,0)),1))</f>
        <v/>
      </c>
      <c r="U1088" s="112">
        <f>IF($G1088="","",ROUND($G1088*$T1088,2))</f>
        <v/>
      </c>
      <c r="V1088" s="113">
        <f>IF($B1088="","",MONTH($B1088))</f>
        <v/>
      </c>
      <c r="W1088" s="113">
        <f>IF($B1088="","",YEAR($B1088))</f>
        <v/>
      </c>
    </row>
    <row r="1089">
      <c r="B1089" s="105" t="n"/>
      <c r="C1089" s="54" t="n"/>
      <c r="D1089" s="54" t="n"/>
      <c r="E1089" s="54" t="n"/>
      <c r="F1089" s="54" t="n"/>
      <c r="G1089" s="65" t="n"/>
      <c r="H1089" s="54" t="n"/>
      <c r="I1089" s="106">
        <f>IF($C1089="","",IFERROR(INDEX(Sens_Types,MATCH($C1089,Liste_Types,0)),""))</f>
        <v/>
      </c>
      <c r="J1089" s="107">
        <f>IF($I1089="▲ ENTRÉE",$U1089,"")</f>
        <v/>
      </c>
      <c r="K1089" s="108">
        <f>IF($I1089="▼ SORTIE",$U1089,"")</f>
        <v/>
      </c>
      <c r="L1089" s="109">
        <f>$L1088+N($J1089)-N($K1089)</f>
        <v/>
      </c>
      <c r="M1089" s="110" t="n"/>
      <c r="N1089" s="54" t="n"/>
      <c r="O1089" s="54" t="n"/>
      <c r="P1089" s="54" t="n"/>
      <c r="Q1089" s="110" t="n"/>
      <c r="R1089" s="110" t="n"/>
      <c r="S1089" s="54" t="n"/>
      <c r="T1089" s="111">
        <f>IF($G1089="","",IFERROR(INDEX(Taux_Devises,MATCH(IF($M1089="",Devise_Base,$M1089),Codes_Devises,0)),1))</f>
        <v/>
      </c>
      <c r="U1089" s="112">
        <f>IF($G1089="","",ROUND($G1089*$T1089,2))</f>
        <v/>
      </c>
      <c r="V1089" s="113">
        <f>IF($B1089="","",MONTH($B1089))</f>
        <v/>
      </c>
      <c r="W1089" s="113">
        <f>IF($B1089="","",YEAR($B1089))</f>
        <v/>
      </c>
    </row>
    <row r="1090">
      <c r="B1090" s="105" t="n"/>
      <c r="C1090" s="54" t="n"/>
      <c r="D1090" s="54" t="n"/>
      <c r="E1090" s="54" t="n"/>
      <c r="F1090" s="54" t="n"/>
      <c r="G1090" s="65" t="n"/>
      <c r="H1090" s="54" t="n"/>
      <c r="I1090" s="106">
        <f>IF($C1090="","",IFERROR(INDEX(Sens_Types,MATCH($C1090,Liste_Types,0)),""))</f>
        <v/>
      </c>
      <c r="J1090" s="107">
        <f>IF($I1090="▲ ENTRÉE",$U1090,"")</f>
        <v/>
      </c>
      <c r="K1090" s="108">
        <f>IF($I1090="▼ SORTIE",$U1090,"")</f>
        <v/>
      </c>
      <c r="L1090" s="109">
        <f>$L1089+N($J1090)-N($K1090)</f>
        <v/>
      </c>
      <c r="M1090" s="110" t="n"/>
      <c r="N1090" s="54" t="n"/>
      <c r="O1090" s="54" t="n"/>
      <c r="P1090" s="54" t="n"/>
      <c r="Q1090" s="110" t="n"/>
      <c r="R1090" s="110" t="n"/>
      <c r="S1090" s="54" t="n"/>
      <c r="T1090" s="111">
        <f>IF($G1090="","",IFERROR(INDEX(Taux_Devises,MATCH(IF($M1090="",Devise_Base,$M1090),Codes_Devises,0)),1))</f>
        <v/>
      </c>
      <c r="U1090" s="112">
        <f>IF($G1090="","",ROUND($G1090*$T1090,2))</f>
        <v/>
      </c>
      <c r="V1090" s="113">
        <f>IF($B1090="","",MONTH($B1090))</f>
        <v/>
      </c>
      <c r="W1090" s="113">
        <f>IF($B1090="","",YEAR($B1090))</f>
        <v/>
      </c>
    </row>
    <row r="1091">
      <c r="B1091" s="105" t="n"/>
      <c r="C1091" s="54" t="n"/>
      <c r="D1091" s="54" t="n"/>
      <c r="E1091" s="54" t="n"/>
      <c r="F1091" s="54" t="n"/>
      <c r="G1091" s="65" t="n"/>
      <c r="H1091" s="54" t="n"/>
      <c r="I1091" s="106">
        <f>IF($C1091="","",IFERROR(INDEX(Sens_Types,MATCH($C1091,Liste_Types,0)),""))</f>
        <v/>
      </c>
      <c r="J1091" s="107">
        <f>IF($I1091="▲ ENTRÉE",$U1091,"")</f>
        <v/>
      </c>
      <c r="K1091" s="108">
        <f>IF($I1091="▼ SORTIE",$U1091,"")</f>
        <v/>
      </c>
      <c r="L1091" s="109">
        <f>$L1090+N($J1091)-N($K1091)</f>
        <v/>
      </c>
      <c r="M1091" s="110" t="n"/>
      <c r="N1091" s="54" t="n"/>
      <c r="O1091" s="54" t="n"/>
      <c r="P1091" s="54" t="n"/>
      <c r="Q1091" s="110" t="n"/>
      <c r="R1091" s="110" t="n"/>
      <c r="S1091" s="54" t="n"/>
      <c r="T1091" s="111">
        <f>IF($G1091="","",IFERROR(INDEX(Taux_Devises,MATCH(IF($M1091="",Devise_Base,$M1091),Codes_Devises,0)),1))</f>
        <v/>
      </c>
      <c r="U1091" s="112">
        <f>IF($G1091="","",ROUND($G1091*$T1091,2))</f>
        <v/>
      </c>
      <c r="V1091" s="113">
        <f>IF($B1091="","",MONTH($B1091))</f>
        <v/>
      </c>
      <c r="W1091" s="113">
        <f>IF($B1091="","",YEAR($B1091))</f>
        <v/>
      </c>
    </row>
    <row r="1092">
      <c r="B1092" s="105" t="n"/>
      <c r="C1092" s="54" t="n"/>
      <c r="D1092" s="54" t="n"/>
      <c r="E1092" s="54" t="n"/>
      <c r="F1092" s="54" t="n"/>
      <c r="G1092" s="65" t="n"/>
      <c r="H1092" s="54" t="n"/>
      <c r="I1092" s="106">
        <f>IF($C1092="","",IFERROR(INDEX(Sens_Types,MATCH($C1092,Liste_Types,0)),""))</f>
        <v/>
      </c>
      <c r="J1092" s="107">
        <f>IF($I1092="▲ ENTRÉE",$U1092,"")</f>
        <v/>
      </c>
      <c r="K1092" s="108">
        <f>IF($I1092="▼ SORTIE",$U1092,"")</f>
        <v/>
      </c>
      <c r="L1092" s="109">
        <f>$L1091+N($J1092)-N($K1092)</f>
        <v/>
      </c>
      <c r="M1092" s="110" t="n"/>
      <c r="N1092" s="54" t="n"/>
      <c r="O1092" s="54" t="n"/>
      <c r="P1092" s="54" t="n"/>
      <c r="Q1092" s="110" t="n"/>
      <c r="R1092" s="110" t="n"/>
      <c r="S1092" s="54" t="n"/>
      <c r="T1092" s="111">
        <f>IF($G1092="","",IFERROR(INDEX(Taux_Devises,MATCH(IF($M1092="",Devise_Base,$M1092),Codes_Devises,0)),1))</f>
        <v/>
      </c>
      <c r="U1092" s="112">
        <f>IF($G1092="","",ROUND($G1092*$T1092,2))</f>
        <v/>
      </c>
      <c r="V1092" s="113">
        <f>IF($B1092="","",MONTH($B1092))</f>
        <v/>
      </c>
      <c r="W1092" s="113">
        <f>IF($B1092="","",YEAR($B1092))</f>
        <v/>
      </c>
    </row>
    <row r="1093">
      <c r="B1093" s="105" t="n"/>
      <c r="C1093" s="54" t="n"/>
      <c r="D1093" s="54" t="n"/>
      <c r="E1093" s="54" t="n"/>
      <c r="F1093" s="54" t="n"/>
      <c r="G1093" s="65" t="n"/>
      <c r="H1093" s="54" t="n"/>
      <c r="I1093" s="106">
        <f>IF($C1093="","",IFERROR(INDEX(Sens_Types,MATCH($C1093,Liste_Types,0)),""))</f>
        <v/>
      </c>
      <c r="J1093" s="107">
        <f>IF($I1093="▲ ENTRÉE",$U1093,"")</f>
        <v/>
      </c>
      <c r="K1093" s="108">
        <f>IF($I1093="▼ SORTIE",$U1093,"")</f>
        <v/>
      </c>
      <c r="L1093" s="109">
        <f>$L1092+N($J1093)-N($K1093)</f>
        <v/>
      </c>
      <c r="M1093" s="110" t="n"/>
      <c r="N1093" s="54" t="n"/>
      <c r="O1093" s="54" t="n"/>
      <c r="P1093" s="54" t="n"/>
      <c r="Q1093" s="110" t="n"/>
      <c r="R1093" s="110" t="n"/>
      <c r="S1093" s="54" t="n"/>
      <c r="T1093" s="111">
        <f>IF($G1093="","",IFERROR(INDEX(Taux_Devises,MATCH(IF($M1093="",Devise_Base,$M1093),Codes_Devises,0)),1))</f>
        <v/>
      </c>
      <c r="U1093" s="112">
        <f>IF($G1093="","",ROUND($G1093*$T1093,2))</f>
        <v/>
      </c>
      <c r="V1093" s="113">
        <f>IF($B1093="","",MONTH($B1093))</f>
        <v/>
      </c>
      <c r="W1093" s="113">
        <f>IF($B1093="","",YEAR($B1093))</f>
        <v/>
      </c>
    </row>
    <row r="1094">
      <c r="B1094" s="105" t="n"/>
      <c r="C1094" s="54" t="n"/>
      <c r="D1094" s="54" t="n"/>
      <c r="E1094" s="54" t="n"/>
      <c r="F1094" s="54" t="n"/>
      <c r="G1094" s="65" t="n"/>
      <c r="H1094" s="54" t="n"/>
      <c r="I1094" s="106">
        <f>IF($C1094="","",IFERROR(INDEX(Sens_Types,MATCH($C1094,Liste_Types,0)),""))</f>
        <v/>
      </c>
      <c r="J1094" s="107">
        <f>IF($I1094="▲ ENTRÉE",$U1094,"")</f>
        <v/>
      </c>
      <c r="K1094" s="108">
        <f>IF($I1094="▼ SORTIE",$U1094,"")</f>
        <v/>
      </c>
      <c r="L1094" s="109">
        <f>$L1093+N($J1094)-N($K1094)</f>
        <v/>
      </c>
      <c r="M1094" s="110" t="n"/>
      <c r="N1094" s="54" t="n"/>
      <c r="O1094" s="54" t="n"/>
      <c r="P1094" s="54" t="n"/>
      <c r="Q1094" s="110" t="n"/>
      <c r="R1094" s="110" t="n"/>
      <c r="S1094" s="54" t="n"/>
      <c r="T1094" s="111">
        <f>IF($G1094="","",IFERROR(INDEX(Taux_Devises,MATCH(IF($M1094="",Devise_Base,$M1094),Codes_Devises,0)),1))</f>
        <v/>
      </c>
      <c r="U1094" s="112">
        <f>IF($G1094="","",ROUND($G1094*$T1094,2))</f>
        <v/>
      </c>
      <c r="V1094" s="113">
        <f>IF($B1094="","",MONTH($B1094))</f>
        <v/>
      </c>
      <c r="W1094" s="113">
        <f>IF($B1094="","",YEAR($B1094))</f>
        <v/>
      </c>
    </row>
    <row r="1095">
      <c r="B1095" s="105" t="n"/>
      <c r="C1095" s="54" t="n"/>
      <c r="D1095" s="54" t="n"/>
      <c r="E1095" s="54" t="n"/>
      <c r="F1095" s="54" t="n"/>
      <c r="G1095" s="65" t="n"/>
      <c r="H1095" s="54" t="n"/>
      <c r="I1095" s="106">
        <f>IF($C1095="","",IFERROR(INDEX(Sens_Types,MATCH($C1095,Liste_Types,0)),""))</f>
        <v/>
      </c>
      <c r="J1095" s="107">
        <f>IF($I1095="▲ ENTRÉE",$U1095,"")</f>
        <v/>
      </c>
      <c r="K1095" s="108">
        <f>IF($I1095="▼ SORTIE",$U1095,"")</f>
        <v/>
      </c>
      <c r="L1095" s="109">
        <f>$L1094+N($J1095)-N($K1095)</f>
        <v/>
      </c>
      <c r="M1095" s="110" t="n"/>
      <c r="N1095" s="54" t="n"/>
      <c r="O1095" s="54" t="n"/>
      <c r="P1095" s="54" t="n"/>
      <c r="Q1095" s="110" t="n"/>
      <c r="R1095" s="110" t="n"/>
      <c r="S1095" s="54" t="n"/>
      <c r="T1095" s="111">
        <f>IF($G1095="","",IFERROR(INDEX(Taux_Devises,MATCH(IF($M1095="",Devise_Base,$M1095),Codes_Devises,0)),1))</f>
        <v/>
      </c>
      <c r="U1095" s="112">
        <f>IF($G1095="","",ROUND($G1095*$T1095,2))</f>
        <v/>
      </c>
      <c r="V1095" s="113">
        <f>IF($B1095="","",MONTH($B1095))</f>
        <v/>
      </c>
      <c r="W1095" s="113">
        <f>IF($B1095="","",YEAR($B1095))</f>
        <v/>
      </c>
    </row>
    <row r="1096">
      <c r="B1096" s="105" t="n"/>
      <c r="C1096" s="54" t="n"/>
      <c r="D1096" s="54" t="n"/>
      <c r="E1096" s="54" t="n"/>
      <c r="F1096" s="54" t="n"/>
      <c r="G1096" s="65" t="n"/>
      <c r="H1096" s="54" t="n"/>
      <c r="I1096" s="106">
        <f>IF($C1096="","",IFERROR(INDEX(Sens_Types,MATCH($C1096,Liste_Types,0)),""))</f>
        <v/>
      </c>
      <c r="J1096" s="107">
        <f>IF($I1096="▲ ENTRÉE",$U1096,"")</f>
        <v/>
      </c>
      <c r="K1096" s="108">
        <f>IF($I1096="▼ SORTIE",$U1096,"")</f>
        <v/>
      </c>
      <c r="L1096" s="109">
        <f>$L1095+N($J1096)-N($K1096)</f>
        <v/>
      </c>
      <c r="M1096" s="110" t="n"/>
      <c r="N1096" s="54" t="n"/>
      <c r="O1096" s="54" t="n"/>
      <c r="P1096" s="54" t="n"/>
      <c r="Q1096" s="110" t="n"/>
      <c r="R1096" s="110" t="n"/>
      <c r="S1096" s="54" t="n"/>
      <c r="T1096" s="111">
        <f>IF($G1096="","",IFERROR(INDEX(Taux_Devises,MATCH(IF($M1096="",Devise_Base,$M1096),Codes_Devises,0)),1))</f>
        <v/>
      </c>
      <c r="U1096" s="112">
        <f>IF($G1096="","",ROUND($G1096*$T1096,2))</f>
        <v/>
      </c>
      <c r="V1096" s="113">
        <f>IF($B1096="","",MONTH($B1096))</f>
        <v/>
      </c>
      <c r="W1096" s="113">
        <f>IF($B1096="","",YEAR($B1096))</f>
        <v/>
      </c>
    </row>
    <row r="1097">
      <c r="B1097" s="105" t="n"/>
      <c r="C1097" s="54" t="n"/>
      <c r="D1097" s="54" t="n"/>
      <c r="E1097" s="54" t="n"/>
      <c r="F1097" s="54" t="n"/>
      <c r="G1097" s="65" t="n"/>
      <c r="H1097" s="54" t="n"/>
      <c r="I1097" s="106">
        <f>IF($C1097="","",IFERROR(INDEX(Sens_Types,MATCH($C1097,Liste_Types,0)),""))</f>
        <v/>
      </c>
      <c r="J1097" s="107">
        <f>IF($I1097="▲ ENTRÉE",$U1097,"")</f>
        <v/>
      </c>
      <c r="K1097" s="108">
        <f>IF($I1097="▼ SORTIE",$U1097,"")</f>
        <v/>
      </c>
      <c r="L1097" s="109">
        <f>$L1096+N($J1097)-N($K1097)</f>
        <v/>
      </c>
      <c r="M1097" s="110" t="n"/>
      <c r="N1097" s="54" t="n"/>
      <c r="O1097" s="54" t="n"/>
      <c r="P1097" s="54" t="n"/>
      <c r="Q1097" s="110" t="n"/>
      <c r="R1097" s="110" t="n"/>
      <c r="S1097" s="54" t="n"/>
      <c r="T1097" s="111">
        <f>IF($G1097="","",IFERROR(INDEX(Taux_Devises,MATCH(IF($M1097="",Devise_Base,$M1097),Codes_Devises,0)),1))</f>
        <v/>
      </c>
      <c r="U1097" s="112">
        <f>IF($G1097="","",ROUND($G1097*$T1097,2))</f>
        <v/>
      </c>
      <c r="V1097" s="113">
        <f>IF($B1097="","",MONTH($B1097))</f>
        <v/>
      </c>
      <c r="W1097" s="113">
        <f>IF($B1097="","",YEAR($B1097))</f>
        <v/>
      </c>
    </row>
    <row r="1098">
      <c r="B1098" s="105" t="n"/>
      <c r="C1098" s="54" t="n"/>
      <c r="D1098" s="54" t="n"/>
      <c r="E1098" s="54" t="n"/>
      <c r="F1098" s="54" t="n"/>
      <c r="G1098" s="65" t="n"/>
      <c r="H1098" s="54" t="n"/>
      <c r="I1098" s="106">
        <f>IF($C1098="","",IFERROR(INDEX(Sens_Types,MATCH($C1098,Liste_Types,0)),""))</f>
        <v/>
      </c>
      <c r="J1098" s="107">
        <f>IF($I1098="▲ ENTRÉE",$U1098,"")</f>
        <v/>
      </c>
      <c r="K1098" s="108">
        <f>IF($I1098="▼ SORTIE",$U1098,"")</f>
        <v/>
      </c>
      <c r="L1098" s="109">
        <f>$L1097+N($J1098)-N($K1098)</f>
        <v/>
      </c>
      <c r="M1098" s="110" t="n"/>
      <c r="N1098" s="54" t="n"/>
      <c r="O1098" s="54" t="n"/>
      <c r="P1098" s="54" t="n"/>
      <c r="Q1098" s="110" t="n"/>
      <c r="R1098" s="110" t="n"/>
      <c r="S1098" s="54" t="n"/>
      <c r="T1098" s="111">
        <f>IF($G1098="","",IFERROR(INDEX(Taux_Devises,MATCH(IF($M1098="",Devise_Base,$M1098),Codes_Devises,0)),1))</f>
        <v/>
      </c>
      <c r="U1098" s="112">
        <f>IF($G1098="","",ROUND($G1098*$T1098,2))</f>
        <v/>
      </c>
      <c r="V1098" s="113">
        <f>IF($B1098="","",MONTH($B1098))</f>
        <v/>
      </c>
      <c r="W1098" s="113">
        <f>IF($B1098="","",YEAR($B1098))</f>
        <v/>
      </c>
    </row>
    <row r="1099">
      <c r="B1099" s="105" t="n"/>
      <c r="C1099" s="54" t="n"/>
      <c r="D1099" s="54" t="n"/>
      <c r="E1099" s="54" t="n"/>
      <c r="F1099" s="54" t="n"/>
      <c r="G1099" s="65" t="n"/>
      <c r="H1099" s="54" t="n"/>
      <c r="I1099" s="106">
        <f>IF($C1099="","",IFERROR(INDEX(Sens_Types,MATCH($C1099,Liste_Types,0)),""))</f>
        <v/>
      </c>
      <c r="J1099" s="107">
        <f>IF($I1099="▲ ENTRÉE",$U1099,"")</f>
        <v/>
      </c>
      <c r="K1099" s="108">
        <f>IF($I1099="▼ SORTIE",$U1099,"")</f>
        <v/>
      </c>
      <c r="L1099" s="109">
        <f>$L1098+N($J1099)-N($K1099)</f>
        <v/>
      </c>
      <c r="M1099" s="110" t="n"/>
      <c r="N1099" s="54" t="n"/>
      <c r="O1099" s="54" t="n"/>
      <c r="P1099" s="54" t="n"/>
      <c r="Q1099" s="110" t="n"/>
      <c r="R1099" s="110" t="n"/>
      <c r="S1099" s="54" t="n"/>
      <c r="T1099" s="111">
        <f>IF($G1099="","",IFERROR(INDEX(Taux_Devises,MATCH(IF($M1099="",Devise_Base,$M1099),Codes_Devises,0)),1))</f>
        <v/>
      </c>
      <c r="U1099" s="112">
        <f>IF($G1099="","",ROUND($G1099*$T1099,2))</f>
        <v/>
      </c>
      <c r="V1099" s="113">
        <f>IF($B1099="","",MONTH($B1099))</f>
        <v/>
      </c>
      <c r="W1099" s="113">
        <f>IF($B1099="","",YEAR($B1099))</f>
        <v/>
      </c>
    </row>
    <row r="1100">
      <c r="B1100" s="105" t="n"/>
      <c r="C1100" s="54" t="n"/>
      <c r="D1100" s="54" t="n"/>
      <c r="E1100" s="54" t="n"/>
      <c r="F1100" s="54" t="n"/>
      <c r="G1100" s="65" t="n"/>
      <c r="H1100" s="54" t="n"/>
      <c r="I1100" s="106">
        <f>IF($C1100="","",IFERROR(INDEX(Sens_Types,MATCH($C1100,Liste_Types,0)),""))</f>
        <v/>
      </c>
      <c r="J1100" s="107">
        <f>IF($I1100="▲ ENTRÉE",$U1100,"")</f>
        <v/>
      </c>
      <c r="K1100" s="108">
        <f>IF($I1100="▼ SORTIE",$U1100,"")</f>
        <v/>
      </c>
      <c r="L1100" s="109">
        <f>$L1099+N($J1100)-N($K1100)</f>
        <v/>
      </c>
      <c r="M1100" s="110" t="n"/>
      <c r="N1100" s="54" t="n"/>
      <c r="O1100" s="54" t="n"/>
      <c r="P1100" s="54" t="n"/>
      <c r="Q1100" s="110" t="n"/>
      <c r="R1100" s="110" t="n"/>
      <c r="S1100" s="54" t="n"/>
      <c r="T1100" s="111">
        <f>IF($G1100="","",IFERROR(INDEX(Taux_Devises,MATCH(IF($M1100="",Devise_Base,$M1100),Codes_Devises,0)),1))</f>
        <v/>
      </c>
      <c r="U1100" s="112">
        <f>IF($G1100="","",ROUND($G1100*$T1100,2))</f>
        <v/>
      </c>
      <c r="V1100" s="113">
        <f>IF($B1100="","",MONTH($B1100))</f>
        <v/>
      </c>
      <c r="W1100" s="113">
        <f>IF($B1100="","",YEAR($B1100))</f>
        <v/>
      </c>
    </row>
    <row r="1101">
      <c r="B1101" s="105" t="n"/>
      <c r="C1101" s="54" t="n"/>
      <c r="D1101" s="54" t="n"/>
      <c r="E1101" s="54" t="n"/>
      <c r="F1101" s="54" t="n"/>
      <c r="G1101" s="65" t="n"/>
      <c r="H1101" s="54" t="n"/>
      <c r="I1101" s="106">
        <f>IF($C1101="","",IFERROR(INDEX(Sens_Types,MATCH($C1101,Liste_Types,0)),""))</f>
        <v/>
      </c>
      <c r="J1101" s="107">
        <f>IF($I1101="▲ ENTRÉE",$U1101,"")</f>
        <v/>
      </c>
      <c r="K1101" s="108">
        <f>IF($I1101="▼ SORTIE",$U1101,"")</f>
        <v/>
      </c>
      <c r="L1101" s="109">
        <f>$L1100+N($J1101)-N($K1101)</f>
        <v/>
      </c>
      <c r="M1101" s="110" t="n"/>
      <c r="N1101" s="54" t="n"/>
      <c r="O1101" s="54" t="n"/>
      <c r="P1101" s="54" t="n"/>
      <c r="Q1101" s="110" t="n"/>
      <c r="R1101" s="110" t="n"/>
      <c r="S1101" s="54" t="n"/>
      <c r="T1101" s="111">
        <f>IF($G1101="","",IFERROR(INDEX(Taux_Devises,MATCH(IF($M1101="",Devise_Base,$M1101),Codes_Devises,0)),1))</f>
        <v/>
      </c>
      <c r="U1101" s="112">
        <f>IF($G1101="","",ROUND($G1101*$T1101,2))</f>
        <v/>
      </c>
      <c r="V1101" s="113">
        <f>IF($B1101="","",MONTH($B1101))</f>
        <v/>
      </c>
      <c r="W1101" s="113">
        <f>IF($B1101="","",YEAR($B1101))</f>
        <v/>
      </c>
    </row>
    <row r="1102">
      <c r="B1102" s="105" t="n"/>
      <c r="C1102" s="54" t="n"/>
      <c r="D1102" s="54" t="n"/>
      <c r="E1102" s="54" t="n"/>
      <c r="F1102" s="54" t="n"/>
      <c r="G1102" s="65" t="n"/>
      <c r="H1102" s="54" t="n"/>
      <c r="I1102" s="106">
        <f>IF($C1102="","",IFERROR(INDEX(Sens_Types,MATCH($C1102,Liste_Types,0)),""))</f>
        <v/>
      </c>
      <c r="J1102" s="107">
        <f>IF($I1102="▲ ENTRÉE",$U1102,"")</f>
        <v/>
      </c>
      <c r="K1102" s="108">
        <f>IF($I1102="▼ SORTIE",$U1102,"")</f>
        <v/>
      </c>
      <c r="L1102" s="109">
        <f>$L1101+N($J1102)-N($K1102)</f>
        <v/>
      </c>
      <c r="M1102" s="110" t="n"/>
      <c r="N1102" s="54" t="n"/>
      <c r="O1102" s="54" t="n"/>
      <c r="P1102" s="54" t="n"/>
      <c r="Q1102" s="110" t="n"/>
      <c r="R1102" s="110" t="n"/>
      <c r="S1102" s="54" t="n"/>
      <c r="T1102" s="111">
        <f>IF($G1102="","",IFERROR(INDEX(Taux_Devises,MATCH(IF($M1102="",Devise_Base,$M1102),Codes_Devises,0)),1))</f>
        <v/>
      </c>
      <c r="U1102" s="112">
        <f>IF($G1102="","",ROUND($G1102*$T1102,2))</f>
        <v/>
      </c>
      <c r="V1102" s="113">
        <f>IF($B1102="","",MONTH($B1102))</f>
        <v/>
      </c>
      <c r="W1102" s="113">
        <f>IF($B1102="","",YEAR($B1102))</f>
        <v/>
      </c>
    </row>
    <row r="1103">
      <c r="B1103" s="105" t="n"/>
      <c r="C1103" s="54" t="n"/>
      <c r="D1103" s="54" t="n"/>
      <c r="E1103" s="54" t="n"/>
      <c r="F1103" s="54" t="n"/>
      <c r="G1103" s="65" t="n"/>
      <c r="H1103" s="54" t="n"/>
      <c r="I1103" s="106">
        <f>IF($C1103="","",IFERROR(INDEX(Sens_Types,MATCH($C1103,Liste_Types,0)),""))</f>
        <v/>
      </c>
      <c r="J1103" s="107">
        <f>IF($I1103="▲ ENTRÉE",$U1103,"")</f>
        <v/>
      </c>
      <c r="K1103" s="108">
        <f>IF($I1103="▼ SORTIE",$U1103,"")</f>
        <v/>
      </c>
      <c r="L1103" s="109">
        <f>$L1102+N($J1103)-N($K1103)</f>
        <v/>
      </c>
      <c r="M1103" s="110" t="n"/>
      <c r="N1103" s="54" t="n"/>
      <c r="O1103" s="54" t="n"/>
      <c r="P1103" s="54" t="n"/>
      <c r="Q1103" s="110" t="n"/>
      <c r="R1103" s="110" t="n"/>
      <c r="S1103" s="54" t="n"/>
      <c r="T1103" s="111">
        <f>IF($G1103="","",IFERROR(INDEX(Taux_Devises,MATCH(IF($M1103="",Devise_Base,$M1103),Codes_Devises,0)),1))</f>
        <v/>
      </c>
      <c r="U1103" s="112">
        <f>IF($G1103="","",ROUND($G1103*$T1103,2))</f>
        <v/>
      </c>
      <c r="V1103" s="113">
        <f>IF($B1103="","",MONTH($B1103))</f>
        <v/>
      </c>
      <c r="W1103" s="113">
        <f>IF($B1103="","",YEAR($B1103))</f>
        <v/>
      </c>
    </row>
    <row r="1104">
      <c r="B1104" s="105" t="n"/>
      <c r="C1104" s="54" t="n"/>
      <c r="D1104" s="54" t="n"/>
      <c r="E1104" s="54" t="n"/>
      <c r="F1104" s="54" t="n"/>
      <c r="G1104" s="65" t="n"/>
      <c r="H1104" s="54" t="n"/>
      <c r="I1104" s="106">
        <f>IF($C1104="","",IFERROR(INDEX(Sens_Types,MATCH($C1104,Liste_Types,0)),""))</f>
        <v/>
      </c>
      <c r="J1104" s="107">
        <f>IF($I1104="▲ ENTRÉE",$U1104,"")</f>
        <v/>
      </c>
      <c r="K1104" s="108">
        <f>IF($I1104="▼ SORTIE",$U1104,"")</f>
        <v/>
      </c>
      <c r="L1104" s="109">
        <f>$L1103+N($J1104)-N($K1104)</f>
        <v/>
      </c>
      <c r="M1104" s="110" t="n"/>
      <c r="N1104" s="54" t="n"/>
      <c r="O1104" s="54" t="n"/>
      <c r="P1104" s="54" t="n"/>
      <c r="Q1104" s="110" t="n"/>
      <c r="R1104" s="110" t="n"/>
      <c r="S1104" s="54" t="n"/>
      <c r="T1104" s="111">
        <f>IF($G1104="","",IFERROR(INDEX(Taux_Devises,MATCH(IF($M1104="",Devise_Base,$M1104),Codes_Devises,0)),1))</f>
        <v/>
      </c>
      <c r="U1104" s="112">
        <f>IF($G1104="","",ROUND($G1104*$T1104,2))</f>
        <v/>
      </c>
      <c r="V1104" s="113">
        <f>IF($B1104="","",MONTH($B1104))</f>
        <v/>
      </c>
      <c r="W1104" s="113">
        <f>IF($B1104="","",YEAR($B1104))</f>
        <v/>
      </c>
    </row>
    <row r="1105">
      <c r="B1105" s="105" t="n"/>
      <c r="C1105" s="54" t="n"/>
      <c r="D1105" s="54" t="n"/>
      <c r="E1105" s="54" t="n"/>
      <c r="F1105" s="54" t="n"/>
      <c r="G1105" s="65" t="n"/>
      <c r="H1105" s="54" t="n"/>
      <c r="I1105" s="106">
        <f>IF($C1105="","",IFERROR(INDEX(Sens_Types,MATCH($C1105,Liste_Types,0)),""))</f>
        <v/>
      </c>
      <c r="J1105" s="107">
        <f>IF($I1105="▲ ENTRÉE",$U1105,"")</f>
        <v/>
      </c>
      <c r="K1105" s="108">
        <f>IF($I1105="▼ SORTIE",$U1105,"")</f>
        <v/>
      </c>
      <c r="L1105" s="109">
        <f>$L1104+N($J1105)-N($K1105)</f>
        <v/>
      </c>
      <c r="M1105" s="110" t="n"/>
      <c r="N1105" s="54" t="n"/>
      <c r="O1105" s="54" t="n"/>
      <c r="P1105" s="54" t="n"/>
      <c r="Q1105" s="110" t="n"/>
      <c r="R1105" s="110" t="n"/>
      <c r="S1105" s="54" t="n"/>
      <c r="T1105" s="111">
        <f>IF($G1105="","",IFERROR(INDEX(Taux_Devises,MATCH(IF($M1105="",Devise_Base,$M1105),Codes_Devises,0)),1))</f>
        <v/>
      </c>
      <c r="U1105" s="112">
        <f>IF($G1105="","",ROUND($G1105*$T1105,2))</f>
        <v/>
      </c>
      <c r="V1105" s="113">
        <f>IF($B1105="","",MONTH($B1105))</f>
        <v/>
      </c>
      <c r="W1105" s="113">
        <f>IF($B1105="","",YEAR($B1105))</f>
        <v/>
      </c>
    </row>
    <row r="1106">
      <c r="B1106" s="105" t="n"/>
      <c r="C1106" s="54" t="n"/>
      <c r="D1106" s="54" t="n"/>
      <c r="E1106" s="54" t="n"/>
      <c r="F1106" s="54" t="n"/>
      <c r="G1106" s="65" t="n"/>
      <c r="H1106" s="54" t="n"/>
      <c r="I1106" s="106">
        <f>IF($C1106="","",IFERROR(INDEX(Sens_Types,MATCH($C1106,Liste_Types,0)),""))</f>
        <v/>
      </c>
      <c r="J1106" s="107">
        <f>IF($I1106="▲ ENTRÉE",$U1106,"")</f>
        <v/>
      </c>
      <c r="K1106" s="108">
        <f>IF($I1106="▼ SORTIE",$U1106,"")</f>
        <v/>
      </c>
      <c r="L1106" s="109">
        <f>$L1105+N($J1106)-N($K1106)</f>
        <v/>
      </c>
      <c r="M1106" s="110" t="n"/>
      <c r="N1106" s="54" t="n"/>
      <c r="O1106" s="54" t="n"/>
      <c r="P1106" s="54" t="n"/>
      <c r="Q1106" s="110" t="n"/>
      <c r="R1106" s="110" t="n"/>
      <c r="S1106" s="54" t="n"/>
      <c r="T1106" s="111">
        <f>IF($G1106="","",IFERROR(INDEX(Taux_Devises,MATCH(IF($M1106="",Devise_Base,$M1106),Codes_Devises,0)),1))</f>
        <v/>
      </c>
      <c r="U1106" s="112">
        <f>IF($G1106="","",ROUND($G1106*$T1106,2))</f>
        <v/>
      </c>
      <c r="V1106" s="113">
        <f>IF($B1106="","",MONTH($B1106))</f>
        <v/>
      </c>
      <c r="W1106" s="113">
        <f>IF($B1106="","",YEAR($B1106))</f>
        <v/>
      </c>
    </row>
    <row r="1107">
      <c r="B1107" s="105" t="n"/>
      <c r="C1107" s="54" t="n"/>
      <c r="D1107" s="54" t="n"/>
      <c r="E1107" s="54" t="n"/>
      <c r="F1107" s="54" t="n"/>
      <c r="G1107" s="65" t="n"/>
      <c r="H1107" s="54" t="n"/>
      <c r="I1107" s="106">
        <f>IF($C1107="","",IFERROR(INDEX(Sens_Types,MATCH($C1107,Liste_Types,0)),""))</f>
        <v/>
      </c>
      <c r="J1107" s="107">
        <f>IF($I1107="▲ ENTRÉE",$U1107,"")</f>
        <v/>
      </c>
      <c r="K1107" s="108">
        <f>IF($I1107="▼ SORTIE",$U1107,"")</f>
        <v/>
      </c>
      <c r="L1107" s="109">
        <f>$L1106+N($J1107)-N($K1107)</f>
        <v/>
      </c>
      <c r="M1107" s="110" t="n"/>
      <c r="N1107" s="54" t="n"/>
      <c r="O1107" s="54" t="n"/>
      <c r="P1107" s="54" t="n"/>
      <c r="Q1107" s="110" t="n"/>
      <c r="R1107" s="110" t="n"/>
      <c r="S1107" s="54" t="n"/>
      <c r="T1107" s="111">
        <f>IF($G1107="","",IFERROR(INDEX(Taux_Devises,MATCH(IF($M1107="",Devise_Base,$M1107),Codes_Devises,0)),1))</f>
        <v/>
      </c>
      <c r="U1107" s="112">
        <f>IF($G1107="","",ROUND($G1107*$T1107,2))</f>
        <v/>
      </c>
      <c r="V1107" s="113">
        <f>IF($B1107="","",MONTH($B1107))</f>
        <v/>
      </c>
      <c r="W1107" s="113">
        <f>IF($B1107="","",YEAR($B1107))</f>
        <v/>
      </c>
    </row>
    <row r="1108">
      <c r="B1108" s="105" t="n"/>
      <c r="C1108" s="54" t="n"/>
      <c r="D1108" s="54" t="n"/>
      <c r="E1108" s="54" t="n"/>
      <c r="F1108" s="54" t="n"/>
      <c r="G1108" s="65" t="n"/>
      <c r="H1108" s="54" t="n"/>
      <c r="I1108" s="106">
        <f>IF($C1108="","",IFERROR(INDEX(Sens_Types,MATCH($C1108,Liste_Types,0)),""))</f>
        <v/>
      </c>
      <c r="J1108" s="107">
        <f>IF($I1108="▲ ENTRÉE",$U1108,"")</f>
        <v/>
      </c>
      <c r="K1108" s="108">
        <f>IF($I1108="▼ SORTIE",$U1108,"")</f>
        <v/>
      </c>
      <c r="L1108" s="109">
        <f>$L1107+N($J1108)-N($K1108)</f>
        <v/>
      </c>
      <c r="M1108" s="110" t="n"/>
      <c r="N1108" s="54" t="n"/>
      <c r="O1108" s="54" t="n"/>
      <c r="P1108" s="54" t="n"/>
      <c r="Q1108" s="110" t="n"/>
      <c r="R1108" s="110" t="n"/>
      <c r="S1108" s="54" t="n"/>
      <c r="T1108" s="111">
        <f>IF($G1108="","",IFERROR(INDEX(Taux_Devises,MATCH(IF($M1108="",Devise_Base,$M1108),Codes_Devises,0)),1))</f>
        <v/>
      </c>
      <c r="U1108" s="112">
        <f>IF($G1108="","",ROUND($G1108*$T1108,2))</f>
        <v/>
      </c>
      <c r="V1108" s="113">
        <f>IF($B1108="","",MONTH($B1108))</f>
        <v/>
      </c>
      <c r="W1108" s="113">
        <f>IF($B1108="","",YEAR($B1108))</f>
        <v/>
      </c>
    </row>
    <row r="1109">
      <c r="B1109" s="105" t="n"/>
      <c r="C1109" s="54" t="n"/>
      <c r="D1109" s="54" t="n"/>
      <c r="E1109" s="54" t="n"/>
      <c r="F1109" s="54" t="n"/>
      <c r="G1109" s="65" t="n"/>
      <c r="H1109" s="54" t="n"/>
      <c r="I1109" s="106">
        <f>IF($C1109="","",IFERROR(INDEX(Sens_Types,MATCH($C1109,Liste_Types,0)),""))</f>
        <v/>
      </c>
      <c r="J1109" s="107">
        <f>IF($I1109="▲ ENTRÉE",$U1109,"")</f>
        <v/>
      </c>
      <c r="K1109" s="108">
        <f>IF($I1109="▼ SORTIE",$U1109,"")</f>
        <v/>
      </c>
      <c r="L1109" s="109">
        <f>$L1108+N($J1109)-N($K1109)</f>
        <v/>
      </c>
      <c r="M1109" s="110" t="n"/>
      <c r="N1109" s="54" t="n"/>
      <c r="O1109" s="54" t="n"/>
      <c r="P1109" s="54" t="n"/>
      <c r="Q1109" s="110" t="n"/>
      <c r="R1109" s="110" t="n"/>
      <c r="S1109" s="54" t="n"/>
      <c r="T1109" s="111">
        <f>IF($G1109="","",IFERROR(INDEX(Taux_Devises,MATCH(IF($M1109="",Devise_Base,$M1109),Codes_Devises,0)),1))</f>
        <v/>
      </c>
      <c r="U1109" s="112">
        <f>IF($G1109="","",ROUND($G1109*$T1109,2))</f>
        <v/>
      </c>
      <c r="V1109" s="113">
        <f>IF($B1109="","",MONTH($B1109))</f>
        <v/>
      </c>
      <c r="W1109" s="113">
        <f>IF($B1109="","",YEAR($B1109))</f>
        <v/>
      </c>
    </row>
    <row r="1110">
      <c r="B1110" s="105" t="n"/>
      <c r="C1110" s="54" t="n"/>
      <c r="D1110" s="54" t="n"/>
      <c r="E1110" s="54" t="n"/>
      <c r="F1110" s="54" t="n"/>
      <c r="G1110" s="65" t="n"/>
      <c r="H1110" s="54" t="n"/>
      <c r="I1110" s="106">
        <f>IF($C1110="","",IFERROR(INDEX(Sens_Types,MATCH($C1110,Liste_Types,0)),""))</f>
        <v/>
      </c>
      <c r="J1110" s="107">
        <f>IF($I1110="▲ ENTRÉE",$U1110,"")</f>
        <v/>
      </c>
      <c r="K1110" s="108">
        <f>IF($I1110="▼ SORTIE",$U1110,"")</f>
        <v/>
      </c>
      <c r="L1110" s="109">
        <f>$L1109+N($J1110)-N($K1110)</f>
        <v/>
      </c>
      <c r="M1110" s="110" t="n"/>
      <c r="N1110" s="54" t="n"/>
      <c r="O1110" s="54" t="n"/>
      <c r="P1110" s="54" t="n"/>
      <c r="Q1110" s="110" t="n"/>
      <c r="R1110" s="110" t="n"/>
      <c r="S1110" s="54" t="n"/>
      <c r="T1110" s="111">
        <f>IF($G1110="","",IFERROR(INDEX(Taux_Devises,MATCH(IF($M1110="",Devise_Base,$M1110),Codes_Devises,0)),1))</f>
        <v/>
      </c>
      <c r="U1110" s="112">
        <f>IF($G1110="","",ROUND($G1110*$T1110,2))</f>
        <v/>
      </c>
      <c r="V1110" s="113">
        <f>IF($B1110="","",MONTH($B1110))</f>
        <v/>
      </c>
      <c r="W1110" s="113">
        <f>IF($B1110="","",YEAR($B1110))</f>
        <v/>
      </c>
    </row>
    <row r="1111">
      <c r="B1111" s="105" t="n"/>
      <c r="C1111" s="54" t="n"/>
      <c r="D1111" s="54" t="n"/>
      <c r="E1111" s="54" t="n"/>
      <c r="F1111" s="54" t="n"/>
      <c r="G1111" s="65" t="n"/>
      <c r="H1111" s="54" t="n"/>
      <c r="I1111" s="106">
        <f>IF($C1111="","",IFERROR(INDEX(Sens_Types,MATCH($C1111,Liste_Types,0)),""))</f>
        <v/>
      </c>
      <c r="J1111" s="107">
        <f>IF($I1111="▲ ENTRÉE",$U1111,"")</f>
        <v/>
      </c>
      <c r="K1111" s="108">
        <f>IF($I1111="▼ SORTIE",$U1111,"")</f>
        <v/>
      </c>
      <c r="L1111" s="109">
        <f>$L1110+N($J1111)-N($K1111)</f>
        <v/>
      </c>
      <c r="M1111" s="110" t="n"/>
      <c r="N1111" s="54" t="n"/>
      <c r="O1111" s="54" t="n"/>
      <c r="P1111" s="54" t="n"/>
      <c r="Q1111" s="110" t="n"/>
      <c r="R1111" s="110" t="n"/>
      <c r="S1111" s="54" t="n"/>
      <c r="T1111" s="111">
        <f>IF($G1111="","",IFERROR(INDEX(Taux_Devises,MATCH(IF($M1111="",Devise_Base,$M1111),Codes_Devises,0)),1))</f>
        <v/>
      </c>
      <c r="U1111" s="112">
        <f>IF($G1111="","",ROUND($G1111*$T1111,2))</f>
        <v/>
      </c>
      <c r="V1111" s="113">
        <f>IF($B1111="","",MONTH($B1111))</f>
        <v/>
      </c>
      <c r="W1111" s="113">
        <f>IF($B1111="","",YEAR($B1111))</f>
        <v/>
      </c>
    </row>
    <row r="1112">
      <c r="B1112" s="105" t="n"/>
      <c r="C1112" s="54" t="n"/>
      <c r="D1112" s="54" t="n"/>
      <c r="E1112" s="54" t="n"/>
      <c r="F1112" s="54" t="n"/>
      <c r="G1112" s="65" t="n"/>
      <c r="H1112" s="54" t="n"/>
      <c r="I1112" s="106">
        <f>IF($C1112="","",IFERROR(INDEX(Sens_Types,MATCH($C1112,Liste_Types,0)),""))</f>
        <v/>
      </c>
      <c r="J1112" s="107">
        <f>IF($I1112="▲ ENTRÉE",$U1112,"")</f>
        <v/>
      </c>
      <c r="K1112" s="108">
        <f>IF($I1112="▼ SORTIE",$U1112,"")</f>
        <v/>
      </c>
      <c r="L1112" s="109">
        <f>$L1111+N($J1112)-N($K1112)</f>
        <v/>
      </c>
      <c r="M1112" s="110" t="n"/>
      <c r="N1112" s="54" t="n"/>
      <c r="O1112" s="54" t="n"/>
      <c r="P1112" s="54" t="n"/>
      <c r="Q1112" s="110" t="n"/>
      <c r="R1112" s="110" t="n"/>
      <c r="S1112" s="54" t="n"/>
      <c r="T1112" s="111">
        <f>IF($G1112="","",IFERROR(INDEX(Taux_Devises,MATCH(IF($M1112="",Devise_Base,$M1112),Codes_Devises,0)),1))</f>
        <v/>
      </c>
      <c r="U1112" s="112">
        <f>IF($G1112="","",ROUND($G1112*$T1112,2))</f>
        <v/>
      </c>
      <c r="V1112" s="113">
        <f>IF($B1112="","",MONTH($B1112))</f>
        <v/>
      </c>
      <c r="W1112" s="113">
        <f>IF($B1112="","",YEAR($B1112))</f>
        <v/>
      </c>
    </row>
    <row r="1113">
      <c r="B1113" s="105" t="n"/>
      <c r="C1113" s="54" t="n"/>
      <c r="D1113" s="54" t="n"/>
      <c r="E1113" s="54" t="n"/>
      <c r="F1113" s="54" t="n"/>
      <c r="G1113" s="65" t="n"/>
      <c r="H1113" s="54" t="n"/>
      <c r="I1113" s="106">
        <f>IF($C1113="","",IFERROR(INDEX(Sens_Types,MATCH($C1113,Liste_Types,0)),""))</f>
        <v/>
      </c>
      <c r="J1113" s="107">
        <f>IF($I1113="▲ ENTRÉE",$U1113,"")</f>
        <v/>
      </c>
      <c r="K1113" s="108">
        <f>IF($I1113="▼ SORTIE",$U1113,"")</f>
        <v/>
      </c>
      <c r="L1113" s="109">
        <f>$L1112+N($J1113)-N($K1113)</f>
        <v/>
      </c>
      <c r="M1113" s="110" t="n"/>
      <c r="N1113" s="54" t="n"/>
      <c r="O1113" s="54" t="n"/>
      <c r="P1113" s="54" t="n"/>
      <c r="Q1113" s="110" t="n"/>
      <c r="R1113" s="110" t="n"/>
      <c r="S1113" s="54" t="n"/>
      <c r="T1113" s="111">
        <f>IF($G1113="","",IFERROR(INDEX(Taux_Devises,MATCH(IF($M1113="",Devise_Base,$M1113),Codes_Devises,0)),1))</f>
        <v/>
      </c>
      <c r="U1113" s="112">
        <f>IF($G1113="","",ROUND($G1113*$T1113,2))</f>
        <v/>
      </c>
      <c r="V1113" s="113">
        <f>IF($B1113="","",MONTH($B1113))</f>
        <v/>
      </c>
      <c r="W1113" s="113">
        <f>IF($B1113="","",YEAR($B1113))</f>
        <v/>
      </c>
    </row>
    <row r="1114">
      <c r="B1114" s="105" t="n"/>
      <c r="C1114" s="54" t="n"/>
      <c r="D1114" s="54" t="n"/>
      <c r="E1114" s="54" t="n"/>
      <c r="F1114" s="54" t="n"/>
      <c r="G1114" s="65" t="n"/>
      <c r="H1114" s="54" t="n"/>
      <c r="I1114" s="106">
        <f>IF($C1114="","",IFERROR(INDEX(Sens_Types,MATCH($C1114,Liste_Types,0)),""))</f>
        <v/>
      </c>
      <c r="J1114" s="107">
        <f>IF($I1114="▲ ENTRÉE",$U1114,"")</f>
        <v/>
      </c>
      <c r="K1114" s="108">
        <f>IF($I1114="▼ SORTIE",$U1114,"")</f>
        <v/>
      </c>
      <c r="L1114" s="109">
        <f>$L1113+N($J1114)-N($K1114)</f>
        <v/>
      </c>
      <c r="M1114" s="110" t="n"/>
      <c r="N1114" s="54" t="n"/>
      <c r="O1114" s="54" t="n"/>
      <c r="P1114" s="54" t="n"/>
      <c r="Q1114" s="110" t="n"/>
      <c r="R1114" s="110" t="n"/>
      <c r="S1114" s="54" t="n"/>
      <c r="T1114" s="111">
        <f>IF($G1114="","",IFERROR(INDEX(Taux_Devises,MATCH(IF($M1114="",Devise_Base,$M1114),Codes_Devises,0)),1))</f>
        <v/>
      </c>
      <c r="U1114" s="112">
        <f>IF($G1114="","",ROUND($G1114*$T1114,2))</f>
        <v/>
      </c>
      <c r="V1114" s="113">
        <f>IF($B1114="","",MONTH($B1114))</f>
        <v/>
      </c>
      <c r="W1114" s="113">
        <f>IF($B1114="","",YEAR($B1114))</f>
        <v/>
      </c>
    </row>
    <row r="1115">
      <c r="B1115" s="105" t="n"/>
      <c r="C1115" s="54" t="n"/>
      <c r="D1115" s="54" t="n"/>
      <c r="E1115" s="54" t="n"/>
      <c r="F1115" s="54" t="n"/>
      <c r="G1115" s="65" t="n"/>
      <c r="H1115" s="54" t="n"/>
      <c r="I1115" s="106">
        <f>IF($C1115="","",IFERROR(INDEX(Sens_Types,MATCH($C1115,Liste_Types,0)),""))</f>
        <v/>
      </c>
      <c r="J1115" s="107">
        <f>IF($I1115="▲ ENTRÉE",$U1115,"")</f>
        <v/>
      </c>
      <c r="K1115" s="108">
        <f>IF($I1115="▼ SORTIE",$U1115,"")</f>
        <v/>
      </c>
      <c r="L1115" s="109">
        <f>$L1114+N($J1115)-N($K1115)</f>
        <v/>
      </c>
      <c r="M1115" s="110" t="n"/>
      <c r="N1115" s="54" t="n"/>
      <c r="O1115" s="54" t="n"/>
      <c r="P1115" s="54" t="n"/>
      <c r="Q1115" s="110" t="n"/>
      <c r="R1115" s="110" t="n"/>
      <c r="S1115" s="54" t="n"/>
      <c r="T1115" s="111">
        <f>IF($G1115="","",IFERROR(INDEX(Taux_Devises,MATCH(IF($M1115="",Devise_Base,$M1115),Codes_Devises,0)),1))</f>
        <v/>
      </c>
      <c r="U1115" s="112">
        <f>IF($G1115="","",ROUND($G1115*$T1115,2))</f>
        <v/>
      </c>
      <c r="V1115" s="113">
        <f>IF($B1115="","",MONTH($B1115))</f>
        <v/>
      </c>
      <c r="W1115" s="113">
        <f>IF($B1115="","",YEAR($B1115))</f>
        <v/>
      </c>
    </row>
    <row r="1116">
      <c r="B1116" s="105" t="n"/>
      <c r="C1116" s="54" t="n"/>
      <c r="D1116" s="54" t="n"/>
      <c r="E1116" s="54" t="n"/>
      <c r="F1116" s="54" t="n"/>
      <c r="G1116" s="65" t="n"/>
      <c r="H1116" s="54" t="n"/>
      <c r="I1116" s="106">
        <f>IF($C1116="","",IFERROR(INDEX(Sens_Types,MATCH($C1116,Liste_Types,0)),""))</f>
        <v/>
      </c>
      <c r="J1116" s="107">
        <f>IF($I1116="▲ ENTRÉE",$U1116,"")</f>
        <v/>
      </c>
      <c r="K1116" s="108">
        <f>IF($I1116="▼ SORTIE",$U1116,"")</f>
        <v/>
      </c>
      <c r="L1116" s="109">
        <f>$L1115+N($J1116)-N($K1116)</f>
        <v/>
      </c>
      <c r="M1116" s="110" t="n"/>
      <c r="N1116" s="54" t="n"/>
      <c r="O1116" s="54" t="n"/>
      <c r="P1116" s="54" t="n"/>
      <c r="Q1116" s="110" t="n"/>
      <c r="R1116" s="110" t="n"/>
      <c r="S1116" s="54" t="n"/>
      <c r="T1116" s="111">
        <f>IF($G1116="","",IFERROR(INDEX(Taux_Devises,MATCH(IF($M1116="",Devise_Base,$M1116),Codes_Devises,0)),1))</f>
        <v/>
      </c>
      <c r="U1116" s="112">
        <f>IF($G1116="","",ROUND($G1116*$T1116,2))</f>
        <v/>
      </c>
      <c r="V1116" s="113">
        <f>IF($B1116="","",MONTH($B1116))</f>
        <v/>
      </c>
      <c r="W1116" s="113">
        <f>IF($B1116="","",YEAR($B1116))</f>
        <v/>
      </c>
    </row>
    <row r="1117">
      <c r="B1117" s="105" t="n"/>
      <c r="C1117" s="54" t="n"/>
      <c r="D1117" s="54" t="n"/>
      <c r="E1117" s="54" t="n"/>
      <c r="F1117" s="54" t="n"/>
      <c r="G1117" s="65" t="n"/>
      <c r="H1117" s="54" t="n"/>
      <c r="I1117" s="106">
        <f>IF($C1117="","",IFERROR(INDEX(Sens_Types,MATCH($C1117,Liste_Types,0)),""))</f>
        <v/>
      </c>
      <c r="J1117" s="107">
        <f>IF($I1117="▲ ENTRÉE",$U1117,"")</f>
        <v/>
      </c>
      <c r="K1117" s="108">
        <f>IF($I1117="▼ SORTIE",$U1117,"")</f>
        <v/>
      </c>
      <c r="L1117" s="109">
        <f>$L1116+N($J1117)-N($K1117)</f>
        <v/>
      </c>
      <c r="M1117" s="110" t="n"/>
      <c r="N1117" s="54" t="n"/>
      <c r="O1117" s="54" t="n"/>
      <c r="P1117" s="54" t="n"/>
      <c r="Q1117" s="110" t="n"/>
      <c r="R1117" s="110" t="n"/>
      <c r="S1117" s="54" t="n"/>
      <c r="T1117" s="111">
        <f>IF($G1117="","",IFERROR(INDEX(Taux_Devises,MATCH(IF($M1117="",Devise_Base,$M1117),Codes_Devises,0)),1))</f>
        <v/>
      </c>
      <c r="U1117" s="112">
        <f>IF($G1117="","",ROUND($G1117*$T1117,2))</f>
        <v/>
      </c>
      <c r="V1117" s="113">
        <f>IF($B1117="","",MONTH($B1117))</f>
        <v/>
      </c>
      <c r="W1117" s="113">
        <f>IF($B1117="","",YEAR($B1117))</f>
        <v/>
      </c>
    </row>
    <row r="1118">
      <c r="B1118" s="105" t="n"/>
      <c r="C1118" s="54" t="n"/>
      <c r="D1118" s="54" t="n"/>
      <c r="E1118" s="54" t="n"/>
      <c r="F1118" s="54" t="n"/>
      <c r="G1118" s="65" t="n"/>
      <c r="H1118" s="54" t="n"/>
      <c r="I1118" s="106">
        <f>IF($C1118="","",IFERROR(INDEX(Sens_Types,MATCH($C1118,Liste_Types,0)),""))</f>
        <v/>
      </c>
      <c r="J1118" s="107">
        <f>IF($I1118="▲ ENTRÉE",$U1118,"")</f>
        <v/>
      </c>
      <c r="K1118" s="108">
        <f>IF($I1118="▼ SORTIE",$U1118,"")</f>
        <v/>
      </c>
      <c r="L1118" s="109">
        <f>$L1117+N($J1118)-N($K1118)</f>
        <v/>
      </c>
      <c r="M1118" s="110" t="n"/>
      <c r="N1118" s="54" t="n"/>
      <c r="O1118" s="54" t="n"/>
      <c r="P1118" s="54" t="n"/>
      <c r="Q1118" s="110" t="n"/>
      <c r="R1118" s="110" t="n"/>
      <c r="S1118" s="54" t="n"/>
      <c r="T1118" s="111">
        <f>IF($G1118="","",IFERROR(INDEX(Taux_Devises,MATCH(IF($M1118="",Devise_Base,$M1118),Codes_Devises,0)),1))</f>
        <v/>
      </c>
      <c r="U1118" s="112">
        <f>IF($G1118="","",ROUND($G1118*$T1118,2))</f>
        <v/>
      </c>
      <c r="V1118" s="113">
        <f>IF($B1118="","",MONTH($B1118))</f>
        <v/>
      </c>
      <c r="W1118" s="113">
        <f>IF($B1118="","",YEAR($B1118))</f>
        <v/>
      </c>
    </row>
    <row r="1119">
      <c r="B1119" s="105" t="n"/>
      <c r="C1119" s="54" t="n"/>
      <c r="D1119" s="54" t="n"/>
      <c r="E1119" s="54" t="n"/>
      <c r="F1119" s="54" t="n"/>
      <c r="G1119" s="65" t="n"/>
      <c r="H1119" s="54" t="n"/>
      <c r="I1119" s="106">
        <f>IF($C1119="","",IFERROR(INDEX(Sens_Types,MATCH($C1119,Liste_Types,0)),""))</f>
        <v/>
      </c>
      <c r="J1119" s="107">
        <f>IF($I1119="▲ ENTRÉE",$U1119,"")</f>
        <v/>
      </c>
      <c r="K1119" s="108">
        <f>IF($I1119="▼ SORTIE",$U1119,"")</f>
        <v/>
      </c>
      <c r="L1119" s="109">
        <f>$L1118+N($J1119)-N($K1119)</f>
        <v/>
      </c>
      <c r="M1119" s="110" t="n"/>
      <c r="N1119" s="54" t="n"/>
      <c r="O1119" s="54" t="n"/>
      <c r="P1119" s="54" t="n"/>
      <c r="Q1119" s="110" t="n"/>
      <c r="R1119" s="110" t="n"/>
      <c r="S1119" s="54" t="n"/>
      <c r="T1119" s="111">
        <f>IF($G1119="","",IFERROR(INDEX(Taux_Devises,MATCH(IF($M1119="",Devise_Base,$M1119),Codes_Devises,0)),1))</f>
        <v/>
      </c>
      <c r="U1119" s="112">
        <f>IF($G1119="","",ROUND($G1119*$T1119,2))</f>
        <v/>
      </c>
      <c r="V1119" s="113">
        <f>IF($B1119="","",MONTH($B1119))</f>
        <v/>
      </c>
      <c r="W1119" s="113">
        <f>IF($B1119="","",YEAR($B1119))</f>
        <v/>
      </c>
    </row>
    <row r="1120">
      <c r="B1120" s="105" t="n"/>
      <c r="C1120" s="54" t="n"/>
      <c r="D1120" s="54" t="n"/>
      <c r="E1120" s="54" t="n"/>
      <c r="F1120" s="54" t="n"/>
      <c r="G1120" s="65" t="n"/>
      <c r="H1120" s="54" t="n"/>
      <c r="I1120" s="106">
        <f>IF($C1120="","",IFERROR(INDEX(Sens_Types,MATCH($C1120,Liste_Types,0)),""))</f>
        <v/>
      </c>
      <c r="J1120" s="107">
        <f>IF($I1120="▲ ENTRÉE",$U1120,"")</f>
        <v/>
      </c>
      <c r="K1120" s="108">
        <f>IF($I1120="▼ SORTIE",$U1120,"")</f>
        <v/>
      </c>
      <c r="L1120" s="109">
        <f>$L1119+N($J1120)-N($K1120)</f>
        <v/>
      </c>
      <c r="M1120" s="110" t="n"/>
      <c r="N1120" s="54" t="n"/>
      <c r="O1120" s="54" t="n"/>
      <c r="P1120" s="54" t="n"/>
      <c r="Q1120" s="110" t="n"/>
      <c r="R1120" s="110" t="n"/>
      <c r="S1120" s="54" t="n"/>
      <c r="T1120" s="111">
        <f>IF($G1120="","",IFERROR(INDEX(Taux_Devises,MATCH(IF($M1120="",Devise_Base,$M1120),Codes_Devises,0)),1))</f>
        <v/>
      </c>
      <c r="U1120" s="112">
        <f>IF($G1120="","",ROUND($G1120*$T1120,2))</f>
        <v/>
      </c>
      <c r="V1120" s="113">
        <f>IF($B1120="","",MONTH($B1120))</f>
        <v/>
      </c>
      <c r="W1120" s="113">
        <f>IF($B1120="","",YEAR($B1120))</f>
        <v/>
      </c>
    </row>
    <row r="1121">
      <c r="B1121" s="105" t="n"/>
      <c r="C1121" s="54" t="n"/>
      <c r="D1121" s="54" t="n"/>
      <c r="E1121" s="54" t="n"/>
      <c r="F1121" s="54" t="n"/>
      <c r="G1121" s="65" t="n"/>
      <c r="H1121" s="54" t="n"/>
      <c r="I1121" s="106">
        <f>IF($C1121="","",IFERROR(INDEX(Sens_Types,MATCH($C1121,Liste_Types,0)),""))</f>
        <v/>
      </c>
      <c r="J1121" s="107">
        <f>IF($I1121="▲ ENTRÉE",$U1121,"")</f>
        <v/>
      </c>
      <c r="K1121" s="108">
        <f>IF($I1121="▼ SORTIE",$U1121,"")</f>
        <v/>
      </c>
      <c r="L1121" s="109">
        <f>$L1120+N($J1121)-N($K1121)</f>
        <v/>
      </c>
      <c r="M1121" s="110" t="n"/>
      <c r="N1121" s="54" t="n"/>
      <c r="O1121" s="54" t="n"/>
      <c r="P1121" s="54" t="n"/>
      <c r="Q1121" s="110" t="n"/>
      <c r="R1121" s="110" t="n"/>
      <c r="S1121" s="54" t="n"/>
      <c r="T1121" s="111">
        <f>IF($G1121="","",IFERROR(INDEX(Taux_Devises,MATCH(IF($M1121="",Devise_Base,$M1121),Codes_Devises,0)),1))</f>
        <v/>
      </c>
      <c r="U1121" s="112">
        <f>IF($G1121="","",ROUND($G1121*$T1121,2))</f>
        <v/>
      </c>
      <c r="V1121" s="113">
        <f>IF($B1121="","",MONTH($B1121))</f>
        <v/>
      </c>
      <c r="W1121" s="113">
        <f>IF($B1121="","",YEAR($B1121))</f>
        <v/>
      </c>
    </row>
    <row r="1122">
      <c r="B1122" s="105" t="n"/>
      <c r="C1122" s="54" t="n"/>
      <c r="D1122" s="54" t="n"/>
      <c r="E1122" s="54" t="n"/>
      <c r="F1122" s="54" t="n"/>
      <c r="G1122" s="65" t="n"/>
      <c r="H1122" s="54" t="n"/>
      <c r="I1122" s="106">
        <f>IF($C1122="","",IFERROR(INDEX(Sens_Types,MATCH($C1122,Liste_Types,0)),""))</f>
        <v/>
      </c>
      <c r="J1122" s="107">
        <f>IF($I1122="▲ ENTRÉE",$U1122,"")</f>
        <v/>
      </c>
      <c r="K1122" s="108">
        <f>IF($I1122="▼ SORTIE",$U1122,"")</f>
        <v/>
      </c>
      <c r="L1122" s="109">
        <f>$L1121+N($J1122)-N($K1122)</f>
        <v/>
      </c>
      <c r="M1122" s="110" t="n"/>
      <c r="N1122" s="54" t="n"/>
      <c r="O1122" s="54" t="n"/>
      <c r="P1122" s="54" t="n"/>
      <c r="Q1122" s="110" t="n"/>
      <c r="R1122" s="110" t="n"/>
      <c r="S1122" s="54" t="n"/>
      <c r="T1122" s="111">
        <f>IF($G1122="","",IFERROR(INDEX(Taux_Devises,MATCH(IF($M1122="",Devise_Base,$M1122),Codes_Devises,0)),1))</f>
        <v/>
      </c>
      <c r="U1122" s="112">
        <f>IF($G1122="","",ROUND($G1122*$T1122,2))</f>
        <v/>
      </c>
      <c r="V1122" s="113">
        <f>IF($B1122="","",MONTH($B1122))</f>
        <v/>
      </c>
      <c r="W1122" s="113">
        <f>IF($B1122="","",YEAR($B1122))</f>
        <v/>
      </c>
    </row>
    <row r="1123">
      <c r="B1123" s="105" t="n"/>
      <c r="C1123" s="54" t="n"/>
      <c r="D1123" s="54" t="n"/>
      <c r="E1123" s="54" t="n"/>
      <c r="F1123" s="54" t="n"/>
      <c r="G1123" s="65" t="n"/>
      <c r="H1123" s="54" t="n"/>
      <c r="I1123" s="106">
        <f>IF($C1123="","",IFERROR(INDEX(Sens_Types,MATCH($C1123,Liste_Types,0)),""))</f>
        <v/>
      </c>
      <c r="J1123" s="107">
        <f>IF($I1123="▲ ENTRÉE",$U1123,"")</f>
        <v/>
      </c>
      <c r="K1123" s="108">
        <f>IF($I1123="▼ SORTIE",$U1123,"")</f>
        <v/>
      </c>
      <c r="L1123" s="109">
        <f>$L1122+N($J1123)-N($K1123)</f>
        <v/>
      </c>
      <c r="M1123" s="110" t="n"/>
      <c r="N1123" s="54" t="n"/>
      <c r="O1123" s="54" t="n"/>
      <c r="P1123" s="54" t="n"/>
      <c r="Q1123" s="110" t="n"/>
      <c r="R1123" s="110" t="n"/>
      <c r="S1123" s="54" t="n"/>
      <c r="T1123" s="111">
        <f>IF($G1123="","",IFERROR(INDEX(Taux_Devises,MATCH(IF($M1123="",Devise_Base,$M1123),Codes_Devises,0)),1))</f>
        <v/>
      </c>
      <c r="U1123" s="112">
        <f>IF($G1123="","",ROUND($G1123*$T1123,2))</f>
        <v/>
      </c>
      <c r="V1123" s="113">
        <f>IF($B1123="","",MONTH($B1123))</f>
        <v/>
      </c>
      <c r="W1123" s="113">
        <f>IF($B1123="","",YEAR($B1123))</f>
        <v/>
      </c>
    </row>
    <row r="1124">
      <c r="B1124" s="105" t="n"/>
      <c r="C1124" s="54" t="n"/>
      <c r="D1124" s="54" t="n"/>
      <c r="E1124" s="54" t="n"/>
      <c r="F1124" s="54" t="n"/>
      <c r="G1124" s="65" t="n"/>
      <c r="H1124" s="54" t="n"/>
      <c r="I1124" s="106">
        <f>IF($C1124="","",IFERROR(INDEX(Sens_Types,MATCH($C1124,Liste_Types,0)),""))</f>
        <v/>
      </c>
      <c r="J1124" s="107">
        <f>IF($I1124="▲ ENTRÉE",$U1124,"")</f>
        <v/>
      </c>
      <c r="K1124" s="108">
        <f>IF($I1124="▼ SORTIE",$U1124,"")</f>
        <v/>
      </c>
      <c r="L1124" s="109">
        <f>$L1123+N($J1124)-N($K1124)</f>
        <v/>
      </c>
      <c r="M1124" s="110" t="n"/>
      <c r="N1124" s="54" t="n"/>
      <c r="O1124" s="54" t="n"/>
      <c r="P1124" s="54" t="n"/>
      <c r="Q1124" s="110" t="n"/>
      <c r="R1124" s="110" t="n"/>
      <c r="S1124" s="54" t="n"/>
      <c r="T1124" s="111">
        <f>IF($G1124="","",IFERROR(INDEX(Taux_Devises,MATCH(IF($M1124="",Devise_Base,$M1124),Codes_Devises,0)),1))</f>
        <v/>
      </c>
      <c r="U1124" s="112">
        <f>IF($G1124="","",ROUND($G1124*$T1124,2))</f>
        <v/>
      </c>
      <c r="V1124" s="113">
        <f>IF($B1124="","",MONTH($B1124))</f>
        <v/>
      </c>
      <c r="W1124" s="113">
        <f>IF($B1124="","",YEAR($B1124))</f>
        <v/>
      </c>
    </row>
    <row r="1125">
      <c r="B1125" s="105" t="n"/>
      <c r="C1125" s="54" t="n"/>
      <c r="D1125" s="54" t="n"/>
      <c r="E1125" s="54" t="n"/>
      <c r="F1125" s="54" t="n"/>
      <c r="G1125" s="65" t="n"/>
      <c r="H1125" s="54" t="n"/>
      <c r="I1125" s="106">
        <f>IF($C1125="","",IFERROR(INDEX(Sens_Types,MATCH($C1125,Liste_Types,0)),""))</f>
        <v/>
      </c>
      <c r="J1125" s="107">
        <f>IF($I1125="▲ ENTRÉE",$U1125,"")</f>
        <v/>
      </c>
      <c r="K1125" s="108">
        <f>IF($I1125="▼ SORTIE",$U1125,"")</f>
        <v/>
      </c>
      <c r="L1125" s="109">
        <f>$L1124+N($J1125)-N($K1125)</f>
        <v/>
      </c>
      <c r="M1125" s="110" t="n"/>
      <c r="N1125" s="54" t="n"/>
      <c r="O1125" s="54" t="n"/>
      <c r="P1125" s="54" t="n"/>
      <c r="Q1125" s="110" t="n"/>
      <c r="R1125" s="110" t="n"/>
      <c r="S1125" s="54" t="n"/>
      <c r="T1125" s="111">
        <f>IF($G1125="","",IFERROR(INDEX(Taux_Devises,MATCH(IF($M1125="",Devise_Base,$M1125),Codes_Devises,0)),1))</f>
        <v/>
      </c>
      <c r="U1125" s="112">
        <f>IF($G1125="","",ROUND($G1125*$T1125,2))</f>
        <v/>
      </c>
      <c r="V1125" s="113">
        <f>IF($B1125="","",MONTH($B1125))</f>
        <v/>
      </c>
      <c r="W1125" s="113">
        <f>IF($B1125="","",YEAR($B1125))</f>
        <v/>
      </c>
    </row>
    <row r="1126">
      <c r="B1126" s="105" t="n"/>
      <c r="C1126" s="54" t="n"/>
      <c r="D1126" s="54" t="n"/>
      <c r="E1126" s="54" t="n"/>
      <c r="F1126" s="54" t="n"/>
      <c r="G1126" s="65" t="n"/>
      <c r="H1126" s="54" t="n"/>
      <c r="I1126" s="106">
        <f>IF($C1126="","",IFERROR(INDEX(Sens_Types,MATCH($C1126,Liste_Types,0)),""))</f>
        <v/>
      </c>
      <c r="J1126" s="107">
        <f>IF($I1126="▲ ENTRÉE",$U1126,"")</f>
        <v/>
      </c>
      <c r="K1126" s="108">
        <f>IF($I1126="▼ SORTIE",$U1126,"")</f>
        <v/>
      </c>
      <c r="L1126" s="109">
        <f>$L1125+N($J1126)-N($K1126)</f>
        <v/>
      </c>
      <c r="M1126" s="110" t="n"/>
      <c r="N1126" s="54" t="n"/>
      <c r="O1126" s="54" t="n"/>
      <c r="P1126" s="54" t="n"/>
      <c r="Q1126" s="110" t="n"/>
      <c r="R1126" s="110" t="n"/>
      <c r="S1126" s="54" t="n"/>
      <c r="T1126" s="111">
        <f>IF($G1126="","",IFERROR(INDEX(Taux_Devises,MATCH(IF($M1126="",Devise_Base,$M1126),Codes_Devises,0)),1))</f>
        <v/>
      </c>
      <c r="U1126" s="112">
        <f>IF($G1126="","",ROUND($G1126*$T1126,2))</f>
        <v/>
      </c>
      <c r="V1126" s="113">
        <f>IF($B1126="","",MONTH($B1126))</f>
        <v/>
      </c>
      <c r="W1126" s="113">
        <f>IF($B1126="","",YEAR($B1126))</f>
        <v/>
      </c>
    </row>
    <row r="1127">
      <c r="B1127" s="105" t="n"/>
      <c r="C1127" s="54" t="n"/>
      <c r="D1127" s="54" t="n"/>
      <c r="E1127" s="54" t="n"/>
      <c r="F1127" s="54" t="n"/>
      <c r="G1127" s="65" t="n"/>
      <c r="H1127" s="54" t="n"/>
      <c r="I1127" s="106">
        <f>IF($C1127="","",IFERROR(INDEX(Sens_Types,MATCH($C1127,Liste_Types,0)),""))</f>
        <v/>
      </c>
      <c r="J1127" s="107">
        <f>IF($I1127="▲ ENTRÉE",$U1127,"")</f>
        <v/>
      </c>
      <c r="K1127" s="108">
        <f>IF($I1127="▼ SORTIE",$U1127,"")</f>
        <v/>
      </c>
      <c r="L1127" s="109">
        <f>$L1126+N($J1127)-N($K1127)</f>
        <v/>
      </c>
      <c r="M1127" s="110" t="n"/>
      <c r="N1127" s="54" t="n"/>
      <c r="O1127" s="54" t="n"/>
      <c r="P1127" s="54" t="n"/>
      <c r="Q1127" s="110" t="n"/>
      <c r="R1127" s="110" t="n"/>
      <c r="S1127" s="54" t="n"/>
      <c r="T1127" s="111">
        <f>IF($G1127="","",IFERROR(INDEX(Taux_Devises,MATCH(IF($M1127="",Devise_Base,$M1127),Codes_Devises,0)),1))</f>
        <v/>
      </c>
      <c r="U1127" s="112">
        <f>IF($G1127="","",ROUND($G1127*$T1127,2))</f>
        <v/>
      </c>
      <c r="V1127" s="113">
        <f>IF($B1127="","",MONTH($B1127))</f>
        <v/>
      </c>
      <c r="W1127" s="113">
        <f>IF($B1127="","",YEAR($B1127))</f>
        <v/>
      </c>
    </row>
    <row r="1128">
      <c r="B1128" s="105" t="n"/>
      <c r="C1128" s="54" t="n"/>
      <c r="D1128" s="54" t="n"/>
      <c r="E1128" s="54" t="n"/>
      <c r="F1128" s="54" t="n"/>
      <c r="G1128" s="65" t="n"/>
      <c r="H1128" s="54" t="n"/>
      <c r="I1128" s="106">
        <f>IF($C1128="","",IFERROR(INDEX(Sens_Types,MATCH($C1128,Liste_Types,0)),""))</f>
        <v/>
      </c>
      <c r="J1128" s="107">
        <f>IF($I1128="▲ ENTRÉE",$U1128,"")</f>
        <v/>
      </c>
      <c r="K1128" s="108">
        <f>IF($I1128="▼ SORTIE",$U1128,"")</f>
        <v/>
      </c>
      <c r="L1128" s="109">
        <f>$L1127+N($J1128)-N($K1128)</f>
        <v/>
      </c>
      <c r="M1128" s="110" t="n"/>
      <c r="N1128" s="54" t="n"/>
      <c r="O1128" s="54" t="n"/>
      <c r="P1128" s="54" t="n"/>
      <c r="Q1128" s="110" t="n"/>
      <c r="R1128" s="110" t="n"/>
      <c r="S1128" s="54" t="n"/>
      <c r="T1128" s="111">
        <f>IF($G1128="","",IFERROR(INDEX(Taux_Devises,MATCH(IF($M1128="",Devise_Base,$M1128),Codes_Devises,0)),1))</f>
        <v/>
      </c>
      <c r="U1128" s="112">
        <f>IF($G1128="","",ROUND($G1128*$T1128,2))</f>
        <v/>
      </c>
      <c r="V1128" s="113">
        <f>IF($B1128="","",MONTH($B1128))</f>
        <v/>
      </c>
      <c r="W1128" s="113">
        <f>IF($B1128="","",YEAR($B1128))</f>
        <v/>
      </c>
    </row>
    <row r="1129">
      <c r="B1129" s="105" t="n"/>
      <c r="C1129" s="54" t="n"/>
      <c r="D1129" s="54" t="n"/>
      <c r="E1129" s="54" t="n"/>
      <c r="F1129" s="54" t="n"/>
      <c r="G1129" s="65" t="n"/>
      <c r="H1129" s="54" t="n"/>
      <c r="I1129" s="106">
        <f>IF($C1129="","",IFERROR(INDEX(Sens_Types,MATCH($C1129,Liste_Types,0)),""))</f>
        <v/>
      </c>
      <c r="J1129" s="107">
        <f>IF($I1129="▲ ENTRÉE",$U1129,"")</f>
        <v/>
      </c>
      <c r="K1129" s="108">
        <f>IF($I1129="▼ SORTIE",$U1129,"")</f>
        <v/>
      </c>
      <c r="L1129" s="109">
        <f>$L1128+N($J1129)-N($K1129)</f>
        <v/>
      </c>
      <c r="M1129" s="110" t="n"/>
      <c r="N1129" s="54" t="n"/>
      <c r="O1129" s="54" t="n"/>
      <c r="P1129" s="54" t="n"/>
      <c r="Q1129" s="110" t="n"/>
      <c r="R1129" s="110" t="n"/>
      <c r="S1129" s="54" t="n"/>
      <c r="T1129" s="111">
        <f>IF($G1129="","",IFERROR(INDEX(Taux_Devises,MATCH(IF($M1129="",Devise_Base,$M1129),Codes_Devises,0)),1))</f>
        <v/>
      </c>
      <c r="U1129" s="112">
        <f>IF($G1129="","",ROUND($G1129*$T1129,2))</f>
        <v/>
      </c>
      <c r="V1129" s="113">
        <f>IF($B1129="","",MONTH($B1129))</f>
        <v/>
      </c>
      <c r="W1129" s="113">
        <f>IF($B1129="","",YEAR($B1129))</f>
        <v/>
      </c>
    </row>
    <row r="1130">
      <c r="B1130" s="105" t="n"/>
      <c r="C1130" s="54" t="n"/>
      <c r="D1130" s="54" t="n"/>
      <c r="E1130" s="54" t="n"/>
      <c r="F1130" s="54" t="n"/>
      <c r="G1130" s="65" t="n"/>
      <c r="H1130" s="54" t="n"/>
      <c r="I1130" s="106">
        <f>IF($C1130="","",IFERROR(INDEX(Sens_Types,MATCH($C1130,Liste_Types,0)),""))</f>
        <v/>
      </c>
      <c r="J1130" s="107">
        <f>IF($I1130="▲ ENTRÉE",$U1130,"")</f>
        <v/>
      </c>
      <c r="K1130" s="108">
        <f>IF($I1130="▼ SORTIE",$U1130,"")</f>
        <v/>
      </c>
      <c r="L1130" s="109">
        <f>$L1129+N($J1130)-N($K1130)</f>
        <v/>
      </c>
      <c r="M1130" s="110" t="n"/>
      <c r="N1130" s="54" t="n"/>
      <c r="O1130" s="54" t="n"/>
      <c r="P1130" s="54" t="n"/>
      <c r="Q1130" s="110" t="n"/>
      <c r="R1130" s="110" t="n"/>
      <c r="S1130" s="54" t="n"/>
      <c r="T1130" s="111">
        <f>IF($G1130="","",IFERROR(INDEX(Taux_Devises,MATCH(IF($M1130="",Devise_Base,$M1130),Codes_Devises,0)),1))</f>
        <v/>
      </c>
      <c r="U1130" s="112">
        <f>IF($G1130="","",ROUND($G1130*$T1130,2))</f>
        <v/>
      </c>
      <c r="V1130" s="113">
        <f>IF($B1130="","",MONTH($B1130))</f>
        <v/>
      </c>
      <c r="W1130" s="113">
        <f>IF($B1130="","",YEAR($B1130))</f>
        <v/>
      </c>
    </row>
    <row r="1131">
      <c r="B1131" s="105" t="n"/>
      <c r="C1131" s="54" t="n"/>
      <c r="D1131" s="54" t="n"/>
      <c r="E1131" s="54" t="n"/>
      <c r="F1131" s="54" t="n"/>
      <c r="G1131" s="65" t="n"/>
      <c r="H1131" s="54" t="n"/>
      <c r="I1131" s="106">
        <f>IF($C1131="","",IFERROR(INDEX(Sens_Types,MATCH($C1131,Liste_Types,0)),""))</f>
        <v/>
      </c>
      <c r="J1131" s="107">
        <f>IF($I1131="▲ ENTRÉE",$U1131,"")</f>
        <v/>
      </c>
      <c r="K1131" s="108">
        <f>IF($I1131="▼ SORTIE",$U1131,"")</f>
        <v/>
      </c>
      <c r="L1131" s="109">
        <f>$L1130+N($J1131)-N($K1131)</f>
        <v/>
      </c>
      <c r="M1131" s="110" t="n"/>
      <c r="N1131" s="54" t="n"/>
      <c r="O1131" s="54" t="n"/>
      <c r="P1131" s="54" t="n"/>
      <c r="Q1131" s="110" t="n"/>
      <c r="R1131" s="110" t="n"/>
      <c r="S1131" s="54" t="n"/>
      <c r="T1131" s="111">
        <f>IF($G1131="","",IFERROR(INDEX(Taux_Devises,MATCH(IF($M1131="",Devise_Base,$M1131),Codes_Devises,0)),1))</f>
        <v/>
      </c>
      <c r="U1131" s="112">
        <f>IF($G1131="","",ROUND($G1131*$T1131,2))</f>
        <v/>
      </c>
      <c r="V1131" s="113">
        <f>IF($B1131="","",MONTH($B1131))</f>
        <v/>
      </c>
      <c r="W1131" s="113">
        <f>IF($B1131="","",YEAR($B1131))</f>
        <v/>
      </c>
    </row>
    <row r="1132">
      <c r="B1132" s="105" t="n"/>
      <c r="C1132" s="54" t="n"/>
      <c r="D1132" s="54" t="n"/>
      <c r="E1132" s="54" t="n"/>
      <c r="F1132" s="54" t="n"/>
      <c r="G1132" s="65" t="n"/>
      <c r="H1132" s="54" t="n"/>
      <c r="I1132" s="106">
        <f>IF($C1132="","",IFERROR(INDEX(Sens_Types,MATCH($C1132,Liste_Types,0)),""))</f>
        <v/>
      </c>
      <c r="J1132" s="107">
        <f>IF($I1132="▲ ENTRÉE",$U1132,"")</f>
        <v/>
      </c>
      <c r="K1132" s="108">
        <f>IF($I1132="▼ SORTIE",$U1132,"")</f>
        <v/>
      </c>
      <c r="L1132" s="109">
        <f>$L1131+N($J1132)-N($K1132)</f>
        <v/>
      </c>
      <c r="M1132" s="110" t="n"/>
      <c r="N1132" s="54" t="n"/>
      <c r="O1132" s="54" t="n"/>
      <c r="P1132" s="54" t="n"/>
      <c r="Q1132" s="110" t="n"/>
      <c r="R1132" s="110" t="n"/>
      <c r="S1132" s="54" t="n"/>
      <c r="T1132" s="111">
        <f>IF($G1132="","",IFERROR(INDEX(Taux_Devises,MATCH(IF($M1132="",Devise_Base,$M1132),Codes_Devises,0)),1))</f>
        <v/>
      </c>
      <c r="U1132" s="112">
        <f>IF($G1132="","",ROUND($G1132*$T1132,2))</f>
        <v/>
      </c>
      <c r="V1132" s="113">
        <f>IF($B1132="","",MONTH($B1132))</f>
        <v/>
      </c>
      <c r="W1132" s="113">
        <f>IF($B1132="","",YEAR($B1132))</f>
        <v/>
      </c>
    </row>
    <row r="1133">
      <c r="B1133" s="105" t="n"/>
      <c r="C1133" s="54" t="n"/>
      <c r="D1133" s="54" t="n"/>
      <c r="E1133" s="54" t="n"/>
      <c r="F1133" s="54" t="n"/>
      <c r="G1133" s="65" t="n"/>
      <c r="H1133" s="54" t="n"/>
      <c r="I1133" s="106">
        <f>IF($C1133="","",IFERROR(INDEX(Sens_Types,MATCH($C1133,Liste_Types,0)),""))</f>
        <v/>
      </c>
      <c r="J1133" s="107">
        <f>IF($I1133="▲ ENTRÉE",$U1133,"")</f>
        <v/>
      </c>
      <c r="K1133" s="108">
        <f>IF($I1133="▼ SORTIE",$U1133,"")</f>
        <v/>
      </c>
      <c r="L1133" s="109">
        <f>$L1132+N($J1133)-N($K1133)</f>
        <v/>
      </c>
      <c r="M1133" s="110" t="n"/>
      <c r="N1133" s="54" t="n"/>
      <c r="O1133" s="54" t="n"/>
      <c r="P1133" s="54" t="n"/>
      <c r="Q1133" s="110" t="n"/>
      <c r="R1133" s="110" t="n"/>
      <c r="S1133" s="54" t="n"/>
      <c r="T1133" s="111">
        <f>IF($G1133="","",IFERROR(INDEX(Taux_Devises,MATCH(IF($M1133="",Devise_Base,$M1133),Codes_Devises,0)),1))</f>
        <v/>
      </c>
      <c r="U1133" s="112">
        <f>IF($G1133="","",ROUND($G1133*$T1133,2))</f>
        <v/>
      </c>
      <c r="V1133" s="113">
        <f>IF($B1133="","",MONTH($B1133))</f>
        <v/>
      </c>
      <c r="W1133" s="113">
        <f>IF($B1133="","",YEAR($B1133))</f>
        <v/>
      </c>
    </row>
    <row r="1134">
      <c r="B1134" s="105" t="n"/>
      <c r="C1134" s="54" t="n"/>
      <c r="D1134" s="54" t="n"/>
      <c r="E1134" s="54" t="n"/>
      <c r="F1134" s="54" t="n"/>
      <c r="G1134" s="65" t="n"/>
      <c r="H1134" s="54" t="n"/>
      <c r="I1134" s="106">
        <f>IF($C1134="","",IFERROR(INDEX(Sens_Types,MATCH($C1134,Liste_Types,0)),""))</f>
        <v/>
      </c>
      <c r="J1134" s="107">
        <f>IF($I1134="▲ ENTRÉE",$U1134,"")</f>
        <v/>
      </c>
      <c r="K1134" s="108">
        <f>IF($I1134="▼ SORTIE",$U1134,"")</f>
        <v/>
      </c>
      <c r="L1134" s="109">
        <f>$L1133+N($J1134)-N($K1134)</f>
        <v/>
      </c>
      <c r="M1134" s="110" t="n"/>
      <c r="N1134" s="54" t="n"/>
      <c r="O1134" s="54" t="n"/>
      <c r="P1134" s="54" t="n"/>
      <c r="Q1134" s="110" t="n"/>
      <c r="R1134" s="110" t="n"/>
      <c r="S1134" s="54" t="n"/>
      <c r="T1134" s="111">
        <f>IF($G1134="","",IFERROR(INDEX(Taux_Devises,MATCH(IF($M1134="",Devise_Base,$M1134),Codes_Devises,0)),1))</f>
        <v/>
      </c>
      <c r="U1134" s="112">
        <f>IF($G1134="","",ROUND($G1134*$T1134,2))</f>
        <v/>
      </c>
      <c r="V1134" s="113">
        <f>IF($B1134="","",MONTH($B1134))</f>
        <v/>
      </c>
      <c r="W1134" s="113">
        <f>IF($B1134="","",YEAR($B1134))</f>
        <v/>
      </c>
    </row>
    <row r="1135">
      <c r="B1135" s="105" t="n"/>
      <c r="C1135" s="54" t="n"/>
      <c r="D1135" s="54" t="n"/>
      <c r="E1135" s="54" t="n"/>
      <c r="F1135" s="54" t="n"/>
      <c r="G1135" s="65" t="n"/>
      <c r="H1135" s="54" t="n"/>
      <c r="I1135" s="106">
        <f>IF($C1135="","",IFERROR(INDEX(Sens_Types,MATCH($C1135,Liste_Types,0)),""))</f>
        <v/>
      </c>
      <c r="J1135" s="107">
        <f>IF($I1135="▲ ENTRÉE",$U1135,"")</f>
        <v/>
      </c>
      <c r="K1135" s="108">
        <f>IF($I1135="▼ SORTIE",$U1135,"")</f>
        <v/>
      </c>
      <c r="L1135" s="109">
        <f>$L1134+N($J1135)-N($K1135)</f>
        <v/>
      </c>
      <c r="M1135" s="110" t="n"/>
      <c r="N1135" s="54" t="n"/>
      <c r="O1135" s="54" t="n"/>
      <c r="P1135" s="54" t="n"/>
      <c r="Q1135" s="110" t="n"/>
      <c r="R1135" s="110" t="n"/>
      <c r="S1135" s="54" t="n"/>
      <c r="T1135" s="111">
        <f>IF($G1135="","",IFERROR(INDEX(Taux_Devises,MATCH(IF($M1135="",Devise_Base,$M1135),Codes_Devises,0)),1))</f>
        <v/>
      </c>
      <c r="U1135" s="112">
        <f>IF($G1135="","",ROUND($G1135*$T1135,2))</f>
        <v/>
      </c>
      <c r="V1135" s="113">
        <f>IF($B1135="","",MONTH($B1135))</f>
        <v/>
      </c>
      <c r="W1135" s="113">
        <f>IF($B1135="","",YEAR($B1135))</f>
        <v/>
      </c>
    </row>
    <row r="1136">
      <c r="B1136" s="105" t="n"/>
      <c r="C1136" s="54" t="n"/>
      <c r="D1136" s="54" t="n"/>
      <c r="E1136" s="54" t="n"/>
      <c r="F1136" s="54" t="n"/>
      <c r="G1136" s="65" t="n"/>
      <c r="H1136" s="54" t="n"/>
      <c r="I1136" s="106">
        <f>IF($C1136="","",IFERROR(INDEX(Sens_Types,MATCH($C1136,Liste_Types,0)),""))</f>
        <v/>
      </c>
      <c r="J1136" s="107">
        <f>IF($I1136="▲ ENTRÉE",$U1136,"")</f>
        <v/>
      </c>
      <c r="K1136" s="108">
        <f>IF($I1136="▼ SORTIE",$U1136,"")</f>
        <v/>
      </c>
      <c r="L1136" s="109">
        <f>$L1135+N($J1136)-N($K1136)</f>
        <v/>
      </c>
      <c r="M1136" s="110" t="n"/>
      <c r="N1136" s="54" t="n"/>
      <c r="O1136" s="54" t="n"/>
      <c r="P1136" s="54" t="n"/>
      <c r="Q1136" s="110" t="n"/>
      <c r="R1136" s="110" t="n"/>
      <c r="S1136" s="54" t="n"/>
      <c r="T1136" s="111">
        <f>IF($G1136="","",IFERROR(INDEX(Taux_Devises,MATCH(IF($M1136="",Devise_Base,$M1136),Codes_Devises,0)),1))</f>
        <v/>
      </c>
      <c r="U1136" s="112">
        <f>IF($G1136="","",ROUND($G1136*$T1136,2))</f>
        <v/>
      </c>
      <c r="V1136" s="113">
        <f>IF($B1136="","",MONTH($B1136))</f>
        <v/>
      </c>
      <c r="W1136" s="113">
        <f>IF($B1136="","",YEAR($B1136))</f>
        <v/>
      </c>
    </row>
    <row r="1137">
      <c r="B1137" s="105" t="n"/>
      <c r="C1137" s="54" t="n"/>
      <c r="D1137" s="54" t="n"/>
      <c r="E1137" s="54" t="n"/>
      <c r="F1137" s="54" t="n"/>
      <c r="G1137" s="65" t="n"/>
      <c r="H1137" s="54" t="n"/>
      <c r="I1137" s="106">
        <f>IF($C1137="","",IFERROR(INDEX(Sens_Types,MATCH($C1137,Liste_Types,0)),""))</f>
        <v/>
      </c>
      <c r="J1137" s="107">
        <f>IF($I1137="▲ ENTRÉE",$U1137,"")</f>
        <v/>
      </c>
      <c r="K1137" s="108">
        <f>IF($I1137="▼ SORTIE",$U1137,"")</f>
        <v/>
      </c>
      <c r="L1137" s="109">
        <f>$L1136+N($J1137)-N($K1137)</f>
        <v/>
      </c>
      <c r="M1137" s="110" t="n"/>
      <c r="N1137" s="54" t="n"/>
      <c r="O1137" s="54" t="n"/>
      <c r="P1137" s="54" t="n"/>
      <c r="Q1137" s="110" t="n"/>
      <c r="R1137" s="110" t="n"/>
      <c r="S1137" s="54" t="n"/>
      <c r="T1137" s="111">
        <f>IF($G1137="","",IFERROR(INDEX(Taux_Devises,MATCH(IF($M1137="",Devise_Base,$M1137),Codes_Devises,0)),1))</f>
        <v/>
      </c>
      <c r="U1137" s="112">
        <f>IF($G1137="","",ROUND($G1137*$T1137,2))</f>
        <v/>
      </c>
      <c r="V1137" s="113">
        <f>IF($B1137="","",MONTH($B1137))</f>
        <v/>
      </c>
      <c r="W1137" s="113">
        <f>IF($B1137="","",YEAR($B1137))</f>
        <v/>
      </c>
    </row>
    <row r="1138">
      <c r="B1138" s="105" t="n"/>
      <c r="C1138" s="54" t="n"/>
      <c r="D1138" s="54" t="n"/>
      <c r="E1138" s="54" t="n"/>
      <c r="F1138" s="54" t="n"/>
      <c r="G1138" s="65" t="n"/>
      <c r="H1138" s="54" t="n"/>
      <c r="I1138" s="106">
        <f>IF($C1138="","",IFERROR(INDEX(Sens_Types,MATCH($C1138,Liste_Types,0)),""))</f>
        <v/>
      </c>
      <c r="J1138" s="107">
        <f>IF($I1138="▲ ENTRÉE",$U1138,"")</f>
        <v/>
      </c>
      <c r="K1138" s="108">
        <f>IF($I1138="▼ SORTIE",$U1138,"")</f>
        <v/>
      </c>
      <c r="L1138" s="109">
        <f>$L1137+N($J1138)-N($K1138)</f>
        <v/>
      </c>
      <c r="M1138" s="110" t="n"/>
      <c r="N1138" s="54" t="n"/>
      <c r="O1138" s="54" t="n"/>
      <c r="P1138" s="54" t="n"/>
      <c r="Q1138" s="110" t="n"/>
      <c r="R1138" s="110" t="n"/>
      <c r="S1138" s="54" t="n"/>
      <c r="T1138" s="111">
        <f>IF($G1138="","",IFERROR(INDEX(Taux_Devises,MATCH(IF($M1138="",Devise_Base,$M1138),Codes_Devises,0)),1))</f>
        <v/>
      </c>
      <c r="U1138" s="112">
        <f>IF($G1138="","",ROUND($G1138*$T1138,2))</f>
        <v/>
      </c>
      <c r="V1138" s="113">
        <f>IF($B1138="","",MONTH($B1138))</f>
        <v/>
      </c>
      <c r="W1138" s="113">
        <f>IF($B1138="","",YEAR($B1138))</f>
        <v/>
      </c>
    </row>
    <row r="1139">
      <c r="B1139" s="105" t="n"/>
      <c r="C1139" s="54" t="n"/>
      <c r="D1139" s="54" t="n"/>
      <c r="E1139" s="54" t="n"/>
      <c r="F1139" s="54" t="n"/>
      <c r="G1139" s="65" t="n"/>
      <c r="H1139" s="54" t="n"/>
      <c r="I1139" s="106">
        <f>IF($C1139="","",IFERROR(INDEX(Sens_Types,MATCH($C1139,Liste_Types,0)),""))</f>
        <v/>
      </c>
      <c r="J1139" s="107">
        <f>IF($I1139="▲ ENTRÉE",$U1139,"")</f>
        <v/>
      </c>
      <c r="K1139" s="108">
        <f>IF($I1139="▼ SORTIE",$U1139,"")</f>
        <v/>
      </c>
      <c r="L1139" s="109">
        <f>$L1138+N($J1139)-N($K1139)</f>
        <v/>
      </c>
      <c r="M1139" s="110" t="n"/>
      <c r="N1139" s="54" t="n"/>
      <c r="O1139" s="54" t="n"/>
      <c r="P1139" s="54" t="n"/>
      <c r="Q1139" s="110" t="n"/>
      <c r="R1139" s="110" t="n"/>
      <c r="S1139" s="54" t="n"/>
      <c r="T1139" s="111">
        <f>IF($G1139="","",IFERROR(INDEX(Taux_Devises,MATCH(IF($M1139="",Devise_Base,$M1139),Codes_Devises,0)),1))</f>
        <v/>
      </c>
      <c r="U1139" s="112">
        <f>IF($G1139="","",ROUND($G1139*$T1139,2))</f>
        <v/>
      </c>
      <c r="V1139" s="113">
        <f>IF($B1139="","",MONTH($B1139))</f>
        <v/>
      </c>
      <c r="W1139" s="113">
        <f>IF($B1139="","",YEAR($B1139))</f>
        <v/>
      </c>
    </row>
    <row r="1140">
      <c r="B1140" s="105" t="n"/>
      <c r="C1140" s="54" t="n"/>
      <c r="D1140" s="54" t="n"/>
      <c r="E1140" s="54" t="n"/>
      <c r="F1140" s="54" t="n"/>
      <c r="G1140" s="65" t="n"/>
      <c r="H1140" s="54" t="n"/>
      <c r="I1140" s="106">
        <f>IF($C1140="","",IFERROR(INDEX(Sens_Types,MATCH($C1140,Liste_Types,0)),""))</f>
        <v/>
      </c>
      <c r="J1140" s="107">
        <f>IF($I1140="▲ ENTRÉE",$U1140,"")</f>
        <v/>
      </c>
      <c r="K1140" s="108">
        <f>IF($I1140="▼ SORTIE",$U1140,"")</f>
        <v/>
      </c>
      <c r="L1140" s="109">
        <f>$L1139+N($J1140)-N($K1140)</f>
        <v/>
      </c>
      <c r="M1140" s="110" t="n"/>
      <c r="N1140" s="54" t="n"/>
      <c r="O1140" s="54" t="n"/>
      <c r="P1140" s="54" t="n"/>
      <c r="Q1140" s="110" t="n"/>
      <c r="R1140" s="110" t="n"/>
      <c r="S1140" s="54" t="n"/>
      <c r="T1140" s="111">
        <f>IF($G1140="","",IFERROR(INDEX(Taux_Devises,MATCH(IF($M1140="",Devise_Base,$M1140),Codes_Devises,0)),1))</f>
        <v/>
      </c>
      <c r="U1140" s="112">
        <f>IF($G1140="","",ROUND($G1140*$T1140,2))</f>
        <v/>
      </c>
      <c r="V1140" s="113">
        <f>IF($B1140="","",MONTH($B1140))</f>
        <v/>
      </c>
      <c r="W1140" s="113">
        <f>IF($B1140="","",YEAR($B1140))</f>
        <v/>
      </c>
    </row>
    <row r="1141">
      <c r="B1141" s="105" t="n"/>
      <c r="C1141" s="54" t="n"/>
      <c r="D1141" s="54" t="n"/>
      <c r="E1141" s="54" t="n"/>
      <c r="F1141" s="54" t="n"/>
      <c r="G1141" s="65" t="n"/>
      <c r="H1141" s="54" t="n"/>
      <c r="I1141" s="106">
        <f>IF($C1141="","",IFERROR(INDEX(Sens_Types,MATCH($C1141,Liste_Types,0)),""))</f>
        <v/>
      </c>
      <c r="J1141" s="107">
        <f>IF($I1141="▲ ENTRÉE",$U1141,"")</f>
        <v/>
      </c>
      <c r="K1141" s="108">
        <f>IF($I1141="▼ SORTIE",$U1141,"")</f>
        <v/>
      </c>
      <c r="L1141" s="109">
        <f>$L1140+N($J1141)-N($K1141)</f>
        <v/>
      </c>
      <c r="M1141" s="110" t="n"/>
      <c r="N1141" s="54" t="n"/>
      <c r="O1141" s="54" t="n"/>
      <c r="P1141" s="54" t="n"/>
      <c r="Q1141" s="110" t="n"/>
      <c r="R1141" s="110" t="n"/>
      <c r="S1141" s="54" t="n"/>
      <c r="T1141" s="111">
        <f>IF($G1141="","",IFERROR(INDEX(Taux_Devises,MATCH(IF($M1141="",Devise_Base,$M1141),Codes_Devises,0)),1))</f>
        <v/>
      </c>
      <c r="U1141" s="112">
        <f>IF($G1141="","",ROUND($G1141*$T1141,2))</f>
        <v/>
      </c>
      <c r="V1141" s="113">
        <f>IF($B1141="","",MONTH($B1141))</f>
        <v/>
      </c>
      <c r="W1141" s="113">
        <f>IF($B1141="","",YEAR($B1141))</f>
        <v/>
      </c>
    </row>
    <row r="1142">
      <c r="B1142" s="105" t="n"/>
      <c r="C1142" s="54" t="n"/>
      <c r="D1142" s="54" t="n"/>
      <c r="E1142" s="54" t="n"/>
      <c r="F1142" s="54" t="n"/>
      <c r="G1142" s="65" t="n"/>
      <c r="H1142" s="54" t="n"/>
      <c r="I1142" s="106">
        <f>IF($C1142="","",IFERROR(INDEX(Sens_Types,MATCH($C1142,Liste_Types,0)),""))</f>
        <v/>
      </c>
      <c r="J1142" s="107">
        <f>IF($I1142="▲ ENTRÉE",$U1142,"")</f>
        <v/>
      </c>
      <c r="K1142" s="108">
        <f>IF($I1142="▼ SORTIE",$U1142,"")</f>
        <v/>
      </c>
      <c r="L1142" s="109">
        <f>$L1141+N($J1142)-N($K1142)</f>
        <v/>
      </c>
      <c r="M1142" s="110" t="n"/>
      <c r="N1142" s="54" t="n"/>
      <c r="O1142" s="54" t="n"/>
      <c r="P1142" s="54" t="n"/>
      <c r="Q1142" s="110" t="n"/>
      <c r="R1142" s="110" t="n"/>
      <c r="S1142" s="54" t="n"/>
      <c r="T1142" s="111">
        <f>IF($G1142="","",IFERROR(INDEX(Taux_Devises,MATCH(IF($M1142="",Devise_Base,$M1142),Codes_Devises,0)),1))</f>
        <v/>
      </c>
      <c r="U1142" s="112">
        <f>IF($G1142="","",ROUND($G1142*$T1142,2))</f>
        <v/>
      </c>
      <c r="V1142" s="113">
        <f>IF($B1142="","",MONTH($B1142))</f>
        <v/>
      </c>
      <c r="W1142" s="113">
        <f>IF($B1142="","",YEAR($B1142))</f>
        <v/>
      </c>
    </row>
    <row r="1143">
      <c r="B1143" s="105" t="n"/>
      <c r="C1143" s="54" t="n"/>
      <c r="D1143" s="54" t="n"/>
      <c r="E1143" s="54" t="n"/>
      <c r="F1143" s="54" t="n"/>
      <c r="G1143" s="65" t="n"/>
      <c r="H1143" s="54" t="n"/>
      <c r="I1143" s="106">
        <f>IF($C1143="","",IFERROR(INDEX(Sens_Types,MATCH($C1143,Liste_Types,0)),""))</f>
        <v/>
      </c>
      <c r="J1143" s="107">
        <f>IF($I1143="▲ ENTRÉE",$U1143,"")</f>
        <v/>
      </c>
      <c r="K1143" s="108">
        <f>IF($I1143="▼ SORTIE",$U1143,"")</f>
        <v/>
      </c>
      <c r="L1143" s="109">
        <f>$L1142+N($J1143)-N($K1143)</f>
        <v/>
      </c>
      <c r="M1143" s="110" t="n"/>
      <c r="N1143" s="54" t="n"/>
      <c r="O1143" s="54" t="n"/>
      <c r="P1143" s="54" t="n"/>
      <c r="Q1143" s="110" t="n"/>
      <c r="R1143" s="110" t="n"/>
      <c r="S1143" s="54" t="n"/>
      <c r="T1143" s="111">
        <f>IF($G1143="","",IFERROR(INDEX(Taux_Devises,MATCH(IF($M1143="",Devise_Base,$M1143),Codes_Devises,0)),1))</f>
        <v/>
      </c>
      <c r="U1143" s="112">
        <f>IF($G1143="","",ROUND($G1143*$T1143,2))</f>
        <v/>
      </c>
      <c r="V1143" s="113">
        <f>IF($B1143="","",MONTH($B1143))</f>
        <v/>
      </c>
      <c r="W1143" s="113">
        <f>IF($B1143="","",YEAR($B1143))</f>
        <v/>
      </c>
    </row>
    <row r="1144">
      <c r="B1144" s="105" t="n"/>
      <c r="C1144" s="54" t="n"/>
      <c r="D1144" s="54" t="n"/>
      <c r="E1144" s="54" t="n"/>
      <c r="F1144" s="54" t="n"/>
      <c r="G1144" s="65" t="n"/>
      <c r="H1144" s="54" t="n"/>
      <c r="I1144" s="106">
        <f>IF($C1144="","",IFERROR(INDEX(Sens_Types,MATCH($C1144,Liste_Types,0)),""))</f>
        <v/>
      </c>
      <c r="J1144" s="107">
        <f>IF($I1144="▲ ENTRÉE",$U1144,"")</f>
        <v/>
      </c>
      <c r="K1144" s="108">
        <f>IF($I1144="▼ SORTIE",$U1144,"")</f>
        <v/>
      </c>
      <c r="L1144" s="109">
        <f>$L1143+N($J1144)-N($K1144)</f>
        <v/>
      </c>
      <c r="M1144" s="110" t="n"/>
      <c r="N1144" s="54" t="n"/>
      <c r="O1144" s="54" t="n"/>
      <c r="P1144" s="54" t="n"/>
      <c r="Q1144" s="110" t="n"/>
      <c r="R1144" s="110" t="n"/>
      <c r="S1144" s="54" t="n"/>
      <c r="T1144" s="111">
        <f>IF($G1144="","",IFERROR(INDEX(Taux_Devises,MATCH(IF($M1144="",Devise_Base,$M1144),Codes_Devises,0)),1))</f>
        <v/>
      </c>
      <c r="U1144" s="112">
        <f>IF($G1144="","",ROUND($G1144*$T1144,2))</f>
        <v/>
      </c>
      <c r="V1144" s="113">
        <f>IF($B1144="","",MONTH($B1144))</f>
        <v/>
      </c>
      <c r="W1144" s="113">
        <f>IF($B1144="","",YEAR($B1144))</f>
        <v/>
      </c>
    </row>
    <row r="1145">
      <c r="B1145" s="105" t="n"/>
      <c r="C1145" s="54" t="n"/>
      <c r="D1145" s="54" t="n"/>
      <c r="E1145" s="54" t="n"/>
      <c r="F1145" s="54" t="n"/>
      <c r="G1145" s="65" t="n"/>
      <c r="H1145" s="54" t="n"/>
      <c r="I1145" s="106">
        <f>IF($C1145="","",IFERROR(INDEX(Sens_Types,MATCH($C1145,Liste_Types,0)),""))</f>
        <v/>
      </c>
      <c r="J1145" s="107">
        <f>IF($I1145="▲ ENTRÉE",$U1145,"")</f>
        <v/>
      </c>
      <c r="K1145" s="108">
        <f>IF($I1145="▼ SORTIE",$U1145,"")</f>
        <v/>
      </c>
      <c r="L1145" s="109">
        <f>$L1144+N($J1145)-N($K1145)</f>
        <v/>
      </c>
      <c r="M1145" s="110" t="n"/>
      <c r="N1145" s="54" t="n"/>
      <c r="O1145" s="54" t="n"/>
      <c r="P1145" s="54" t="n"/>
      <c r="Q1145" s="110" t="n"/>
      <c r="R1145" s="110" t="n"/>
      <c r="S1145" s="54" t="n"/>
      <c r="T1145" s="111">
        <f>IF($G1145="","",IFERROR(INDEX(Taux_Devises,MATCH(IF($M1145="",Devise_Base,$M1145),Codes_Devises,0)),1))</f>
        <v/>
      </c>
      <c r="U1145" s="112">
        <f>IF($G1145="","",ROUND($G1145*$T1145,2))</f>
        <v/>
      </c>
      <c r="V1145" s="113">
        <f>IF($B1145="","",MONTH($B1145))</f>
        <v/>
      </c>
      <c r="W1145" s="113">
        <f>IF($B1145="","",YEAR($B1145))</f>
        <v/>
      </c>
    </row>
    <row r="1146">
      <c r="B1146" s="105" t="n"/>
      <c r="C1146" s="54" t="n"/>
      <c r="D1146" s="54" t="n"/>
      <c r="E1146" s="54" t="n"/>
      <c r="F1146" s="54" t="n"/>
      <c r="G1146" s="65" t="n"/>
      <c r="H1146" s="54" t="n"/>
      <c r="I1146" s="106">
        <f>IF($C1146="","",IFERROR(INDEX(Sens_Types,MATCH($C1146,Liste_Types,0)),""))</f>
        <v/>
      </c>
      <c r="J1146" s="107">
        <f>IF($I1146="▲ ENTRÉE",$U1146,"")</f>
        <v/>
      </c>
      <c r="K1146" s="108">
        <f>IF($I1146="▼ SORTIE",$U1146,"")</f>
        <v/>
      </c>
      <c r="L1146" s="109">
        <f>$L1145+N($J1146)-N($K1146)</f>
        <v/>
      </c>
      <c r="M1146" s="110" t="n"/>
      <c r="N1146" s="54" t="n"/>
      <c r="O1146" s="54" t="n"/>
      <c r="P1146" s="54" t="n"/>
      <c r="Q1146" s="110" t="n"/>
      <c r="R1146" s="110" t="n"/>
      <c r="S1146" s="54" t="n"/>
      <c r="T1146" s="111">
        <f>IF($G1146="","",IFERROR(INDEX(Taux_Devises,MATCH(IF($M1146="",Devise_Base,$M1146),Codes_Devises,0)),1))</f>
        <v/>
      </c>
      <c r="U1146" s="112">
        <f>IF($G1146="","",ROUND($G1146*$T1146,2))</f>
        <v/>
      </c>
      <c r="V1146" s="113">
        <f>IF($B1146="","",MONTH($B1146))</f>
        <v/>
      </c>
      <c r="W1146" s="113">
        <f>IF($B1146="","",YEAR($B1146))</f>
        <v/>
      </c>
    </row>
    <row r="1147">
      <c r="B1147" s="105" t="n"/>
      <c r="C1147" s="54" t="n"/>
      <c r="D1147" s="54" t="n"/>
      <c r="E1147" s="54" t="n"/>
      <c r="F1147" s="54" t="n"/>
      <c r="G1147" s="65" t="n"/>
      <c r="H1147" s="54" t="n"/>
      <c r="I1147" s="106">
        <f>IF($C1147="","",IFERROR(INDEX(Sens_Types,MATCH($C1147,Liste_Types,0)),""))</f>
        <v/>
      </c>
      <c r="J1147" s="107">
        <f>IF($I1147="▲ ENTRÉE",$U1147,"")</f>
        <v/>
      </c>
      <c r="K1147" s="108">
        <f>IF($I1147="▼ SORTIE",$U1147,"")</f>
        <v/>
      </c>
      <c r="L1147" s="109">
        <f>$L1146+N($J1147)-N($K1147)</f>
        <v/>
      </c>
      <c r="M1147" s="110" t="n"/>
      <c r="N1147" s="54" t="n"/>
      <c r="O1147" s="54" t="n"/>
      <c r="P1147" s="54" t="n"/>
      <c r="Q1147" s="110" t="n"/>
      <c r="R1147" s="110" t="n"/>
      <c r="S1147" s="54" t="n"/>
      <c r="T1147" s="111">
        <f>IF($G1147="","",IFERROR(INDEX(Taux_Devises,MATCH(IF($M1147="",Devise_Base,$M1147),Codes_Devises,0)),1))</f>
        <v/>
      </c>
      <c r="U1147" s="112">
        <f>IF($G1147="","",ROUND($G1147*$T1147,2))</f>
        <v/>
      </c>
      <c r="V1147" s="113">
        <f>IF($B1147="","",MONTH($B1147))</f>
        <v/>
      </c>
      <c r="W1147" s="113">
        <f>IF($B1147="","",YEAR($B1147))</f>
        <v/>
      </c>
    </row>
    <row r="1148">
      <c r="B1148" s="105" t="n"/>
      <c r="C1148" s="54" t="n"/>
      <c r="D1148" s="54" t="n"/>
      <c r="E1148" s="54" t="n"/>
      <c r="F1148" s="54" t="n"/>
      <c r="G1148" s="65" t="n"/>
      <c r="H1148" s="54" t="n"/>
      <c r="I1148" s="106">
        <f>IF($C1148="","",IFERROR(INDEX(Sens_Types,MATCH($C1148,Liste_Types,0)),""))</f>
        <v/>
      </c>
      <c r="J1148" s="107">
        <f>IF($I1148="▲ ENTRÉE",$U1148,"")</f>
        <v/>
      </c>
      <c r="K1148" s="108">
        <f>IF($I1148="▼ SORTIE",$U1148,"")</f>
        <v/>
      </c>
      <c r="L1148" s="109">
        <f>$L1147+N($J1148)-N($K1148)</f>
        <v/>
      </c>
      <c r="M1148" s="110" t="n"/>
      <c r="N1148" s="54" t="n"/>
      <c r="O1148" s="54" t="n"/>
      <c r="P1148" s="54" t="n"/>
      <c r="Q1148" s="110" t="n"/>
      <c r="R1148" s="110" t="n"/>
      <c r="S1148" s="54" t="n"/>
      <c r="T1148" s="111">
        <f>IF($G1148="","",IFERROR(INDEX(Taux_Devises,MATCH(IF($M1148="",Devise_Base,$M1148),Codes_Devises,0)),1))</f>
        <v/>
      </c>
      <c r="U1148" s="112">
        <f>IF($G1148="","",ROUND($G1148*$T1148,2))</f>
        <v/>
      </c>
      <c r="V1148" s="113">
        <f>IF($B1148="","",MONTH($B1148))</f>
        <v/>
      </c>
      <c r="W1148" s="113">
        <f>IF($B1148="","",YEAR($B1148))</f>
        <v/>
      </c>
    </row>
    <row r="1149">
      <c r="B1149" s="105" t="n"/>
      <c r="C1149" s="54" t="n"/>
      <c r="D1149" s="54" t="n"/>
      <c r="E1149" s="54" t="n"/>
      <c r="F1149" s="54" t="n"/>
      <c r="G1149" s="65" t="n"/>
      <c r="H1149" s="54" t="n"/>
      <c r="I1149" s="106">
        <f>IF($C1149="","",IFERROR(INDEX(Sens_Types,MATCH($C1149,Liste_Types,0)),""))</f>
        <v/>
      </c>
      <c r="J1149" s="107">
        <f>IF($I1149="▲ ENTRÉE",$U1149,"")</f>
        <v/>
      </c>
      <c r="K1149" s="108">
        <f>IF($I1149="▼ SORTIE",$U1149,"")</f>
        <v/>
      </c>
      <c r="L1149" s="109">
        <f>$L1148+N($J1149)-N($K1149)</f>
        <v/>
      </c>
      <c r="M1149" s="110" t="n"/>
      <c r="N1149" s="54" t="n"/>
      <c r="O1149" s="54" t="n"/>
      <c r="P1149" s="54" t="n"/>
      <c r="Q1149" s="110" t="n"/>
      <c r="R1149" s="110" t="n"/>
      <c r="S1149" s="54" t="n"/>
      <c r="T1149" s="111">
        <f>IF($G1149="","",IFERROR(INDEX(Taux_Devises,MATCH(IF($M1149="",Devise_Base,$M1149),Codes_Devises,0)),1))</f>
        <v/>
      </c>
      <c r="U1149" s="112">
        <f>IF($G1149="","",ROUND($G1149*$T1149,2))</f>
        <v/>
      </c>
      <c r="V1149" s="113">
        <f>IF($B1149="","",MONTH($B1149))</f>
        <v/>
      </c>
      <c r="W1149" s="113">
        <f>IF($B1149="","",YEAR($B1149))</f>
        <v/>
      </c>
    </row>
    <row r="1150">
      <c r="B1150" s="105" t="n"/>
      <c r="C1150" s="54" t="n"/>
      <c r="D1150" s="54" t="n"/>
      <c r="E1150" s="54" t="n"/>
      <c r="F1150" s="54" t="n"/>
      <c r="G1150" s="65" t="n"/>
      <c r="H1150" s="54" t="n"/>
      <c r="I1150" s="106">
        <f>IF($C1150="","",IFERROR(INDEX(Sens_Types,MATCH($C1150,Liste_Types,0)),""))</f>
        <v/>
      </c>
      <c r="J1150" s="107">
        <f>IF($I1150="▲ ENTRÉE",$U1150,"")</f>
        <v/>
      </c>
      <c r="K1150" s="108">
        <f>IF($I1150="▼ SORTIE",$U1150,"")</f>
        <v/>
      </c>
      <c r="L1150" s="109">
        <f>$L1149+N($J1150)-N($K1150)</f>
        <v/>
      </c>
      <c r="M1150" s="110" t="n"/>
      <c r="N1150" s="54" t="n"/>
      <c r="O1150" s="54" t="n"/>
      <c r="P1150" s="54" t="n"/>
      <c r="Q1150" s="110" t="n"/>
      <c r="R1150" s="110" t="n"/>
      <c r="S1150" s="54" t="n"/>
      <c r="T1150" s="111">
        <f>IF($G1150="","",IFERROR(INDEX(Taux_Devises,MATCH(IF($M1150="",Devise_Base,$M1150),Codes_Devises,0)),1))</f>
        <v/>
      </c>
      <c r="U1150" s="112">
        <f>IF($G1150="","",ROUND($G1150*$T1150,2))</f>
        <v/>
      </c>
      <c r="V1150" s="113">
        <f>IF($B1150="","",MONTH($B1150))</f>
        <v/>
      </c>
      <c r="W1150" s="113">
        <f>IF($B1150="","",YEAR($B1150))</f>
        <v/>
      </c>
    </row>
    <row r="1151">
      <c r="B1151" s="105" t="n"/>
      <c r="C1151" s="54" t="n"/>
      <c r="D1151" s="54" t="n"/>
      <c r="E1151" s="54" t="n"/>
      <c r="F1151" s="54" t="n"/>
      <c r="G1151" s="65" t="n"/>
      <c r="H1151" s="54" t="n"/>
      <c r="I1151" s="106">
        <f>IF($C1151="","",IFERROR(INDEX(Sens_Types,MATCH($C1151,Liste_Types,0)),""))</f>
        <v/>
      </c>
      <c r="J1151" s="107">
        <f>IF($I1151="▲ ENTRÉE",$U1151,"")</f>
        <v/>
      </c>
      <c r="K1151" s="108">
        <f>IF($I1151="▼ SORTIE",$U1151,"")</f>
        <v/>
      </c>
      <c r="L1151" s="109">
        <f>$L1150+N($J1151)-N($K1151)</f>
        <v/>
      </c>
      <c r="M1151" s="110" t="n"/>
      <c r="N1151" s="54" t="n"/>
      <c r="O1151" s="54" t="n"/>
      <c r="P1151" s="54" t="n"/>
      <c r="Q1151" s="110" t="n"/>
      <c r="R1151" s="110" t="n"/>
      <c r="S1151" s="54" t="n"/>
      <c r="T1151" s="111">
        <f>IF($G1151="","",IFERROR(INDEX(Taux_Devises,MATCH(IF($M1151="",Devise_Base,$M1151),Codes_Devises,0)),1))</f>
        <v/>
      </c>
      <c r="U1151" s="112">
        <f>IF($G1151="","",ROUND($G1151*$T1151,2))</f>
        <v/>
      </c>
      <c r="V1151" s="113">
        <f>IF($B1151="","",MONTH($B1151))</f>
        <v/>
      </c>
      <c r="W1151" s="113">
        <f>IF($B1151="","",YEAR($B1151))</f>
        <v/>
      </c>
    </row>
    <row r="1152">
      <c r="B1152" s="105" t="n"/>
      <c r="C1152" s="54" t="n"/>
      <c r="D1152" s="54" t="n"/>
      <c r="E1152" s="54" t="n"/>
      <c r="F1152" s="54" t="n"/>
      <c r="G1152" s="65" t="n"/>
      <c r="H1152" s="54" t="n"/>
      <c r="I1152" s="106">
        <f>IF($C1152="","",IFERROR(INDEX(Sens_Types,MATCH($C1152,Liste_Types,0)),""))</f>
        <v/>
      </c>
      <c r="J1152" s="107">
        <f>IF($I1152="▲ ENTRÉE",$U1152,"")</f>
        <v/>
      </c>
      <c r="K1152" s="108">
        <f>IF($I1152="▼ SORTIE",$U1152,"")</f>
        <v/>
      </c>
      <c r="L1152" s="109">
        <f>$L1151+N($J1152)-N($K1152)</f>
        <v/>
      </c>
      <c r="M1152" s="110" t="n"/>
      <c r="N1152" s="54" t="n"/>
      <c r="O1152" s="54" t="n"/>
      <c r="P1152" s="54" t="n"/>
      <c r="Q1152" s="110" t="n"/>
      <c r="R1152" s="110" t="n"/>
      <c r="S1152" s="54" t="n"/>
      <c r="T1152" s="111">
        <f>IF($G1152="","",IFERROR(INDEX(Taux_Devises,MATCH(IF($M1152="",Devise_Base,$M1152),Codes_Devises,0)),1))</f>
        <v/>
      </c>
      <c r="U1152" s="112">
        <f>IF($G1152="","",ROUND($G1152*$T1152,2))</f>
        <v/>
      </c>
      <c r="V1152" s="113">
        <f>IF($B1152="","",MONTH($B1152))</f>
        <v/>
      </c>
      <c r="W1152" s="113">
        <f>IF($B1152="","",YEAR($B1152))</f>
        <v/>
      </c>
    </row>
    <row r="1153">
      <c r="B1153" s="105" t="n"/>
      <c r="C1153" s="54" t="n"/>
      <c r="D1153" s="54" t="n"/>
      <c r="E1153" s="54" t="n"/>
      <c r="F1153" s="54" t="n"/>
      <c r="G1153" s="65" t="n"/>
      <c r="H1153" s="54" t="n"/>
      <c r="I1153" s="106">
        <f>IF($C1153="","",IFERROR(INDEX(Sens_Types,MATCH($C1153,Liste_Types,0)),""))</f>
        <v/>
      </c>
      <c r="J1153" s="107">
        <f>IF($I1153="▲ ENTRÉE",$U1153,"")</f>
        <v/>
      </c>
      <c r="K1153" s="108">
        <f>IF($I1153="▼ SORTIE",$U1153,"")</f>
        <v/>
      </c>
      <c r="L1153" s="109">
        <f>$L1152+N($J1153)-N($K1153)</f>
        <v/>
      </c>
      <c r="M1153" s="110" t="n"/>
      <c r="N1153" s="54" t="n"/>
      <c r="O1153" s="54" t="n"/>
      <c r="P1153" s="54" t="n"/>
      <c r="Q1153" s="110" t="n"/>
      <c r="R1153" s="110" t="n"/>
      <c r="S1153" s="54" t="n"/>
      <c r="T1153" s="111">
        <f>IF($G1153="","",IFERROR(INDEX(Taux_Devises,MATCH(IF($M1153="",Devise_Base,$M1153),Codes_Devises,0)),1))</f>
        <v/>
      </c>
      <c r="U1153" s="112">
        <f>IF($G1153="","",ROUND($G1153*$T1153,2))</f>
        <v/>
      </c>
      <c r="V1153" s="113">
        <f>IF($B1153="","",MONTH($B1153))</f>
        <v/>
      </c>
      <c r="W1153" s="113">
        <f>IF($B1153="","",YEAR($B1153))</f>
        <v/>
      </c>
    </row>
    <row r="1154">
      <c r="B1154" s="105" t="n"/>
      <c r="C1154" s="54" t="n"/>
      <c r="D1154" s="54" t="n"/>
      <c r="E1154" s="54" t="n"/>
      <c r="F1154" s="54" t="n"/>
      <c r="G1154" s="65" t="n"/>
      <c r="H1154" s="54" t="n"/>
      <c r="I1154" s="106">
        <f>IF($C1154="","",IFERROR(INDEX(Sens_Types,MATCH($C1154,Liste_Types,0)),""))</f>
        <v/>
      </c>
      <c r="J1154" s="107">
        <f>IF($I1154="▲ ENTRÉE",$U1154,"")</f>
        <v/>
      </c>
      <c r="K1154" s="108">
        <f>IF($I1154="▼ SORTIE",$U1154,"")</f>
        <v/>
      </c>
      <c r="L1154" s="109">
        <f>$L1153+N($J1154)-N($K1154)</f>
        <v/>
      </c>
      <c r="M1154" s="110" t="n"/>
      <c r="N1154" s="54" t="n"/>
      <c r="O1154" s="54" t="n"/>
      <c r="P1154" s="54" t="n"/>
      <c r="Q1154" s="110" t="n"/>
      <c r="R1154" s="110" t="n"/>
      <c r="S1154" s="54" t="n"/>
      <c r="T1154" s="111">
        <f>IF($G1154="","",IFERROR(INDEX(Taux_Devises,MATCH(IF($M1154="",Devise_Base,$M1154),Codes_Devises,0)),1))</f>
        <v/>
      </c>
      <c r="U1154" s="112">
        <f>IF($G1154="","",ROUND($G1154*$T1154,2))</f>
        <v/>
      </c>
      <c r="V1154" s="113">
        <f>IF($B1154="","",MONTH($B1154))</f>
        <v/>
      </c>
      <c r="W1154" s="113">
        <f>IF($B1154="","",YEAR($B1154))</f>
        <v/>
      </c>
    </row>
    <row r="1155">
      <c r="B1155" s="105" t="n"/>
      <c r="C1155" s="54" t="n"/>
      <c r="D1155" s="54" t="n"/>
      <c r="E1155" s="54" t="n"/>
      <c r="F1155" s="54" t="n"/>
      <c r="G1155" s="65" t="n"/>
      <c r="H1155" s="54" t="n"/>
      <c r="I1155" s="106">
        <f>IF($C1155="","",IFERROR(INDEX(Sens_Types,MATCH($C1155,Liste_Types,0)),""))</f>
        <v/>
      </c>
      <c r="J1155" s="107">
        <f>IF($I1155="▲ ENTRÉE",$U1155,"")</f>
        <v/>
      </c>
      <c r="K1155" s="108">
        <f>IF($I1155="▼ SORTIE",$U1155,"")</f>
        <v/>
      </c>
      <c r="L1155" s="109">
        <f>$L1154+N($J1155)-N($K1155)</f>
        <v/>
      </c>
      <c r="M1155" s="110" t="n"/>
      <c r="N1155" s="54" t="n"/>
      <c r="O1155" s="54" t="n"/>
      <c r="P1155" s="54" t="n"/>
      <c r="Q1155" s="110" t="n"/>
      <c r="R1155" s="110" t="n"/>
      <c r="S1155" s="54" t="n"/>
      <c r="T1155" s="111">
        <f>IF($G1155="","",IFERROR(INDEX(Taux_Devises,MATCH(IF($M1155="",Devise_Base,$M1155),Codes_Devises,0)),1))</f>
        <v/>
      </c>
      <c r="U1155" s="112">
        <f>IF($G1155="","",ROUND($G1155*$T1155,2))</f>
        <v/>
      </c>
      <c r="V1155" s="113">
        <f>IF($B1155="","",MONTH($B1155))</f>
        <v/>
      </c>
      <c r="W1155" s="113">
        <f>IF($B1155="","",YEAR($B1155))</f>
        <v/>
      </c>
    </row>
    <row r="1156">
      <c r="B1156" s="105" t="n"/>
      <c r="C1156" s="54" t="n"/>
      <c r="D1156" s="54" t="n"/>
      <c r="E1156" s="54" t="n"/>
      <c r="F1156" s="54" t="n"/>
      <c r="G1156" s="65" t="n"/>
      <c r="H1156" s="54" t="n"/>
      <c r="I1156" s="106">
        <f>IF($C1156="","",IFERROR(INDEX(Sens_Types,MATCH($C1156,Liste_Types,0)),""))</f>
        <v/>
      </c>
      <c r="J1156" s="107">
        <f>IF($I1156="▲ ENTRÉE",$U1156,"")</f>
        <v/>
      </c>
      <c r="K1156" s="108">
        <f>IF($I1156="▼ SORTIE",$U1156,"")</f>
        <v/>
      </c>
      <c r="L1156" s="109">
        <f>$L1155+N($J1156)-N($K1156)</f>
        <v/>
      </c>
      <c r="M1156" s="110" t="n"/>
      <c r="N1156" s="54" t="n"/>
      <c r="O1156" s="54" t="n"/>
      <c r="P1156" s="54" t="n"/>
      <c r="Q1156" s="110" t="n"/>
      <c r="R1156" s="110" t="n"/>
      <c r="S1156" s="54" t="n"/>
      <c r="T1156" s="111">
        <f>IF($G1156="","",IFERROR(INDEX(Taux_Devises,MATCH(IF($M1156="",Devise_Base,$M1156),Codes_Devises,0)),1))</f>
        <v/>
      </c>
      <c r="U1156" s="112">
        <f>IF($G1156="","",ROUND($G1156*$T1156,2))</f>
        <v/>
      </c>
      <c r="V1156" s="113">
        <f>IF($B1156="","",MONTH($B1156))</f>
        <v/>
      </c>
      <c r="W1156" s="113">
        <f>IF($B1156="","",YEAR($B1156))</f>
        <v/>
      </c>
    </row>
    <row r="1157">
      <c r="B1157" s="105" t="n"/>
      <c r="C1157" s="54" t="n"/>
      <c r="D1157" s="54" t="n"/>
      <c r="E1157" s="54" t="n"/>
      <c r="F1157" s="54" t="n"/>
      <c r="G1157" s="65" t="n"/>
      <c r="H1157" s="54" t="n"/>
      <c r="I1157" s="106">
        <f>IF($C1157="","",IFERROR(INDEX(Sens_Types,MATCH($C1157,Liste_Types,0)),""))</f>
        <v/>
      </c>
      <c r="J1157" s="107">
        <f>IF($I1157="▲ ENTRÉE",$U1157,"")</f>
        <v/>
      </c>
      <c r="K1157" s="108">
        <f>IF($I1157="▼ SORTIE",$U1157,"")</f>
        <v/>
      </c>
      <c r="L1157" s="109">
        <f>$L1156+N($J1157)-N($K1157)</f>
        <v/>
      </c>
      <c r="M1157" s="110" t="n"/>
      <c r="N1157" s="54" t="n"/>
      <c r="O1157" s="54" t="n"/>
      <c r="P1157" s="54" t="n"/>
      <c r="Q1157" s="110" t="n"/>
      <c r="R1157" s="110" t="n"/>
      <c r="S1157" s="54" t="n"/>
      <c r="T1157" s="111">
        <f>IF($G1157="","",IFERROR(INDEX(Taux_Devises,MATCH(IF($M1157="",Devise_Base,$M1157),Codes_Devises,0)),1))</f>
        <v/>
      </c>
      <c r="U1157" s="112">
        <f>IF($G1157="","",ROUND($G1157*$T1157,2))</f>
        <v/>
      </c>
      <c r="V1157" s="113">
        <f>IF($B1157="","",MONTH($B1157))</f>
        <v/>
      </c>
      <c r="W1157" s="113">
        <f>IF($B1157="","",YEAR($B1157))</f>
        <v/>
      </c>
    </row>
    <row r="1158">
      <c r="B1158" s="105" t="n"/>
      <c r="C1158" s="54" t="n"/>
      <c r="D1158" s="54" t="n"/>
      <c r="E1158" s="54" t="n"/>
      <c r="F1158" s="54" t="n"/>
      <c r="G1158" s="65" t="n"/>
      <c r="H1158" s="54" t="n"/>
      <c r="I1158" s="106">
        <f>IF($C1158="","",IFERROR(INDEX(Sens_Types,MATCH($C1158,Liste_Types,0)),""))</f>
        <v/>
      </c>
      <c r="J1158" s="107">
        <f>IF($I1158="▲ ENTRÉE",$U1158,"")</f>
        <v/>
      </c>
      <c r="K1158" s="108">
        <f>IF($I1158="▼ SORTIE",$U1158,"")</f>
        <v/>
      </c>
      <c r="L1158" s="109">
        <f>$L1157+N($J1158)-N($K1158)</f>
        <v/>
      </c>
      <c r="M1158" s="110" t="n"/>
      <c r="N1158" s="54" t="n"/>
      <c r="O1158" s="54" t="n"/>
      <c r="P1158" s="54" t="n"/>
      <c r="Q1158" s="110" t="n"/>
      <c r="R1158" s="110" t="n"/>
      <c r="S1158" s="54" t="n"/>
      <c r="T1158" s="111">
        <f>IF($G1158="","",IFERROR(INDEX(Taux_Devises,MATCH(IF($M1158="",Devise_Base,$M1158),Codes_Devises,0)),1))</f>
        <v/>
      </c>
      <c r="U1158" s="112">
        <f>IF($G1158="","",ROUND($G1158*$T1158,2))</f>
        <v/>
      </c>
      <c r="V1158" s="113">
        <f>IF($B1158="","",MONTH($B1158))</f>
        <v/>
      </c>
      <c r="W1158" s="113">
        <f>IF($B1158="","",YEAR($B1158))</f>
        <v/>
      </c>
    </row>
    <row r="1159">
      <c r="B1159" s="105" t="n"/>
      <c r="C1159" s="54" t="n"/>
      <c r="D1159" s="54" t="n"/>
      <c r="E1159" s="54" t="n"/>
      <c r="F1159" s="54" t="n"/>
      <c r="G1159" s="65" t="n"/>
      <c r="H1159" s="54" t="n"/>
      <c r="I1159" s="106">
        <f>IF($C1159="","",IFERROR(INDEX(Sens_Types,MATCH($C1159,Liste_Types,0)),""))</f>
        <v/>
      </c>
      <c r="J1159" s="107">
        <f>IF($I1159="▲ ENTRÉE",$U1159,"")</f>
        <v/>
      </c>
      <c r="K1159" s="108">
        <f>IF($I1159="▼ SORTIE",$U1159,"")</f>
        <v/>
      </c>
      <c r="L1159" s="109">
        <f>$L1158+N($J1159)-N($K1159)</f>
        <v/>
      </c>
      <c r="M1159" s="110" t="n"/>
      <c r="N1159" s="54" t="n"/>
      <c r="O1159" s="54" t="n"/>
      <c r="P1159" s="54" t="n"/>
      <c r="Q1159" s="110" t="n"/>
      <c r="R1159" s="110" t="n"/>
      <c r="S1159" s="54" t="n"/>
      <c r="T1159" s="111">
        <f>IF($G1159="","",IFERROR(INDEX(Taux_Devises,MATCH(IF($M1159="",Devise_Base,$M1159),Codes_Devises,0)),1))</f>
        <v/>
      </c>
      <c r="U1159" s="112">
        <f>IF($G1159="","",ROUND($G1159*$T1159,2))</f>
        <v/>
      </c>
      <c r="V1159" s="113">
        <f>IF($B1159="","",MONTH($B1159))</f>
        <v/>
      </c>
      <c r="W1159" s="113">
        <f>IF($B1159="","",YEAR($B1159))</f>
        <v/>
      </c>
    </row>
    <row r="1160">
      <c r="B1160" s="105" t="n"/>
      <c r="C1160" s="54" t="n"/>
      <c r="D1160" s="54" t="n"/>
      <c r="E1160" s="54" t="n"/>
      <c r="F1160" s="54" t="n"/>
      <c r="G1160" s="65" t="n"/>
      <c r="H1160" s="54" t="n"/>
      <c r="I1160" s="106">
        <f>IF($C1160="","",IFERROR(INDEX(Sens_Types,MATCH($C1160,Liste_Types,0)),""))</f>
        <v/>
      </c>
      <c r="J1160" s="107">
        <f>IF($I1160="▲ ENTRÉE",$U1160,"")</f>
        <v/>
      </c>
      <c r="K1160" s="108">
        <f>IF($I1160="▼ SORTIE",$U1160,"")</f>
        <v/>
      </c>
      <c r="L1160" s="109">
        <f>$L1159+N($J1160)-N($K1160)</f>
        <v/>
      </c>
      <c r="M1160" s="110" t="n"/>
      <c r="N1160" s="54" t="n"/>
      <c r="O1160" s="54" t="n"/>
      <c r="P1160" s="54" t="n"/>
      <c r="Q1160" s="110" t="n"/>
      <c r="R1160" s="110" t="n"/>
      <c r="S1160" s="54" t="n"/>
      <c r="T1160" s="111">
        <f>IF($G1160="","",IFERROR(INDEX(Taux_Devises,MATCH(IF($M1160="",Devise_Base,$M1160),Codes_Devises,0)),1))</f>
        <v/>
      </c>
      <c r="U1160" s="112">
        <f>IF($G1160="","",ROUND($G1160*$T1160,2))</f>
        <v/>
      </c>
      <c r="V1160" s="113">
        <f>IF($B1160="","",MONTH($B1160))</f>
        <v/>
      </c>
      <c r="W1160" s="113">
        <f>IF($B1160="","",YEAR($B1160))</f>
        <v/>
      </c>
    </row>
    <row r="1161">
      <c r="B1161" s="105" t="n"/>
      <c r="C1161" s="54" t="n"/>
      <c r="D1161" s="54" t="n"/>
      <c r="E1161" s="54" t="n"/>
      <c r="F1161" s="54" t="n"/>
      <c r="G1161" s="65" t="n"/>
      <c r="H1161" s="54" t="n"/>
      <c r="I1161" s="106">
        <f>IF($C1161="","",IFERROR(INDEX(Sens_Types,MATCH($C1161,Liste_Types,0)),""))</f>
        <v/>
      </c>
      <c r="J1161" s="107">
        <f>IF($I1161="▲ ENTRÉE",$U1161,"")</f>
        <v/>
      </c>
      <c r="K1161" s="108">
        <f>IF($I1161="▼ SORTIE",$U1161,"")</f>
        <v/>
      </c>
      <c r="L1161" s="109">
        <f>$L1160+N($J1161)-N($K1161)</f>
        <v/>
      </c>
      <c r="M1161" s="110" t="n"/>
      <c r="N1161" s="54" t="n"/>
      <c r="O1161" s="54" t="n"/>
      <c r="P1161" s="54" t="n"/>
      <c r="Q1161" s="110" t="n"/>
      <c r="R1161" s="110" t="n"/>
      <c r="S1161" s="54" t="n"/>
      <c r="T1161" s="111">
        <f>IF($G1161="","",IFERROR(INDEX(Taux_Devises,MATCH(IF($M1161="",Devise_Base,$M1161),Codes_Devises,0)),1))</f>
        <v/>
      </c>
      <c r="U1161" s="112">
        <f>IF($G1161="","",ROUND($G1161*$T1161,2))</f>
        <v/>
      </c>
      <c r="V1161" s="113">
        <f>IF($B1161="","",MONTH($B1161))</f>
        <v/>
      </c>
      <c r="W1161" s="113">
        <f>IF($B1161="","",YEAR($B1161))</f>
        <v/>
      </c>
    </row>
    <row r="1162">
      <c r="B1162" s="105" t="n"/>
      <c r="C1162" s="54" t="n"/>
      <c r="D1162" s="54" t="n"/>
      <c r="E1162" s="54" t="n"/>
      <c r="F1162" s="54" t="n"/>
      <c r="G1162" s="65" t="n"/>
      <c r="H1162" s="54" t="n"/>
      <c r="I1162" s="106">
        <f>IF($C1162="","",IFERROR(INDEX(Sens_Types,MATCH($C1162,Liste_Types,0)),""))</f>
        <v/>
      </c>
      <c r="J1162" s="107">
        <f>IF($I1162="▲ ENTRÉE",$U1162,"")</f>
        <v/>
      </c>
      <c r="K1162" s="108">
        <f>IF($I1162="▼ SORTIE",$U1162,"")</f>
        <v/>
      </c>
      <c r="L1162" s="109">
        <f>$L1161+N($J1162)-N($K1162)</f>
        <v/>
      </c>
      <c r="M1162" s="110" t="n"/>
      <c r="N1162" s="54" t="n"/>
      <c r="O1162" s="54" t="n"/>
      <c r="P1162" s="54" t="n"/>
      <c r="Q1162" s="110" t="n"/>
      <c r="R1162" s="110" t="n"/>
      <c r="S1162" s="54" t="n"/>
      <c r="T1162" s="111">
        <f>IF($G1162="","",IFERROR(INDEX(Taux_Devises,MATCH(IF($M1162="",Devise_Base,$M1162),Codes_Devises,0)),1))</f>
        <v/>
      </c>
      <c r="U1162" s="112">
        <f>IF($G1162="","",ROUND($G1162*$T1162,2))</f>
        <v/>
      </c>
      <c r="V1162" s="113">
        <f>IF($B1162="","",MONTH($B1162))</f>
        <v/>
      </c>
      <c r="W1162" s="113">
        <f>IF($B1162="","",YEAR($B1162))</f>
        <v/>
      </c>
    </row>
    <row r="1163">
      <c r="B1163" s="105" t="n"/>
      <c r="C1163" s="54" t="n"/>
      <c r="D1163" s="54" t="n"/>
      <c r="E1163" s="54" t="n"/>
      <c r="F1163" s="54" t="n"/>
      <c r="G1163" s="65" t="n"/>
      <c r="H1163" s="54" t="n"/>
      <c r="I1163" s="106">
        <f>IF($C1163="","",IFERROR(INDEX(Sens_Types,MATCH($C1163,Liste_Types,0)),""))</f>
        <v/>
      </c>
      <c r="J1163" s="107">
        <f>IF($I1163="▲ ENTRÉE",$U1163,"")</f>
        <v/>
      </c>
      <c r="K1163" s="108">
        <f>IF($I1163="▼ SORTIE",$U1163,"")</f>
        <v/>
      </c>
      <c r="L1163" s="109">
        <f>$L1162+N($J1163)-N($K1163)</f>
        <v/>
      </c>
      <c r="M1163" s="110" t="n"/>
      <c r="N1163" s="54" t="n"/>
      <c r="O1163" s="54" t="n"/>
      <c r="P1163" s="54" t="n"/>
      <c r="Q1163" s="110" t="n"/>
      <c r="R1163" s="110" t="n"/>
      <c r="S1163" s="54" t="n"/>
      <c r="T1163" s="111">
        <f>IF($G1163="","",IFERROR(INDEX(Taux_Devises,MATCH(IF($M1163="",Devise_Base,$M1163),Codes_Devises,0)),1))</f>
        <v/>
      </c>
      <c r="U1163" s="112">
        <f>IF($G1163="","",ROUND($G1163*$T1163,2))</f>
        <v/>
      </c>
      <c r="V1163" s="113">
        <f>IF($B1163="","",MONTH($B1163))</f>
        <v/>
      </c>
      <c r="W1163" s="113">
        <f>IF($B1163="","",YEAR($B1163))</f>
        <v/>
      </c>
    </row>
    <row r="1164">
      <c r="B1164" s="105" t="n"/>
      <c r="C1164" s="54" t="n"/>
      <c r="D1164" s="54" t="n"/>
      <c r="E1164" s="54" t="n"/>
      <c r="F1164" s="54" t="n"/>
      <c r="G1164" s="65" t="n"/>
      <c r="H1164" s="54" t="n"/>
      <c r="I1164" s="106">
        <f>IF($C1164="","",IFERROR(INDEX(Sens_Types,MATCH($C1164,Liste_Types,0)),""))</f>
        <v/>
      </c>
      <c r="J1164" s="107">
        <f>IF($I1164="▲ ENTRÉE",$U1164,"")</f>
        <v/>
      </c>
      <c r="K1164" s="108">
        <f>IF($I1164="▼ SORTIE",$U1164,"")</f>
        <v/>
      </c>
      <c r="L1164" s="109">
        <f>$L1163+N($J1164)-N($K1164)</f>
        <v/>
      </c>
      <c r="M1164" s="110" t="n"/>
      <c r="N1164" s="54" t="n"/>
      <c r="O1164" s="54" t="n"/>
      <c r="P1164" s="54" t="n"/>
      <c r="Q1164" s="110" t="n"/>
      <c r="R1164" s="110" t="n"/>
      <c r="S1164" s="54" t="n"/>
      <c r="T1164" s="111">
        <f>IF($G1164="","",IFERROR(INDEX(Taux_Devises,MATCH(IF($M1164="",Devise_Base,$M1164),Codes_Devises,0)),1))</f>
        <v/>
      </c>
      <c r="U1164" s="112">
        <f>IF($G1164="","",ROUND($G1164*$T1164,2))</f>
        <v/>
      </c>
      <c r="V1164" s="113">
        <f>IF($B1164="","",MONTH($B1164))</f>
        <v/>
      </c>
      <c r="W1164" s="113">
        <f>IF($B1164="","",YEAR($B1164))</f>
        <v/>
      </c>
    </row>
    <row r="1165">
      <c r="B1165" s="105" t="n"/>
      <c r="C1165" s="54" t="n"/>
      <c r="D1165" s="54" t="n"/>
      <c r="E1165" s="54" t="n"/>
      <c r="F1165" s="54" t="n"/>
      <c r="G1165" s="65" t="n"/>
      <c r="H1165" s="54" t="n"/>
      <c r="I1165" s="106">
        <f>IF($C1165="","",IFERROR(INDEX(Sens_Types,MATCH($C1165,Liste_Types,0)),""))</f>
        <v/>
      </c>
      <c r="J1165" s="107">
        <f>IF($I1165="▲ ENTRÉE",$U1165,"")</f>
        <v/>
      </c>
      <c r="K1165" s="108">
        <f>IF($I1165="▼ SORTIE",$U1165,"")</f>
        <v/>
      </c>
      <c r="L1165" s="109">
        <f>$L1164+N($J1165)-N($K1165)</f>
        <v/>
      </c>
      <c r="M1165" s="110" t="n"/>
      <c r="N1165" s="54" t="n"/>
      <c r="O1165" s="54" t="n"/>
      <c r="P1165" s="54" t="n"/>
      <c r="Q1165" s="110" t="n"/>
      <c r="R1165" s="110" t="n"/>
      <c r="S1165" s="54" t="n"/>
      <c r="T1165" s="111">
        <f>IF($G1165="","",IFERROR(INDEX(Taux_Devises,MATCH(IF($M1165="",Devise_Base,$M1165),Codes_Devises,0)),1))</f>
        <v/>
      </c>
      <c r="U1165" s="112">
        <f>IF($G1165="","",ROUND($G1165*$T1165,2))</f>
        <v/>
      </c>
      <c r="V1165" s="113">
        <f>IF($B1165="","",MONTH($B1165))</f>
        <v/>
      </c>
      <c r="W1165" s="113">
        <f>IF($B1165="","",YEAR($B1165))</f>
        <v/>
      </c>
    </row>
    <row r="1166">
      <c r="B1166" s="105" t="n"/>
      <c r="C1166" s="54" t="n"/>
      <c r="D1166" s="54" t="n"/>
      <c r="E1166" s="54" t="n"/>
      <c r="F1166" s="54" t="n"/>
      <c r="G1166" s="65" t="n"/>
      <c r="H1166" s="54" t="n"/>
      <c r="I1166" s="106">
        <f>IF($C1166="","",IFERROR(INDEX(Sens_Types,MATCH($C1166,Liste_Types,0)),""))</f>
        <v/>
      </c>
      <c r="J1166" s="107">
        <f>IF($I1166="▲ ENTRÉE",$U1166,"")</f>
        <v/>
      </c>
      <c r="K1166" s="108">
        <f>IF($I1166="▼ SORTIE",$U1166,"")</f>
        <v/>
      </c>
      <c r="L1166" s="109">
        <f>$L1165+N($J1166)-N($K1166)</f>
        <v/>
      </c>
      <c r="M1166" s="110" t="n"/>
      <c r="N1166" s="54" t="n"/>
      <c r="O1166" s="54" t="n"/>
      <c r="P1166" s="54" t="n"/>
      <c r="Q1166" s="110" t="n"/>
      <c r="R1166" s="110" t="n"/>
      <c r="S1166" s="54" t="n"/>
      <c r="T1166" s="111">
        <f>IF($G1166="","",IFERROR(INDEX(Taux_Devises,MATCH(IF($M1166="",Devise_Base,$M1166),Codes_Devises,0)),1))</f>
        <v/>
      </c>
      <c r="U1166" s="112">
        <f>IF($G1166="","",ROUND($G1166*$T1166,2))</f>
        <v/>
      </c>
      <c r="V1166" s="113">
        <f>IF($B1166="","",MONTH($B1166))</f>
        <v/>
      </c>
      <c r="W1166" s="113">
        <f>IF($B1166="","",YEAR($B1166))</f>
        <v/>
      </c>
    </row>
    <row r="1167">
      <c r="B1167" s="105" t="n"/>
      <c r="C1167" s="54" t="n"/>
      <c r="D1167" s="54" t="n"/>
      <c r="E1167" s="54" t="n"/>
      <c r="F1167" s="54" t="n"/>
      <c r="G1167" s="65" t="n"/>
      <c r="H1167" s="54" t="n"/>
      <c r="I1167" s="106">
        <f>IF($C1167="","",IFERROR(INDEX(Sens_Types,MATCH($C1167,Liste_Types,0)),""))</f>
        <v/>
      </c>
      <c r="J1167" s="107">
        <f>IF($I1167="▲ ENTRÉE",$U1167,"")</f>
        <v/>
      </c>
      <c r="K1167" s="108">
        <f>IF($I1167="▼ SORTIE",$U1167,"")</f>
        <v/>
      </c>
      <c r="L1167" s="109">
        <f>$L1166+N($J1167)-N($K1167)</f>
        <v/>
      </c>
      <c r="M1167" s="110" t="n"/>
      <c r="N1167" s="54" t="n"/>
      <c r="O1167" s="54" t="n"/>
      <c r="P1167" s="54" t="n"/>
      <c r="Q1167" s="110" t="n"/>
      <c r="R1167" s="110" t="n"/>
      <c r="S1167" s="54" t="n"/>
      <c r="T1167" s="111">
        <f>IF($G1167="","",IFERROR(INDEX(Taux_Devises,MATCH(IF($M1167="",Devise_Base,$M1167),Codes_Devises,0)),1))</f>
        <v/>
      </c>
      <c r="U1167" s="112">
        <f>IF($G1167="","",ROUND($G1167*$T1167,2))</f>
        <v/>
      </c>
      <c r="V1167" s="113">
        <f>IF($B1167="","",MONTH($B1167))</f>
        <v/>
      </c>
      <c r="W1167" s="113">
        <f>IF($B1167="","",YEAR($B1167))</f>
        <v/>
      </c>
    </row>
    <row r="1168">
      <c r="B1168" s="105" t="n"/>
      <c r="C1168" s="54" t="n"/>
      <c r="D1168" s="54" t="n"/>
      <c r="E1168" s="54" t="n"/>
      <c r="F1168" s="54" t="n"/>
      <c r="G1168" s="65" t="n"/>
      <c r="H1168" s="54" t="n"/>
      <c r="I1168" s="106">
        <f>IF($C1168="","",IFERROR(INDEX(Sens_Types,MATCH($C1168,Liste_Types,0)),""))</f>
        <v/>
      </c>
      <c r="J1168" s="107">
        <f>IF($I1168="▲ ENTRÉE",$U1168,"")</f>
        <v/>
      </c>
      <c r="K1168" s="108">
        <f>IF($I1168="▼ SORTIE",$U1168,"")</f>
        <v/>
      </c>
      <c r="L1168" s="109">
        <f>$L1167+N($J1168)-N($K1168)</f>
        <v/>
      </c>
      <c r="M1168" s="110" t="n"/>
      <c r="N1168" s="54" t="n"/>
      <c r="O1168" s="54" t="n"/>
      <c r="P1168" s="54" t="n"/>
      <c r="Q1168" s="110" t="n"/>
      <c r="R1168" s="110" t="n"/>
      <c r="S1168" s="54" t="n"/>
      <c r="T1168" s="111">
        <f>IF($G1168="","",IFERROR(INDEX(Taux_Devises,MATCH(IF($M1168="",Devise_Base,$M1168),Codes_Devises,0)),1))</f>
        <v/>
      </c>
      <c r="U1168" s="112">
        <f>IF($G1168="","",ROUND($G1168*$T1168,2))</f>
        <v/>
      </c>
      <c r="V1168" s="113">
        <f>IF($B1168="","",MONTH($B1168))</f>
        <v/>
      </c>
      <c r="W1168" s="113">
        <f>IF($B1168="","",YEAR($B1168))</f>
        <v/>
      </c>
    </row>
    <row r="1169">
      <c r="B1169" s="105" t="n"/>
      <c r="C1169" s="54" t="n"/>
      <c r="D1169" s="54" t="n"/>
      <c r="E1169" s="54" t="n"/>
      <c r="F1169" s="54" t="n"/>
      <c r="G1169" s="65" t="n"/>
      <c r="H1169" s="54" t="n"/>
      <c r="I1169" s="106">
        <f>IF($C1169="","",IFERROR(INDEX(Sens_Types,MATCH($C1169,Liste_Types,0)),""))</f>
        <v/>
      </c>
      <c r="J1169" s="107">
        <f>IF($I1169="▲ ENTRÉE",$U1169,"")</f>
        <v/>
      </c>
      <c r="K1169" s="108">
        <f>IF($I1169="▼ SORTIE",$U1169,"")</f>
        <v/>
      </c>
      <c r="L1169" s="109">
        <f>$L1168+N($J1169)-N($K1169)</f>
        <v/>
      </c>
      <c r="M1169" s="110" t="n"/>
      <c r="N1169" s="54" t="n"/>
      <c r="O1169" s="54" t="n"/>
      <c r="P1169" s="54" t="n"/>
      <c r="Q1169" s="110" t="n"/>
      <c r="R1169" s="110" t="n"/>
      <c r="S1169" s="54" t="n"/>
      <c r="T1169" s="111">
        <f>IF($G1169="","",IFERROR(INDEX(Taux_Devises,MATCH(IF($M1169="",Devise_Base,$M1169),Codes_Devises,0)),1))</f>
        <v/>
      </c>
      <c r="U1169" s="112">
        <f>IF($G1169="","",ROUND($G1169*$T1169,2))</f>
        <v/>
      </c>
      <c r="V1169" s="113">
        <f>IF($B1169="","",MONTH($B1169))</f>
        <v/>
      </c>
      <c r="W1169" s="113">
        <f>IF($B1169="","",YEAR($B1169))</f>
        <v/>
      </c>
    </row>
    <row r="1170">
      <c r="B1170" s="105" t="n"/>
      <c r="C1170" s="54" t="n"/>
      <c r="D1170" s="54" t="n"/>
      <c r="E1170" s="54" t="n"/>
      <c r="F1170" s="54" t="n"/>
      <c r="G1170" s="65" t="n"/>
      <c r="H1170" s="54" t="n"/>
      <c r="I1170" s="106">
        <f>IF($C1170="","",IFERROR(INDEX(Sens_Types,MATCH($C1170,Liste_Types,0)),""))</f>
        <v/>
      </c>
      <c r="J1170" s="107">
        <f>IF($I1170="▲ ENTRÉE",$U1170,"")</f>
        <v/>
      </c>
      <c r="K1170" s="108">
        <f>IF($I1170="▼ SORTIE",$U1170,"")</f>
        <v/>
      </c>
      <c r="L1170" s="109">
        <f>$L1169+N($J1170)-N($K1170)</f>
        <v/>
      </c>
      <c r="M1170" s="110" t="n"/>
      <c r="N1170" s="54" t="n"/>
      <c r="O1170" s="54" t="n"/>
      <c r="P1170" s="54" t="n"/>
      <c r="Q1170" s="110" t="n"/>
      <c r="R1170" s="110" t="n"/>
      <c r="S1170" s="54" t="n"/>
      <c r="T1170" s="111">
        <f>IF($G1170="","",IFERROR(INDEX(Taux_Devises,MATCH(IF($M1170="",Devise_Base,$M1170),Codes_Devises,0)),1))</f>
        <v/>
      </c>
      <c r="U1170" s="112">
        <f>IF($G1170="","",ROUND($G1170*$T1170,2))</f>
        <v/>
      </c>
      <c r="V1170" s="113">
        <f>IF($B1170="","",MONTH($B1170))</f>
        <v/>
      </c>
      <c r="W1170" s="113">
        <f>IF($B1170="","",YEAR($B1170))</f>
        <v/>
      </c>
    </row>
    <row r="1171">
      <c r="B1171" s="105" t="n"/>
      <c r="C1171" s="54" t="n"/>
      <c r="D1171" s="54" t="n"/>
      <c r="E1171" s="54" t="n"/>
      <c r="F1171" s="54" t="n"/>
      <c r="G1171" s="65" t="n"/>
      <c r="H1171" s="54" t="n"/>
      <c r="I1171" s="106">
        <f>IF($C1171="","",IFERROR(INDEX(Sens_Types,MATCH($C1171,Liste_Types,0)),""))</f>
        <v/>
      </c>
      <c r="J1171" s="107">
        <f>IF($I1171="▲ ENTRÉE",$U1171,"")</f>
        <v/>
      </c>
      <c r="K1171" s="108">
        <f>IF($I1171="▼ SORTIE",$U1171,"")</f>
        <v/>
      </c>
      <c r="L1171" s="109">
        <f>$L1170+N($J1171)-N($K1171)</f>
        <v/>
      </c>
      <c r="M1171" s="110" t="n"/>
      <c r="N1171" s="54" t="n"/>
      <c r="O1171" s="54" t="n"/>
      <c r="P1171" s="54" t="n"/>
      <c r="Q1171" s="110" t="n"/>
      <c r="R1171" s="110" t="n"/>
      <c r="S1171" s="54" t="n"/>
      <c r="T1171" s="111">
        <f>IF($G1171="","",IFERROR(INDEX(Taux_Devises,MATCH(IF($M1171="",Devise_Base,$M1171),Codes_Devises,0)),1))</f>
        <v/>
      </c>
      <c r="U1171" s="112">
        <f>IF($G1171="","",ROUND($G1171*$T1171,2))</f>
        <v/>
      </c>
      <c r="V1171" s="113">
        <f>IF($B1171="","",MONTH($B1171))</f>
        <v/>
      </c>
      <c r="W1171" s="113">
        <f>IF($B1171="","",YEAR($B1171))</f>
        <v/>
      </c>
    </row>
    <row r="1172">
      <c r="B1172" s="105" t="n"/>
      <c r="C1172" s="54" t="n"/>
      <c r="D1172" s="54" t="n"/>
      <c r="E1172" s="54" t="n"/>
      <c r="F1172" s="54" t="n"/>
      <c r="G1172" s="65" t="n"/>
      <c r="H1172" s="54" t="n"/>
      <c r="I1172" s="106">
        <f>IF($C1172="","",IFERROR(INDEX(Sens_Types,MATCH($C1172,Liste_Types,0)),""))</f>
        <v/>
      </c>
      <c r="J1172" s="107">
        <f>IF($I1172="▲ ENTRÉE",$U1172,"")</f>
        <v/>
      </c>
      <c r="K1172" s="108">
        <f>IF($I1172="▼ SORTIE",$U1172,"")</f>
        <v/>
      </c>
      <c r="L1172" s="109">
        <f>$L1171+N($J1172)-N($K1172)</f>
        <v/>
      </c>
      <c r="M1172" s="110" t="n"/>
      <c r="N1172" s="54" t="n"/>
      <c r="O1172" s="54" t="n"/>
      <c r="P1172" s="54" t="n"/>
      <c r="Q1172" s="110" t="n"/>
      <c r="R1172" s="110" t="n"/>
      <c r="S1172" s="54" t="n"/>
      <c r="T1172" s="111">
        <f>IF($G1172="","",IFERROR(INDEX(Taux_Devises,MATCH(IF($M1172="",Devise_Base,$M1172),Codes_Devises,0)),1))</f>
        <v/>
      </c>
      <c r="U1172" s="112">
        <f>IF($G1172="","",ROUND($G1172*$T1172,2))</f>
        <v/>
      </c>
      <c r="V1172" s="113">
        <f>IF($B1172="","",MONTH($B1172))</f>
        <v/>
      </c>
      <c r="W1172" s="113">
        <f>IF($B1172="","",YEAR($B1172))</f>
        <v/>
      </c>
    </row>
    <row r="1173">
      <c r="B1173" s="105" t="n"/>
      <c r="C1173" s="54" t="n"/>
      <c r="D1173" s="54" t="n"/>
      <c r="E1173" s="54" t="n"/>
      <c r="F1173" s="54" t="n"/>
      <c r="G1173" s="65" t="n"/>
      <c r="H1173" s="54" t="n"/>
      <c r="I1173" s="106">
        <f>IF($C1173="","",IFERROR(INDEX(Sens_Types,MATCH($C1173,Liste_Types,0)),""))</f>
        <v/>
      </c>
      <c r="J1173" s="107">
        <f>IF($I1173="▲ ENTRÉE",$U1173,"")</f>
        <v/>
      </c>
      <c r="K1173" s="108">
        <f>IF($I1173="▼ SORTIE",$U1173,"")</f>
        <v/>
      </c>
      <c r="L1173" s="109">
        <f>$L1172+N($J1173)-N($K1173)</f>
        <v/>
      </c>
      <c r="M1173" s="110" t="n"/>
      <c r="N1173" s="54" t="n"/>
      <c r="O1173" s="54" t="n"/>
      <c r="P1173" s="54" t="n"/>
      <c r="Q1173" s="110" t="n"/>
      <c r="R1173" s="110" t="n"/>
      <c r="S1173" s="54" t="n"/>
      <c r="T1173" s="111">
        <f>IF($G1173="","",IFERROR(INDEX(Taux_Devises,MATCH(IF($M1173="",Devise_Base,$M1173),Codes_Devises,0)),1))</f>
        <v/>
      </c>
      <c r="U1173" s="112">
        <f>IF($G1173="","",ROUND($G1173*$T1173,2))</f>
        <v/>
      </c>
      <c r="V1173" s="113">
        <f>IF($B1173="","",MONTH($B1173))</f>
        <v/>
      </c>
      <c r="W1173" s="113">
        <f>IF($B1173="","",YEAR($B1173))</f>
        <v/>
      </c>
    </row>
    <row r="1174">
      <c r="B1174" s="105" t="n"/>
      <c r="C1174" s="54" t="n"/>
      <c r="D1174" s="54" t="n"/>
      <c r="E1174" s="54" t="n"/>
      <c r="F1174" s="54" t="n"/>
      <c r="G1174" s="65" t="n"/>
      <c r="H1174" s="54" t="n"/>
      <c r="I1174" s="106">
        <f>IF($C1174="","",IFERROR(INDEX(Sens_Types,MATCH($C1174,Liste_Types,0)),""))</f>
        <v/>
      </c>
      <c r="J1174" s="107">
        <f>IF($I1174="▲ ENTRÉE",$U1174,"")</f>
        <v/>
      </c>
      <c r="K1174" s="108">
        <f>IF($I1174="▼ SORTIE",$U1174,"")</f>
        <v/>
      </c>
      <c r="L1174" s="109">
        <f>$L1173+N($J1174)-N($K1174)</f>
        <v/>
      </c>
      <c r="M1174" s="110" t="n"/>
      <c r="N1174" s="54" t="n"/>
      <c r="O1174" s="54" t="n"/>
      <c r="P1174" s="54" t="n"/>
      <c r="Q1174" s="110" t="n"/>
      <c r="R1174" s="110" t="n"/>
      <c r="S1174" s="54" t="n"/>
      <c r="T1174" s="111">
        <f>IF($G1174="","",IFERROR(INDEX(Taux_Devises,MATCH(IF($M1174="",Devise_Base,$M1174),Codes_Devises,0)),1))</f>
        <v/>
      </c>
      <c r="U1174" s="112">
        <f>IF($G1174="","",ROUND($G1174*$T1174,2))</f>
        <v/>
      </c>
      <c r="V1174" s="113">
        <f>IF($B1174="","",MONTH($B1174))</f>
        <v/>
      </c>
      <c r="W1174" s="113">
        <f>IF($B1174="","",YEAR($B1174))</f>
        <v/>
      </c>
    </row>
    <row r="1175">
      <c r="B1175" s="105" t="n"/>
      <c r="C1175" s="54" t="n"/>
      <c r="D1175" s="54" t="n"/>
      <c r="E1175" s="54" t="n"/>
      <c r="F1175" s="54" t="n"/>
      <c r="G1175" s="65" t="n"/>
      <c r="H1175" s="54" t="n"/>
      <c r="I1175" s="106">
        <f>IF($C1175="","",IFERROR(INDEX(Sens_Types,MATCH($C1175,Liste_Types,0)),""))</f>
        <v/>
      </c>
      <c r="J1175" s="107">
        <f>IF($I1175="▲ ENTRÉE",$U1175,"")</f>
        <v/>
      </c>
      <c r="K1175" s="108">
        <f>IF($I1175="▼ SORTIE",$U1175,"")</f>
        <v/>
      </c>
      <c r="L1175" s="109">
        <f>$L1174+N($J1175)-N($K1175)</f>
        <v/>
      </c>
      <c r="M1175" s="110" t="n"/>
      <c r="N1175" s="54" t="n"/>
      <c r="O1175" s="54" t="n"/>
      <c r="P1175" s="54" t="n"/>
      <c r="Q1175" s="110" t="n"/>
      <c r="R1175" s="110" t="n"/>
      <c r="S1175" s="54" t="n"/>
      <c r="T1175" s="111">
        <f>IF($G1175="","",IFERROR(INDEX(Taux_Devises,MATCH(IF($M1175="",Devise_Base,$M1175),Codes_Devises,0)),1))</f>
        <v/>
      </c>
      <c r="U1175" s="112">
        <f>IF($G1175="","",ROUND($G1175*$T1175,2))</f>
        <v/>
      </c>
      <c r="V1175" s="113">
        <f>IF($B1175="","",MONTH($B1175))</f>
        <v/>
      </c>
      <c r="W1175" s="113">
        <f>IF($B1175="","",YEAR($B1175))</f>
        <v/>
      </c>
    </row>
    <row r="1176">
      <c r="B1176" s="105" t="n"/>
      <c r="C1176" s="54" t="n"/>
      <c r="D1176" s="54" t="n"/>
      <c r="E1176" s="54" t="n"/>
      <c r="F1176" s="54" t="n"/>
      <c r="G1176" s="65" t="n"/>
      <c r="H1176" s="54" t="n"/>
      <c r="I1176" s="106">
        <f>IF($C1176="","",IFERROR(INDEX(Sens_Types,MATCH($C1176,Liste_Types,0)),""))</f>
        <v/>
      </c>
      <c r="J1176" s="107">
        <f>IF($I1176="▲ ENTRÉE",$U1176,"")</f>
        <v/>
      </c>
      <c r="K1176" s="108">
        <f>IF($I1176="▼ SORTIE",$U1176,"")</f>
        <v/>
      </c>
      <c r="L1176" s="109">
        <f>$L1175+N($J1176)-N($K1176)</f>
        <v/>
      </c>
      <c r="M1176" s="110" t="n"/>
      <c r="N1176" s="54" t="n"/>
      <c r="O1176" s="54" t="n"/>
      <c r="P1176" s="54" t="n"/>
      <c r="Q1176" s="110" t="n"/>
      <c r="R1176" s="110" t="n"/>
      <c r="S1176" s="54" t="n"/>
      <c r="T1176" s="111">
        <f>IF($G1176="","",IFERROR(INDEX(Taux_Devises,MATCH(IF($M1176="",Devise_Base,$M1176),Codes_Devises,0)),1))</f>
        <v/>
      </c>
      <c r="U1176" s="112">
        <f>IF($G1176="","",ROUND($G1176*$T1176,2))</f>
        <v/>
      </c>
      <c r="V1176" s="113">
        <f>IF($B1176="","",MONTH($B1176))</f>
        <v/>
      </c>
      <c r="W1176" s="113">
        <f>IF($B1176="","",YEAR($B1176))</f>
        <v/>
      </c>
    </row>
    <row r="1177">
      <c r="B1177" s="105" t="n"/>
      <c r="C1177" s="54" t="n"/>
      <c r="D1177" s="54" t="n"/>
      <c r="E1177" s="54" t="n"/>
      <c r="F1177" s="54" t="n"/>
      <c r="G1177" s="65" t="n"/>
      <c r="H1177" s="54" t="n"/>
      <c r="I1177" s="106">
        <f>IF($C1177="","",IFERROR(INDEX(Sens_Types,MATCH($C1177,Liste_Types,0)),""))</f>
        <v/>
      </c>
      <c r="J1177" s="107">
        <f>IF($I1177="▲ ENTRÉE",$U1177,"")</f>
        <v/>
      </c>
      <c r="K1177" s="108">
        <f>IF($I1177="▼ SORTIE",$U1177,"")</f>
        <v/>
      </c>
      <c r="L1177" s="109">
        <f>$L1176+N($J1177)-N($K1177)</f>
        <v/>
      </c>
      <c r="M1177" s="110" t="n"/>
      <c r="N1177" s="54" t="n"/>
      <c r="O1177" s="54" t="n"/>
      <c r="P1177" s="54" t="n"/>
      <c r="Q1177" s="110" t="n"/>
      <c r="R1177" s="110" t="n"/>
      <c r="S1177" s="54" t="n"/>
      <c r="T1177" s="111">
        <f>IF($G1177="","",IFERROR(INDEX(Taux_Devises,MATCH(IF($M1177="",Devise_Base,$M1177),Codes_Devises,0)),1))</f>
        <v/>
      </c>
      <c r="U1177" s="112">
        <f>IF($G1177="","",ROUND($G1177*$T1177,2))</f>
        <v/>
      </c>
      <c r="V1177" s="113">
        <f>IF($B1177="","",MONTH($B1177))</f>
        <v/>
      </c>
      <c r="W1177" s="113">
        <f>IF($B1177="","",YEAR($B1177))</f>
        <v/>
      </c>
    </row>
    <row r="1178">
      <c r="B1178" s="105" t="n"/>
      <c r="C1178" s="54" t="n"/>
      <c r="D1178" s="54" t="n"/>
      <c r="E1178" s="54" t="n"/>
      <c r="F1178" s="54" t="n"/>
      <c r="G1178" s="65" t="n"/>
      <c r="H1178" s="54" t="n"/>
      <c r="I1178" s="106">
        <f>IF($C1178="","",IFERROR(INDEX(Sens_Types,MATCH($C1178,Liste_Types,0)),""))</f>
        <v/>
      </c>
      <c r="J1178" s="107">
        <f>IF($I1178="▲ ENTRÉE",$U1178,"")</f>
        <v/>
      </c>
      <c r="K1178" s="108">
        <f>IF($I1178="▼ SORTIE",$U1178,"")</f>
        <v/>
      </c>
      <c r="L1178" s="109">
        <f>$L1177+N($J1178)-N($K1178)</f>
        <v/>
      </c>
      <c r="M1178" s="110" t="n"/>
      <c r="N1178" s="54" t="n"/>
      <c r="O1178" s="54" t="n"/>
      <c r="P1178" s="54" t="n"/>
      <c r="Q1178" s="110" t="n"/>
      <c r="R1178" s="110" t="n"/>
      <c r="S1178" s="54" t="n"/>
      <c r="T1178" s="111">
        <f>IF($G1178="","",IFERROR(INDEX(Taux_Devises,MATCH(IF($M1178="",Devise_Base,$M1178),Codes_Devises,0)),1))</f>
        <v/>
      </c>
      <c r="U1178" s="112">
        <f>IF($G1178="","",ROUND($G1178*$T1178,2))</f>
        <v/>
      </c>
      <c r="V1178" s="113">
        <f>IF($B1178="","",MONTH($B1178))</f>
        <v/>
      </c>
      <c r="W1178" s="113">
        <f>IF($B1178="","",YEAR($B1178))</f>
        <v/>
      </c>
    </row>
    <row r="1179">
      <c r="B1179" s="105" t="n"/>
      <c r="C1179" s="54" t="n"/>
      <c r="D1179" s="54" t="n"/>
      <c r="E1179" s="54" t="n"/>
      <c r="F1179" s="54" t="n"/>
      <c r="G1179" s="65" t="n"/>
      <c r="H1179" s="54" t="n"/>
      <c r="I1179" s="106">
        <f>IF($C1179="","",IFERROR(INDEX(Sens_Types,MATCH($C1179,Liste_Types,0)),""))</f>
        <v/>
      </c>
      <c r="J1179" s="107">
        <f>IF($I1179="▲ ENTRÉE",$U1179,"")</f>
        <v/>
      </c>
      <c r="K1179" s="108">
        <f>IF($I1179="▼ SORTIE",$U1179,"")</f>
        <v/>
      </c>
      <c r="L1179" s="109">
        <f>$L1178+N($J1179)-N($K1179)</f>
        <v/>
      </c>
      <c r="M1179" s="110" t="n"/>
      <c r="N1179" s="54" t="n"/>
      <c r="O1179" s="54" t="n"/>
      <c r="P1179" s="54" t="n"/>
      <c r="Q1179" s="110" t="n"/>
      <c r="R1179" s="110" t="n"/>
      <c r="S1179" s="54" t="n"/>
      <c r="T1179" s="111">
        <f>IF($G1179="","",IFERROR(INDEX(Taux_Devises,MATCH(IF($M1179="",Devise_Base,$M1179),Codes_Devises,0)),1))</f>
        <v/>
      </c>
      <c r="U1179" s="112">
        <f>IF($G1179="","",ROUND($G1179*$T1179,2))</f>
        <v/>
      </c>
      <c r="V1179" s="113">
        <f>IF($B1179="","",MONTH($B1179))</f>
        <v/>
      </c>
      <c r="W1179" s="113">
        <f>IF($B1179="","",YEAR($B1179))</f>
        <v/>
      </c>
    </row>
    <row r="1180">
      <c r="B1180" s="105" t="n"/>
      <c r="C1180" s="54" t="n"/>
      <c r="D1180" s="54" t="n"/>
      <c r="E1180" s="54" t="n"/>
      <c r="F1180" s="54" t="n"/>
      <c r="G1180" s="65" t="n"/>
      <c r="H1180" s="54" t="n"/>
      <c r="I1180" s="106">
        <f>IF($C1180="","",IFERROR(INDEX(Sens_Types,MATCH($C1180,Liste_Types,0)),""))</f>
        <v/>
      </c>
      <c r="J1180" s="107">
        <f>IF($I1180="▲ ENTRÉE",$U1180,"")</f>
        <v/>
      </c>
      <c r="K1180" s="108">
        <f>IF($I1180="▼ SORTIE",$U1180,"")</f>
        <v/>
      </c>
      <c r="L1180" s="109">
        <f>$L1179+N($J1180)-N($K1180)</f>
        <v/>
      </c>
      <c r="M1180" s="110" t="n"/>
      <c r="N1180" s="54" t="n"/>
      <c r="O1180" s="54" t="n"/>
      <c r="P1180" s="54" t="n"/>
      <c r="Q1180" s="110" t="n"/>
      <c r="R1180" s="110" t="n"/>
      <c r="S1180" s="54" t="n"/>
      <c r="T1180" s="111">
        <f>IF($G1180="","",IFERROR(INDEX(Taux_Devises,MATCH(IF($M1180="",Devise_Base,$M1180),Codes_Devises,0)),1))</f>
        <v/>
      </c>
      <c r="U1180" s="112">
        <f>IF($G1180="","",ROUND($G1180*$T1180,2))</f>
        <v/>
      </c>
      <c r="V1180" s="113">
        <f>IF($B1180="","",MONTH($B1180))</f>
        <v/>
      </c>
      <c r="W1180" s="113">
        <f>IF($B1180="","",YEAR($B1180))</f>
        <v/>
      </c>
    </row>
    <row r="1181">
      <c r="B1181" s="105" t="n"/>
      <c r="C1181" s="54" t="n"/>
      <c r="D1181" s="54" t="n"/>
      <c r="E1181" s="54" t="n"/>
      <c r="F1181" s="54" t="n"/>
      <c r="G1181" s="65" t="n"/>
      <c r="H1181" s="54" t="n"/>
      <c r="I1181" s="106">
        <f>IF($C1181="","",IFERROR(INDEX(Sens_Types,MATCH($C1181,Liste_Types,0)),""))</f>
        <v/>
      </c>
      <c r="J1181" s="107">
        <f>IF($I1181="▲ ENTRÉE",$U1181,"")</f>
        <v/>
      </c>
      <c r="K1181" s="108">
        <f>IF($I1181="▼ SORTIE",$U1181,"")</f>
        <v/>
      </c>
      <c r="L1181" s="109">
        <f>$L1180+N($J1181)-N($K1181)</f>
        <v/>
      </c>
      <c r="M1181" s="110" t="n"/>
      <c r="N1181" s="54" t="n"/>
      <c r="O1181" s="54" t="n"/>
      <c r="P1181" s="54" t="n"/>
      <c r="Q1181" s="110" t="n"/>
      <c r="R1181" s="110" t="n"/>
      <c r="S1181" s="54" t="n"/>
      <c r="T1181" s="111">
        <f>IF($G1181="","",IFERROR(INDEX(Taux_Devises,MATCH(IF($M1181="",Devise_Base,$M1181),Codes_Devises,0)),1))</f>
        <v/>
      </c>
      <c r="U1181" s="112">
        <f>IF($G1181="","",ROUND($G1181*$T1181,2))</f>
        <v/>
      </c>
      <c r="V1181" s="113">
        <f>IF($B1181="","",MONTH($B1181))</f>
        <v/>
      </c>
      <c r="W1181" s="113">
        <f>IF($B1181="","",YEAR($B1181))</f>
        <v/>
      </c>
    </row>
    <row r="1182">
      <c r="B1182" s="105" t="n"/>
      <c r="C1182" s="54" t="n"/>
      <c r="D1182" s="54" t="n"/>
      <c r="E1182" s="54" t="n"/>
      <c r="F1182" s="54" t="n"/>
      <c r="G1182" s="65" t="n"/>
      <c r="H1182" s="54" t="n"/>
      <c r="I1182" s="106">
        <f>IF($C1182="","",IFERROR(INDEX(Sens_Types,MATCH($C1182,Liste_Types,0)),""))</f>
        <v/>
      </c>
      <c r="J1182" s="107">
        <f>IF($I1182="▲ ENTRÉE",$U1182,"")</f>
        <v/>
      </c>
      <c r="K1182" s="108">
        <f>IF($I1182="▼ SORTIE",$U1182,"")</f>
        <v/>
      </c>
      <c r="L1182" s="109">
        <f>$L1181+N($J1182)-N($K1182)</f>
        <v/>
      </c>
      <c r="M1182" s="110" t="n"/>
      <c r="N1182" s="54" t="n"/>
      <c r="O1182" s="54" t="n"/>
      <c r="P1182" s="54" t="n"/>
      <c r="Q1182" s="110" t="n"/>
      <c r="R1182" s="110" t="n"/>
      <c r="S1182" s="54" t="n"/>
      <c r="T1182" s="111">
        <f>IF($G1182="","",IFERROR(INDEX(Taux_Devises,MATCH(IF($M1182="",Devise_Base,$M1182),Codes_Devises,0)),1))</f>
        <v/>
      </c>
      <c r="U1182" s="112">
        <f>IF($G1182="","",ROUND($G1182*$T1182,2))</f>
        <v/>
      </c>
      <c r="V1182" s="113">
        <f>IF($B1182="","",MONTH($B1182))</f>
        <v/>
      </c>
      <c r="W1182" s="113">
        <f>IF($B1182="","",YEAR($B1182))</f>
        <v/>
      </c>
    </row>
    <row r="1183">
      <c r="B1183" s="105" t="n"/>
      <c r="C1183" s="54" t="n"/>
      <c r="D1183" s="54" t="n"/>
      <c r="E1183" s="54" t="n"/>
      <c r="F1183" s="54" t="n"/>
      <c r="G1183" s="65" t="n"/>
      <c r="H1183" s="54" t="n"/>
      <c r="I1183" s="106">
        <f>IF($C1183="","",IFERROR(INDEX(Sens_Types,MATCH($C1183,Liste_Types,0)),""))</f>
        <v/>
      </c>
      <c r="J1183" s="107">
        <f>IF($I1183="▲ ENTRÉE",$U1183,"")</f>
        <v/>
      </c>
      <c r="K1183" s="108">
        <f>IF($I1183="▼ SORTIE",$U1183,"")</f>
        <v/>
      </c>
      <c r="L1183" s="109">
        <f>$L1182+N($J1183)-N($K1183)</f>
        <v/>
      </c>
      <c r="M1183" s="110" t="n"/>
      <c r="N1183" s="54" t="n"/>
      <c r="O1183" s="54" t="n"/>
      <c r="P1183" s="54" t="n"/>
      <c r="Q1183" s="110" t="n"/>
      <c r="R1183" s="110" t="n"/>
      <c r="S1183" s="54" t="n"/>
      <c r="T1183" s="111">
        <f>IF($G1183="","",IFERROR(INDEX(Taux_Devises,MATCH(IF($M1183="",Devise_Base,$M1183),Codes_Devises,0)),1))</f>
        <v/>
      </c>
      <c r="U1183" s="112">
        <f>IF($G1183="","",ROUND($G1183*$T1183,2))</f>
        <v/>
      </c>
      <c r="V1183" s="113">
        <f>IF($B1183="","",MONTH($B1183))</f>
        <v/>
      </c>
      <c r="W1183" s="113">
        <f>IF($B1183="","",YEAR($B1183))</f>
        <v/>
      </c>
    </row>
    <row r="1184">
      <c r="B1184" s="105" t="n"/>
      <c r="C1184" s="54" t="n"/>
      <c r="D1184" s="54" t="n"/>
      <c r="E1184" s="54" t="n"/>
      <c r="F1184" s="54" t="n"/>
      <c r="G1184" s="65" t="n"/>
      <c r="H1184" s="54" t="n"/>
      <c r="I1184" s="106">
        <f>IF($C1184="","",IFERROR(INDEX(Sens_Types,MATCH($C1184,Liste_Types,0)),""))</f>
        <v/>
      </c>
      <c r="J1184" s="107">
        <f>IF($I1184="▲ ENTRÉE",$U1184,"")</f>
        <v/>
      </c>
      <c r="K1184" s="108">
        <f>IF($I1184="▼ SORTIE",$U1184,"")</f>
        <v/>
      </c>
      <c r="L1184" s="109">
        <f>$L1183+N($J1184)-N($K1184)</f>
        <v/>
      </c>
      <c r="M1184" s="110" t="n"/>
      <c r="N1184" s="54" t="n"/>
      <c r="O1184" s="54" t="n"/>
      <c r="P1184" s="54" t="n"/>
      <c r="Q1184" s="110" t="n"/>
      <c r="R1184" s="110" t="n"/>
      <c r="S1184" s="54" t="n"/>
      <c r="T1184" s="111">
        <f>IF($G1184="","",IFERROR(INDEX(Taux_Devises,MATCH(IF($M1184="",Devise_Base,$M1184),Codes_Devises,0)),1))</f>
        <v/>
      </c>
      <c r="U1184" s="112">
        <f>IF($G1184="","",ROUND($G1184*$T1184,2))</f>
        <v/>
      </c>
      <c r="V1184" s="113">
        <f>IF($B1184="","",MONTH($B1184))</f>
        <v/>
      </c>
      <c r="W1184" s="113">
        <f>IF($B1184="","",YEAR($B1184))</f>
        <v/>
      </c>
    </row>
    <row r="1185">
      <c r="B1185" s="105" t="n"/>
      <c r="C1185" s="54" t="n"/>
      <c r="D1185" s="54" t="n"/>
      <c r="E1185" s="54" t="n"/>
      <c r="F1185" s="54" t="n"/>
      <c r="G1185" s="65" t="n"/>
      <c r="H1185" s="54" t="n"/>
      <c r="I1185" s="106">
        <f>IF($C1185="","",IFERROR(INDEX(Sens_Types,MATCH($C1185,Liste_Types,0)),""))</f>
        <v/>
      </c>
      <c r="J1185" s="107">
        <f>IF($I1185="▲ ENTRÉE",$U1185,"")</f>
        <v/>
      </c>
      <c r="K1185" s="108">
        <f>IF($I1185="▼ SORTIE",$U1185,"")</f>
        <v/>
      </c>
      <c r="L1185" s="109">
        <f>$L1184+N($J1185)-N($K1185)</f>
        <v/>
      </c>
      <c r="M1185" s="110" t="n"/>
      <c r="N1185" s="54" t="n"/>
      <c r="O1185" s="54" t="n"/>
      <c r="P1185" s="54" t="n"/>
      <c r="Q1185" s="110" t="n"/>
      <c r="R1185" s="110" t="n"/>
      <c r="S1185" s="54" t="n"/>
      <c r="T1185" s="111">
        <f>IF($G1185="","",IFERROR(INDEX(Taux_Devises,MATCH(IF($M1185="",Devise_Base,$M1185),Codes_Devises,0)),1))</f>
        <v/>
      </c>
      <c r="U1185" s="112">
        <f>IF($G1185="","",ROUND($G1185*$T1185,2))</f>
        <v/>
      </c>
      <c r="V1185" s="113">
        <f>IF($B1185="","",MONTH($B1185))</f>
        <v/>
      </c>
      <c r="W1185" s="113">
        <f>IF($B1185="","",YEAR($B1185))</f>
        <v/>
      </c>
    </row>
    <row r="1186">
      <c r="B1186" s="105" t="n"/>
      <c r="C1186" s="54" t="n"/>
      <c r="D1186" s="54" t="n"/>
      <c r="E1186" s="54" t="n"/>
      <c r="F1186" s="54" t="n"/>
      <c r="G1186" s="65" t="n"/>
      <c r="H1186" s="54" t="n"/>
      <c r="I1186" s="106">
        <f>IF($C1186="","",IFERROR(INDEX(Sens_Types,MATCH($C1186,Liste_Types,0)),""))</f>
        <v/>
      </c>
      <c r="J1186" s="107">
        <f>IF($I1186="▲ ENTRÉE",$U1186,"")</f>
        <v/>
      </c>
      <c r="K1186" s="108">
        <f>IF($I1186="▼ SORTIE",$U1186,"")</f>
        <v/>
      </c>
      <c r="L1186" s="109">
        <f>$L1185+N($J1186)-N($K1186)</f>
        <v/>
      </c>
      <c r="M1186" s="110" t="n"/>
      <c r="N1186" s="54" t="n"/>
      <c r="O1186" s="54" t="n"/>
      <c r="P1186" s="54" t="n"/>
      <c r="Q1186" s="110" t="n"/>
      <c r="R1186" s="110" t="n"/>
      <c r="S1186" s="54" t="n"/>
      <c r="T1186" s="111">
        <f>IF($G1186="","",IFERROR(INDEX(Taux_Devises,MATCH(IF($M1186="",Devise_Base,$M1186),Codes_Devises,0)),1))</f>
        <v/>
      </c>
      <c r="U1186" s="112">
        <f>IF($G1186="","",ROUND($G1186*$T1186,2))</f>
        <v/>
      </c>
      <c r="V1186" s="113">
        <f>IF($B1186="","",MONTH($B1186))</f>
        <v/>
      </c>
      <c r="W1186" s="113">
        <f>IF($B1186="","",YEAR($B1186))</f>
        <v/>
      </c>
    </row>
    <row r="1187">
      <c r="B1187" s="105" t="n"/>
      <c r="C1187" s="54" t="n"/>
      <c r="D1187" s="54" t="n"/>
      <c r="E1187" s="54" t="n"/>
      <c r="F1187" s="54" t="n"/>
      <c r="G1187" s="65" t="n"/>
      <c r="H1187" s="54" t="n"/>
      <c r="I1187" s="106">
        <f>IF($C1187="","",IFERROR(INDEX(Sens_Types,MATCH($C1187,Liste_Types,0)),""))</f>
        <v/>
      </c>
      <c r="J1187" s="107">
        <f>IF($I1187="▲ ENTRÉE",$U1187,"")</f>
        <v/>
      </c>
      <c r="K1187" s="108">
        <f>IF($I1187="▼ SORTIE",$U1187,"")</f>
        <v/>
      </c>
      <c r="L1187" s="109">
        <f>$L1186+N($J1187)-N($K1187)</f>
        <v/>
      </c>
      <c r="M1187" s="110" t="n"/>
      <c r="N1187" s="54" t="n"/>
      <c r="O1187" s="54" t="n"/>
      <c r="P1187" s="54" t="n"/>
      <c r="Q1187" s="110" t="n"/>
      <c r="R1187" s="110" t="n"/>
      <c r="S1187" s="54" t="n"/>
      <c r="T1187" s="111">
        <f>IF($G1187="","",IFERROR(INDEX(Taux_Devises,MATCH(IF($M1187="",Devise_Base,$M1187),Codes_Devises,0)),1))</f>
        <v/>
      </c>
      <c r="U1187" s="112">
        <f>IF($G1187="","",ROUND($G1187*$T1187,2))</f>
        <v/>
      </c>
      <c r="V1187" s="113">
        <f>IF($B1187="","",MONTH($B1187))</f>
        <v/>
      </c>
      <c r="W1187" s="113">
        <f>IF($B1187="","",YEAR($B1187))</f>
        <v/>
      </c>
    </row>
    <row r="1188">
      <c r="B1188" s="105" t="n"/>
      <c r="C1188" s="54" t="n"/>
      <c r="D1188" s="54" t="n"/>
      <c r="E1188" s="54" t="n"/>
      <c r="F1188" s="54" t="n"/>
      <c r="G1188" s="65" t="n"/>
      <c r="H1188" s="54" t="n"/>
      <c r="I1188" s="106">
        <f>IF($C1188="","",IFERROR(INDEX(Sens_Types,MATCH($C1188,Liste_Types,0)),""))</f>
        <v/>
      </c>
      <c r="J1188" s="107">
        <f>IF($I1188="▲ ENTRÉE",$U1188,"")</f>
        <v/>
      </c>
      <c r="K1188" s="108">
        <f>IF($I1188="▼ SORTIE",$U1188,"")</f>
        <v/>
      </c>
      <c r="L1188" s="109">
        <f>$L1187+N($J1188)-N($K1188)</f>
        <v/>
      </c>
      <c r="M1188" s="110" t="n"/>
      <c r="N1188" s="54" t="n"/>
      <c r="O1188" s="54" t="n"/>
      <c r="P1188" s="54" t="n"/>
      <c r="Q1188" s="110" t="n"/>
      <c r="R1188" s="110" t="n"/>
      <c r="S1188" s="54" t="n"/>
      <c r="T1188" s="111">
        <f>IF($G1188="","",IFERROR(INDEX(Taux_Devises,MATCH(IF($M1188="",Devise_Base,$M1188),Codes_Devises,0)),1))</f>
        <v/>
      </c>
      <c r="U1188" s="112">
        <f>IF($G1188="","",ROUND($G1188*$T1188,2))</f>
        <v/>
      </c>
      <c r="V1188" s="113">
        <f>IF($B1188="","",MONTH($B1188))</f>
        <v/>
      </c>
      <c r="W1188" s="113">
        <f>IF($B1188="","",YEAR($B1188))</f>
        <v/>
      </c>
    </row>
    <row r="1189">
      <c r="B1189" s="105" t="n"/>
      <c r="C1189" s="54" t="n"/>
      <c r="D1189" s="54" t="n"/>
      <c r="E1189" s="54" t="n"/>
      <c r="F1189" s="54" t="n"/>
      <c r="G1189" s="65" t="n"/>
      <c r="H1189" s="54" t="n"/>
      <c r="I1189" s="106">
        <f>IF($C1189="","",IFERROR(INDEX(Sens_Types,MATCH($C1189,Liste_Types,0)),""))</f>
        <v/>
      </c>
      <c r="J1189" s="107">
        <f>IF($I1189="▲ ENTRÉE",$U1189,"")</f>
        <v/>
      </c>
      <c r="K1189" s="108">
        <f>IF($I1189="▼ SORTIE",$U1189,"")</f>
        <v/>
      </c>
      <c r="L1189" s="109">
        <f>$L1188+N($J1189)-N($K1189)</f>
        <v/>
      </c>
      <c r="M1189" s="110" t="n"/>
      <c r="N1189" s="54" t="n"/>
      <c r="O1189" s="54" t="n"/>
      <c r="P1189" s="54" t="n"/>
      <c r="Q1189" s="110" t="n"/>
      <c r="R1189" s="110" t="n"/>
      <c r="S1189" s="54" t="n"/>
      <c r="T1189" s="111">
        <f>IF($G1189="","",IFERROR(INDEX(Taux_Devises,MATCH(IF($M1189="",Devise_Base,$M1189),Codes_Devises,0)),1))</f>
        <v/>
      </c>
      <c r="U1189" s="112">
        <f>IF($G1189="","",ROUND($G1189*$T1189,2))</f>
        <v/>
      </c>
      <c r="V1189" s="113">
        <f>IF($B1189="","",MONTH($B1189))</f>
        <v/>
      </c>
      <c r="W1189" s="113">
        <f>IF($B1189="","",YEAR($B1189))</f>
        <v/>
      </c>
    </row>
    <row r="1190">
      <c r="B1190" s="105" t="n"/>
      <c r="C1190" s="54" t="n"/>
      <c r="D1190" s="54" t="n"/>
      <c r="E1190" s="54" t="n"/>
      <c r="F1190" s="54" t="n"/>
      <c r="G1190" s="65" t="n"/>
      <c r="H1190" s="54" t="n"/>
      <c r="I1190" s="106">
        <f>IF($C1190="","",IFERROR(INDEX(Sens_Types,MATCH($C1190,Liste_Types,0)),""))</f>
        <v/>
      </c>
      <c r="J1190" s="107">
        <f>IF($I1190="▲ ENTRÉE",$U1190,"")</f>
        <v/>
      </c>
      <c r="K1190" s="108">
        <f>IF($I1190="▼ SORTIE",$U1190,"")</f>
        <v/>
      </c>
      <c r="L1190" s="109">
        <f>$L1189+N($J1190)-N($K1190)</f>
        <v/>
      </c>
      <c r="M1190" s="110" t="n"/>
      <c r="N1190" s="54" t="n"/>
      <c r="O1190" s="54" t="n"/>
      <c r="P1190" s="54" t="n"/>
      <c r="Q1190" s="110" t="n"/>
      <c r="R1190" s="110" t="n"/>
      <c r="S1190" s="54" t="n"/>
      <c r="T1190" s="111">
        <f>IF($G1190="","",IFERROR(INDEX(Taux_Devises,MATCH(IF($M1190="",Devise_Base,$M1190),Codes_Devises,0)),1))</f>
        <v/>
      </c>
      <c r="U1190" s="112">
        <f>IF($G1190="","",ROUND($G1190*$T1190,2))</f>
        <v/>
      </c>
      <c r="V1190" s="113">
        <f>IF($B1190="","",MONTH($B1190))</f>
        <v/>
      </c>
      <c r="W1190" s="113">
        <f>IF($B1190="","",YEAR($B1190))</f>
        <v/>
      </c>
    </row>
    <row r="1191">
      <c r="B1191" s="105" t="n"/>
      <c r="C1191" s="54" t="n"/>
      <c r="D1191" s="54" t="n"/>
      <c r="E1191" s="54" t="n"/>
      <c r="F1191" s="54" t="n"/>
      <c r="G1191" s="65" t="n"/>
      <c r="H1191" s="54" t="n"/>
      <c r="I1191" s="106">
        <f>IF($C1191="","",IFERROR(INDEX(Sens_Types,MATCH($C1191,Liste_Types,0)),""))</f>
        <v/>
      </c>
      <c r="J1191" s="107">
        <f>IF($I1191="▲ ENTRÉE",$U1191,"")</f>
        <v/>
      </c>
      <c r="K1191" s="108">
        <f>IF($I1191="▼ SORTIE",$U1191,"")</f>
        <v/>
      </c>
      <c r="L1191" s="109">
        <f>$L1190+N($J1191)-N($K1191)</f>
        <v/>
      </c>
      <c r="M1191" s="110" t="n"/>
      <c r="N1191" s="54" t="n"/>
      <c r="O1191" s="54" t="n"/>
      <c r="P1191" s="54" t="n"/>
      <c r="Q1191" s="110" t="n"/>
      <c r="R1191" s="110" t="n"/>
      <c r="S1191" s="54" t="n"/>
      <c r="T1191" s="111">
        <f>IF($G1191="","",IFERROR(INDEX(Taux_Devises,MATCH(IF($M1191="",Devise_Base,$M1191),Codes_Devises,0)),1))</f>
        <v/>
      </c>
      <c r="U1191" s="112">
        <f>IF($G1191="","",ROUND($G1191*$T1191,2))</f>
        <v/>
      </c>
      <c r="V1191" s="113">
        <f>IF($B1191="","",MONTH($B1191))</f>
        <v/>
      </c>
      <c r="W1191" s="113">
        <f>IF($B1191="","",YEAR($B1191))</f>
        <v/>
      </c>
    </row>
    <row r="1192">
      <c r="B1192" s="105" t="n"/>
      <c r="C1192" s="54" t="n"/>
      <c r="D1192" s="54" t="n"/>
      <c r="E1192" s="54" t="n"/>
      <c r="F1192" s="54" t="n"/>
      <c r="G1192" s="65" t="n"/>
      <c r="H1192" s="54" t="n"/>
      <c r="I1192" s="106">
        <f>IF($C1192="","",IFERROR(INDEX(Sens_Types,MATCH($C1192,Liste_Types,0)),""))</f>
        <v/>
      </c>
      <c r="J1192" s="107">
        <f>IF($I1192="▲ ENTRÉE",$U1192,"")</f>
        <v/>
      </c>
      <c r="K1192" s="108">
        <f>IF($I1192="▼ SORTIE",$U1192,"")</f>
        <v/>
      </c>
      <c r="L1192" s="109">
        <f>$L1191+N($J1192)-N($K1192)</f>
        <v/>
      </c>
      <c r="M1192" s="110" t="n"/>
      <c r="N1192" s="54" t="n"/>
      <c r="O1192" s="54" t="n"/>
      <c r="P1192" s="54" t="n"/>
      <c r="Q1192" s="110" t="n"/>
      <c r="R1192" s="110" t="n"/>
      <c r="S1192" s="54" t="n"/>
      <c r="T1192" s="111">
        <f>IF($G1192="","",IFERROR(INDEX(Taux_Devises,MATCH(IF($M1192="",Devise_Base,$M1192),Codes_Devises,0)),1))</f>
        <v/>
      </c>
      <c r="U1192" s="112">
        <f>IF($G1192="","",ROUND($G1192*$T1192,2))</f>
        <v/>
      </c>
      <c r="V1192" s="113">
        <f>IF($B1192="","",MONTH($B1192))</f>
        <v/>
      </c>
      <c r="W1192" s="113">
        <f>IF($B1192="","",YEAR($B1192))</f>
        <v/>
      </c>
    </row>
    <row r="1193">
      <c r="B1193" s="105" t="n"/>
      <c r="C1193" s="54" t="n"/>
      <c r="D1193" s="54" t="n"/>
      <c r="E1193" s="54" t="n"/>
      <c r="F1193" s="54" t="n"/>
      <c r="G1193" s="65" t="n"/>
      <c r="H1193" s="54" t="n"/>
      <c r="I1193" s="106">
        <f>IF($C1193="","",IFERROR(INDEX(Sens_Types,MATCH($C1193,Liste_Types,0)),""))</f>
        <v/>
      </c>
      <c r="J1193" s="107">
        <f>IF($I1193="▲ ENTRÉE",$U1193,"")</f>
        <v/>
      </c>
      <c r="K1193" s="108">
        <f>IF($I1193="▼ SORTIE",$U1193,"")</f>
        <v/>
      </c>
      <c r="L1193" s="109">
        <f>$L1192+N($J1193)-N($K1193)</f>
        <v/>
      </c>
      <c r="M1193" s="110" t="n"/>
      <c r="N1193" s="54" t="n"/>
      <c r="O1193" s="54" t="n"/>
      <c r="P1193" s="54" t="n"/>
      <c r="Q1193" s="110" t="n"/>
      <c r="R1193" s="110" t="n"/>
      <c r="S1193" s="54" t="n"/>
      <c r="T1193" s="111">
        <f>IF($G1193="","",IFERROR(INDEX(Taux_Devises,MATCH(IF($M1193="",Devise_Base,$M1193),Codes_Devises,0)),1))</f>
        <v/>
      </c>
      <c r="U1193" s="112">
        <f>IF($G1193="","",ROUND($G1193*$T1193,2))</f>
        <v/>
      </c>
      <c r="V1193" s="113">
        <f>IF($B1193="","",MONTH($B1193))</f>
        <v/>
      </c>
      <c r="W1193" s="113">
        <f>IF($B1193="","",YEAR($B1193))</f>
        <v/>
      </c>
    </row>
    <row r="1194">
      <c r="B1194" s="105" t="n"/>
      <c r="C1194" s="54" t="n"/>
      <c r="D1194" s="54" t="n"/>
      <c r="E1194" s="54" t="n"/>
      <c r="F1194" s="54" t="n"/>
      <c r="G1194" s="65" t="n"/>
      <c r="H1194" s="54" t="n"/>
      <c r="I1194" s="106">
        <f>IF($C1194="","",IFERROR(INDEX(Sens_Types,MATCH($C1194,Liste_Types,0)),""))</f>
        <v/>
      </c>
      <c r="J1194" s="107">
        <f>IF($I1194="▲ ENTRÉE",$U1194,"")</f>
        <v/>
      </c>
      <c r="K1194" s="108">
        <f>IF($I1194="▼ SORTIE",$U1194,"")</f>
        <v/>
      </c>
      <c r="L1194" s="109">
        <f>$L1193+N($J1194)-N($K1194)</f>
        <v/>
      </c>
      <c r="M1194" s="110" t="n"/>
      <c r="N1194" s="54" t="n"/>
      <c r="O1194" s="54" t="n"/>
      <c r="P1194" s="54" t="n"/>
      <c r="Q1194" s="110" t="n"/>
      <c r="R1194" s="110" t="n"/>
      <c r="S1194" s="54" t="n"/>
      <c r="T1194" s="111">
        <f>IF($G1194="","",IFERROR(INDEX(Taux_Devises,MATCH(IF($M1194="",Devise_Base,$M1194),Codes_Devises,0)),1))</f>
        <v/>
      </c>
      <c r="U1194" s="112">
        <f>IF($G1194="","",ROUND($G1194*$T1194,2))</f>
        <v/>
      </c>
      <c r="V1194" s="113">
        <f>IF($B1194="","",MONTH($B1194))</f>
        <v/>
      </c>
      <c r="W1194" s="113">
        <f>IF($B1194="","",YEAR($B1194))</f>
        <v/>
      </c>
    </row>
    <row r="1195">
      <c r="B1195" s="105" t="n"/>
      <c r="C1195" s="54" t="n"/>
      <c r="D1195" s="54" t="n"/>
      <c r="E1195" s="54" t="n"/>
      <c r="F1195" s="54" t="n"/>
      <c r="G1195" s="65" t="n"/>
      <c r="H1195" s="54" t="n"/>
      <c r="I1195" s="106">
        <f>IF($C1195="","",IFERROR(INDEX(Sens_Types,MATCH($C1195,Liste_Types,0)),""))</f>
        <v/>
      </c>
      <c r="J1195" s="107">
        <f>IF($I1195="▲ ENTRÉE",$U1195,"")</f>
        <v/>
      </c>
      <c r="K1195" s="108">
        <f>IF($I1195="▼ SORTIE",$U1195,"")</f>
        <v/>
      </c>
      <c r="L1195" s="109">
        <f>$L1194+N($J1195)-N($K1195)</f>
        <v/>
      </c>
      <c r="M1195" s="110" t="n"/>
      <c r="N1195" s="54" t="n"/>
      <c r="O1195" s="54" t="n"/>
      <c r="P1195" s="54" t="n"/>
      <c r="Q1195" s="110" t="n"/>
      <c r="R1195" s="110" t="n"/>
      <c r="S1195" s="54" t="n"/>
      <c r="T1195" s="111">
        <f>IF($G1195="","",IFERROR(INDEX(Taux_Devises,MATCH(IF($M1195="",Devise_Base,$M1195),Codes_Devises,0)),1))</f>
        <v/>
      </c>
      <c r="U1195" s="112">
        <f>IF($G1195="","",ROUND($G1195*$T1195,2))</f>
        <v/>
      </c>
      <c r="V1195" s="113">
        <f>IF($B1195="","",MONTH($B1195))</f>
        <v/>
      </c>
      <c r="W1195" s="113">
        <f>IF($B1195="","",YEAR($B1195))</f>
        <v/>
      </c>
    </row>
    <row r="1196">
      <c r="B1196" s="105" t="n"/>
      <c r="C1196" s="54" t="n"/>
      <c r="D1196" s="54" t="n"/>
      <c r="E1196" s="54" t="n"/>
      <c r="F1196" s="54" t="n"/>
      <c r="G1196" s="65" t="n"/>
      <c r="H1196" s="54" t="n"/>
      <c r="I1196" s="106">
        <f>IF($C1196="","",IFERROR(INDEX(Sens_Types,MATCH($C1196,Liste_Types,0)),""))</f>
        <v/>
      </c>
      <c r="J1196" s="107">
        <f>IF($I1196="▲ ENTRÉE",$U1196,"")</f>
        <v/>
      </c>
      <c r="K1196" s="108">
        <f>IF($I1196="▼ SORTIE",$U1196,"")</f>
        <v/>
      </c>
      <c r="L1196" s="109">
        <f>$L1195+N($J1196)-N($K1196)</f>
        <v/>
      </c>
      <c r="M1196" s="110" t="n"/>
      <c r="N1196" s="54" t="n"/>
      <c r="O1196" s="54" t="n"/>
      <c r="P1196" s="54" t="n"/>
      <c r="Q1196" s="110" t="n"/>
      <c r="R1196" s="110" t="n"/>
      <c r="S1196" s="54" t="n"/>
      <c r="T1196" s="111">
        <f>IF($G1196="","",IFERROR(INDEX(Taux_Devises,MATCH(IF($M1196="",Devise_Base,$M1196),Codes_Devises,0)),1))</f>
        <v/>
      </c>
      <c r="U1196" s="112">
        <f>IF($G1196="","",ROUND($G1196*$T1196,2))</f>
        <v/>
      </c>
      <c r="V1196" s="113">
        <f>IF($B1196="","",MONTH($B1196))</f>
        <v/>
      </c>
      <c r="W1196" s="113">
        <f>IF($B1196="","",YEAR($B1196))</f>
        <v/>
      </c>
    </row>
    <row r="1197">
      <c r="B1197" s="105" t="n"/>
      <c r="C1197" s="54" t="n"/>
      <c r="D1197" s="54" t="n"/>
      <c r="E1197" s="54" t="n"/>
      <c r="F1197" s="54" t="n"/>
      <c r="G1197" s="65" t="n"/>
      <c r="H1197" s="54" t="n"/>
      <c r="I1197" s="106">
        <f>IF($C1197="","",IFERROR(INDEX(Sens_Types,MATCH($C1197,Liste_Types,0)),""))</f>
        <v/>
      </c>
      <c r="J1197" s="107">
        <f>IF($I1197="▲ ENTRÉE",$U1197,"")</f>
        <v/>
      </c>
      <c r="K1197" s="108">
        <f>IF($I1197="▼ SORTIE",$U1197,"")</f>
        <v/>
      </c>
      <c r="L1197" s="109">
        <f>$L1196+N($J1197)-N($K1197)</f>
        <v/>
      </c>
      <c r="M1197" s="110" t="n"/>
      <c r="N1197" s="54" t="n"/>
      <c r="O1197" s="54" t="n"/>
      <c r="P1197" s="54" t="n"/>
      <c r="Q1197" s="110" t="n"/>
      <c r="R1197" s="110" t="n"/>
      <c r="S1197" s="54" t="n"/>
      <c r="T1197" s="111">
        <f>IF($G1197="","",IFERROR(INDEX(Taux_Devises,MATCH(IF($M1197="",Devise_Base,$M1197),Codes_Devises,0)),1))</f>
        <v/>
      </c>
      <c r="U1197" s="112">
        <f>IF($G1197="","",ROUND($G1197*$T1197,2))</f>
        <v/>
      </c>
      <c r="V1197" s="113">
        <f>IF($B1197="","",MONTH($B1197))</f>
        <v/>
      </c>
      <c r="W1197" s="113">
        <f>IF($B1197="","",YEAR($B1197))</f>
        <v/>
      </c>
    </row>
    <row r="1198">
      <c r="B1198" s="105" t="n"/>
      <c r="C1198" s="54" t="n"/>
      <c r="D1198" s="54" t="n"/>
      <c r="E1198" s="54" t="n"/>
      <c r="F1198" s="54" t="n"/>
      <c r="G1198" s="65" t="n"/>
      <c r="H1198" s="54" t="n"/>
      <c r="I1198" s="106">
        <f>IF($C1198="","",IFERROR(INDEX(Sens_Types,MATCH($C1198,Liste_Types,0)),""))</f>
        <v/>
      </c>
      <c r="J1198" s="107">
        <f>IF($I1198="▲ ENTRÉE",$U1198,"")</f>
        <v/>
      </c>
      <c r="K1198" s="108">
        <f>IF($I1198="▼ SORTIE",$U1198,"")</f>
        <v/>
      </c>
      <c r="L1198" s="109">
        <f>$L1197+N($J1198)-N($K1198)</f>
        <v/>
      </c>
      <c r="M1198" s="110" t="n"/>
      <c r="N1198" s="54" t="n"/>
      <c r="O1198" s="54" t="n"/>
      <c r="P1198" s="54" t="n"/>
      <c r="Q1198" s="110" t="n"/>
      <c r="R1198" s="110" t="n"/>
      <c r="S1198" s="54" t="n"/>
      <c r="T1198" s="111">
        <f>IF($G1198="","",IFERROR(INDEX(Taux_Devises,MATCH(IF($M1198="",Devise_Base,$M1198),Codes_Devises,0)),1))</f>
        <v/>
      </c>
      <c r="U1198" s="112">
        <f>IF($G1198="","",ROUND($G1198*$T1198,2))</f>
        <v/>
      </c>
      <c r="V1198" s="113">
        <f>IF($B1198="","",MONTH($B1198))</f>
        <v/>
      </c>
      <c r="W1198" s="113">
        <f>IF($B1198="","",YEAR($B1198))</f>
        <v/>
      </c>
    </row>
    <row r="1199">
      <c r="B1199" s="105" t="n"/>
      <c r="C1199" s="54" t="n"/>
      <c r="D1199" s="54" t="n"/>
      <c r="E1199" s="54" t="n"/>
      <c r="F1199" s="54" t="n"/>
      <c r="G1199" s="65" t="n"/>
      <c r="H1199" s="54" t="n"/>
      <c r="I1199" s="106">
        <f>IF($C1199="","",IFERROR(INDEX(Sens_Types,MATCH($C1199,Liste_Types,0)),""))</f>
        <v/>
      </c>
      <c r="J1199" s="107">
        <f>IF($I1199="▲ ENTRÉE",$U1199,"")</f>
        <v/>
      </c>
      <c r="K1199" s="108">
        <f>IF($I1199="▼ SORTIE",$U1199,"")</f>
        <v/>
      </c>
      <c r="L1199" s="109">
        <f>$L1198+N($J1199)-N($K1199)</f>
        <v/>
      </c>
      <c r="M1199" s="110" t="n"/>
      <c r="N1199" s="54" t="n"/>
      <c r="O1199" s="54" t="n"/>
      <c r="P1199" s="54" t="n"/>
      <c r="Q1199" s="110" t="n"/>
      <c r="R1199" s="110" t="n"/>
      <c r="S1199" s="54" t="n"/>
      <c r="T1199" s="111">
        <f>IF($G1199="","",IFERROR(INDEX(Taux_Devises,MATCH(IF($M1199="",Devise_Base,$M1199),Codes_Devises,0)),1))</f>
        <v/>
      </c>
      <c r="U1199" s="112">
        <f>IF($G1199="","",ROUND($G1199*$T1199,2))</f>
        <v/>
      </c>
      <c r="V1199" s="113">
        <f>IF($B1199="","",MONTH($B1199))</f>
        <v/>
      </c>
      <c r="W1199" s="113">
        <f>IF($B1199="","",YEAR($B1199))</f>
        <v/>
      </c>
    </row>
    <row r="1200">
      <c r="B1200" s="105" t="n"/>
      <c r="C1200" s="54" t="n"/>
      <c r="D1200" s="54" t="n"/>
      <c r="E1200" s="54" t="n"/>
      <c r="F1200" s="54" t="n"/>
      <c r="G1200" s="65" t="n"/>
      <c r="H1200" s="54" t="n"/>
      <c r="I1200" s="106">
        <f>IF($C1200="","",IFERROR(INDEX(Sens_Types,MATCH($C1200,Liste_Types,0)),""))</f>
        <v/>
      </c>
      <c r="J1200" s="107">
        <f>IF($I1200="▲ ENTRÉE",$U1200,"")</f>
        <v/>
      </c>
      <c r="K1200" s="108">
        <f>IF($I1200="▼ SORTIE",$U1200,"")</f>
        <v/>
      </c>
      <c r="L1200" s="109">
        <f>$L1199+N($J1200)-N($K1200)</f>
        <v/>
      </c>
      <c r="M1200" s="110" t="n"/>
      <c r="N1200" s="54" t="n"/>
      <c r="O1200" s="54" t="n"/>
      <c r="P1200" s="54" t="n"/>
      <c r="Q1200" s="110" t="n"/>
      <c r="R1200" s="110" t="n"/>
      <c r="S1200" s="54" t="n"/>
      <c r="T1200" s="111">
        <f>IF($G1200="","",IFERROR(INDEX(Taux_Devises,MATCH(IF($M1200="",Devise_Base,$M1200),Codes_Devises,0)),1))</f>
        <v/>
      </c>
      <c r="U1200" s="112">
        <f>IF($G1200="","",ROUND($G1200*$T1200,2))</f>
        <v/>
      </c>
      <c r="V1200" s="113">
        <f>IF($B1200="","",MONTH($B1200))</f>
        <v/>
      </c>
      <c r="W1200" s="113">
        <f>IF($B1200="","",YEAR($B1200))</f>
        <v/>
      </c>
    </row>
    <row r="1201">
      <c r="B1201" s="105" t="n"/>
      <c r="C1201" s="54" t="n"/>
      <c r="D1201" s="54" t="n"/>
      <c r="E1201" s="54" t="n"/>
      <c r="F1201" s="54" t="n"/>
      <c r="G1201" s="65" t="n"/>
      <c r="H1201" s="54" t="n"/>
      <c r="I1201" s="106">
        <f>IF($C1201="","",IFERROR(INDEX(Sens_Types,MATCH($C1201,Liste_Types,0)),""))</f>
        <v/>
      </c>
      <c r="J1201" s="107">
        <f>IF($I1201="▲ ENTRÉE",$U1201,"")</f>
        <v/>
      </c>
      <c r="K1201" s="108">
        <f>IF($I1201="▼ SORTIE",$U1201,"")</f>
        <v/>
      </c>
      <c r="L1201" s="109">
        <f>$L1200+N($J1201)-N($K1201)</f>
        <v/>
      </c>
      <c r="M1201" s="110" t="n"/>
      <c r="N1201" s="54" t="n"/>
      <c r="O1201" s="54" t="n"/>
      <c r="P1201" s="54" t="n"/>
      <c r="Q1201" s="110" t="n"/>
      <c r="R1201" s="110" t="n"/>
      <c r="S1201" s="54" t="n"/>
      <c r="T1201" s="111">
        <f>IF($G1201="","",IFERROR(INDEX(Taux_Devises,MATCH(IF($M1201="",Devise_Base,$M1201),Codes_Devises,0)),1))</f>
        <v/>
      </c>
      <c r="U1201" s="112">
        <f>IF($G1201="","",ROUND($G1201*$T1201,2))</f>
        <v/>
      </c>
      <c r="V1201" s="113">
        <f>IF($B1201="","",MONTH($B1201))</f>
        <v/>
      </c>
      <c r="W1201" s="113">
        <f>IF($B1201="","",YEAR($B1201))</f>
        <v/>
      </c>
    </row>
    <row r="1202">
      <c r="B1202" s="105" t="n"/>
      <c r="C1202" s="54" t="n"/>
      <c r="D1202" s="54" t="n"/>
      <c r="E1202" s="54" t="n"/>
      <c r="F1202" s="54" t="n"/>
      <c r="G1202" s="65" t="n"/>
      <c r="H1202" s="54" t="n"/>
      <c r="I1202" s="106">
        <f>IF($C1202="","",IFERROR(INDEX(Sens_Types,MATCH($C1202,Liste_Types,0)),""))</f>
        <v/>
      </c>
      <c r="J1202" s="107">
        <f>IF($I1202="▲ ENTRÉE",$U1202,"")</f>
        <v/>
      </c>
      <c r="K1202" s="108">
        <f>IF($I1202="▼ SORTIE",$U1202,"")</f>
        <v/>
      </c>
      <c r="L1202" s="109">
        <f>$L1201+N($J1202)-N($K1202)</f>
        <v/>
      </c>
      <c r="M1202" s="110" t="n"/>
      <c r="N1202" s="54" t="n"/>
      <c r="O1202" s="54" t="n"/>
      <c r="P1202" s="54" t="n"/>
      <c r="Q1202" s="110" t="n"/>
      <c r="R1202" s="110" t="n"/>
      <c r="S1202" s="54" t="n"/>
      <c r="T1202" s="111">
        <f>IF($G1202="","",IFERROR(INDEX(Taux_Devises,MATCH(IF($M1202="",Devise_Base,$M1202),Codes_Devises,0)),1))</f>
        <v/>
      </c>
      <c r="U1202" s="112">
        <f>IF($G1202="","",ROUND($G1202*$T1202,2))</f>
        <v/>
      </c>
      <c r="V1202" s="113">
        <f>IF($B1202="","",MONTH($B1202))</f>
        <v/>
      </c>
      <c r="W1202" s="113">
        <f>IF($B1202="","",YEAR($B1202))</f>
        <v/>
      </c>
    </row>
    <row r="1203">
      <c r="B1203" s="105" t="n"/>
      <c r="C1203" s="54" t="n"/>
      <c r="D1203" s="54" t="n"/>
      <c r="E1203" s="54" t="n"/>
      <c r="F1203" s="54" t="n"/>
      <c r="G1203" s="65" t="n"/>
      <c r="H1203" s="54" t="n"/>
      <c r="I1203" s="106">
        <f>IF($C1203="","",IFERROR(INDEX(Sens_Types,MATCH($C1203,Liste_Types,0)),""))</f>
        <v/>
      </c>
      <c r="J1203" s="107">
        <f>IF($I1203="▲ ENTRÉE",$U1203,"")</f>
        <v/>
      </c>
      <c r="K1203" s="108">
        <f>IF($I1203="▼ SORTIE",$U1203,"")</f>
        <v/>
      </c>
      <c r="L1203" s="109">
        <f>$L1202+N($J1203)-N($K1203)</f>
        <v/>
      </c>
      <c r="M1203" s="110" t="n"/>
      <c r="N1203" s="54" t="n"/>
      <c r="O1203" s="54" t="n"/>
      <c r="P1203" s="54" t="n"/>
      <c r="Q1203" s="110" t="n"/>
      <c r="R1203" s="110" t="n"/>
      <c r="S1203" s="54" t="n"/>
      <c r="T1203" s="111">
        <f>IF($G1203="","",IFERROR(INDEX(Taux_Devises,MATCH(IF($M1203="",Devise_Base,$M1203),Codes_Devises,0)),1))</f>
        <v/>
      </c>
      <c r="U1203" s="112">
        <f>IF($G1203="","",ROUND($G1203*$T1203,2))</f>
        <v/>
      </c>
      <c r="V1203" s="113">
        <f>IF($B1203="","",MONTH($B1203))</f>
        <v/>
      </c>
      <c r="W1203" s="113">
        <f>IF($B1203="","",YEAR($B1203))</f>
        <v/>
      </c>
    </row>
    <row r="1204">
      <c r="B1204" s="105" t="n"/>
      <c r="C1204" s="54" t="n"/>
      <c r="D1204" s="54" t="n"/>
      <c r="E1204" s="54" t="n"/>
      <c r="F1204" s="54" t="n"/>
      <c r="G1204" s="65" t="n"/>
      <c r="H1204" s="54" t="n"/>
      <c r="I1204" s="106">
        <f>IF($C1204="","",IFERROR(INDEX(Sens_Types,MATCH($C1204,Liste_Types,0)),""))</f>
        <v/>
      </c>
      <c r="J1204" s="107">
        <f>IF($I1204="▲ ENTRÉE",$U1204,"")</f>
        <v/>
      </c>
      <c r="K1204" s="108">
        <f>IF($I1204="▼ SORTIE",$U1204,"")</f>
        <v/>
      </c>
      <c r="L1204" s="109">
        <f>$L1203+N($J1204)-N($K1204)</f>
        <v/>
      </c>
      <c r="M1204" s="110" t="n"/>
      <c r="N1204" s="54" t="n"/>
      <c r="O1204" s="54" t="n"/>
      <c r="P1204" s="54" t="n"/>
      <c r="Q1204" s="110" t="n"/>
      <c r="R1204" s="110" t="n"/>
      <c r="S1204" s="54" t="n"/>
      <c r="T1204" s="111">
        <f>IF($G1204="","",IFERROR(INDEX(Taux_Devises,MATCH(IF($M1204="",Devise_Base,$M1204),Codes_Devises,0)),1))</f>
        <v/>
      </c>
      <c r="U1204" s="112">
        <f>IF($G1204="","",ROUND($G1204*$T1204,2))</f>
        <v/>
      </c>
      <c r="V1204" s="113">
        <f>IF($B1204="","",MONTH($B1204))</f>
        <v/>
      </c>
      <c r="W1204" s="113">
        <f>IF($B1204="","",YEAR($B1204))</f>
        <v/>
      </c>
    </row>
    <row r="1205">
      <c r="B1205" s="105" t="n"/>
      <c r="C1205" s="54" t="n"/>
      <c r="D1205" s="54" t="n"/>
      <c r="E1205" s="54" t="n"/>
      <c r="F1205" s="54" t="n"/>
      <c r="G1205" s="65" t="n"/>
      <c r="H1205" s="54" t="n"/>
      <c r="I1205" s="106">
        <f>IF($C1205="","",IFERROR(INDEX(Sens_Types,MATCH($C1205,Liste_Types,0)),""))</f>
        <v/>
      </c>
      <c r="J1205" s="107">
        <f>IF($I1205="▲ ENTRÉE",$U1205,"")</f>
        <v/>
      </c>
      <c r="K1205" s="108">
        <f>IF($I1205="▼ SORTIE",$U1205,"")</f>
        <v/>
      </c>
      <c r="L1205" s="109">
        <f>$L1204+N($J1205)-N($K1205)</f>
        <v/>
      </c>
      <c r="M1205" s="110" t="n"/>
      <c r="N1205" s="54" t="n"/>
      <c r="O1205" s="54" t="n"/>
      <c r="P1205" s="54" t="n"/>
      <c r="Q1205" s="110" t="n"/>
      <c r="R1205" s="110" t="n"/>
      <c r="S1205" s="54" t="n"/>
      <c r="T1205" s="111">
        <f>IF($G1205="","",IFERROR(INDEX(Taux_Devises,MATCH(IF($M1205="",Devise_Base,$M1205),Codes_Devises,0)),1))</f>
        <v/>
      </c>
      <c r="U1205" s="112">
        <f>IF($G1205="","",ROUND($G1205*$T1205,2))</f>
        <v/>
      </c>
      <c r="V1205" s="113">
        <f>IF($B1205="","",MONTH($B1205))</f>
        <v/>
      </c>
      <c r="W1205" s="113">
        <f>IF($B1205="","",YEAR($B1205))</f>
        <v/>
      </c>
    </row>
    <row r="1206">
      <c r="B1206" s="105" t="n"/>
      <c r="C1206" s="54" t="n"/>
      <c r="D1206" s="54" t="n"/>
      <c r="E1206" s="54" t="n"/>
      <c r="F1206" s="54" t="n"/>
      <c r="G1206" s="65" t="n"/>
      <c r="H1206" s="54" t="n"/>
      <c r="I1206" s="106">
        <f>IF($C1206="","",IFERROR(INDEX(Sens_Types,MATCH($C1206,Liste_Types,0)),""))</f>
        <v/>
      </c>
      <c r="J1206" s="107">
        <f>IF($I1206="▲ ENTRÉE",$U1206,"")</f>
        <v/>
      </c>
      <c r="K1206" s="108">
        <f>IF($I1206="▼ SORTIE",$U1206,"")</f>
        <v/>
      </c>
      <c r="L1206" s="109">
        <f>$L1205+N($J1206)-N($K1206)</f>
        <v/>
      </c>
      <c r="M1206" s="110" t="n"/>
      <c r="N1206" s="54" t="n"/>
      <c r="O1206" s="54" t="n"/>
      <c r="P1206" s="54" t="n"/>
      <c r="Q1206" s="110" t="n"/>
      <c r="R1206" s="110" t="n"/>
      <c r="S1206" s="54" t="n"/>
      <c r="T1206" s="111">
        <f>IF($G1206="","",IFERROR(INDEX(Taux_Devises,MATCH(IF($M1206="",Devise_Base,$M1206),Codes_Devises,0)),1))</f>
        <v/>
      </c>
      <c r="U1206" s="112">
        <f>IF($G1206="","",ROUND($G1206*$T1206,2))</f>
        <v/>
      </c>
      <c r="V1206" s="113">
        <f>IF($B1206="","",MONTH($B1206))</f>
        <v/>
      </c>
      <c r="W1206" s="113">
        <f>IF($B1206="","",YEAR($B1206))</f>
        <v/>
      </c>
    </row>
    <row r="1207">
      <c r="B1207" s="105" t="n"/>
      <c r="C1207" s="54" t="n"/>
      <c r="D1207" s="54" t="n"/>
      <c r="E1207" s="54" t="n"/>
      <c r="F1207" s="54" t="n"/>
      <c r="G1207" s="65" t="n"/>
      <c r="H1207" s="54" t="n"/>
      <c r="I1207" s="106">
        <f>IF($C1207="","",IFERROR(INDEX(Sens_Types,MATCH($C1207,Liste_Types,0)),""))</f>
        <v/>
      </c>
      <c r="J1207" s="107">
        <f>IF($I1207="▲ ENTRÉE",$U1207,"")</f>
        <v/>
      </c>
      <c r="K1207" s="108">
        <f>IF($I1207="▼ SORTIE",$U1207,"")</f>
        <v/>
      </c>
      <c r="L1207" s="109">
        <f>$L1206+N($J1207)-N($K1207)</f>
        <v/>
      </c>
      <c r="M1207" s="110" t="n"/>
      <c r="N1207" s="54" t="n"/>
      <c r="O1207" s="54" t="n"/>
      <c r="P1207" s="54" t="n"/>
      <c r="Q1207" s="110" t="n"/>
      <c r="R1207" s="110" t="n"/>
      <c r="S1207" s="54" t="n"/>
      <c r="T1207" s="111">
        <f>IF($G1207="","",IFERROR(INDEX(Taux_Devises,MATCH(IF($M1207="",Devise_Base,$M1207),Codes_Devises,0)),1))</f>
        <v/>
      </c>
      <c r="U1207" s="112">
        <f>IF($G1207="","",ROUND($G1207*$T1207,2))</f>
        <v/>
      </c>
      <c r="V1207" s="113">
        <f>IF($B1207="","",MONTH($B1207))</f>
        <v/>
      </c>
      <c r="W1207" s="113">
        <f>IF($B1207="","",YEAR($B1207))</f>
        <v/>
      </c>
    </row>
    <row r="1208">
      <c r="B1208" s="105" t="n"/>
      <c r="C1208" s="54" t="n"/>
      <c r="D1208" s="54" t="n"/>
      <c r="E1208" s="54" t="n"/>
      <c r="F1208" s="54" t="n"/>
      <c r="G1208" s="65" t="n"/>
      <c r="H1208" s="54" t="n"/>
      <c r="I1208" s="106">
        <f>IF($C1208="","",IFERROR(INDEX(Sens_Types,MATCH($C1208,Liste_Types,0)),""))</f>
        <v/>
      </c>
      <c r="J1208" s="107">
        <f>IF($I1208="▲ ENTRÉE",$U1208,"")</f>
        <v/>
      </c>
      <c r="K1208" s="108">
        <f>IF($I1208="▼ SORTIE",$U1208,"")</f>
        <v/>
      </c>
      <c r="L1208" s="109">
        <f>$L1207+N($J1208)-N($K1208)</f>
        <v/>
      </c>
      <c r="M1208" s="110" t="n"/>
      <c r="N1208" s="54" t="n"/>
      <c r="O1208" s="54" t="n"/>
      <c r="P1208" s="54" t="n"/>
      <c r="Q1208" s="110" t="n"/>
      <c r="R1208" s="110" t="n"/>
      <c r="S1208" s="54" t="n"/>
      <c r="T1208" s="111">
        <f>IF($G1208="","",IFERROR(INDEX(Taux_Devises,MATCH(IF($M1208="",Devise_Base,$M1208),Codes_Devises,0)),1))</f>
        <v/>
      </c>
      <c r="U1208" s="112">
        <f>IF($G1208="","",ROUND($G1208*$T1208,2))</f>
        <v/>
      </c>
      <c r="V1208" s="113">
        <f>IF($B1208="","",MONTH($B1208))</f>
        <v/>
      </c>
      <c r="W1208" s="113">
        <f>IF($B1208="","",YEAR($B1208))</f>
        <v/>
      </c>
    </row>
    <row r="1209">
      <c r="B1209" s="105" t="n"/>
      <c r="C1209" s="54" t="n"/>
      <c r="D1209" s="54" t="n"/>
      <c r="E1209" s="54" t="n"/>
      <c r="F1209" s="54" t="n"/>
      <c r="G1209" s="65" t="n"/>
      <c r="H1209" s="54" t="n"/>
      <c r="I1209" s="106">
        <f>IF($C1209="","",IFERROR(INDEX(Sens_Types,MATCH($C1209,Liste_Types,0)),""))</f>
        <v/>
      </c>
      <c r="J1209" s="107">
        <f>IF($I1209="▲ ENTRÉE",$U1209,"")</f>
        <v/>
      </c>
      <c r="K1209" s="108">
        <f>IF($I1209="▼ SORTIE",$U1209,"")</f>
        <v/>
      </c>
      <c r="L1209" s="109">
        <f>$L1208+N($J1209)-N($K1209)</f>
        <v/>
      </c>
      <c r="M1209" s="110" t="n"/>
      <c r="N1209" s="54" t="n"/>
      <c r="O1209" s="54" t="n"/>
      <c r="P1209" s="54" t="n"/>
      <c r="Q1209" s="110" t="n"/>
      <c r="R1209" s="110" t="n"/>
      <c r="S1209" s="54" t="n"/>
      <c r="T1209" s="111">
        <f>IF($G1209="","",IFERROR(INDEX(Taux_Devises,MATCH(IF($M1209="",Devise_Base,$M1209),Codes_Devises,0)),1))</f>
        <v/>
      </c>
      <c r="U1209" s="112">
        <f>IF($G1209="","",ROUND($G1209*$T1209,2))</f>
        <v/>
      </c>
      <c r="V1209" s="113">
        <f>IF($B1209="","",MONTH($B1209))</f>
        <v/>
      </c>
      <c r="W1209" s="113">
        <f>IF($B1209="","",YEAR($B1209))</f>
        <v/>
      </c>
    </row>
    <row r="1210">
      <c r="B1210" s="105" t="n"/>
      <c r="C1210" s="54" t="n"/>
      <c r="D1210" s="54" t="n"/>
      <c r="E1210" s="54" t="n"/>
      <c r="F1210" s="54" t="n"/>
      <c r="G1210" s="65" t="n"/>
      <c r="H1210" s="54" t="n"/>
      <c r="I1210" s="106">
        <f>IF($C1210="","",IFERROR(INDEX(Sens_Types,MATCH($C1210,Liste_Types,0)),""))</f>
        <v/>
      </c>
      <c r="J1210" s="107">
        <f>IF($I1210="▲ ENTRÉE",$U1210,"")</f>
        <v/>
      </c>
      <c r="K1210" s="108">
        <f>IF($I1210="▼ SORTIE",$U1210,"")</f>
        <v/>
      </c>
      <c r="L1210" s="109">
        <f>$L1209+N($J1210)-N($K1210)</f>
        <v/>
      </c>
      <c r="M1210" s="110" t="n"/>
      <c r="N1210" s="54" t="n"/>
      <c r="O1210" s="54" t="n"/>
      <c r="P1210" s="54" t="n"/>
      <c r="Q1210" s="110" t="n"/>
      <c r="R1210" s="110" t="n"/>
      <c r="S1210" s="54" t="n"/>
      <c r="T1210" s="111">
        <f>IF($G1210="","",IFERROR(INDEX(Taux_Devises,MATCH(IF($M1210="",Devise_Base,$M1210),Codes_Devises,0)),1))</f>
        <v/>
      </c>
      <c r="U1210" s="112">
        <f>IF($G1210="","",ROUND($G1210*$T1210,2))</f>
        <v/>
      </c>
      <c r="V1210" s="113">
        <f>IF($B1210="","",MONTH($B1210))</f>
        <v/>
      </c>
      <c r="W1210" s="113">
        <f>IF($B1210="","",YEAR($B1210))</f>
        <v/>
      </c>
    </row>
    <row r="1211">
      <c r="B1211" s="105" t="n"/>
      <c r="C1211" s="54" t="n"/>
      <c r="D1211" s="54" t="n"/>
      <c r="E1211" s="54" t="n"/>
      <c r="F1211" s="54" t="n"/>
      <c r="G1211" s="65" t="n"/>
      <c r="H1211" s="54" t="n"/>
      <c r="I1211" s="106">
        <f>IF($C1211="","",IFERROR(INDEX(Sens_Types,MATCH($C1211,Liste_Types,0)),""))</f>
        <v/>
      </c>
      <c r="J1211" s="107">
        <f>IF($I1211="▲ ENTRÉE",$U1211,"")</f>
        <v/>
      </c>
      <c r="K1211" s="108">
        <f>IF($I1211="▼ SORTIE",$U1211,"")</f>
        <v/>
      </c>
      <c r="L1211" s="109">
        <f>$L1210+N($J1211)-N($K1211)</f>
        <v/>
      </c>
      <c r="M1211" s="110" t="n"/>
      <c r="N1211" s="54" t="n"/>
      <c r="O1211" s="54" t="n"/>
      <c r="P1211" s="54" t="n"/>
      <c r="Q1211" s="110" t="n"/>
      <c r="R1211" s="110" t="n"/>
      <c r="S1211" s="54" t="n"/>
      <c r="T1211" s="111">
        <f>IF($G1211="","",IFERROR(INDEX(Taux_Devises,MATCH(IF($M1211="",Devise_Base,$M1211),Codes_Devises,0)),1))</f>
        <v/>
      </c>
      <c r="U1211" s="112">
        <f>IF($G1211="","",ROUND($G1211*$T1211,2))</f>
        <v/>
      </c>
      <c r="V1211" s="113">
        <f>IF($B1211="","",MONTH($B1211))</f>
        <v/>
      </c>
      <c r="W1211" s="113">
        <f>IF($B1211="","",YEAR($B1211))</f>
        <v/>
      </c>
    </row>
    <row r="1212">
      <c r="B1212" s="105" t="n"/>
      <c r="C1212" s="54" t="n"/>
      <c r="D1212" s="54" t="n"/>
      <c r="E1212" s="54" t="n"/>
      <c r="F1212" s="54" t="n"/>
      <c r="G1212" s="65" t="n"/>
      <c r="H1212" s="54" t="n"/>
      <c r="I1212" s="106">
        <f>IF($C1212="","",IFERROR(INDEX(Sens_Types,MATCH($C1212,Liste_Types,0)),""))</f>
        <v/>
      </c>
      <c r="J1212" s="107">
        <f>IF($I1212="▲ ENTRÉE",$U1212,"")</f>
        <v/>
      </c>
      <c r="K1212" s="108">
        <f>IF($I1212="▼ SORTIE",$U1212,"")</f>
        <v/>
      </c>
      <c r="L1212" s="109">
        <f>$L1211+N($J1212)-N($K1212)</f>
        <v/>
      </c>
      <c r="M1212" s="110" t="n"/>
      <c r="N1212" s="54" t="n"/>
      <c r="O1212" s="54" t="n"/>
      <c r="P1212" s="54" t="n"/>
      <c r="Q1212" s="110" t="n"/>
      <c r="R1212" s="110" t="n"/>
      <c r="S1212" s="54" t="n"/>
      <c r="T1212" s="111">
        <f>IF($G1212="","",IFERROR(INDEX(Taux_Devises,MATCH(IF($M1212="",Devise_Base,$M1212),Codes_Devises,0)),1))</f>
        <v/>
      </c>
      <c r="U1212" s="112">
        <f>IF($G1212="","",ROUND($G1212*$T1212,2))</f>
        <v/>
      </c>
      <c r="V1212" s="113">
        <f>IF($B1212="","",MONTH($B1212))</f>
        <v/>
      </c>
      <c r="W1212" s="113">
        <f>IF($B1212="","",YEAR($B1212))</f>
        <v/>
      </c>
    </row>
    <row r="1213">
      <c r="B1213" s="105" t="n"/>
      <c r="C1213" s="54" t="n"/>
      <c r="D1213" s="54" t="n"/>
      <c r="E1213" s="54" t="n"/>
      <c r="F1213" s="54" t="n"/>
      <c r="G1213" s="65" t="n"/>
      <c r="H1213" s="54" t="n"/>
      <c r="I1213" s="106">
        <f>IF($C1213="","",IFERROR(INDEX(Sens_Types,MATCH($C1213,Liste_Types,0)),""))</f>
        <v/>
      </c>
      <c r="J1213" s="107">
        <f>IF($I1213="▲ ENTRÉE",$U1213,"")</f>
        <v/>
      </c>
      <c r="K1213" s="108">
        <f>IF($I1213="▼ SORTIE",$U1213,"")</f>
        <v/>
      </c>
      <c r="L1213" s="109">
        <f>$L1212+N($J1213)-N($K1213)</f>
        <v/>
      </c>
      <c r="M1213" s="110" t="n"/>
      <c r="N1213" s="54" t="n"/>
      <c r="O1213" s="54" t="n"/>
      <c r="P1213" s="54" t="n"/>
      <c r="Q1213" s="110" t="n"/>
      <c r="R1213" s="110" t="n"/>
      <c r="S1213" s="54" t="n"/>
      <c r="T1213" s="111">
        <f>IF($G1213="","",IFERROR(INDEX(Taux_Devises,MATCH(IF($M1213="",Devise_Base,$M1213),Codes_Devises,0)),1))</f>
        <v/>
      </c>
      <c r="U1213" s="112">
        <f>IF($G1213="","",ROUND($G1213*$T1213,2))</f>
        <v/>
      </c>
      <c r="V1213" s="113">
        <f>IF($B1213="","",MONTH($B1213))</f>
        <v/>
      </c>
      <c r="W1213" s="113">
        <f>IF($B1213="","",YEAR($B1213))</f>
        <v/>
      </c>
    </row>
    <row r="1214">
      <c r="B1214" s="105" t="n"/>
      <c r="C1214" s="54" t="n"/>
      <c r="D1214" s="54" t="n"/>
      <c r="E1214" s="54" t="n"/>
      <c r="F1214" s="54" t="n"/>
      <c r="G1214" s="65" t="n"/>
      <c r="H1214" s="54" t="n"/>
      <c r="I1214" s="106">
        <f>IF($C1214="","",IFERROR(INDEX(Sens_Types,MATCH($C1214,Liste_Types,0)),""))</f>
        <v/>
      </c>
      <c r="J1214" s="107">
        <f>IF($I1214="▲ ENTRÉE",$U1214,"")</f>
        <v/>
      </c>
      <c r="K1214" s="108">
        <f>IF($I1214="▼ SORTIE",$U1214,"")</f>
        <v/>
      </c>
      <c r="L1214" s="109">
        <f>$L1213+N($J1214)-N($K1214)</f>
        <v/>
      </c>
      <c r="M1214" s="110" t="n"/>
      <c r="N1214" s="54" t="n"/>
      <c r="O1214" s="54" t="n"/>
      <c r="P1214" s="54" t="n"/>
      <c r="Q1214" s="110" t="n"/>
      <c r="R1214" s="110" t="n"/>
      <c r="S1214" s="54" t="n"/>
      <c r="T1214" s="111">
        <f>IF($G1214="","",IFERROR(INDEX(Taux_Devises,MATCH(IF($M1214="",Devise_Base,$M1214),Codes_Devises,0)),1))</f>
        <v/>
      </c>
      <c r="U1214" s="112">
        <f>IF($G1214="","",ROUND($G1214*$T1214,2))</f>
        <v/>
      </c>
      <c r="V1214" s="113">
        <f>IF($B1214="","",MONTH($B1214))</f>
        <v/>
      </c>
      <c r="W1214" s="113">
        <f>IF($B1214="","",YEAR($B1214))</f>
        <v/>
      </c>
    </row>
    <row r="1215">
      <c r="B1215" s="105" t="n"/>
      <c r="C1215" s="54" t="n"/>
      <c r="D1215" s="54" t="n"/>
      <c r="E1215" s="54" t="n"/>
      <c r="F1215" s="54" t="n"/>
      <c r="G1215" s="65" t="n"/>
      <c r="H1215" s="54" t="n"/>
      <c r="I1215" s="106">
        <f>IF($C1215="","",IFERROR(INDEX(Sens_Types,MATCH($C1215,Liste_Types,0)),""))</f>
        <v/>
      </c>
      <c r="J1215" s="107">
        <f>IF($I1215="▲ ENTRÉE",$U1215,"")</f>
        <v/>
      </c>
      <c r="K1215" s="108">
        <f>IF($I1215="▼ SORTIE",$U1215,"")</f>
        <v/>
      </c>
      <c r="L1215" s="109">
        <f>$L1214+N($J1215)-N($K1215)</f>
        <v/>
      </c>
      <c r="M1215" s="110" t="n"/>
      <c r="N1215" s="54" t="n"/>
      <c r="O1215" s="54" t="n"/>
      <c r="P1215" s="54" t="n"/>
      <c r="Q1215" s="110" t="n"/>
      <c r="R1215" s="110" t="n"/>
      <c r="S1215" s="54" t="n"/>
      <c r="T1215" s="111">
        <f>IF($G1215="","",IFERROR(INDEX(Taux_Devises,MATCH(IF($M1215="",Devise_Base,$M1215),Codes_Devises,0)),1))</f>
        <v/>
      </c>
      <c r="U1215" s="112">
        <f>IF($G1215="","",ROUND($G1215*$T1215,2))</f>
        <v/>
      </c>
      <c r="V1215" s="113">
        <f>IF($B1215="","",MONTH($B1215))</f>
        <v/>
      </c>
      <c r="W1215" s="113">
        <f>IF($B1215="","",YEAR($B1215))</f>
        <v/>
      </c>
    </row>
    <row r="1216">
      <c r="B1216" s="105" t="n"/>
      <c r="C1216" s="54" t="n"/>
      <c r="D1216" s="54" t="n"/>
      <c r="E1216" s="54" t="n"/>
      <c r="F1216" s="54" t="n"/>
      <c r="G1216" s="65" t="n"/>
      <c r="H1216" s="54" t="n"/>
      <c r="I1216" s="106">
        <f>IF($C1216="","",IFERROR(INDEX(Sens_Types,MATCH($C1216,Liste_Types,0)),""))</f>
        <v/>
      </c>
      <c r="J1216" s="107">
        <f>IF($I1216="▲ ENTRÉE",$U1216,"")</f>
        <v/>
      </c>
      <c r="K1216" s="108">
        <f>IF($I1216="▼ SORTIE",$U1216,"")</f>
        <v/>
      </c>
      <c r="L1216" s="109">
        <f>$L1215+N($J1216)-N($K1216)</f>
        <v/>
      </c>
      <c r="M1216" s="110" t="n"/>
      <c r="N1216" s="54" t="n"/>
      <c r="O1216" s="54" t="n"/>
      <c r="P1216" s="54" t="n"/>
      <c r="Q1216" s="110" t="n"/>
      <c r="R1216" s="110" t="n"/>
      <c r="S1216" s="54" t="n"/>
      <c r="T1216" s="111">
        <f>IF($G1216="","",IFERROR(INDEX(Taux_Devises,MATCH(IF($M1216="",Devise_Base,$M1216),Codes_Devises,0)),1))</f>
        <v/>
      </c>
      <c r="U1216" s="112">
        <f>IF($G1216="","",ROUND($G1216*$T1216,2))</f>
        <v/>
      </c>
      <c r="V1216" s="113">
        <f>IF($B1216="","",MONTH($B1216))</f>
        <v/>
      </c>
      <c r="W1216" s="113">
        <f>IF($B1216="","",YEAR($B1216))</f>
        <v/>
      </c>
    </row>
    <row r="1217">
      <c r="B1217" s="105" t="n"/>
      <c r="C1217" s="54" t="n"/>
      <c r="D1217" s="54" t="n"/>
      <c r="E1217" s="54" t="n"/>
      <c r="F1217" s="54" t="n"/>
      <c r="G1217" s="65" t="n"/>
      <c r="H1217" s="54" t="n"/>
      <c r="I1217" s="106">
        <f>IF($C1217="","",IFERROR(INDEX(Sens_Types,MATCH($C1217,Liste_Types,0)),""))</f>
        <v/>
      </c>
      <c r="J1217" s="107">
        <f>IF($I1217="▲ ENTRÉE",$U1217,"")</f>
        <v/>
      </c>
      <c r="K1217" s="108">
        <f>IF($I1217="▼ SORTIE",$U1217,"")</f>
        <v/>
      </c>
      <c r="L1217" s="109">
        <f>$L1216+N($J1217)-N($K1217)</f>
        <v/>
      </c>
      <c r="M1217" s="110" t="n"/>
      <c r="N1217" s="54" t="n"/>
      <c r="O1217" s="54" t="n"/>
      <c r="P1217" s="54" t="n"/>
      <c r="Q1217" s="110" t="n"/>
      <c r="R1217" s="110" t="n"/>
      <c r="S1217" s="54" t="n"/>
      <c r="T1217" s="111">
        <f>IF($G1217="","",IFERROR(INDEX(Taux_Devises,MATCH(IF($M1217="",Devise_Base,$M1217),Codes_Devises,0)),1))</f>
        <v/>
      </c>
      <c r="U1217" s="112">
        <f>IF($G1217="","",ROUND($G1217*$T1217,2))</f>
        <v/>
      </c>
      <c r="V1217" s="113">
        <f>IF($B1217="","",MONTH($B1217))</f>
        <v/>
      </c>
      <c r="W1217" s="113">
        <f>IF($B1217="","",YEAR($B1217))</f>
        <v/>
      </c>
    </row>
    <row r="1218">
      <c r="B1218" s="105" t="n"/>
      <c r="C1218" s="54" t="n"/>
      <c r="D1218" s="54" t="n"/>
      <c r="E1218" s="54" t="n"/>
      <c r="F1218" s="54" t="n"/>
      <c r="G1218" s="65" t="n"/>
      <c r="H1218" s="54" t="n"/>
      <c r="I1218" s="106">
        <f>IF($C1218="","",IFERROR(INDEX(Sens_Types,MATCH($C1218,Liste_Types,0)),""))</f>
        <v/>
      </c>
      <c r="J1218" s="107">
        <f>IF($I1218="▲ ENTRÉE",$U1218,"")</f>
        <v/>
      </c>
      <c r="K1218" s="108">
        <f>IF($I1218="▼ SORTIE",$U1218,"")</f>
        <v/>
      </c>
      <c r="L1218" s="109">
        <f>$L1217+N($J1218)-N($K1218)</f>
        <v/>
      </c>
      <c r="M1218" s="110" t="n"/>
      <c r="N1218" s="54" t="n"/>
      <c r="O1218" s="54" t="n"/>
      <c r="P1218" s="54" t="n"/>
      <c r="Q1218" s="110" t="n"/>
      <c r="R1218" s="110" t="n"/>
      <c r="S1218" s="54" t="n"/>
      <c r="T1218" s="111">
        <f>IF($G1218="","",IFERROR(INDEX(Taux_Devises,MATCH(IF($M1218="",Devise_Base,$M1218),Codes_Devises,0)),1))</f>
        <v/>
      </c>
      <c r="U1218" s="112">
        <f>IF($G1218="","",ROUND($G1218*$T1218,2))</f>
        <v/>
      </c>
      <c r="V1218" s="113">
        <f>IF($B1218="","",MONTH($B1218))</f>
        <v/>
      </c>
      <c r="W1218" s="113">
        <f>IF($B1218="","",YEAR($B1218))</f>
        <v/>
      </c>
    </row>
    <row r="1219">
      <c r="B1219" s="105" t="n"/>
      <c r="C1219" s="54" t="n"/>
      <c r="D1219" s="54" t="n"/>
      <c r="E1219" s="54" t="n"/>
      <c r="F1219" s="54" t="n"/>
      <c r="G1219" s="65" t="n"/>
      <c r="H1219" s="54" t="n"/>
      <c r="I1219" s="106">
        <f>IF($C1219="","",IFERROR(INDEX(Sens_Types,MATCH($C1219,Liste_Types,0)),""))</f>
        <v/>
      </c>
      <c r="J1219" s="107">
        <f>IF($I1219="▲ ENTRÉE",$U1219,"")</f>
        <v/>
      </c>
      <c r="K1219" s="108">
        <f>IF($I1219="▼ SORTIE",$U1219,"")</f>
        <v/>
      </c>
      <c r="L1219" s="109">
        <f>$L1218+N($J1219)-N($K1219)</f>
        <v/>
      </c>
      <c r="M1219" s="110" t="n"/>
      <c r="N1219" s="54" t="n"/>
      <c r="O1219" s="54" t="n"/>
      <c r="P1219" s="54" t="n"/>
      <c r="Q1219" s="110" t="n"/>
      <c r="R1219" s="110" t="n"/>
      <c r="S1219" s="54" t="n"/>
      <c r="T1219" s="111">
        <f>IF($G1219="","",IFERROR(INDEX(Taux_Devises,MATCH(IF($M1219="",Devise_Base,$M1219),Codes_Devises,0)),1))</f>
        <v/>
      </c>
      <c r="U1219" s="112">
        <f>IF($G1219="","",ROUND($G1219*$T1219,2))</f>
        <v/>
      </c>
      <c r="V1219" s="113">
        <f>IF($B1219="","",MONTH($B1219))</f>
        <v/>
      </c>
      <c r="W1219" s="113">
        <f>IF($B1219="","",YEAR($B1219))</f>
        <v/>
      </c>
    </row>
    <row r="1220">
      <c r="B1220" s="105" t="n"/>
      <c r="C1220" s="54" t="n"/>
      <c r="D1220" s="54" t="n"/>
      <c r="E1220" s="54" t="n"/>
      <c r="F1220" s="54" t="n"/>
      <c r="G1220" s="65" t="n"/>
      <c r="H1220" s="54" t="n"/>
      <c r="I1220" s="106">
        <f>IF($C1220="","",IFERROR(INDEX(Sens_Types,MATCH($C1220,Liste_Types,0)),""))</f>
        <v/>
      </c>
      <c r="J1220" s="107">
        <f>IF($I1220="▲ ENTRÉE",$U1220,"")</f>
        <v/>
      </c>
      <c r="K1220" s="108">
        <f>IF($I1220="▼ SORTIE",$U1220,"")</f>
        <v/>
      </c>
      <c r="L1220" s="109">
        <f>$L1219+N($J1220)-N($K1220)</f>
        <v/>
      </c>
      <c r="M1220" s="110" t="n"/>
      <c r="N1220" s="54" t="n"/>
      <c r="O1220" s="54" t="n"/>
      <c r="P1220" s="54" t="n"/>
      <c r="Q1220" s="110" t="n"/>
      <c r="R1220" s="110" t="n"/>
      <c r="S1220" s="54" t="n"/>
      <c r="T1220" s="111">
        <f>IF($G1220="","",IFERROR(INDEX(Taux_Devises,MATCH(IF($M1220="",Devise_Base,$M1220),Codes_Devises,0)),1))</f>
        <v/>
      </c>
      <c r="U1220" s="112">
        <f>IF($G1220="","",ROUND($G1220*$T1220,2))</f>
        <v/>
      </c>
      <c r="V1220" s="113">
        <f>IF($B1220="","",MONTH($B1220))</f>
        <v/>
      </c>
      <c r="W1220" s="113">
        <f>IF($B1220="","",YEAR($B1220))</f>
        <v/>
      </c>
    </row>
    <row r="1221">
      <c r="B1221" s="105" t="n"/>
      <c r="C1221" s="54" t="n"/>
      <c r="D1221" s="54" t="n"/>
      <c r="E1221" s="54" t="n"/>
      <c r="F1221" s="54" t="n"/>
      <c r="G1221" s="65" t="n"/>
      <c r="H1221" s="54" t="n"/>
      <c r="I1221" s="106">
        <f>IF($C1221="","",IFERROR(INDEX(Sens_Types,MATCH($C1221,Liste_Types,0)),""))</f>
        <v/>
      </c>
      <c r="J1221" s="107">
        <f>IF($I1221="▲ ENTRÉE",$U1221,"")</f>
        <v/>
      </c>
      <c r="K1221" s="108">
        <f>IF($I1221="▼ SORTIE",$U1221,"")</f>
        <v/>
      </c>
      <c r="L1221" s="109">
        <f>$L1220+N($J1221)-N($K1221)</f>
        <v/>
      </c>
      <c r="M1221" s="110" t="n"/>
      <c r="N1221" s="54" t="n"/>
      <c r="O1221" s="54" t="n"/>
      <c r="P1221" s="54" t="n"/>
      <c r="Q1221" s="110" t="n"/>
      <c r="R1221" s="110" t="n"/>
      <c r="S1221" s="54" t="n"/>
      <c r="T1221" s="111">
        <f>IF($G1221="","",IFERROR(INDEX(Taux_Devises,MATCH(IF($M1221="",Devise_Base,$M1221),Codes_Devises,0)),1))</f>
        <v/>
      </c>
      <c r="U1221" s="112">
        <f>IF($G1221="","",ROUND($G1221*$T1221,2))</f>
        <v/>
      </c>
      <c r="V1221" s="113">
        <f>IF($B1221="","",MONTH($B1221))</f>
        <v/>
      </c>
      <c r="W1221" s="113">
        <f>IF($B1221="","",YEAR($B1221))</f>
        <v/>
      </c>
    </row>
    <row r="1222">
      <c r="B1222" s="105" t="n"/>
      <c r="C1222" s="54" t="n"/>
      <c r="D1222" s="54" t="n"/>
      <c r="E1222" s="54" t="n"/>
      <c r="F1222" s="54" t="n"/>
      <c r="G1222" s="65" t="n"/>
      <c r="H1222" s="54" t="n"/>
      <c r="I1222" s="106">
        <f>IF($C1222="","",IFERROR(INDEX(Sens_Types,MATCH($C1222,Liste_Types,0)),""))</f>
        <v/>
      </c>
      <c r="J1222" s="107">
        <f>IF($I1222="▲ ENTRÉE",$U1222,"")</f>
        <v/>
      </c>
      <c r="K1222" s="108">
        <f>IF($I1222="▼ SORTIE",$U1222,"")</f>
        <v/>
      </c>
      <c r="L1222" s="109">
        <f>$L1221+N($J1222)-N($K1222)</f>
        <v/>
      </c>
      <c r="M1222" s="110" t="n"/>
      <c r="N1222" s="54" t="n"/>
      <c r="O1222" s="54" t="n"/>
      <c r="P1222" s="54" t="n"/>
      <c r="Q1222" s="110" t="n"/>
      <c r="R1222" s="110" t="n"/>
      <c r="S1222" s="54" t="n"/>
      <c r="T1222" s="111">
        <f>IF($G1222="","",IFERROR(INDEX(Taux_Devises,MATCH(IF($M1222="",Devise_Base,$M1222),Codes_Devises,0)),1))</f>
        <v/>
      </c>
      <c r="U1222" s="112">
        <f>IF($G1222="","",ROUND($G1222*$T1222,2))</f>
        <v/>
      </c>
      <c r="V1222" s="113">
        <f>IF($B1222="","",MONTH($B1222))</f>
        <v/>
      </c>
      <c r="W1222" s="113">
        <f>IF($B1222="","",YEAR($B1222))</f>
        <v/>
      </c>
    </row>
    <row r="1223">
      <c r="B1223" s="105" t="n"/>
      <c r="C1223" s="54" t="n"/>
      <c r="D1223" s="54" t="n"/>
      <c r="E1223" s="54" t="n"/>
      <c r="F1223" s="54" t="n"/>
      <c r="G1223" s="65" t="n"/>
      <c r="H1223" s="54" t="n"/>
      <c r="I1223" s="106">
        <f>IF($C1223="","",IFERROR(INDEX(Sens_Types,MATCH($C1223,Liste_Types,0)),""))</f>
        <v/>
      </c>
      <c r="J1223" s="107">
        <f>IF($I1223="▲ ENTRÉE",$U1223,"")</f>
        <v/>
      </c>
      <c r="K1223" s="108">
        <f>IF($I1223="▼ SORTIE",$U1223,"")</f>
        <v/>
      </c>
      <c r="L1223" s="109">
        <f>$L1222+N($J1223)-N($K1223)</f>
        <v/>
      </c>
      <c r="M1223" s="110" t="n"/>
      <c r="N1223" s="54" t="n"/>
      <c r="O1223" s="54" t="n"/>
      <c r="P1223" s="54" t="n"/>
      <c r="Q1223" s="110" t="n"/>
      <c r="R1223" s="110" t="n"/>
      <c r="S1223" s="54" t="n"/>
      <c r="T1223" s="111">
        <f>IF($G1223="","",IFERROR(INDEX(Taux_Devises,MATCH(IF($M1223="",Devise_Base,$M1223),Codes_Devises,0)),1))</f>
        <v/>
      </c>
      <c r="U1223" s="112">
        <f>IF($G1223="","",ROUND($G1223*$T1223,2))</f>
        <v/>
      </c>
      <c r="V1223" s="113">
        <f>IF($B1223="","",MONTH($B1223))</f>
        <v/>
      </c>
      <c r="W1223" s="113">
        <f>IF($B1223="","",YEAR($B1223))</f>
        <v/>
      </c>
    </row>
    <row r="1224">
      <c r="B1224" s="105" t="n"/>
      <c r="C1224" s="54" t="n"/>
      <c r="D1224" s="54" t="n"/>
      <c r="E1224" s="54" t="n"/>
      <c r="F1224" s="54" t="n"/>
      <c r="G1224" s="65" t="n"/>
      <c r="H1224" s="54" t="n"/>
      <c r="I1224" s="106">
        <f>IF($C1224="","",IFERROR(INDEX(Sens_Types,MATCH($C1224,Liste_Types,0)),""))</f>
        <v/>
      </c>
      <c r="J1224" s="107">
        <f>IF($I1224="▲ ENTRÉE",$U1224,"")</f>
        <v/>
      </c>
      <c r="K1224" s="108">
        <f>IF($I1224="▼ SORTIE",$U1224,"")</f>
        <v/>
      </c>
      <c r="L1224" s="109">
        <f>$L1223+N($J1224)-N($K1224)</f>
        <v/>
      </c>
      <c r="M1224" s="110" t="n"/>
      <c r="N1224" s="54" t="n"/>
      <c r="O1224" s="54" t="n"/>
      <c r="P1224" s="54" t="n"/>
      <c r="Q1224" s="110" t="n"/>
      <c r="R1224" s="110" t="n"/>
      <c r="S1224" s="54" t="n"/>
      <c r="T1224" s="111">
        <f>IF($G1224="","",IFERROR(INDEX(Taux_Devises,MATCH(IF($M1224="",Devise_Base,$M1224),Codes_Devises,0)),1))</f>
        <v/>
      </c>
      <c r="U1224" s="112">
        <f>IF($G1224="","",ROUND($G1224*$T1224,2))</f>
        <v/>
      </c>
      <c r="V1224" s="113">
        <f>IF($B1224="","",MONTH($B1224))</f>
        <v/>
      </c>
      <c r="W1224" s="113">
        <f>IF($B1224="","",YEAR($B1224))</f>
        <v/>
      </c>
    </row>
    <row r="1225">
      <c r="B1225" s="105" t="n"/>
      <c r="C1225" s="54" t="n"/>
      <c r="D1225" s="54" t="n"/>
      <c r="E1225" s="54" t="n"/>
      <c r="F1225" s="54" t="n"/>
      <c r="G1225" s="65" t="n"/>
      <c r="H1225" s="54" t="n"/>
      <c r="I1225" s="106">
        <f>IF($C1225="","",IFERROR(INDEX(Sens_Types,MATCH($C1225,Liste_Types,0)),""))</f>
        <v/>
      </c>
      <c r="J1225" s="107">
        <f>IF($I1225="▲ ENTRÉE",$U1225,"")</f>
        <v/>
      </c>
      <c r="K1225" s="108">
        <f>IF($I1225="▼ SORTIE",$U1225,"")</f>
        <v/>
      </c>
      <c r="L1225" s="109">
        <f>$L1224+N($J1225)-N($K1225)</f>
        <v/>
      </c>
      <c r="M1225" s="110" t="n"/>
      <c r="N1225" s="54" t="n"/>
      <c r="O1225" s="54" t="n"/>
      <c r="P1225" s="54" t="n"/>
      <c r="Q1225" s="110" t="n"/>
      <c r="R1225" s="110" t="n"/>
      <c r="S1225" s="54" t="n"/>
      <c r="T1225" s="111">
        <f>IF($G1225="","",IFERROR(INDEX(Taux_Devises,MATCH(IF($M1225="",Devise_Base,$M1225),Codes_Devises,0)),1))</f>
        <v/>
      </c>
      <c r="U1225" s="112">
        <f>IF($G1225="","",ROUND($G1225*$T1225,2))</f>
        <v/>
      </c>
      <c r="V1225" s="113">
        <f>IF($B1225="","",MONTH($B1225))</f>
        <v/>
      </c>
      <c r="W1225" s="113">
        <f>IF($B1225="","",YEAR($B1225))</f>
        <v/>
      </c>
    </row>
    <row r="1226">
      <c r="B1226" s="105" t="n"/>
      <c r="C1226" s="54" t="n"/>
      <c r="D1226" s="54" t="n"/>
      <c r="E1226" s="54" t="n"/>
      <c r="F1226" s="54" t="n"/>
      <c r="G1226" s="65" t="n"/>
      <c r="H1226" s="54" t="n"/>
      <c r="I1226" s="106">
        <f>IF($C1226="","",IFERROR(INDEX(Sens_Types,MATCH($C1226,Liste_Types,0)),""))</f>
        <v/>
      </c>
      <c r="J1226" s="107">
        <f>IF($I1226="▲ ENTRÉE",$U1226,"")</f>
        <v/>
      </c>
      <c r="K1226" s="108">
        <f>IF($I1226="▼ SORTIE",$U1226,"")</f>
        <v/>
      </c>
      <c r="L1226" s="109">
        <f>$L1225+N($J1226)-N($K1226)</f>
        <v/>
      </c>
      <c r="M1226" s="110" t="n"/>
      <c r="N1226" s="54" t="n"/>
      <c r="O1226" s="54" t="n"/>
      <c r="P1226" s="54" t="n"/>
      <c r="Q1226" s="110" t="n"/>
      <c r="R1226" s="110" t="n"/>
      <c r="S1226" s="54" t="n"/>
      <c r="T1226" s="111">
        <f>IF($G1226="","",IFERROR(INDEX(Taux_Devises,MATCH(IF($M1226="",Devise_Base,$M1226),Codes_Devises,0)),1))</f>
        <v/>
      </c>
      <c r="U1226" s="112">
        <f>IF($G1226="","",ROUND($G1226*$T1226,2))</f>
        <v/>
      </c>
      <c r="V1226" s="113">
        <f>IF($B1226="","",MONTH($B1226))</f>
        <v/>
      </c>
      <c r="W1226" s="113">
        <f>IF($B1226="","",YEAR($B1226))</f>
        <v/>
      </c>
    </row>
    <row r="1227">
      <c r="B1227" s="105" t="n"/>
      <c r="C1227" s="54" t="n"/>
      <c r="D1227" s="54" t="n"/>
      <c r="E1227" s="54" t="n"/>
      <c r="F1227" s="54" t="n"/>
      <c r="G1227" s="65" t="n"/>
      <c r="H1227" s="54" t="n"/>
      <c r="I1227" s="106">
        <f>IF($C1227="","",IFERROR(INDEX(Sens_Types,MATCH($C1227,Liste_Types,0)),""))</f>
        <v/>
      </c>
      <c r="J1227" s="107">
        <f>IF($I1227="▲ ENTRÉE",$U1227,"")</f>
        <v/>
      </c>
      <c r="K1227" s="108">
        <f>IF($I1227="▼ SORTIE",$U1227,"")</f>
        <v/>
      </c>
      <c r="L1227" s="109">
        <f>$L1226+N($J1227)-N($K1227)</f>
        <v/>
      </c>
      <c r="M1227" s="110" t="n"/>
      <c r="N1227" s="54" t="n"/>
      <c r="O1227" s="54" t="n"/>
      <c r="P1227" s="54" t="n"/>
      <c r="Q1227" s="110" t="n"/>
      <c r="R1227" s="110" t="n"/>
      <c r="S1227" s="54" t="n"/>
      <c r="T1227" s="111">
        <f>IF($G1227="","",IFERROR(INDEX(Taux_Devises,MATCH(IF($M1227="",Devise_Base,$M1227),Codes_Devises,0)),1))</f>
        <v/>
      </c>
      <c r="U1227" s="112">
        <f>IF($G1227="","",ROUND($G1227*$T1227,2))</f>
        <v/>
      </c>
      <c r="V1227" s="113">
        <f>IF($B1227="","",MONTH($B1227))</f>
        <v/>
      </c>
      <c r="W1227" s="113">
        <f>IF($B1227="","",YEAR($B1227))</f>
        <v/>
      </c>
    </row>
    <row r="1228">
      <c r="B1228" s="105" t="n"/>
      <c r="C1228" s="54" t="n"/>
      <c r="D1228" s="54" t="n"/>
      <c r="E1228" s="54" t="n"/>
      <c r="F1228" s="54" t="n"/>
      <c r="G1228" s="65" t="n"/>
      <c r="H1228" s="54" t="n"/>
      <c r="I1228" s="106">
        <f>IF($C1228="","",IFERROR(INDEX(Sens_Types,MATCH($C1228,Liste_Types,0)),""))</f>
        <v/>
      </c>
      <c r="J1228" s="107">
        <f>IF($I1228="▲ ENTRÉE",$U1228,"")</f>
        <v/>
      </c>
      <c r="K1228" s="108">
        <f>IF($I1228="▼ SORTIE",$U1228,"")</f>
        <v/>
      </c>
      <c r="L1228" s="109">
        <f>$L1227+N($J1228)-N($K1228)</f>
        <v/>
      </c>
      <c r="M1228" s="110" t="n"/>
      <c r="N1228" s="54" t="n"/>
      <c r="O1228" s="54" t="n"/>
      <c r="P1228" s="54" t="n"/>
      <c r="Q1228" s="110" t="n"/>
      <c r="R1228" s="110" t="n"/>
      <c r="S1228" s="54" t="n"/>
      <c r="T1228" s="111">
        <f>IF($G1228="","",IFERROR(INDEX(Taux_Devises,MATCH(IF($M1228="",Devise_Base,$M1228),Codes_Devises,0)),1))</f>
        <v/>
      </c>
      <c r="U1228" s="112">
        <f>IF($G1228="","",ROUND($G1228*$T1228,2))</f>
        <v/>
      </c>
      <c r="V1228" s="113">
        <f>IF($B1228="","",MONTH($B1228))</f>
        <v/>
      </c>
      <c r="W1228" s="113">
        <f>IF($B1228="","",YEAR($B1228))</f>
        <v/>
      </c>
    </row>
    <row r="1229">
      <c r="B1229" s="105" t="n"/>
      <c r="C1229" s="54" t="n"/>
      <c r="D1229" s="54" t="n"/>
      <c r="E1229" s="54" t="n"/>
      <c r="F1229" s="54" t="n"/>
      <c r="G1229" s="65" t="n"/>
      <c r="H1229" s="54" t="n"/>
      <c r="I1229" s="106">
        <f>IF($C1229="","",IFERROR(INDEX(Sens_Types,MATCH($C1229,Liste_Types,0)),""))</f>
        <v/>
      </c>
      <c r="J1229" s="107">
        <f>IF($I1229="▲ ENTRÉE",$U1229,"")</f>
        <v/>
      </c>
      <c r="K1229" s="108">
        <f>IF($I1229="▼ SORTIE",$U1229,"")</f>
        <v/>
      </c>
      <c r="L1229" s="109">
        <f>$L1228+N($J1229)-N($K1229)</f>
        <v/>
      </c>
      <c r="M1229" s="110" t="n"/>
      <c r="N1229" s="54" t="n"/>
      <c r="O1229" s="54" t="n"/>
      <c r="P1229" s="54" t="n"/>
      <c r="Q1229" s="110" t="n"/>
      <c r="R1229" s="110" t="n"/>
      <c r="S1229" s="54" t="n"/>
      <c r="T1229" s="111">
        <f>IF($G1229="","",IFERROR(INDEX(Taux_Devises,MATCH(IF($M1229="",Devise_Base,$M1229),Codes_Devises,0)),1))</f>
        <v/>
      </c>
      <c r="U1229" s="112">
        <f>IF($G1229="","",ROUND($G1229*$T1229,2))</f>
        <v/>
      </c>
      <c r="V1229" s="113">
        <f>IF($B1229="","",MONTH($B1229))</f>
        <v/>
      </c>
      <c r="W1229" s="113">
        <f>IF($B1229="","",YEAR($B1229))</f>
        <v/>
      </c>
    </row>
    <row r="1230">
      <c r="B1230" s="105" t="n"/>
      <c r="C1230" s="54" t="n"/>
      <c r="D1230" s="54" t="n"/>
      <c r="E1230" s="54" t="n"/>
      <c r="F1230" s="54" t="n"/>
      <c r="G1230" s="65" t="n"/>
      <c r="H1230" s="54" t="n"/>
      <c r="I1230" s="106">
        <f>IF($C1230="","",IFERROR(INDEX(Sens_Types,MATCH($C1230,Liste_Types,0)),""))</f>
        <v/>
      </c>
      <c r="J1230" s="107">
        <f>IF($I1230="▲ ENTRÉE",$U1230,"")</f>
        <v/>
      </c>
      <c r="K1230" s="108">
        <f>IF($I1230="▼ SORTIE",$U1230,"")</f>
        <v/>
      </c>
      <c r="L1230" s="109">
        <f>$L1229+N($J1230)-N($K1230)</f>
        <v/>
      </c>
      <c r="M1230" s="110" t="n"/>
      <c r="N1230" s="54" t="n"/>
      <c r="O1230" s="54" t="n"/>
      <c r="P1230" s="54" t="n"/>
      <c r="Q1230" s="110" t="n"/>
      <c r="R1230" s="110" t="n"/>
      <c r="S1230" s="54" t="n"/>
      <c r="T1230" s="111">
        <f>IF($G1230="","",IFERROR(INDEX(Taux_Devises,MATCH(IF($M1230="",Devise_Base,$M1230),Codes_Devises,0)),1))</f>
        <v/>
      </c>
      <c r="U1230" s="112">
        <f>IF($G1230="","",ROUND($G1230*$T1230,2))</f>
        <v/>
      </c>
      <c r="V1230" s="113">
        <f>IF($B1230="","",MONTH($B1230))</f>
        <v/>
      </c>
      <c r="W1230" s="113">
        <f>IF($B1230="","",YEAR($B1230))</f>
        <v/>
      </c>
    </row>
    <row r="1231">
      <c r="B1231" s="105" t="n"/>
      <c r="C1231" s="54" t="n"/>
      <c r="D1231" s="54" t="n"/>
      <c r="E1231" s="54" t="n"/>
      <c r="F1231" s="54" t="n"/>
      <c r="G1231" s="65" t="n"/>
      <c r="H1231" s="54" t="n"/>
      <c r="I1231" s="106">
        <f>IF($C1231="","",IFERROR(INDEX(Sens_Types,MATCH($C1231,Liste_Types,0)),""))</f>
        <v/>
      </c>
      <c r="J1231" s="107">
        <f>IF($I1231="▲ ENTRÉE",$U1231,"")</f>
        <v/>
      </c>
      <c r="K1231" s="108">
        <f>IF($I1231="▼ SORTIE",$U1231,"")</f>
        <v/>
      </c>
      <c r="L1231" s="109">
        <f>$L1230+N($J1231)-N($K1231)</f>
        <v/>
      </c>
      <c r="M1231" s="110" t="n"/>
      <c r="N1231" s="54" t="n"/>
      <c r="O1231" s="54" t="n"/>
      <c r="P1231" s="54" t="n"/>
      <c r="Q1231" s="110" t="n"/>
      <c r="R1231" s="110" t="n"/>
      <c r="S1231" s="54" t="n"/>
      <c r="T1231" s="111">
        <f>IF($G1231="","",IFERROR(INDEX(Taux_Devises,MATCH(IF($M1231="",Devise_Base,$M1231),Codes_Devises,0)),1))</f>
        <v/>
      </c>
      <c r="U1231" s="112">
        <f>IF($G1231="","",ROUND($G1231*$T1231,2))</f>
        <v/>
      </c>
      <c r="V1231" s="113">
        <f>IF($B1231="","",MONTH($B1231))</f>
        <v/>
      </c>
      <c r="W1231" s="113">
        <f>IF($B1231="","",YEAR($B1231))</f>
        <v/>
      </c>
    </row>
    <row r="1232">
      <c r="B1232" s="105" t="n"/>
      <c r="C1232" s="54" t="n"/>
      <c r="D1232" s="54" t="n"/>
      <c r="E1232" s="54" t="n"/>
      <c r="F1232" s="54" t="n"/>
      <c r="G1232" s="65" t="n"/>
      <c r="H1232" s="54" t="n"/>
      <c r="I1232" s="106">
        <f>IF($C1232="","",IFERROR(INDEX(Sens_Types,MATCH($C1232,Liste_Types,0)),""))</f>
        <v/>
      </c>
      <c r="J1232" s="107">
        <f>IF($I1232="▲ ENTRÉE",$U1232,"")</f>
        <v/>
      </c>
      <c r="K1232" s="108">
        <f>IF($I1232="▼ SORTIE",$U1232,"")</f>
        <v/>
      </c>
      <c r="L1232" s="109">
        <f>$L1231+N($J1232)-N($K1232)</f>
        <v/>
      </c>
      <c r="M1232" s="110" t="n"/>
      <c r="N1232" s="54" t="n"/>
      <c r="O1232" s="54" t="n"/>
      <c r="P1232" s="54" t="n"/>
      <c r="Q1232" s="110" t="n"/>
      <c r="R1232" s="110" t="n"/>
      <c r="S1232" s="54" t="n"/>
      <c r="T1232" s="111">
        <f>IF($G1232="","",IFERROR(INDEX(Taux_Devises,MATCH(IF($M1232="",Devise_Base,$M1232),Codes_Devises,0)),1))</f>
        <v/>
      </c>
      <c r="U1232" s="112">
        <f>IF($G1232="","",ROUND($G1232*$T1232,2))</f>
        <v/>
      </c>
      <c r="V1232" s="113">
        <f>IF($B1232="","",MONTH($B1232))</f>
        <v/>
      </c>
      <c r="W1232" s="113">
        <f>IF($B1232="","",YEAR($B1232))</f>
        <v/>
      </c>
    </row>
    <row r="1233">
      <c r="B1233" s="105" t="n"/>
      <c r="C1233" s="54" t="n"/>
      <c r="D1233" s="54" t="n"/>
      <c r="E1233" s="54" t="n"/>
      <c r="F1233" s="54" t="n"/>
      <c r="G1233" s="65" t="n"/>
      <c r="H1233" s="54" t="n"/>
      <c r="I1233" s="106">
        <f>IF($C1233="","",IFERROR(INDEX(Sens_Types,MATCH($C1233,Liste_Types,0)),""))</f>
        <v/>
      </c>
      <c r="J1233" s="107">
        <f>IF($I1233="▲ ENTRÉE",$U1233,"")</f>
        <v/>
      </c>
      <c r="K1233" s="108">
        <f>IF($I1233="▼ SORTIE",$U1233,"")</f>
        <v/>
      </c>
      <c r="L1233" s="109">
        <f>$L1232+N($J1233)-N($K1233)</f>
        <v/>
      </c>
      <c r="M1233" s="110" t="n"/>
      <c r="N1233" s="54" t="n"/>
      <c r="O1233" s="54" t="n"/>
      <c r="P1233" s="54" t="n"/>
      <c r="Q1233" s="110" t="n"/>
      <c r="R1233" s="110" t="n"/>
      <c r="S1233" s="54" t="n"/>
      <c r="T1233" s="111">
        <f>IF($G1233="","",IFERROR(INDEX(Taux_Devises,MATCH(IF($M1233="",Devise_Base,$M1233),Codes_Devises,0)),1))</f>
        <v/>
      </c>
      <c r="U1233" s="112">
        <f>IF($G1233="","",ROUND($G1233*$T1233,2))</f>
        <v/>
      </c>
      <c r="V1233" s="113">
        <f>IF($B1233="","",MONTH($B1233))</f>
        <v/>
      </c>
      <c r="W1233" s="113">
        <f>IF($B1233="","",YEAR($B1233))</f>
        <v/>
      </c>
    </row>
    <row r="1234">
      <c r="B1234" s="105" t="n"/>
      <c r="C1234" s="54" t="n"/>
      <c r="D1234" s="54" t="n"/>
      <c r="E1234" s="54" t="n"/>
      <c r="F1234" s="54" t="n"/>
      <c r="G1234" s="65" t="n"/>
      <c r="H1234" s="54" t="n"/>
      <c r="I1234" s="106">
        <f>IF($C1234="","",IFERROR(INDEX(Sens_Types,MATCH($C1234,Liste_Types,0)),""))</f>
        <v/>
      </c>
      <c r="J1234" s="107">
        <f>IF($I1234="▲ ENTRÉE",$U1234,"")</f>
        <v/>
      </c>
      <c r="K1234" s="108">
        <f>IF($I1234="▼ SORTIE",$U1234,"")</f>
        <v/>
      </c>
      <c r="L1234" s="109">
        <f>$L1233+N($J1234)-N($K1234)</f>
        <v/>
      </c>
      <c r="M1234" s="110" t="n"/>
      <c r="N1234" s="54" t="n"/>
      <c r="O1234" s="54" t="n"/>
      <c r="P1234" s="54" t="n"/>
      <c r="Q1234" s="110" t="n"/>
      <c r="R1234" s="110" t="n"/>
      <c r="S1234" s="54" t="n"/>
      <c r="T1234" s="111">
        <f>IF($G1234="","",IFERROR(INDEX(Taux_Devises,MATCH(IF($M1234="",Devise_Base,$M1234),Codes_Devises,0)),1))</f>
        <v/>
      </c>
      <c r="U1234" s="112">
        <f>IF($G1234="","",ROUND($G1234*$T1234,2))</f>
        <v/>
      </c>
      <c r="V1234" s="113">
        <f>IF($B1234="","",MONTH($B1234))</f>
        <v/>
      </c>
      <c r="W1234" s="113">
        <f>IF($B1234="","",YEAR($B1234))</f>
        <v/>
      </c>
    </row>
    <row r="1235">
      <c r="B1235" s="105" t="n"/>
      <c r="C1235" s="54" t="n"/>
      <c r="D1235" s="54" t="n"/>
      <c r="E1235" s="54" t="n"/>
      <c r="F1235" s="54" t="n"/>
      <c r="G1235" s="65" t="n"/>
      <c r="H1235" s="54" t="n"/>
      <c r="I1235" s="106">
        <f>IF($C1235="","",IFERROR(INDEX(Sens_Types,MATCH($C1235,Liste_Types,0)),""))</f>
        <v/>
      </c>
      <c r="J1235" s="107">
        <f>IF($I1235="▲ ENTRÉE",$U1235,"")</f>
        <v/>
      </c>
      <c r="K1235" s="108">
        <f>IF($I1235="▼ SORTIE",$U1235,"")</f>
        <v/>
      </c>
      <c r="L1235" s="109">
        <f>$L1234+N($J1235)-N($K1235)</f>
        <v/>
      </c>
      <c r="M1235" s="110" t="n"/>
      <c r="N1235" s="54" t="n"/>
      <c r="O1235" s="54" t="n"/>
      <c r="P1235" s="54" t="n"/>
      <c r="Q1235" s="110" t="n"/>
      <c r="R1235" s="110" t="n"/>
      <c r="S1235" s="54" t="n"/>
      <c r="T1235" s="111">
        <f>IF($G1235="","",IFERROR(INDEX(Taux_Devises,MATCH(IF($M1235="",Devise_Base,$M1235),Codes_Devises,0)),1))</f>
        <v/>
      </c>
      <c r="U1235" s="112">
        <f>IF($G1235="","",ROUND($G1235*$T1235,2))</f>
        <v/>
      </c>
      <c r="V1235" s="113">
        <f>IF($B1235="","",MONTH($B1235))</f>
        <v/>
      </c>
      <c r="W1235" s="113">
        <f>IF($B1235="","",YEAR($B1235))</f>
        <v/>
      </c>
    </row>
    <row r="1236">
      <c r="B1236" s="105" t="n"/>
      <c r="C1236" s="54" t="n"/>
      <c r="D1236" s="54" t="n"/>
      <c r="E1236" s="54" t="n"/>
      <c r="F1236" s="54" t="n"/>
      <c r="G1236" s="65" t="n"/>
      <c r="H1236" s="54" t="n"/>
      <c r="I1236" s="106">
        <f>IF($C1236="","",IFERROR(INDEX(Sens_Types,MATCH($C1236,Liste_Types,0)),""))</f>
        <v/>
      </c>
      <c r="J1236" s="107">
        <f>IF($I1236="▲ ENTRÉE",$U1236,"")</f>
        <v/>
      </c>
      <c r="K1236" s="108">
        <f>IF($I1236="▼ SORTIE",$U1236,"")</f>
        <v/>
      </c>
      <c r="L1236" s="109">
        <f>$L1235+N($J1236)-N($K1236)</f>
        <v/>
      </c>
      <c r="M1236" s="110" t="n"/>
      <c r="N1236" s="54" t="n"/>
      <c r="O1236" s="54" t="n"/>
      <c r="P1236" s="54" t="n"/>
      <c r="Q1236" s="110" t="n"/>
      <c r="R1236" s="110" t="n"/>
      <c r="S1236" s="54" t="n"/>
      <c r="T1236" s="111">
        <f>IF($G1236="","",IFERROR(INDEX(Taux_Devises,MATCH(IF($M1236="",Devise_Base,$M1236),Codes_Devises,0)),1))</f>
        <v/>
      </c>
      <c r="U1236" s="112">
        <f>IF($G1236="","",ROUND($G1236*$T1236,2))</f>
        <v/>
      </c>
      <c r="V1236" s="113">
        <f>IF($B1236="","",MONTH($B1236))</f>
        <v/>
      </c>
      <c r="W1236" s="113">
        <f>IF($B1236="","",YEAR($B1236))</f>
        <v/>
      </c>
    </row>
    <row r="1237">
      <c r="B1237" s="105" t="n"/>
      <c r="C1237" s="54" t="n"/>
      <c r="D1237" s="54" t="n"/>
      <c r="E1237" s="54" t="n"/>
      <c r="F1237" s="54" t="n"/>
      <c r="G1237" s="65" t="n"/>
      <c r="H1237" s="54" t="n"/>
      <c r="I1237" s="106">
        <f>IF($C1237="","",IFERROR(INDEX(Sens_Types,MATCH($C1237,Liste_Types,0)),""))</f>
        <v/>
      </c>
      <c r="J1237" s="107">
        <f>IF($I1237="▲ ENTRÉE",$U1237,"")</f>
        <v/>
      </c>
      <c r="K1237" s="108">
        <f>IF($I1237="▼ SORTIE",$U1237,"")</f>
        <v/>
      </c>
      <c r="L1237" s="109">
        <f>$L1236+N($J1237)-N($K1237)</f>
        <v/>
      </c>
      <c r="M1237" s="110" t="n"/>
      <c r="N1237" s="54" t="n"/>
      <c r="O1237" s="54" t="n"/>
      <c r="P1237" s="54" t="n"/>
      <c r="Q1237" s="110" t="n"/>
      <c r="R1237" s="110" t="n"/>
      <c r="S1237" s="54" t="n"/>
      <c r="T1237" s="111">
        <f>IF($G1237="","",IFERROR(INDEX(Taux_Devises,MATCH(IF($M1237="",Devise_Base,$M1237),Codes_Devises,0)),1))</f>
        <v/>
      </c>
      <c r="U1237" s="112">
        <f>IF($G1237="","",ROUND($G1237*$T1237,2))</f>
        <v/>
      </c>
      <c r="V1237" s="113">
        <f>IF($B1237="","",MONTH($B1237))</f>
        <v/>
      </c>
      <c r="W1237" s="113">
        <f>IF($B1237="","",YEAR($B1237))</f>
        <v/>
      </c>
    </row>
    <row r="1238">
      <c r="B1238" s="105" t="n"/>
      <c r="C1238" s="54" t="n"/>
      <c r="D1238" s="54" t="n"/>
      <c r="E1238" s="54" t="n"/>
      <c r="F1238" s="54" t="n"/>
      <c r="G1238" s="65" t="n"/>
      <c r="H1238" s="54" t="n"/>
      <c r="I1238" s="106">
        <f>IF($C1238="","",IFERROR(INDEX(Sens_Types,MATCH($C1238,Liste_Types,0)),""))</f>
        <v/>
      </c>
      <c r="J1238" s="107">
        <f>IF($I1238="▲ ENTRÉE",$U1238,"")</f>
        <v/>
      </c>
      <c r="K1238" s="108">
        <f>IF($I1238="▼ SORTIE",$U1238,"")</f>
        <v/>
      </c>
      <c r="L1238" s="109">
        <f>$L1237+N($J1238)-N($K1238)</f>
        <v/>
      </c>
      <c r="M1238" s="110" t="n"/>
      <c r="N1238" s="54" t="n"/>
      <c r="O1238" s="54" t="n"/>
      <c r="P1238" s="54" t="n"/>
      <c r="Q1238" s="110" t="n"/>
      <c r="R1238" s="110" t="n"/>
      <c r="S1238" s="54" t="n"/>
      <c r="T1238" s="111">
        <f>IF($G1238="","",IFERROR(INDEX(Taux_Devises,MATCH(IF($M1238="",Devise_Base,$M1238),Codes_Devises,0)),1))</f>
        <v/>
      </c>
      <c r="U1238" s="112">
        <f>IF($G1238="","",ROUND($G1238*$T1238,2))</f>
        <v/>
      </c>
      <c r="V1238" s="113">
        <f>IF($B1238="","",MONTH($B1238))</f>
        <v/>
      </c>
      <c r="W1238" s="113">
        <f>IF($B1238="","",YEAR($B1238))</f>
        <v/>
      </c>
    </row>
    <row r="1239">
      <c r="B1239" s="105" t="n"/>
      <c r="C1239" s="54" t="n"/>
      <c r="D1239" s="54" t="n"/>
      <c r="E1239" s="54" t="n"/>
      <c r="F1239" s="54" t="n"/>
      <c r="G1239" s="65" t="n"/>
      <c r="H1239" s="54" t="n"/>
      <c r="I1239" s="106">
        <f>IF($C1239="","",IFERROR(INDEX(Sens_Types,MATCH($C1239,Liste_Types,0)),""))</f>
        <v/>
      </c>
      <c r="J1239" s="107">
        <f>IF($I1239="▲ ENTRÉE",$U1239,"")</f>
        <v/>
      </c>
      <c r="K1239" s="108">
        <f>IF($I1239="▼ SORTIE",$U1239,"")</f>
        <v/>
      </c>
      <c r="L1239" s="109">
        <f>$L1238+N($J1239)-N($K1239)</f>
        <v/>
      </c>
      <c r="M1239" s="110" t="n"/>
      <c r="N1239" s="54" t="n"/>
      <c r="O1239" s="54" t="n"/>
      <c r="P1239" s="54" t="n"/>
      <c r="Q1239" s="110" t="n"/>
      <c r="R1239" s="110" t="n"/>
      <c r="S1239" s="54" t="n"/>
      <c r="T1239" s="111">
        <f>IF($G1239="","",IFERROR(INDEX(Taux_Devises,MATCH(IF($M1239="",Devise_Base,$M1239),Codes_Devises,0)),1))</f>
        <v/>
      </c>
      <c r="U1239" s="112">
        <f>IF($G1239="","",ROUND($G1239*$T1239,2))</f>
        <v/>
      </c>
      <c r="V1239" s="113">
        <f>IF($B1239="","",MONTH($B1239))</f>
        <v/>
      </c>
      <c r="W1239" s="113">
        <f>IF($B1239="","",YEAR($B1239))</f>
        <v/>
      </c>
    </row>
    <row r="1240">
      <c r="B1240" s="105" t="n"/>
      <c r="C1240" s="54" t="n"/>
      <c r="D1240" s="54" t="n"/>
      <c r="E1240" s="54" t="n"/>
      <c r="F1240" s="54" t="n"/>
      <c r="G1240" s="65" t="n"/>
      <c r="H1240" s="54" t="n"/>
      <c r="I1240" s="106">
        <f>IF($C1240="","",IFERROR(INDEX(Sens_Types,MATCH($C1240,Liste_Types,0)),""))</f>
        <v/>
      </c>
      <c r="J1240" s="107">
        <f>IF($I1240="▲ ENTRÉE",$U1240,"")</f>
        <v/>
      </c>
      <c r="K1240" s="108">
        <f>IF($I1240="▼ SORTIE",$U1240,"")</f>
        <v/>
      </c>
      <c r="L1240" s="109">
        <f>$L1239+N($J1240)-N($K1240)</f>
        <v/>
      </c>
      <c r="M1240" s="110" t="n"/>
      <c r="N1240" s="54" t="n"/>
      <c r="O1240" s="54" t="n"/>
      <c r="P1240" s="54" t="n"/>
      <c r="Q1240" s="110" t="n"/>
      <c r="R1240" s="110" t="n"/>
      <c r="S1240" s="54" t="n"/>
      <c r="T1240" s="111">
        <f>IF($G1240="","",IFERROR(INDEX(Taux_Devises,MATCH(IF($M1240="",Devise_Base,$M1240),Codes_Devises,0)),1))</f>
        <v/>
      </c>
      <c r="U1240" s="112">
        <f>IF($G1240="","",ROUND($G1240*$T1240,2))</f>
        <v/>
      </c>
      <c r="V1240" s="113">
        <f>IF($B1240="","",MONTH($B1240))</f>
        <v/>
      </c>
      <c r="W1240" s="113">
        <f>IF($B1240="","",YEAR($B1240))</f>
        <v/>
      </c>
    </row>
    <row r="1241">
      <c r="B1241" s="105" t="n"/>
      <c r="C1241" s="54" t="n"/>
      <c r="D1241" s="54" t="n"/>
      <c r="E1241" s="54" t="n"/>
      <c r="F1241" s="54" t="n"/>
      <c r="G1241" s="65" t="n"/>
      <c r="H1241" s="54" t="n"/>
      <c r="I1241" s="106">
        <f>IF($C1241="","",IFERROR(INDEX(Sens_Types,MATCH($C1241,Liste_Types,0)),""))</f>
        <v/>
      </c>
      <c r="J1241" s="107">
        <f>IF($I1241="▲ ENTRÉE",$U1241,"")</f>
        <v/>
      </c>
      <c r="K1241" s="108">
        <f>IF($I1241="▼ SORTIE",$U1241,"")</f>
        <v/>
      </c>
      <c r="L1241" s="109">
        <f>$L1240+N($J1241)-N($K1241)</f>
        <v/>
      </c>
      <c r="M1241" s="110" t="n"/>
      <c r="N1241" s="54" t="n"/>
      <c r="O1241" s="54" t="n"/>
      <c r="P1241" s="54" t="n"/>
      <c r="Q1241" s="110" t="n"/>
      <c r="R1241" s="110" t="n"/>
      <c r="S1241" s="54" t="n"/>
      <c r="T1241" s="111">
        <f>IF($G1241="","",IFERROR(INDEX(Taux_Devises,MATCH(IF($M1241="",Devise_Base,$M1241),Codes_Devises,0)),1))</f>
        <v/>
      </c>
      <c r="U1241" s="112">
        <f>IF($G1241="","",ROUND($G1241*$T1241,2))</f>
        <v/>
      </c>
      <c r="V1241" s="113">
        <f>IF($B1241="","",MONTH($B1241))</f>
        <v/>
      </c>
      <c r="W1241" s="113">
        <f>IF($B1241="","",YEAR($B1241))</f>
        <v/>
      </c>
    </row>
    <row r="1242">
      <c r="B1242" s="105" t="n"/>
      <c r="C1242" s="54" t="n"/>
      <c r="D1242" s="54" t="n"/>
      <c r="E1242" s="54" t="n"/>
      <c r="F1242" s="54" t="n"/>
      <c r="G1242" s="65" t="n"/>
      <c r="H1242" s="54" t="n"/>
      <c r="I1242" s="106">
        <f>IF($C1242="","",IFERROR(INDEX(Sens_Types,MATCH($C1242,Liste_Types,0)),""))</f>
        <v/>
      </c>
      <c r="J1242" s="107">
        <f>IF($I1242="▲ ENTRÉE",$U1242,"")</f>
        <v/>
      </c>
      <c r="K1242" s="108">
        <f>IF($I1242="▼ SORTIE",$U1242,"")</f>
        <v/>
      </c>
      <c r="L1242" s="109">
        <f>$L1241+N($J1242)-N($K1242)</f>
        <v/>
      </c>
      <c r="M1242" s="110" t="n"/>
      <c r="N1242" s="54" t="n"/>
      <c r="O1242" s="54" t="n"/>
      <c r="P1242" s="54" t="n"/>
      <c r="Q1242" s="110" t="n"/>
      <c r="R1242" s="110" t="n"/>
      <c r="S1242" s="54" t="n"/>
      <c r="T1242" s="111">
        <f>IF($G1242="","",IFERROR(INDEX(Taux_Devises,MATCH(IF($M1242="",Devise_Base,$M1242),Codes_Devises,0)),1))</f>
        <v/>
      </c>
      <c r="U1242" s="112">
        <f>IF($G1242="","",ROUND($G1242*$T1242,2))</f>
        <v/>
      </c>
      <c r="V1242" s="113">
        <f>IF($B1242="","",MONTH($B1242))</f>
        <v/>
      </c>
      <c r="W1242" s="113">
        <f>IF($B1242="","",YEAR($B1242))</f>
        <v/>
      </c>
    </row>
    <row r="1243">
      <c r="B1243" s="105" t="n"/>
      <c r="C1243" s="54" t="n"/>
      <c r="D1243" s="54" t="n"/>
      <c r="E1243" s="54" t="n"/>
      <c r="F1243" s="54" t="n"/>
      <c r="G1243" s="65" t="n"/>
      <c r="H1243" s="54" t="n"/>
      <c r="I1243" s="106">
        <f>IF($C1243="","",IFERROR(INDEX(Sens_Types,MATCH($C1243,Liste_Types,0)),""))</f>
        <v/>
      </c>
      <c r="J1243" s="107">
        <f>IF($I1243="▲ ENTRÉE",$U1243,"")</f>
        <v/>
      </c>
      <c r="K1243" s="108">
        <f>IF($I1243="▼ SORTIE",$U1243,"")</f>
        <v/>
      </c>
      <c r="L1243" s="109">
        <f>$L1242+N($J1243)-N($K1243)</f>
        <v/>
      </c>
      <c r="M1243" s="110" t="n"/>
      <c r="N1243" s="54" t="n"/>
      <c r="O1243" s="54" t="n"/>
      <c r="P1243" s="54" t="n"/>
      <c r="Q1243" s="110" t="n"/>
      <c r="R1243" s="110" t="n"/>
      <c r="S1243" s="54" t="n"/>
      <c r="T1243" s="111">
        <f>IF($G1243="","",IFERROR(INDEX(Taux_Devises,MATCH(IF($M1243="",Devise_Base,$M1243),Codes_Devises,0)),1))</f>
        <v/>
      </c>
      <c r="U1243" s="112">
        <f>IF($G1243="","",ROUND($G1243*$T1243,2))</f>
        <v/>
      </c>
      <c r="V1243" s="113">
        <f>IF($B1243="","",MONTH($B1243))</f>
        <v/>
      </c>
      <c r="W1243" s="113">
        <f>IF($B1243="","",YEAR($B1243))</f>
        <v/>
      </c>
    </row>
    <row r="1244">
      <c r="B1244" s="105" t="n"/>
      <c r="C1244" s="54" t="n"/>
      <c r="D1244" s="54" t="n"/>
      <c r="E1244" s="54" t="n"/>
      <c r="F1244" s="54" t="n"/>
      <c r="G1244" s="65" t="n"/>
      <c r="H1244" s="54" t="n"/>
      <c r="I1244" s="106">
        <f>IF($C1244="","",IFERROR(INDEX(Sens_Types,MATCH($C1244,Liste_Types,0)),""))</f>
        <v/>
      </c>
      <c r="J1244" s="107">
        <f>IF($I1244="▲ ENTRÉE",$U1244,"")</f>
        <v/>
      </c>
      <c r="K1244" s="108">
        <f>IF($I1244="▼ SORTIE",$U1244,"")</f>
        <v/>
      </c>
      <c r="L1244" s="109">
        <f>$L1243+N($J1244)-N($K1244)</f>
        <v/>
      </c>
      <c r="M1244" s="110" t="n"/>
      <c r="N1244" s="54" t="n"/>
      <c r="O1244" s="54" t="n"/>
      <c r="P1244" s="54" t="n"/>
      <c r="Q1244" s="110" t="n"/>
      <c r="R1244" s="110" t="n"/>
      <c r="S1244" s="54" t="n"/>
      <c r="T1244" s="111">
        <f>IF($G1244="","",IFERROR(INDEX(Taux_Devises,MATCH(IF($M1244="",Devise_Base,$M1244),Codes_Devises,0)),1))</f>
        <v/>
      </c>
      <c r="U1244" s="112">
        <f>IF($G1244="","",ROUND($G1244*$T1244,2))</f>
        <v/>
      </c>
      <c r="V1244" s="113">
        <f>IF($B1244="","",MONTH($B1244))</f>
        <v/>
      </c>
      <c r="W1244" s="113">
        <f>IF($B1244="","",YEAR($B1244))</f>
        <v/>
      </c>
    </row>
    <row r="1245">
      <c r="B1245" s="105" t="n"/>
      <c r="C1245" s="54" t="n"/>
      <c r="D1245" s="54" t="n"/>
      <c r="E1245" s="54" t="n"/>
      <c r="F1245" s="54" t="n"/>
      <c r="G1245" s="65" t="n"/>
      <c r="H1245" s="54" t="n"/>
      <c r="I1245" s="106">
        <f>IF($C1245="","",IFERROR(INDEX(Sens_Types,MATCH($C1245,Liste_Types,0)),""))</f>
        <v/>
      </c>
      <c r="J1245" s="107">
        <f>IF($I1245="▲ ENTRÉE",$U1245,"")</f>
        <v/>
      </c>
      <c r="K1245" s="108">
        <f>IF($I1245="▼ SORTIE",$U1245,"")</f>
        <v/>
      </c>
      <c r="L1245" s="109">
        <f>$L1244+N($J1245)-N($K1245)</f>
        <v/>
      </c>
      <c r="M1245" s="110" t="n"/>
      <c r="N1245" s="54" t="n"/>
      <c r="O1245" s="54" t="n"/>
      <c r="P1245" s="54" t="n"/>
      <c r="Q1245" s="110" t="n"/>
      <c r="R1245" s="110" t="n"/>
      <c r="S1245" s="54" t="n"/>
      <c r="T1245" s="111">
        <f>IF($G1245="","",IFERROR(INDEX(Taux_Devises,MATCH(IF($M1245="",Devise_Base,$M1245),Codes_Devises,0)),1))</f>
        <v/>
      </c>
      <c r="U1245" s="112">
        <f>IF($G1245="","",ROUND($G1245*$T1245,2))</f>
        <v/>
      </c>
      <c r="V1245" s="113">
        <f>IF($B1245="","",MONTH($B1245))</f>
        <v/>
      </c>
      <c r="W1245" s="113">
        <f>IF($B1245="","",YEAR($B1245))</f>
        <v/>
      </c>
    </row>
    <row r="1246">
      <c r="B1246" s="105" t="n"/>
      <c r="C1246" s="54" t="n"/>
      <c r="D1246" s="54" t="n"/>
      <c r="E1246" s="54" t="n"/>
      <c r="F1246" s="54" t="n"/>
      <c r="G1246" s="65" t="n"/>
      <c r="H1246" s="54" t="n"/>
      <c r="I1246" s="106">
        <f>IF($C1246="","",IFERROR(INDEX(Sens_Types,MATCH($C1246,Liste_Types,0)),""))</f>
        <v/>
      </c>
      <c r="J1246" s="107">
        <f>IF($I1246="▲ ENTRÉE",$U1246,"")</f>
        <v/>
      </c>
      <c r="K1246" s="108">
        <f>IF($I1246="▼ SORTIE",$U1246,"")</f>
        <v/>
      </c>
      <c r="L1246" s="109">
        <f>$L1245+N($J1246)-N($K1246)</f>
        <v/>
      </c>
      <c r="M1246" s="110" t="n"/>
      <c r="N1246" s="54" t="n"/>
      <c r="O1246" s="54" t="n"/>
      <c r="P1246" s="54" t="n"/>
      <c r="Q1246" s="110" t="n"/>
      <c r="R1246" s="110" t="n"/>
      <c r="S1246" s="54" t="n"/>
      <c r="T1246" s="111">
        <f>IF($G1246="","",IFERROR(INDEX(Taux_Devises,MATCH(IF($M1246="",Devise_Base,$M1246),Codes_Devises,0)),1))</f>
        <v/>
      </c>
      <c r="U1246" s="112">
        <f>IF($G1246="","",ROUND($G1246*$T1246,2))</f>
        <v/>
      </c>
      <c r="V1246" s="113">
        <f>IF($B1246="","",MONTH($B1246))</f>
        <v/>
      </c>
      <c r="W1246" s="113">
        <f>IF($B1246="","",YEAR($B1246))</f>
        <v/>
      </c>
    </row>
    <row r="1247">
      <c r="B1247" s="105" t="n"/>
      <c r="C1247" s="54" t="n"/>
      <c r="D1247" s="54" t="n"/>
      <c r="E1247" s="54" t="n"/>
      <c r="F1247" s="54" t="n"/>
      <c r="G1247" s="65" t="n"/>
      <c r="H1247" s="54" t="n"/>
      <c r="I1247" s="106">
        <f>IF($C1247="","",IFERROR(INDEX(Sens_Types,MATCH($C1247,Liste_Types,0)),""))</f>
        <v/>
      </c>
      <c r="J1247" s="107">
        <f>IF($I1247="▲ ENTRÉE",$U1247,"")</f>
        <v/>
      </c>
      <c r="K1247" s="108">
        <f>IF($I1247="▼ SORTIE",$U1247,"")</f>
        <v/>
      </c>
      <c r="L1247" s="109">
        <f>$L1246+N($J1247)-N($K1247)</f>
        <v/>
      </c>
      <c r="M1247" s="110" t="n"/>
      <c r="N1247" s="54" t="n"/>
      <c r="O1247" s="54" t="n"/>
      <c r="P1247" s="54" t="n"/>
      <c r="Q1247" s="110" t="n"/>
      <c r="R1247" s="110" t="n"/>
      <c r="S1247" s="54" t="n"/>
      <c r="T1247" s="111">
        <f>IF($G1247="","",IFERROR(INDEX(Taux_Devises,MATCH(IF($M1247="",Devise_Base,$M1247),Codes_Devises,0)),1))</f>
        <v/>
      </c>
      <c r="U1247" s="112">
        <f>IF($G1247="","",ROUND($G1247*$T1247,2))</f>
        <v/>
      </c>
      <c r="V1247" s="113">
        <f>IF($B1247="","",MONTH($B1247))</f>
        <v/>
      </c>
      <c r="W1247" s="113">
        <f>IF($B1247="","",YEAR($B1247))</f>
        <v/>
      </c>
    </row>
    <row r="1248">
      <c r="B1248" s="105" t="n"/>
      <c r="C1248" s="54" t="n"/>
      <c r="D1248" s="54" t="n"/>
      <c r="E1248" s="54" t="n"/>
      <c r="F1248" s="54" t="n"/>
      <c r="G1248" s="65" t="n"/>
      <c r="H1248" s="54" t="n"/>
      <c r="I1248" s="106">
        <f>IF($C1248="","",IFERROR(INDEX(Sens_Types,MATCH($C1248,Liste_Types,0)),""))</f>
        <v/>
      </c>
      <c r="J1248" s="107">
        <f>IF($I1248="▲ ENTRÉE",$U1248,"")</f>
        <v/>
      </c>
      <c r="K1248" s="108">
        <f>IF($I1248="▼ SORTIE",$U1248,"")</f>
        <v/>
      </c>
      <c r="L1248" s="109">
        <f>$L1247+N($J1248)-N($K1248)</f>
        <v/>
      </c>
      <c r="M1248" s="110" t="n"/>
      <c r="N1248" s="54" t="n"/>
      <c r="O1248" s="54" t="n"/>
      <c r="P1248" s="54" t="n"/>
      <c r="Q1248" s="110" t="n"/>
      <c r="R1248" s="110" t="n"/>
      <c r="S1248" s="54" t="n"/>
      <c r="T1248" s="111">
        <f>IF($G1248="","",IFERROR(INDEX(Taux_Devises,MATCH(IF($M1248="",Devise_Base,$M1248),Codes_Devises,0)),1))</f>
        <v/>
      </c>
      <c r="U1248" s="112">
        <f>IF($G1248="","",ROUND($G1248*$T1248,2))</f>
        <v/>
      </c>
      <c r="V1248" s="113">
        <f>IF($B1248="","",MONTH($B1248))</f>
        <v/>
      </c>
      <c r="W1248" s="113">
        <f>IF($B1248="","",YEAR($B1248))</f>
        <v/>
      </c>
    </row>
    <row r="1249">
      <c r="B1249" s="105" t="n"/>
      <c r="C1249" s="54" t="n"/>
      <c r="D1249" s="54" t="n"/>
      <c r="E1249" s="54" t="n"/>
      <c r="F1249" s="54" t="n"/>
      <c r="G1249" s="65" t="n"/>
      <c r="H1249" s="54" t="n"/>
      <c r="I1249" s="106">
        <f>IF($C1249="","",IFERROR(INDEX(Sens_Types,MATCH($C1249,Liste_Types,0)),""))</f>
        <v/>
      </c>
      <c r="J1249" s="107">
        <f>IF($I1249="▲ ENTRÉE",$U1249,"")</f>
        <v/>
      </c>
      <c r="K1249" s="108">
        <f>IF($I1249="▼ SORTIE",$U1249,"")</f>
        <v/>
      </c>
      <c r="L1249" s="109">
        <f>$L1248+N($J1249)-N($K1249)</f>
        <v/>
      </c>
      <c r="M1249" s="110" t="n"/>
      <c r="N1249" s="54" t="n"/>
      <c r="O1249" s="54" t="n"/>
      <c r="P1249" s="54" t="n"/>
      <c r="Q1249" s="110" t="n"/>
      <c r="R1249" s="110" t="n"/>
      <c r="S1249" s="54" t="n"/>
      <c r="T1249" s="111">
        <f>IF($G1249="","",IFERROR(INDEX(Taux_Devises,MATCH(IF($M1249="",Devise_Base,$M1249),Codes_Devises,0)),1))</f>
        <v/>
      </c>
      <c r="U1249" s="112">
        <f>IF($G1249="","",ROUND($G1249*$T1249,2))</f>
        <v/>
      </c>
      <c r="V1249" s="113">
        <f>IF($B1249="","",MONTH($B1249))</f>
        <v/>
      </c>
      <c r="W1249" s="113">
        <f>IF($B1249="","",YEAR($B1249))</f>
        <v/>
      </c>
    </row>
    <row r="1250">
      <c r="B1250" s="105" t="n"/>
      <c r="C1250" s="54" t="n"/>
      <c r="D1250" s="54" t="n"/>
      <c r="E1250" s="54" t="n"/>
      <c r="F1250" s="54" t="n"/>
      <c r="G1250" s="65" t="n"/>
      <c r="H1250" s="54" t="n"/>
      <c r="I1250" s="106">
        <f>IF($C1250="","",IFERROR(INDEX(Sens_Types,MATCH($C1250,Liste_Types,0)),""))</f>
        <v/>
      </c>
      <c r="J1250" s="107">
        <f>IF($I1250="▲ ENTRÉE",$U1250,"")</f>
        <v/>
      </c>
      <c r="K1250" s="108">
        <f>IF($I1250="▼ SORTIE",$U1250,"")</f>
        <v/>
      </c>
      <c r="L1250" s="109">
        <f>$L1249+N($J1250)-N($K1250)</f>
        <v/>
      </c>
      <c r="M1250" s="110" t="n"/>
      <c r="N1250" s="54" t="n"/>
      <c r="O1250" s="54" t="n"/>
      <c r="P1250" s="54" t="n"/>
      <c r="Q1250" s="110" t="n"/>
      <c r="R1250" s="110" t="n"/>
      <c r="S1250" s="54" t="n"/>
      <c r="T1250" s="111">
        <f>IF($G1250="","",IFERROR(INDEX(Taux_Devises,MATCH(IF($M1250="",Devise_Base,$M1250),Codes_Devises,0)),1))</f>
        <v/>
      </c>
      <c r="U1250" s="112">
        <f>IF($G1250="","",ROUND($G1250*$T1250,2))</f>
        <v/>
      </c>
      <c r="V1250" s="113">
        <f>IF($B1250="","",MONTH($B1250))</f>
        <v/>
      </c>
      <c r="W1250" s="113">
        <f>IF($B1250="","",YEAR($B1250))</f>
        <v/>
      </c>
    </row>
    <row r="1251">
      <c r="B1251" s="105" t="n"/>
      <c r="C1251" s="54" t="n"/>
      <c r="D1251" s="54" t="n"/>
      <c r="E1251" s="54" t="n"/>
      <c r="F1251" s="54" t="n"/>
      <c r="G1251" s="65" t="n"/>
      <c r="H1251" s="54" t="n"/>
      <c r="I1251" s="106">
        <f>IF($C1251="","",IFERROR(INDEX(Sens_Types,MATCH($C1251,Liste_Types,0)),""))</f>
        <v/>
      </c>
      <c r="J1251" s="107">
        <f>IF($I1251="▲ ENTRÉE",$U1251,"")</f>
        <v/>
      </c>
      <c r="K1251" s="108">
        <f>IF($I1251="▼ SORTIE",$U1251,"")</f>
        <v/>
      </c>
      <c r="L1251" s="109">
        <f>$L1250+N($J1251)-N($K1251)</f>
        <v/>
      </c>
      <c r="M1251" s="110" t="n"/>
      <c r="N1251" s="54" t="n"/>
      <c r="O1251" s="54" t="n"/>
      <c r="P1251" s="54" t="n"/>
      <c r="Q1251" s="110" t="n"/>
      <c r="R1251" s="110" t="n"/>
      <c r="S1251" s="54" t="n"/>
      <c r="T1251" s="111">
        <f>IF($G1251="","",IFERROR(INDEX(Taux_Devises,MATCH(IF($M1251="",Devise_Base,$M1251),Codes_Devises,0)),1))</f>
        <v/>
      </c>
      <c r="U1251" s="112">
        <f>IF($G1251="","",ROUND($G1251*$T1251,2))</f>
        <v/>
      </c>
      <c r="V1251" s="113">
        <f>IF($B1251="","",MONTH($B1251))</f>
        <v/>
      </c>
      <c r="W1251" s="113">
        <f>IF($B1251="","",YEAR($B1251))</f>
        <v/>
      </c>
    </row>
    <row r="1252">
      <c r="B1252" s="105" t="n"/>
      <c r="C1252" s="54" t="n"/>
      <c r="D1252" s="54" t="n"/>
      <c r="E1252" s="54" t="n"/>
      <c r="F1252" s="54" t="n"/>
      <c r="G1252" s="65" t="n"/>
      <c r="H1252" s="54" t="n"/>
      <c r="I1252" s="106">
        <f>IF($C1252="","",IFERROR(INDEX(Sens_Types,MATCH($C1252,Liste_Types,0)),""))</f>
        <v/>
      </c>
      <c r="J1252" s="107">
        <f>IF($I1252="▲ ENTRÉE",$U1252,"")</f>
        <v/>
      </c>
      <c r="K1252" s="108">
        <f>IF($I1252="▼ SORTIE",$U1252,"")</f>
        <v/>
      </c>
      <c r="L1252" s="109">
        <f>$L1251+N($J1252)-N($K1252)</f>
        <v/>
      </c>
      <c r="M1252" s="110" t="n"/>
      <c r="N1252" s="54" t="n"/>
      <c r="O1252" s="54" t="n"/>
      <c r="P1252" s="54" t="n"/>
      <c r="Q1252" s="110" t="n"/>
      <c r="R1252" s="110" t="n"/>
      <c r="S1252" s="54" t="n"/>
      <c r="T1252" s="111">
        <f>IF($G1252="","",IFERROR(INDEX(Taux_Devises,MATCH(IF($M1252="",Devise_Base,$M1252),Codes_Devises,0)),1))</f>
        <v/>
      </c>
      <c r="U1252" s="112">
        <f>IF($G1252="","",ROUND($G1252*$T1252,2))</f>
        <v/>
      </c>
      <c r="V1252" s="113">
        <f>IF($B1252="","",MONTH($B1252))</f>
        <v/>
      </c>
      <c r="W1252" s="113">
        <f>IF($B1252="","",YEAR($B1252))</f>
        <v/>
      </c>
    </row>
    <row r="1253">
      <c r="B1253" s="105" t="n"/>
      <c r="C1253" s="54" t="n"/>
      <c r="D1253" s="54" t="n"/>
      <c r="E1253" s="54" t="n"/>
      <c r="F1253" s="54" t="n"/>
      <c r="G1253" s="65" t="n"/>
      <c r="H1253" s="54" t="n"/>
      <c r="I1253" s="106">
        <f>IF($C1253="","",IFERROR(INDEX(Sens_Types,MATCH($C1253,Liste_Types,0)),""))</f>
        <v/>
      </c>
      <c r="J1253" s="107">
        <f>IF($I1253="▲ ENTRÉE",$U1253,"")</f>
        <v/>
      </c>
      <c r="K1253" s="108">
        <f>IF($I1253="▼ SORTIE",$U1253,"")</f>
        <v/>
      </c>
      <c r="L1253" s="109">
        <f>$L1252+N($J1253)-N($K1253)</f>
        <v/>
      </c>
      <c r="M1253" s="110" t="n"/>
      <c r="N1253" s="54" t="n"/>
      <c r="O1253" s="54" t="n"/>
      <c r="P1253" s="54" t="n"/>
      <c r="Q1253" s="110" t="n"/>
      <c r="R1253" s="110" t="n"/>
      <c r="S1253" s="54" t="n"/>
      <c r="T1253" s="111">
        <f>IF($G1253="","",IFERROR(INDEX(Taux_Devises,MATCH(IF($M1253="",Devise_Base,$M1253),Codes_Devises,0)),1))</f>
        <v/>
      </c>
      <c r="U1253" s="112">
        <f>IF($G1253="","",ROUND($G1253*$T1253,2))</f>
        <v/>
      </c>
      <c r="V1253" s="113">
        <f>IF($B1253="","",MONTH($B1253))</f>
        <v/>
      </c>
      <c r="W1253" s="113">
        <f>IF($B1253="","",YEAR($B1253))</f>
        <v/>
      </c>
    </row>
    <row r="1254">
      <c r="B1254" s="105" t="n"/>
      <c r="C1254" s="54" t="n"/>
      <c r="D1254" s="54" t="n"/>
      <c r="E1254" s="54" t="n"/>
      <c r="F1254" s="54" t="n"/>
      <c r="G1254" s="65" t="n"/>
      <c r="H1254" s="54" t="n"/>
      <c r="I1254" s="106">
        <f>IF($C1254="","",IFERROR(INDEX(Sens_Types,MATCH($C1254,Liste_Types,0)),""))</f>
        <v/>
      </c>
      <c r="J1254" s="107">
        <f>IF($I1254="▲ ENTRÉE",$U1254,"")</f>
        <v/>
      </c>
      <c r="K1254" s="108">
        <f>IF($I1254="▼ SORTIE",$U1254,"")</f>
        <v/>
      </c>
      <c r="L1254" s="109">
        <f>$L1253+N($J1254)-N($K1254)</f>
        <v/>
      </c>
      <c r="M1254" s="110" t="n"/>
      <c r="N1254" s="54" t="n"/>
      <c r="O1254" s="54" t="n"/>
      <c r="P1254" s="54" t="n"/>
      <c r="Q1254" s="110" t="n"/>
      <c r="R1254" s="110" t="n"/>
      <c r="S1254" s="54" t="n"/>
      <c r="T1254" s="111">
        <f>IF($G1254="","",IFERROR(INDEX(Taux_Devises,MATCH(IF($M1254="",Devise_Base,$M1254),Codes_Devises,0)),1))</f>
        <v/>
      </c>
      <c r="U1254" s="112">
        <f>IF($G1254="","",ROUND($G1254*$T1254,2))</f>
        <v/>
      </c>
      <c r="V1254" s="113">
        <f>IF($B1254="","",MONTH($B1254))</f>
        <v/>
      </c>
      <c r="W1254" s="113">
        <f>IF($B1254="","",YEAR($B1254))</f>
        <v/>
      </c>
    </row>
    <row r="1255">
      <c r="B1255" s="105" t="n"/>
      <c r="C1255" s="54" t="n"/>
      <c r="D1255" s="54" t="n"/>
      <c r="E1255" s="54" t="n"/>
      <c r="F1255" s="54" t="n"/>
      <c r="G1255" s="65" t="n"/>
      <c r="H1255" s="54" t="n"/>
      <c r="I1255" s="106">
        <f>IF($C1255="","",IFERROR(INDEX(Sens_Types,MATCH($C1255,Liste_Types,0)),""))</f>
        <v/>
      </c>
      <c r="J1255" s="107">
        <f>IF($I1255="▲ ENTRÉE",$U1255,"")</f>
        <v/>
      </c>
      <c r="K1255" s="108">
        <f>IF($I1255="▼ SORTIE",$U1255,"")</f>
        <v/>
      </c>
      <c r="L1255" s="109">
        <f>$L1254+N($J1255)-N($K1255)</f>
        <v/>
      </c>
      <c r="M1255" s="110" t="n"/>
      <c r="N1255" s="54" t="n"/>
      <c r="O1255" s="54" t="n"/>
      <c r="P1255" s="54" t="n"/>
      <c r="Q1255" s="110" t="n"/>
      <c r="R1255" s="110" t="n"/>
      <c r="S1255" s="54" t="n"/>
      <c r="T1255" s="111">
        <f>IF($G1255="","",IFERROR(INDEX(Taux_Devises,MATCH(IF($M1255="",Devise_Base,$M1255),Codes_Devises,0)),1))</f>
        <v/>
      </c>
      <c r="U1255" s="112">
        <f>IF($G1255="","",ROUND($G1255*$T1255,2))</f>
        <v/>
      </c>
      <c r="V1255" s="113">
        <f>IF($B1255="","",MONTH($B1255))</f>
        <v/>
      </c>
      <c r="W1255" s="113">
        <f>IF($B1255="","",YEAR($B1255))</f>
        <v/>
      </c>
    </row>
    <row r="1256">
      <c r="B1256" s="105" t="n"/>
      <c r="C1256" s="54" t="n"/>
      <c r="D1256" s="54" t="n"/>
      <c r="E1256" s="54" t="n"/>
      <c r="F1256" s="54" t="n"/>
      <c r="G1256" s="65" t="n"/>
      <c r="H1256" s="54" t="n"/>
      <c r="I1256" s="106">
        <f>IF($C1256="","",IFERROR(INDEX(Sens_Types,MATCH($C1256,Liste_Types,0)),""))</f>
        <v/>
      </c>
      <c r="J1256" s="107">
        <f>IF($I1256="▲ ENTRÉE",$U1256,"")</f>
        <v/>
      </c>
      <c r="K1256" s="108">
        <f>IF($I1256="▼ SORTIE",$U1256,"")</f>
        <v/>
      </c>
      <c r="L1256" s="109">
        <f>$L1255+N($J1256)-N($K1256)</f>
        <v/>
      </c>
      <c r="M1256" s="110" t="n"/>
      <c r="N1256" s="54" t="n"/>
      <c r="O1256" s="54" t="n"/>
      <c r="P1256" s="54" t="n"/>
      <c r="Q1256" s="110" t="n"/>
      <c r="R1256" s="110" t="n"/>
      <c r="S1256" s="54" t="n"/>
      <c r="T1256" s="111">
        <f>IF($G1256="","",IFERROR(INDEX(Taux_Devises,MATCH(IF($M1256="",Devise_Base,$M1256),Codes_Devises,0)),1))</f>
        <v/>
      </c>
      <c r="U1256" s="112">
        <f>IF($G1256="","",ROUND($G1256*$T1256,2))</f>
        <v/>
      </c>
      <c r="V1256" s="113">
        <f>IF($B1256="","",MONTH($B1256))</f>
        <v/>
      </c>
      <c r="W1256" s="113">
        <f>IF($B1256="","",YEAR($B1256))</f>
        <v/>
      </c>
    </row>
    <row r="1257">
      <c r="B1257" s="105" t="n"/>
      <c r="C1257" s="54" t="n"/>
      <c r="D1257" s="54" t="n"/>
      <c r="E1257" s="54" t="n"/>
      <c r="F1257" s="54" t="n"/>
      <c r="G1257" s="65" t="n"/>
      <c r="H1257" s="54" t="n"/>
      <c r="I1257" s="106">
        <f>IF($C1257="","",IFERROR(INDEX(Sens_Types,MATCH($C1257,Liste_Types,0)),""))</f>
        <v/>
      </c>
      <c r="J1257" s="107">
        <f>IF($I1257="▲ ENTRÉE",$U1257,"")</f>
        <v/>
      </c>
      <c r="K1257" s="108">
        <f>IF($I1257="▼ SORTIE",$U1257,"")</f>
        <v/>
      </c>
      <c r="L1257" s="109">
        <f>$L1256+N($J1257)-N($K1257)</f>
        <v/>
      </c>
      <c r="M1257" s="110" t="n"/>
      <c r="N1257" s="54" t="n"/>
      <c r="O1257" s="54" t="n"/>
      <c r="P1257" s="54" t="n"/>
      <c r="Q1257" s="110" t="n"/>
      <c r="R1257" s="110" t="n"/>
      <c r="S1257" s="54" t="n"/>
      <c r="T1257" s="111">
        <f>IF($G1257="","",IFERROR(INDEX(Taux_Devises,MATCH(IF($M1257="",Devise_Base,$M1257),Codes_Devises,0)),1))</f>
        <v/>
      </c>
      <c r="U1257" s="112">
        <f>IF($G1257="","",ROUND($G1257*$T1257,2))</f>
        <v/>
      </c>
      <c r="V1257" s="113">
        <f>IF($B1257="","",MONTH($B1257))</f>
        <v/>
      </c>
      <c r="W1257" s="113">
        <f>IF($B1257="","",YEAR($B1257))</f>
        <v/>
      </c>
    </row>
    <row r="1258">
      <c r="B1258" s="105" t="n"/>
      <c r="C1258" s="54" t="n"/>
      <c r="D1258" s="54" t="n"/>
      <c r="E1258" s="54" t="n"/>
      <c r="F1258" s="54" t="n"/>
      <c r="G1258" s="65" t="n"/>
      <c r="H1258" s="54" t="n"/>
      <c r="I1258" s="106">
        <f>IF($C1258="","",IFERROR(INDEX(Sens_Types,MATCH($C1258,Liste_Types,0)),""))</f>
        <v/>
      </c>
      <c r="J1258" s="107">
        <f>IF($I1258="▲ ENTRÉE",$U1258,"")</f>
        <v/>
      </c>
      <c r="K1258" s="108">
        <f>IF($I1258="▼ SORTIE",$U1258,"")</f>
        <v/>
      </c>
      <c r="L1258" s="109">
        <f>$L1257+N($J1258)-N($K1258)</f>
        <v/>
      </c>
      <c r="M1258" s="110" t="n"/>
      <c r="N1258" s="54" t="n"/>
      <c r="O1258" s="54" t="n"/>
      <c r="P1258" s="54" t="n"/>
      <c r="Q1258" s="110" t="n"/>
      <c r="R1258" s="110" t="n"/>
      <c r="S1258" s="54" t="n"/>
      <c r="T1258" s="111">
        <f>IF($G1258="","",IFERROR(INDEX(Taux_Devises,MATCH(IF($M1258="",Devise_Base,$M1258),Codes_Devises,0)),1))</f>
        <v/>
      </c>
      <c r="U1258" s="112">
        <f>IF($G1258="","",ROUND($G1258*$T1258,2))</f>
        <v/>
      </c>
      <c r="V1258" s="113">
        <f>IF($B1258="","",MONTH($B1258))</f>
        <v/>
      </c>
      <c r="W1258" s="113">
        <f>IF($B1258="","",YEAR($B1258))</f>
        <v/>
      </c>
    </row>
    <row r="1259">
      <c r="B1259" s="105" t="n"/>
      <c r="C1259" s="54" t="n"/>
      <c r="D1259" s="54" t="n"/>
      <c r="E1259" s="54" t="n"/>
      <c r="F1259" s="54" t="n"/>
      <c r="G1259" s="65" t="n"/>
      <c r="H1259" s="54" t="n"/>
      <c r="I1259" s="106">
        <f>IF($C1259="","",IFERROR(INDEX(Sens_Types,MATCH($C1259,Liste_Types,0)),""))</f>
        <v/>
      </c>
      <c r="J1259" s="107">
        <f>IF($I1259="▲ ENTRÉE",$U1259,"")</f>
        <v/>
      </c>
      <c r="K1259" s="108">
        <f>IF($I1259="▼ SORTIE",$U1259,"")</f>
        <v/>
      </c>
      <c r="L1259" s="109">
        <f>$L1258+N($J1259)-N($K1259)</f>
        <v/>
      </c>
      <c r="M1259" s="110" t="n"/>
      <c r="N1259" s="54" t="n"/>
      <c r="O1259" s="54" t="n"/>
      <c r="P1259" s="54" t="n"/>
      <c r="Q1259" s="110" t="n"/>
      <c r="R1259" s="110" t="n"/>
      <c r="S1259" s="54" t="n"/>
      <c r="T1259" s="111">
        <f>IF($G1259="","",IFERROR(INDEX(Taux_Devises,MATCH(IF($M1259="",Devise_Base,$M1259),Codes_Devises,0)),1))</f>
        <v/>
      </c>
      <c r="U1259" s="112">
        <f>IF($G1259="","",ROUND($G1259*$T1259,2))</f>
        <v/>
      </c>
      <c r="V1259" s="113">
        <f>IF($B1259="","",MONTH($B1259))</f>
        <v/>
      </c>
      <c r="W1259" s="113">
        <f>IF($B1259="","",YEAR($B1259))</f>
        <v/>
      </c>
    </row>
    <row r="1260">
      <c r="B1260" s="105" t="n"/>
      <c r="C1260" s="54" t="n"/>
      <c r="D1260" s="54" t="n"/>
      <c r="E1260" s="54" t="n"/>
      <c r="F1260" s="54" t="n"/>
      <c r="G1260" s="65" t="n"/>
      <c r="H1260" s="54" t="n"/>
      <c r="I1260" s="106">
        <f>IF($C1260="","",IFERROR(INDEX(Sens_Types,MATCH($C1260,Liste_Types,0)),""))</f>
        <v/>
      </c>
      <c r="J1260" s="107">
        <f>IF($I1260="▲ ENTRÉE",$U1260,"")</f>
        <v/>
      </c>
      <c r="K1260" s="108">
        <f>IF($I1260="▼ SORTIE",$U1260,"")</f>
        <v/>
      </c>
      <c r="L1260" s="109">
        <f>$L1259+N($J1260)-N($K1260)</f>
        <v/>
      </c>
      <c r="M1260" s="110" t="n"/>
      <c r="N1260" s="54" t="n"/>
      <c r="O1260" s="54" t="n"/>
      <c r="P1260" s="54" t="n"/>
      <c r="Q1260" s="110" t="n"/>
      <c r="R1260" s="110" t="n"/>
      <c r="S1260" s="54" t="n"/>
      <c r="T1260" s="111">
        <f>IF($G1260="","",IFERROR(INDEX(Taux_Devises,MATCH(IF($M1260="",Devise_Base,$M1260),Codes_Devises,0)),1))</f>
        <v/>
      </c>
      <c r="U1260" s="112">
        <f>IF($G1260="","",ROUND($G1260*$T1260,2))</f>
        <v/>
      </c>
      <c r="V1260" s="113">
        <f>IF($B1260="","",MONTH($B1260))</f>
        <v/>
      </c>
      <c r="W1260" s="113">
        <f>IF($B1260="","",YEAR($B1260))</f>
        <v/>
      </c>
    </row>
    <row r="1261">
      <c r="B1261" s="105" t="n"/>
      <c r="C1261" s="54" t="n"/>
      <c r="D1261" s="54" t="n"/>
      <c r="E1261" s="54" t="n"/>
      <c r="F1261" s="54" t="n"/>
      <c r="G1261" s="65" t="n"/>
      <c r="H1261" s="54" t="n"/>
      <c r="I1261" s="106">
        <f>IF($C1261="","",IFERROR(INDEX(Sens_Types,MATCH($C1261,Liste_Types,0)),""))</f>
        <v/>
      </c>
      <c r="J1261" s="107">
        <f>IF($I1261="▲ ENTRÉE",$U1261,"")</f>
        <v/>
      </c>
      <c r="K1261" s="108">
        <f>IF($I1261="▼ SORTIE",$U1261,"")</f>
        <v/>
      </c>
      <c r="L1261" s="109">
        <f>$L1260+N($J1261)-N($K1261)</f>
        <v/>
      </c>
      <c r="M1261" s="110" t="n"/>
      <c r="N1261" s="54" t="n"/>
      <c r="O1261" s="54" t="n"/>
      <c r="P1261" s="54" t="n"/>
      <c r="Q1261" s="110" t="n"/>
      <c r="R1261" s="110" t="n"/>
      <c r="S1261" s="54" t="n"/>
      <c r="T1261" s="111">
        <f>IF($G1261="","",IFERROR(INDEX(Taux_Devises,MATCH(IF($M1261="",Devise_Base,$M1261),Codes_Devises,0)),1))</f>
        <v/>
      </c>
      <c r="U1261" s="112">
        <f>IF($G1261="","",ROUND($G1261*$T1261,2))</f>
        <v/>
      </c>
      <c r="V1261" s="113">
        <f>IF($B1261="","",MONTH($B1261))</f>
        <v/>
      </c>
      <c r="W1261" s="113">
        <f>IF($B1261="","",YEAR($B1261))</f>
        <v/>
      </c>
    </row>
    <row r="1262">
      <c r="B1262" s="105" t="n"/>
      <c r="C1262" s="54" t="n"/>
      <c r="D1262" s="54" t="n"/>
      <c r="E1262" s="54" t="n"/>
      <c r="F1262" s="54" t="n"/>
      <c r="G1262" s="65" t="n"/>
      <c r="H1262" s="54" t="n"/>
      <c r="I1262" s="106">
        <f>IF($C1262="","",IFERROR(INDEX(Sens_Types,MATCH($C1262,Liste_Types,0)),""))</f>
        <v/>
      </c>
      <c r="J1262" s="107">
        <f>IF($I1262="▲ ENTRÉE",$U1262,"")</f>
        <v/>
      </c>
      <c r="K1262" s="108">
        <f>IF($I1262="▼ SORTIE",$U1262,"")</f>
        <v/>
      </c>
      <c r="L1262" s="109">
        <f>$L1261+N($J1262)-N($K1262)</f>
        <v/>
      </c>
      <c r="M1262" s="110" t="n"/>
      <c r="N1262" s="54" t="n"/>
      <c r="O1262" s="54" t="n"/>
      <c r="P1262" s="54" t="n"/>
      <c r="Q1262" s="110" t="n"/>
      <c r="R1262" s="110" t="n"/>
      <c r="S1262" s="54" t="n"/>
      <c r="T1262" s="111">
        <f>IF($G1262="","",IFERROR(INDEX(Taux_Devises,MATCH(IF($M1262="",Devise_Base,$M1262),Codes_Devises,0)),1))</f>
        <v/>
      </c>
      <c r="U1262" s="112">
        <f>IF($G1262="","",ROUND($G1262*$T1262,2))</f>
        <v/>
      </c>
      <c r="V1262" s="113">
        <f>IF($B1262="","",MONTH($B1262))</f>
        <v/>
      </c>
      <c r="W1262" s="113">
        <f>IF($B1262="","",YEAR($B1262))</f>
        <v/>
      </c>
    </row>
    <row r="1263">
      <c r="B1263" s="105" t="n"/>
      <c r="C1263" s="54" t="n"/>
      <c r="D1263" s="54" t="n"/>
      <c r="E1263" s="54" t="n"/>
      <c r="F1263" s="54" t="n"/>
      <c r="G1263" s="65" t="n"/>
      <c r="H1263" s="54" t="n"/>
      <c r="I1263" s="106">
        <f>IF($C1263="","",IFERROR(INDEX(Sens_Types,MATCH($C1263,Liste_Types,0)),""))</f>
        <v/>
      </c>
      <c r="J1263" s="107">
        <f>IF($I1263="▲ ENTRÉE",$U1263,"")</f>
        <v/>
      </c>
      <c r="K1263" s="108">
        <f>IF($I1263="▼ SORTIE",$U1263,"")</f>
        <v/>
      </c>
      <c r="L1263" s="109">
        <f>$L1262+N($J1263)-N($K1263)</f>
        <v/>
      </c>
      <c r="M1263" s="110" t="n"/>
      <c r="N1263" s="54" t="n"/>
      <c r="O1263" s="54" t="n"/>
      <c r="P1263" s="54" t="n"/>
      <c r="Q1263" s="110" t="n"/>
      <c r="R1263" s="110" t="n"/>
      <c r="S1263" s="54" t="n"/>
      <c r="T1263" s="111">
        <f>IF($G1263="","",IFERROR(INDEX(Taux_Devises,MATCH(IF($M1263="",Devise_Base,$M1263),Codes_Devises,0)),1))</f>
        <v/>
      </c>
      <c r="U1263" s="112">
        <f>IF($G1263="","",ROUND($G1263*$T1263,2))</f>
        <v/>
      </c>
      <c r="V1263" s="113">
        <f>IF($B1263="","",MONTH($B1263))</f>
        <v/>
      </c>
      <c r="W1263" s="113">
        <f>IF($B1263="","",YEAR($B1263))</f>
        <v/>
      </c>
    </row>
    <row r="1264">
      <c r="B1264" s="105" t="n"/>
      <c r="C1264" s="54" t="n"/>
      <c r="D1264" s="54" t="n"/>
      <c r="E1264" s="54" t="n"/>
      <c r="F1264" s="54" t="n"/>
      <c r="G1264" s="65" t="n"/>
      <c r="H1264" s="54" t="n"/>
      <c r="I1264" s="106">
        <f>IF($C1264="","",IFERROR(INDEX(Sens_Types,MATCH($C1264,Liste_Types,0)),""))</f>
        <v/>
      </c>
      <c r="J1264" s="107">
        <f>IF($I1264="▲ ENTRÉE",$U1264,"")</f>
        <v/>
      </c>
      <c r="K1264" s="108">
        <f>IF($I1264="▼ SORTIE",$U1264,"")</f>
        <v/>
      </c>
      <c r="L1264" s="109">
        <f>$L1263+N($J1264)-N($K1264)</f>
        <v/>
      </c>
      <c r="M1264" s="110" t="n"/>
      <c r="N1264" s="54" t="n"/>
      <c r="O1264" s="54" t="n"/>
      <c r="P1264" s="54" t="n"/>
      <c r="Q1264" s="110" t="n"/>
      <c r="R1264" s="110" t="n"/>
      <c r="S1264" s="54" t="n"/>
      <c r="T1264" s="111">
        <f>IF($G1264="","",IFERROR(INDEX(Taux_Devises,MATCH(IF($M1264="",Devise_Base,$M1264),Codes_Devises,0)),1))</f>
        <v/>
      </c>
      <c r="U1264" s="112">
        <f>IF($G1264="","",ROUND($G1264*$T1264,2))</f>
        <v/>
      </c>
      <c r="V1264" s="113">
        <f>IF($B1264="","",MONTH($B1264))</f>
        <v/>
      </c>
      <c r="W1264" s="113">
        <f>IF($B1264="","",YEAR($B1264))</f>
        <v/>
      </c>
    </row>
    <row r="1265">
      <c r="B1265" s="105" t="n"/>
      <c r="C1265" s="54" t="n"/>
      <c r="D1265" s="54" t="n"/>
      <c r="E1265" s="54" t="n"/>
      <c r="F1265" s="54" t="n"/>
      <c r="G1265" s="65" t="n"/>
      <c r="H1265" s="54" t="n"/>
      <c r="I1265" s="106">
        <f>IF($C1265="","",IFERROR(INDEX(Sens_Types,MATCH($C1265,Liste_Types,0)),""))</f>
        <v/>
      </c>
      <c r="J1265" s="107">
        <f>IF($I1265="▲ ENTRÉE",$U1265,"")</f>
        <v/>
      </c>
      <c r="K1265" s="108">
        <f>IF($I1265="▼ SORTIE",$U1265,"")</f>
        <v/>
      </c>
      <c r="L1265" s="109">
        <f>$L1264+N($J1265)-N($K1265)</f>
        <v/>
      </c>
      <c r="M1265" s="110" t="n"/>
      <c r="N1265" s="54" t="n"/>
      <c r="O1265" s="54" t="n"/>
      <c r="P1265" s="54" t="n"/>
      <c r="Q1265" s="110" t="n"/>
      <c r="R1265" s="110" t="n"/>
      <c r="S1265" s="54" t="n"/>
      <c r="T1265" s="111">
        <f>IF($G1265="","",IFERROR(INDEX(Taux_Devises,MATCH(IF($M1265="",Devise_Base,$M1265),Codes_Devises,0)),1))</f>
        <v/>
      </c>
      <c r="U1265" s="112">
        <f>IF($G1265="","",ROUND($G1265*$T1265,2))</f>
        <v/>
      </c>
      <c r="V1265" s="113">
        <f>IF($B1265="","",MONTH($B1265))</f>
        <v/>
      </c>
      <c r="W1265" s="113">
        <f>IF($B1265="","",YEAR($B1265))</f>
        <v/>
      </c>
    </row>
    <row r="1266">
      <c r="B1266" s="105" t="n"/>
      <c r="C1266" s="54" t="n"/>
      <c r="D1266" s="54" t="n"/>
      <c r="E1266" s="54" t="n"/>
      <c r="F1266" s="54" t="n"/>
      <c r="G1266" s="65" t="n"/>
      <c r="H1266" s="54" t="n"/>
      <c r="I1266" s="106">
        <f>IF($C1266="","",IFERROR(INDEX(Sens_Types,MATCH($C1266,Liste_Types,0)),""))</f>
        <v/>
      </c>
      <c r="J1266" s="107">
        <f>IF($I1266="▲ ENTRÉE",$U1266,"")</f>
        <v/>
      </c>
      <c r="K1266" s="108">
        <f>IF($I1266="▼ SORTIE",$U1266,"")</f>
        <v/>
      </c>
      <c r="L1266" s="109">
        <f>$L1265+N($J1266)-N($K1266)</f>
        <v/>
      </c>
      <c r="M1266" s="110" t="n"/>
      <c r="N1266" s="54" t="n"/>
      <c r="O1266" s="54" t="n"/>
      <c r="P1266" s="54" t="n"/>
      <c r="Q1266" s="110" t="n"/>
      <c r="R1266" s="110" t="n"/>
      <c r="S1266" s="54" t="n"/>
      <c r="T1266" s="111">
        <f>IF($G1266="","",IFERROR(INDEX(Taux_Devises,MATCH(IF($M1266="",Devise_Base,$M1266),Codes_Devises,0)),1))</f>
        <v/>
      </c>
      <c r="U1266" s="112">
        <f>IF($G1266="","",ROUND($G1266*$T1266,2))</f>
        <v/>
      </c>
      <c r="V1266" s="113">
        <f>IF($B1266="","",MONTH($B1266))</f>
        <v/>
      </c>
      <c r="W1266" s="113">
        <f>IF($B1266="","",YEAR($B1266))</f>
        <v/>
      </c>
    </row>
    <row r="1267">
      <c r="B1267" s="105" t="n"/>
      <c r="C1267" s="54" t="n"/>
      <c r="D1267" s="54" t="n"/>
      <c r="E1267" s="54" t="n"/>
      <c r="F1267" s="54" t="n"/>
      <c r="G1267" s="65" t="n"/>
      <c r="H1267" s="54" t="n"/>
      <c r="I1267" s="106">
        <f>IF($C1267="","",IFERROR(INDEX(Sens_Types,MATCH($C1267,Liste_Types,0)),""))</f>
        <v/>
      </c>
      <c r="J1267" s="107">
        <f>IF($I1267="▲ ENTRÉE",$U1267,"")</f>
        <v/>
      </c>
      <c r="K1267" s="108">
        <f>IF($I1267="▼ SORTIE",$U1267,"")</f>
        <v/>
      </c>
      <c r="L1267" s="109">
        <f>$L1266+N($J1267)-N($K1267)</f>
        <v/>
      </c>
      <c r="M1267" s="110" t="n"/>
      <c r="N1267" s="54" t="n"/>
      <c r="O1267" s="54" t="n"/>
      <c r="P1267" s="54" t="n"/>
      <c r="Q1267" s="110" t="n"/>
      <c r="R1267" s="110" t="n"/>
      <c r="S1267" s="54" t="n"/>
      <c r="T1267" s="111">
        <f>IF($G1267="","",IFERROR(INDEX(Taux_Devises,MATCH(IF($M1267="",Devise_Base,$M1267),Codes_Devises,0)),1))</f>
        <v/>
      </c>
      <c r="U1267" s="112">
        <f>IF($G1267="","",ROUND($G1267*$T1267,2))</f>
        <v/>
      </c>
      <c r="V1267" s="113">
        <f>IF($B1267="","",MONTH($B1267))</f>
        <v/>
      </c>
      <c r="W1267" s="113">
        <f>IF($B1267="","",YEAR($B1267))</f>
        <v/>
      </c>
    </row>
    <row r="1268">
      <c r="B1268" s="105" t="n"/>
      <c r="C1268" s="54" t="n"/>
      <c r="D1268" s="54" t="n"/>
      <c r="E1268" s="54" t="n"/>
      <c r="F1268" s="54" t="n"/>
      <c r="G1268" s="65" t="n"/>
      <c r="H1268" s="54" t="n"/>
      <c r="I1268" s="106">
        <f>IF($C1268="","",IFERROR(INDEX(Sens_Types,MATCH($C1268,Liste_Types,0)),""))</f>
        <v/>
      </c>
      <c r="J1268" s="107">
        <f>IF($I1268="▲ ENTRÉE",$U1268,"")</f>
        <v/>
      </c>
      <c r="K1268" s="108">
        <f>IF($I1268="▼ SORTIE",$U1268,"")</f>
        <v/>
      </c>
      <c r="L1268" s="109">
        <f>$L1267+N($J1268)-N($K1268)</f>
        <v/>
      </c>
      <c r="M1268" s="110" t="n"/>
      <c r="N1268" s="54" t="n"/>
      <c r="O1268" s="54" t="n"/>
      <c r="P1268" s="54" t="n"/>
      <c r="Q1268" s="110" t="n"/>
      <c r="R1268" s="110" t="n"/>
      <c r="S1268" s="54" t="n"/>
      <c r="T1268" s="111">
        <f>IF($G1268="","",IFERROR(INDEX(Taux_Devises,MATCH(IF($M1268="",Devise_Base,$M1268),Codes_Devises,0)),1))</f>
        <v/>
      </c>
      <c r="U1268" s="112">
        <f>IF($G1268="","",ROUND($G1268*$T1268,2))</f>
        <v/>
      </c>
      <c r="V1268" s="113">
        <f>IF($B1268="","",MONTH($B1268))</f>
        <v/>
      </c>
      <c r="W1268" s="113">
        <f>IF($B1268="","",YEAR($B1268))</f>
        <v/>
      </c>
    </row>
    <row r="1269">
      <c r="B1269" s="105" t="n"/>
      <c r="C1269" s="54" t="n"/>
      <c r="D1269" s="54" t="n"/>
      <c r="E1269" s="54" t="n"/>
      <c r="F1269" s="54" t="n"/>
      <c r="G1269" s="65" t="n"/>
      <c r="H1269" s="54" t="n"/>
      <c r="I1269" s="106">
        <f>IF($C1269="","",IFERROR(INDEX(Sens_Types,MATCH($C1269,Liste_Types,0)),""))</f>
        <v/>
      </c>
      <c r="J1269" s="107">
        <f>IF($I1269="▲ ENTRÉE",$U1269,"")</f>
        <v/>
      </c>
      <c r="K1269" s="108">
        <f>IF($I1269="▼ SORTIE",$U1269,"")</f>
        <v/>
      </c>
      <c r="L1269" s="109">
        <f>$L1268+N($J1269)-N($K1269)</f>
        <v/>
      </c>
      <c r="M1269" s="110" t="n"/>
      <c r="N1269" s="54" t="n"/>
      <c r="O1269" s="54" t="n"/>
      <c r="P1269" s="54" t="n"/>
      <c r="Q1269" s="110" t="n"/>
      <c r="R1269" s="110" t="n"/>
      <c r="S1269" s="54" t="n"/>
      <c r="T1269" s="111">
        <f>IF($G1269="","",IFERROR(INDEX(Taux_Devises,MATCH(IF($M1269="",Devise_Base,$M1269),Codes_Devises,0)),1))</f>
        <v/>
      </c>
      <c r="U1269" s="112">
        <f>IF($G1269="","",ROUND($G1269*$T1269,2))</f>
        <v/>
      </c>
      <c r="V1269" s="113">
        <f>IF($B1269="","",MONTH($B1269))</f>
        <v/>
      </c>
      <c r="W1269" s="113">
        <f>IF($B1269="","",YEAR($B1269))</f>
        <v/>
      </c>
    </row>
    <row r="1270">
      <c r="B1270" s="105" t="n"/>
      <c r="C1270" s="54" t="n"/>
      <c r="D1270" s="54" t="n"/>
      <c r="E1270" s="54" t="n"/>
      <c r="F1270" s="54" t="n"/>
      <c r="G1270" s="65" t="n"/>
      <c r="H1270" s="54" t="n"/>
      <c r="I1270" s="106">
        <f>IF($C1270="","",IFERROR(INDEX(Sens_Types,MATCH($C1270,Liste_Types,0)),""))</f>
        <v/>
      </c>
      <c r="J1270" s="107">
        <f>IF($I1270="▲ ENTRÉE",$U1270,"")</f>
        <v/>
      </c>
      <c r="K1270" s="108">
        <f>IF($I1270="▼ SORTIE",$U1270,"")</f>
        <v/>
      </c>
      <c r="L1270" s="109">
        <f>$L1269+N($J1270)-N($K1270)</f>
        <v/>
      </c>
      <c r="M1270" s="110" t="n"/>
      <c r="N1270" s="54" t="n"/>
      <c r="O1270" s="54" t="n"/>
      <c r="P1270" s="54" t="n"/>
      <c r="Q1270" s="110" t="n"/>
      <c r="R1270" s="110" t="n"/>
      <c r="S1270" s="54" t="n"/>
      <c r="T1270" s="111">
        <f>IF($G1270="","",IFERROR(INDEX(Taux_Devises,MATCH(IF($M1270="",Devise_Base,$M1270),Codes_Devises,0)),1))</f>
        <v/>
      </c>
      <c r="U1270" s="112">
        <f>IF($G1270="","",ROUND($G1270*$T1270,2))</f>
        <v/>
      </c>
      <c r="V1270" s="113">
        <f>IF($B1270="","",MONTH($B1270))</f>
        <v/>
      </c>
      <c r="W1270" s="113">
        <f>IF($B1270="","",YEAR($B1270))</f>
        <v/>
      </c>
    </row>
    <row r="1271">
      <c r="B1271" s="105" t="n"/>
      <c r="C1271" s="54" t="n"/>
      <c r="D1271" s="54" t="n"/>
      <c r="E1271" s="54" t="n"/>
      <c r="F1271" s="54" t="n"/>
      <c r="G1271" s="65" t="n"/>
      <c r="H1271" s="54" t="n"/>
      <c r="I1271" s="106">
        <f>IF($C1271="","",IFERROR(INDEX(Sens_Types,MATCH($C1271,Liste_Types,0)),""))</f>
        <v/>
      </c>
      <c r="J1271" s="107">
        <f>IF($I1271="▲ ENTRÉE",$U1271,"")</f>
        <v/>
      </c>
      <c r="K1271" s="108">
        <f>IF($I1271="▼ SORTIE",$U1271,"")</f>
        <v/>
      </c>
      <c r="L1271" s="109">
        <f>$L1270+N($J1271)-N($K1271)</f>
        <v/>
      </c>
      <c r="M1271" s="110" t="n"/>
      <c r="N1271" s="54" t="n"/>
      <c r="O1271" s="54" t="n"/>
      <c r="P1271" s="54" t="n"/>
      <c r="Q1271" s="110" t="n"/>
      <c r="R1271" s="110" t="n"/>
      <c r="S1271" s="54" t="n"/>
      <c r="T1271" s="111">
        <f>IF($G1271="","",IFERROR(INDEX(Taux_Devises,MATCH(IF($M1271="",Devise_Base,$M1271),Codes_Devises,0)),1))</f>
        <v/>
      </c>
      <c r="U1271" s="112">
        <f>IF($G1271="","",ROUND($G1271*$T1271,2))</f>
        <v/>
      </c>
      <c r="V1271" s="113">
        <f>IF($B1271="","",MONTH($B1271))</f>
        <v/>
      </c>
      <c r="W1271" s="113">
        <f>IF($B1271="","",YEAR($B1271))</f>
        <v/>
      </c>
    </row>
    <row r="1272">
      <c r="B1272" s="105" t="n"/>
      <c r="C1272" s="54" t="n"/>
      <c r="D1272" s="54" t="n"/>
      <c r="E1272" s="54" t="n"/>
      <c r="F1272" s="54" t="n"/>
      <c r="G1272" s="65" t="n"/>
      <c r="H1272" s="54" t="n"/>
      <c r="I1272" s="106">
        <f>IF($C1272="","",IFERROR(INDEX(Sens_Types,MATCH($C1272,Liste_Types,0)),""))</f>
        <v/>
      </c>
      <c r="J1272" s="107">
        <f>IF($I1272="▲ ENTRÉE",$U1272,"")</f>
        <v/>
      </c>
      <c r="K1272" s="108">
        <f>IF($I1272="▼ SORTIE",$U1272,"")</f>
        <v/>
      </c>
      <c r="L1272" s="109">
        <f>$L1271+N($J1272)-N($K1272)</f>
        <v/>
      </c>
      <c r="M1272" s="110" t="n"/>
      <c r="N1272" s="54" t="n"/>
      <c r="O1272" s="54" t="n"/>
      <c r="P1272" s="54" t="n"/>
      <c r="Q1272" s="110" t="n"/>
      <c r="R1272" s="110" t="n"/>
      <c r="S1272" s="54" t="n"/>
      <c r="T1272" s="111">
        <f>IF($G1272="","",IFERROR(INDEX(Taux_Devises,MATCH(IF($M1272="",Devise_Base,$M1272),Codes_Devises,0)),1))</f>
        <v/>
      </c>
      <c r="U1272" s="112">
        <f>IF($G1272="","",ROUND($G1272*$T1272,2))</f>
        <v/>
      </c>
      <c r="V1272" s="113">
        <f>IF($B1272="","",MONTH($B1272))</f>
        <v/>
      </c>
      <c r="W1272" s="113">
        <f>IF($B1272="","",YEAR($B1272))</f>
        <v/>
      </c>
    </row>
    <row r="1273">
      <c r="B1273" s="105" t="n"/>
      <c r="C1273" s="54" t="n"/>
      <c r="D1273" s="54" t="n"/>
      <c r="E1273" s="54" t="n"/>
      <c r="F1273" s="54" t="n"/>
      <c r="G1273" s="65" t="n"/>
      <c r="H1273" s="54" t="n"/>
      <c r="I1273" s="106">
        <f>IF($C1273="","",IFERROR(INDEX(Sens_Types,MATCH($C1273,Liste_Types,0)),""))</f>
        <v/>
      </c>
      <c r="J1273" s="107">
        <f>IF($I1273="▲ ENTRÉE",$U1273,"")</f>
        <v/>
      </c>
      <c r="K1273" s="108">
        <f>IF($I1273="▼ SORTIE",$U1273,"")</f>
        <v/>
      </c>
      <c r="L1273" s="109">
        <f>$L1272+N($J1273)-N($K1273)</f>
        <v/>
      </c>
      <c r="M1273" s="110" t="n"/>
      <c r="N1273" s="54" t="n"/>
      <c r="O1273" s="54" t="n"/>
      <c r="P1273" s="54" t="n"/>
      <c r="Q1273" s="110" t="n"/>
      <c r="R1273" s="110" t="n"/>
      <c r="S1273" s="54" t="n"/>
      <c r="T1273" s="111">
        <f>IF($G1273="","",IFERROR(INDEX(Taux_Devises,MATCH(IF($M1273="",Devise_Base,$M1273),Codes_Devises,0)),1))</f>
        <v/>
      </c>
      <c r="U1273" s="112">
        <f>IF($G1273="","",ROUND($G1273*$T1273,2))</f>
        <v/>
      </c>
      <c r="V1273" s="113">
        <f>IF($B1273="","",MONTH($B1273))</f>
        <v/>
      </c>
      <c r="W1273" s="113">
        <f>IF($B1273="","",YEAR($B1273))</f>
        <v/>
      </c>
    </row>
    <row r="1274">
      <c r="B1274" s="105" t="n"/>
      <c r="C1274" s="54" t="n"/>
      <c r="D1274" s="54" t="n"/>
      <c r="E1274" s="54" t="n"/>
      <c r="F1274" s="54" t="n"/>
      <c r="G1274" s="65" t="n"/>
      <c r="H1274" s="54" t="n"/>
      <c r="I1274" s="106">
        <f>IF($C1274="","",IFERROR(INDEX(Sens_Types,MATCH($C1274,Liste_Types,0)),""))</f>
        <v/>
      </c>
      <c r="J1274" s="107">
        <f>IF($I1274="▲ ENTRÉE",$U1274,"")</f>
        <v/>
      </c>
      <c r="K1274" s="108">
        <f>IF($I1274="▼ SORTIE",$U1274,"")</f>
        <v/>
      </c>
      <c r="L1274" s="109">
        <f>$L1273+N($J1274)-N($K1274)</f>
        <v/>
      </c>
      <c r="M1274" s="110" t="n"/>
      <c r="N1274" s="54" t="n"/>
      <c r="O1274" s="54" t="n"/>
      <c r="P1274" s="54" t="n"/>
      <c r="Q1274" s="110" t="n"/>
      <c r="R1274" s="110" t="n"/>
      <c r="S1274" s="54" t="n"/>
      <c r="T1274" s="111">
        <f>IF($G1274="","",IFERROR(INDEX(Taux_Devises,MATCH(IF($M1274="",Devise_Base,$M1274),Codes_Devises,0)),1))</f>
        <v/>
      </c>
      <c r="U1274" s="112">
        <f>IF($G1274="","",ROUND($G1274*$T1274,2))</f>
        <v/>
      </c>
      <c r="V1274" s="113">
        <f>IF($B1274="","",MONTH($B1274))</f>
        <v/>
      </c>
      <c r="W1274" s="113">
        <f>IF($B1274="","",YEAR($B1274))</f>
        <v/>
      </c>
    </row>
    <row r="1275">
      <c r="B1275" s="105" t="n"/>
      <c r="C1275" s="54" t="n"/>
      <c r="D1275" s="54" t="n"/>
      <c r="E1275" s="54" t="n"/>
      <c r="F1275" s="54" t="n"/>
      <c r="G1275" s="65" t="n"/>
      <c r="H1275" s="54" t="n"/>
      <c r="I1275" s="106">
        <f>IF($C1275="","",IFERROR(INDEX(Sens_Types,MATCH($C1275,Liste_Types,0)),""))</f>
        <v/>
      </c>
      <c r="J1275" s="107">
        <f>IF($I1275="▲ ENTRÉE",$U1275,"")</f>
        <v/>
      </c>
      <c r="K1275" s="108">
        <f>IF($I1275="▼ SORTIE",$U1275,"")</f>
        <v/>
      </c>
      <c r="L1275" s="109">
        <f>$L1274+N($J1275)-N($K1275)</f>
        <v/>
      </c>
      <c r="M1275" s="110" t="n"/>
      <c r="N1275" s="54" t="n"/>
      <c r="O1275" s="54" t="n"/>
      <c r="P1275" s="54" t="n"/>
      <c r="Q1275" s="110" t="n"/>
      <c r="R1275" s="110" t="n"/>
      <c r="S1275" s="54" t="n"/>
      <c r="T1275" s="111">
        <f>IF($G1275="","",IFERROR(INDEX(Taux_Devises,MATCH(IF($M1275="",Devise_Base,$M1275),Codes_Devises,0)),1))</f>
        <v/>
      </c>
      <c r="U1275" s="112">
        <f>IF($G1275="","",ROUND($G1275*$T1275,2))</f>
        <v/>
      </c>
      <c r="V1275" s="113">
        <f>IF($B1275="","",MONTH($B1275))</f>
        <v/>
      </c>
      <c r="W1275" s="113">
        <f>IF($B1275="","",YEAR($B1275))</f>
        <v/>
      </c>
    </row>
    <row r="1276">
      <c r="B1276" s="105" t="n"/>
      <c r="C1276" s="54" t="n"/>
      <c r="D1276" s="54" t="n"/>
      <c r="E1276" s="54" t="n"/>
      <c r="F1276" s="54" t="n"/>
      <c r="G1276" s="65" t="n"/>
      <c r="H1276" s="54" t="n"/>
      <c r="I1276" s="106">
        <f>IF($C1276="","",IFERROR(INDEX(Sens_Types,MATCH($C1276,Liste_Types,0)),""))</f>
        <v/>
      </c>
      <c r="J1276" s="107">
        <f>IF($I1276="▲ ENTRÉE",$U1276,"")</f>
        <v/>
      </c>
      <c r="K1276" s="108">
        <f>IF($I1276="▼ SORTIE",$U1276,"")</f>
        <v/>
      </c>
      <c r="L1276" s="109">
        <f>$L1275+N($J1276)-N($K1276)</f>
        <v/>
      </c>
      <c r="M1276" s="110" t="n"/>
      <c r="N1276" s="54" t="n"/>
      <c r="O1276" s="54" t="n"/>
      <c r="P1276" s="54" t="n"/>
      <c r="Q1276" s="110" t="n"/>
      <c r="R1276" s="110" t="n"/>
      <c r="S1276" s="54" t="n"/>
      <c r="T1276" s="111">
        <f>IF($G1276="","",IFERROR(INDEX(Taux_Devises,MATCH(IF($M1276="",Devise_Base,$M1276),Codes_Devises,0)),1))</f>
        <v/>
      </c>
      <c r="U1276" s="112">
        <f>IF($G1276="","",ROUND($G1276*$T1276,2))</f>
        <v/>
      </c>
      <c r="V1276" s="113">
        <f>IF($B1276="","",MONTH($B1276))</f>
        <v/>
      </c>
      <c r="W1276" s="113">
        <f>IF($B1276="","",YEAR($B1276))</f>
        <v/>
      </c>
    </row>
    <row r="1277">
      <c r="B1277" s="105" t="n"/>
      <c r="C1277" s="54" t="n"/>
      <c r="D1277" s="54" t="n"/>
      <c r="E1277" s="54" t="n"/>
      <c r="F1277" s="54" t="n"/>
      <c r="G1277" s="65" t="n"/>
      <c r="H1277" s="54" t="n"/>
      <c r="I1277" s="106">
        <f>IF($C1277="","",IFERROR(INDEX(Sens_Types,MATCH($C1277,Liste_Types,0)),""))</f>
        <v/>
      </c>
      <c r="J1277" s="107">
        <f>IF($I1277="▲ ENTRÉE",$U1277,"")</f>
        <v/>
      </c>
      <c r="K1277" s="108">
        <f>IF($I1277="▼ SORTIE",$U1277,"")</f>
        <v/>
      </c>
      <c r="L1277" s="109">
        <f>$L1276+N($J1277)-N($K1277)</f>
        <v/>
      </c>
      <c r="M1277" s="110" t="n"/>
      <c r="N1277" s="54" t="n"/>
      <c r="O1277" s="54" t="n"/>
      <c r="P1277" s="54" t="n"/>
      <c r="Q1277" s="110" t="n"/>
      <c r="R1277" s="110" t="n"/>
      <c r="S1277" s="54" t="n"/>
      <c r="T1277" s="111">
        <f>IF($G1277="","",IFERROR(INDEX(Taux_Devises,MATCH(IF($M1277="",Devise_Base,$M1277),Codes_Devises,0)),1))</f>
        <v/>
      </c>
      <c r="U1277" s="112">
        <f>IF($G1277="","",ROUND($G1277*$T1277,2))</f>
        <v/>
      </c>
      <c r="V1277" s="113">
        <f>IF($B1277="","",MONTH($B1277))</f>
        <v/>
      </c>
      <c r="W1277" s="113">
        <f>IF($B1277="","",YEAR($B1277))</f>
        <v/>
      </c>
    </row>
    <row r="1278">
      <c r="B1278" s="105" t="n"/>
      <c r="C1278" s="54" t="n"/>
      <c r="D1278" s="54" t="n"/>
      <c r="E1278" s="54" t="n"/>
      <c r="F1278" s="54" t="n"/>
      <c r="G1278" s="65" t="n"/>
      <c r="H1278" s="54" t="n"/>
      <c r="I1278" s="106">
        <f>IF($C1278="","",IFERROR(INDEX(Sens_Types,MATCH($C1278,Liste_Types,0)),""))</f>
        <v/>
      </c>
      <c r="J1278" s="107">
        <f>IF($I1278="▲ ENTRÉE",$U1278,"")</f>
        <v/>
      </c>
      <c r="K1278" s="108">
        <f>IF($I1278="▼ SORTIE",$U1278,"")</f>
        <v/>
      </c>
      <c r="L1278" s="109">
        <f>$L1277+N($J1278)-N($K1278)</f>
        <v/>
      </c>
      <c r="M1278" s="110" t="n"/>
      <c r="N1278" s="54" t="n"/>
      <c r="O1278" s="54" t="n"/>
      <c r="P1278" s="54" t="n"/>
      <c r="Q1278" s="110" t="n"/>
      <c r="R1278" s="110" t="n"/>
      <c r="S1278" s="54" t="n"/>
      <c r="T1278" s="111">
        <f>IF($G1278="","",IFERROR(INDEX(Taux_Devises,MATCH(IF($M1278="",Devise_Base,$M1278),Codes_Devises,0)),1))</f>
        <v/>
      </c>
      <c r="U1278" s="112">
        <f>IF($G1278="","",ROUND($G1278*$T1278,2))</f>
        <v/>
      </c>
      <c r="V1278" s="113">
        <f>IF($B1278="","",MONTH($B1278))</f>
        <v/>
      </c>
      <c r="W1278" s="113">
        <f>IF($B1278="","",YEAR($B1278))</f>
        <v/>
      </c>
    </row>
    <row r="1279">
      <c r="B1279" s="105" t="n"/>
      <c r="C1279" s="54" t="n"/>
      <c r="D1279" s="54" t="n"/>
      <c r="E1279" s="54" t="n"/>
      <c r="F1279" s="54" t="n"/>
      <c r="G1279" s="65" t="n"/>
      <c r="H1279" s="54" t="n"/>
      <c r="I1279" s="106">
        <f>IF($C1279="","",IFERROR(INDEX(Sens_Types,MATCH($C1279,Liste_Types,0)),""))</f>
        <v/>
      </c>
      <c r="J1279" s="107">
        <f>IF($I1279="▲ ENTRÉE",$U1279,"")</f>
        <v/>
      </c>
      <c r="K1279" s="108">
        <f>IF($I1279="▼ SORTIE",$U1279,"")</f>
        <v/>
      </c>
      <c r="L1279" s="109">
        <f>$L1278+N($J1279)-N($K1279)</f>
        <v/>
      </c>
      <c r="M1279" s="110" t="n"/>
      <c r="N1279" s="54" t="n"/>
      <c r="O1279" s="54" t="n"/>
      <c r="P1279" s="54" t="n"/>
      <c r="Q1279" s="110" t="n"/>
      <c r="R1279" s="110" t="n"/>
      <c r="S1279" s="54" t="n"/>
      <c r="T1279" s="111">
        <f>IF($G1279="","",IFERROR(INDEX(Taux_Devises,MATCH(IF($M1279="",Devise_Base,$M1279),Codes_Devises,0)),1))</f>
        <v/>
      </c>
      <c r="U1279" s="112">
        <f>IF($G1279="","",ROUND($G1279*$T1279,2))</f>
        <v/>
      </c>
      <c r="V1279" s="113">
        <f>IF($B1279="","",MONTH($B1279))</f>
        <v/>
      </c>
      <c r="W1279" s="113">
        <f>IF($B1279="","",YEAR($B1279))</f>
        <v/>
      </c>
    </row>
    <row r="1280">
      <c r="B1280" s="105" t="n"/>
      <c r="C1280" s="54" t="n"/>
      <c r="D1280" s="54" t="n"/>
      <c r="E1280" s="54" t="n"/>
      <c r="F1280" s="54" t="n"/>
      <c r="G1280" s="65" t="n"/>
      <c r="H1280" s="54" t="n"/>
      <c r="I1280" s="106">
        <f>IF($C1280="","",IFERROR(INDEX(Sens_Types,MATCH($C1280,Liste_Types,0)),""))</f>
        <v/>
      </c>
      <c r="J1280" s="107">
        <f>IF($I1280="▲ ENTRÉE",$U1280,"")</f>
        <v/>
      </c>
      <c r="K1280" s="108">
        <f>IF($I1280="▼ SORTIE",$U1280,"")</f>
        <v/>
      </c>
      <c r="L1280" s="109">
        <f>$L1279+N($J1280)-N($K1280)</f>
        <v/>
      </c>
      <c r="M1280" s="110" t="n"/>
      <c r="N1280" s="54" t="n"/>
      <c r="O1280" s="54" t="n"/>
      <c r="P1280" s="54" t="n"/>
      <c r="Q1280" s="110" t="n"/>
      <c r="R1280" s="110" t="n"/>
      <c r="S1280" s="54" t="n"/>
      <c r="T1280" s="111">
        <f>IF($G1280="","",IFERROR(INDEX(Taux_Devises,MATCH(IF($M1280="",Devise_Base,$M1280),Codes_Devises,0)),1))</f>
        <v/>
      </c>
      <c r="U1280" s="112">
        <f>IF($G1280="","",ROUND($G1280*$T1280,2))</f>
        <v/>
      </c>
      <c r="V1280" s="113">
        <f>IF($B1280="","",MONTH($B1280))</f>
        <v/>
      </c>
      <c r="W1280" s="113">
        <f>IF($B1280="","",YEAR($B1280))</f>
        <v/>
      </c>
    </row>
    <row r="1281">
      <c r="B1281" s="105" t="n"/>
      <c r="C1281" s="54" t="n"/>
      <c r="D1281" s="54" t="n"/>
      <c r="E1281" s="54" t="n"/>
      <c r="F1281" s="54" t="n"/>
      <c r="G1281" s="65" t="n"/>
      <c r="H1281" s="54" t="n"/>
      <c r="I1281" s="106">
        <f>IF($C1281="","",IFERROR(INDEX(Sens_Types,MATCH($C1281,Liste_Types,0)),""))</f>
        <v/>
      </c>
      <c r="J1281" s="107">
        <f>IF($I1281="▲ ENTRÉE",$U1281,"")</f>
        <v/>
      </c>
      <c r="K1281" s="108">
        <f>IF($I1281="▼ SORTIE",$U1281,"")</f>
        <v/>
      </c>
      <c r="L1281" s="109">
        <f>$L1280+N($J1281)-N($K1281)</f>
        <v/>
      </c>
      <c r="M1281" s="110" t="n"/>
      <c r="N1281" s="54" t="n"/>
      <c r="O1281" s="54" t="n"/>
      <c r="P1281" s="54" t="n"/>
      <c r="Q1281" s="110" t="n"/>
      <c r="R1281" s="110" t="n"/>
      <c r="S1281" s="54" t="n"/>
      <c r="T1281" s="111">
        <f>IF($G1281="","",IFERROR(INDEX(Taux_Devises,MATCH(IF($M1281="",Devise_Base,$M1281),Codes_Devises,0)),1))</f>
        <v/>
      </c>
      <c r="U1281" s="112">
        <f>IF($G1281="","",ROUND($G1281*$T1281,2))</f>
        <v/>
      </c>
      <c r="V1281" s="113">
        <f>IF($B1281="","",MONTH($B1281))</f>
        <v/>
      </c>
      <c r="W1281" s="113">
        <f>IF($B1281="","",YEAR($B1281))</f>
        <v/>
      </c>
    </row>
    <row r="1282">
      <c r="B1282" s="105" t="n"/>
      <c r="C1282" s="54" t="n"/>
      <c r="D1282" s="54" t="n"/>
      <c r="E1282" s="54" t="n"/>
      <c r="F1282" s="54" t="n"/>
      <c r="G1282" s="65" t="n"/>
      <c r="H1282" s="54" t="n"/>
      <c r="I1282" s="106">
        <f>IF($C1282="","",IFERROR(INDEX(Sens_Types,MATCH($C1282,Liste_Types,0)),""))</f>
        <v/>
      </c>
      <c r="J1282" s="107">
        <f>IF($I1282="▲ ENTRÉE",$U1282,"")</f>
        <v/>
      </c>
      <c r="K1282" s="108">
        <f>IF($I1282="▼ SORTIE",$U1282,"")</f>
        <v/>
      </c>
      <c r="L1282" s="109">
        <f>$L1281+N($J1282)-N($K1282)</f>
        <v/>
      </c>
      <c r="M1282" s="110" t="n"/>
      <c r="N1282" s="54" t="n"/>
      <c r="O1282" s="54" t="n"/>
      <c r="P1282" s="54" t="n"/>
      <c r="Q1282" s="110" t="n"/>
      <c r="R1282" s="110" t="n"/>
      <c r="S1282" s="54" t="n"/>
      <c r="T1282" s="111">
        <f>IF($G1282="","",IFERROR(INDEX(Taux_Devises,MATCH(IF($M1282="",Devise_Base,$M1282),Codes_Devises,0)),1))</f>
        <v/>
      </c>
      <c r="U1282" s="112">
        <f>IF($G1282="","",ROUND($G1282*$T1282,2))</f>
        <v/>
      </c>
      <c r="V1282" s="113">
        <f>IF($B1282="","",MONTH($B1282))</f>
        <v/>
      </c>
      <c r="W1282" s="113">
        <f>IF($B1282="","",YEAR($B1282))</f>
        <v/>
      </c>
    </row>
    <row r="1283">
      <c r="B1283" s="105" t="n"/>
      <c r="C1283" s="54" t="n"/>
      <c r="D1283" s="54" t="n"/>
      <c r="E1283" s="54" t="n"/>
      <c r="F1283" s="54" t="n"/>
      <c r="G1283" s="65" t="n"/>
      <c r="H1283" s="54" t="n"/>
      <c r="I1283" s="106">
        <f>IF($C1283="","",IFERROR(INDEX(Sens_Types,MATCH($C1283,Liste_Types,0)),""))</f>
        <v/>
      </c>
      <c r="J1283" s="107">
        <f>IF($I1283="▲ ENTRÉE",$U1283,"")</f>
        <v/>
      </c>
      <c r="K1283" s="108">
        <f>IF($I1283="▼ SORTIE",$U1283,"")</f>
        <v/>
      </c>
      <c r="L1283" s="109">
        <f>$L1282+N($J1283)-N($K1283)</f>
        <v/>
      </c>
      <c r="M1283" s="110" t="n"/>
      <c r="N1283" s="54" t="n"/>
      <c r="O1283" s="54" t="n"/>
      <c r="P1283" s="54" t="n"/>
      <c r="Q1283" s="110" t="n"/>
      <c r="R1283" s="110" t="n"/>
      <c r="S1283" s="54" t="n"/>
      <c r="T1283" s="111">
        <f>IF($G1283="","",IFERROR(INDEX(Taux_Devises,MATCH(IF($M1283="",Devise_Base,$M1283),Codes_Devises,0)),1))</f>
        <v/>
      </c>
      <c r="U1283" s="112">
        <f>IF($G1283="","",ROUND($G1283*$T1283,2))</f>
        <v/>
      </c>
      <c r="V1283" s="113">
        <f>IF($B1283="","",MONTH($B1283))</f>
        <v/>
      </c>
      <c r="W1283" s="113">
        <f>IF($B1283="","",YEAR($B1283))</f>
        <v/>
      </c>
    </row>
    <row r="1284">
      <c r="B1284" s="105" t="n"/>
      <c r="C1284" s="54" t="n"/>
      <c r="D1284" s="54" t="n"/>
      <c r="E1284" s="54" t="n"/>
      <c r="F1284" s="54" t="n"/>
      <c r="G1284" s="65" t="n"/>
      <c r="H1284" s="54" t="n"/>
      <c r="I1284" s="106">
        <f>IF($C1284="","",IFERROR(INDEX(Sens_Types,MATCH($C1284,Liste_Types,0)),""))</f>
        <v/>
      </c>
      <c r="J1284" s="107">
        <f>IF($I1284="▲ ENTRÉE",$U1284,"")</f>
        <v/>
      </c>
      <c r="K1284" s="108">
        <f>IF($I1284="▼ SORTIE",$U1284,"")</f>
        <v/>
      </c>
      <c r="L1284" s="109">
        <f>$L1283+N($J1284)-N($K1284)</f>
        <v/>
      </c>
      <c r="M1284" s="110" t="n"/>
      <c r="N1284" s="54" t="n"/>
      <c r="O1284" s="54" t="n"/>
      <c r="P1284" s="54" t="n"/>
      <c r="Q1284" s="110" t="n"/>
      <c r="R1284" s="110" t="n"/>
      <c r="S1284" s="54" t="n"/>
      <c r="T1284" s="111">
        <f>IF($G1284="","",IFERROR(INDEX(Taux_Devises,MATCH(IF($M1284="",Devise_Base,$M1284),Codes_Devises,0)),1))</f>
        <v/>
      </c>
      <c r="U1284" s="112">
        <f>IF($G1284="","",ROUND($G1284*$T1284,2))</f>
        <v/>
      </c>
      <c r="V1284" s="113">
        <f>IF($B1284="","",MONTH($B1284))</f>
        <v/>
      </c>
      <c r="W1284" s="113">
        <f>IF($B1284="","",YEAR($B1284))</f>
        <v/>
      </c>
    </row>
    <row r="1285">
      <c r="B1285" s="105" t="n"/>
      <c r="C1285" s="54" t="n"/>
      <c r="D1285" s="54" t="n"/>
      <c r="E1285" s="54" t="n"/>
      <c r="F1285" s="54" t="n"/>
      <c r="G1285" s="65" t="n"/>
      <c r="H1285" s="54" t="n"/>
      <c r="I1285" s="106">
        <f>IF($C1285="","",IFERROR(INDEX(Sens_Types,MATCH($C1285,Liste_Types,0)),""))</f>
        <v/>
      </c>
      <c r="J1285" s="107">
        <f>IF($I1285="▲ ENTRÉE",$U1285,"")</f>
        <v/>
      </c>
      <c r="K1285" s="108">
        <f>IF($I1285="▼ SORTIE",$U1285,"")</f>
        <v/>
      </c>
      <c r="L1285" s="109">
        <f>$L1284+N($J1285)-N($K1285)</f>
        <v/>
      </c>
      <c r="M1285" s="110" t="n"/>
      <c r="N1285" s="54" t="n"/>
      <c r="O1285" s="54" t="n"/>
      <c r="P1285" s="54" t="n"/>
      <c r="Q1285" s="110" t="n"/>
      <c r="R1285" s="110" t="n"/>
      <c r="S1285" s="54" t="n"/>
      <c r="T1285" s="111">
        <f>IF($G1285="","",IFERROR(INDEX(Taux_Devises,MATCH(IF($M1285="",Devise_Base,$M1285),Codes_Devises,0)),1))</f>
        <v/>
      </c>
      <c r="U1285" s="112">
        <f>IF($G1285="","",ROUND($G1285*$T1285,2))</f>
        <v/>
      </c>
      <c r="V1285" s="113">
        <f>IF($B1285="","",MONTH($B1285))</f>
        <v/>
      </c>
      <c r="W1285" s="113">
        <f>IF($B1285="","",YEAR($B1285))</f>
        <v/>
      </c>
    </row>
    <row r="1286">
      <c r="B1286" s="105" t="n"/>
      <c r="C1286" s="54" t="n"/>
      <c r="D1286" s="54" t="n"/>
      <c r="E1286" s="54" t="n"/>
      <c r="F1286" s="54" t="n"/>
      <c r="G1286" s="65" t="n"/>
      <c r="H1286" s="54" t="n"/>
      <c r="I1286" s="106">
        <f>IF($C1286="","",IFERROR(INDEX(Sens_Types,MATCH($C1286,Liste_Types,0)),""))</f>
        <v/>
      </c>
      <c r="J1286" s="107">
        <f>IF($I1286="▲ ENTRÉE",$U1286,"")</f>
        <v/>
      </c>
      <c r="K1286" s="108">
        <f>IF($I1286="▼ SORTIE",$U1286,"")</f>
        <v/>
      </c>
      <c r="L1286" s="109">
        <f>$L1285+N($J1286)-N($K1286)</f>
        <v/>
      </c>
      <c r="M1286" s="110" t="n"/>
      <c r="N1286" s="54" t="n"/>
      <c r="O1286" s="54" t="n"/>
      <c r="P1286" s="54" t="n"/>
      <c r="Q1286" s="110" t="n"/>
      <c r="R1286" s="110" t="n"/>
      <c r="S1286" s="54" t="n"/>
      <c r="T1286" s="111">
        <f>IF($G1286="","",IFERROR(INDEX(Taux_Devises,MATCH(IF($M1286="",Devise_Base,$M1286),Codes_Devises,0)),1))</f>
        <v/>
      </c>
      <c r="U1286" s="112">
        <f>IF($G1286="","",ROUND($G1286*$T1286,2))</f>
        <v/>
      </c>
      <c r="V1286" s="113">
        <f>IF($B1286="","",MONTH($B1286))</f>
        <v/>
      </c>
      <c r="W1286" s="113">
        <f>IF($B1286="","",YEAR($B1286))</f>
        <v/>
      </c>
    </row>
    <row r="1287">
      <c r="B1287" s="105" t="n"/>
      <c r="C1287" s="54" t="n"/>
      <c r="D1287" s="54" t="n"/>
      <c r="E1287" s="54" t="n"/>
      <c r="F1287" s="54" t="n"/>
      <c r="G1287" s="65" t="n"/>
      <c r="H1287" s="54" t="n"/>
      <c r="I1287" s="106">
        <f>IF($C1287="","",IFERROR(INDEX(Sens_Types,MATCH($C1287,Liste_Types,0)),""))</f>
        <v/>
      </c>
      <c r="J1287" s="107">
        <f>IF($I1287="▲ ENTRÉE",$U1287,"")</f>
        <v/>
      </c>
      <c r="K1287" s="108">
        <f>IF($I1287="▼ SORTIE",$U1287,"")</f>
        <v/>
      </c>
      <c r="L1287" s="109">
        <f>$L1286+N($J1287)-N($K1287)</f>
        <v/>
      </c>
      <c r="M1287" s="110" t="n"/>
      <c r="N1287" s="54" t="n"/>
      <c r="O1287" s="54" t="n"/>
      <c r="P1287" s="54" t="n"/>
      <c r="Q1287" s="110" t="n"/>
      <c r="R1287" s="110" t="n"/>
      <c r="S1287" s="54" t="n"/>
      <c r="T1287" s="111">
        <f>IF($G1287="","",IFERROR(INDEX(Taux_Devises,MATCH(IF($M1287="",Devise_Base,$M1287),Codes_Devises,0)),1))</f>
        <v/>
      </c>
      <c r="U1287" s="112">
        <f>IF($G1287="","",ROUND($G1287*$T1287,2))</f>
        <v/>
      </c>
      <c r="V1287" s="113">
        <f>IF($B1287="","",MONTH($B1287))</f>
        <v/>
      </c>
      <c r="W1287" s="113">
        <f>IF($B1287="","",YEAR($B1287))</f>
        <v/>
      </c>
    </row>
    <row r="1288">
      <c r="B1288" s="105" t="n"/>
      <c r="C1288" s="54" t="n"/>
      <c r="D1288" s="54" t="n"/>
      <c r="E1288" s="54" t="n"/>
      <c r="F1288" s="54" t="n"/>
      <c r="G1288" s="65" t="n"/>
      <c r="H1288" s="54" t="n"/>
      <c r="I1288" s="106">
        <f>IF($C1288="","",IFERROR(INDEX(Sens_Types,MATCH($C1288,Liste_Types,0)),""))</f>
        <v/>
      </c>
      <c r="J1288" s="107">
        <f>IF($I1288="▲ ENTRÉE",$U1288,"")</f>
        <v/>
      </c>
      <c r="K1288" s="108">
        <f>IF($I1288="▼ SORTIE",$U1288,"")</f>
        <v/>
      </c>
      <c r="L1288" s="109">
        <f>$L1287+N($J1288)-N($K1288)</f>
        <v/>
      </c>
      <c r="M1288" s="110" t="n"/>
      <c r="N1288" s="54" t="n"/>
      <c r="O1288" s="54" t="n"/>
      <c r="P1288" s="54" t="n"/>
      <c r="Q1288" s="110" t="n"/>
      <c r="R1288" s="110" t="n"/>
      <c r="S1288" s="54" t="n"/>
      <c r="T1288" s="111">
        <f>IF($G1288="","",IFERROR(INDEX(Taux_Devises,MATCH(IF($M1288="",Devise_Base,$M1288),Codes_Devises,0)),1))</f>
        <v/>
      </c>
      <c r="U1288" s="112">
        <f>IF($G1288="","",ROUND($G1288*$T1288,2))</f>
        <v/>
      </c>
      <c r="V1288" s="113">
        <f>IF($B1288="","",MONTH($B1288))</f>
        <v/>
      </c>
      <c r="W1288" s="113">
        <f>IF($B1288="","",YEAR($B1288))</f>
        <v/>
      </c>
    </row>
    <row r="1289">
      <c r="B1289" s="105" t="n"/>
      <c r="C1289" s="54" t="n"/>
      <c r="D1289" s="54" t="n"/>
      <c r="E1289" s="54" t="n"/>
      <c r="F1289" s="54" t="n"/>
      <c r="G1289" s="65" t="n"/>
      <c r="H1289" s="54" t="n"/>
      <c r="I1289" s="106">
        <f>IF($C1289="","",IFERROR(INDEX(Sens_Types,MATCH($C1289,Liste_Types,0)),""))</f>
        <v/>
      </c>
      <c r="J1289" s="107">
        <f>IF($I1289="▲ ENTRÉE",$U1289,"")</f>
        <v/>
      </c>
      <c r="K1289" s="108">
        <f>IF($I1289="▼ SORTIE",$U1289,"")</f>
        <v/>
      </c>
      <c r="L1289" s="109">
        <f>$L1288+N($J1289)-N($K1289)</f>
        <v/>
      </c>
      <c r="M1289" s="110" t="n"/>
      <c r="N1289" s="54" t="n"/>
      <c r="O1289" s="54" t="n"/>
      <c r="P1289" s="54" t="n"/>
      <c r="Q1289" s="110" t="n"/>
      <c r="R1289" s="110" t="n"/>
      <c r="S1289" s="54" t="n"/>
      <c r="T1289" s="111">
        <f>IF($G1289="","",IFERROR(INDEX(Taux_Devises,MATCH(IF($M1289="",Devise_Base,$M1289),Codes_Devises,0)),1))</f>
        <v/>
      </c>
      <c r="U1289" s="112">
        <f>IF($G1289="","",ROUND($G1289*$T1289,2))</f>
        <v/>
      </c>
      <c r="V1289" s="113">
        <f>IF($B1289="","",MONTH($B1289))</f>
        <v/>
      </c>
      <c r="W1289" s="113">
        <f>IF($B1289="","",YEAR($B1289))</f>
        <v/>
      </c>
    </row>
    <row r="1290">
      <c r="B1290" s="105" t="n"/>
      <c r="C1290" s="54" t="n"/>
      <c r="D1290" s="54" t="n"/>
      <c r="E1290" s="54" t="n"/>
      <c r="F1290" s="54" t="n"/>
      <c r="G1290" s="65" t="n"/>
      <c r="H1290" s="54" t="n"/>
      <c r="I1290" s="106">
        <f>IF($C1290="","",IFERROR(INDEX(Sens_Types,MATCH($C1290,Liste_Types,0)),""))</f>
        <v/>
      </c>
      <c r="J1290" s="107">
        <f>IF($I1290="▲ ENTRÉE",$U1290,"")</f>
        <v/>
      </c>
      <c r="K1290" s="108">
        <f>IF($I1290="▼ SORTIE",$U1290,"")</f>
        <v/>
      </c>
      <c r="L1290" s="109">
        <f>$L1289+N($J1290)-N($K1290)</f>
        <v/>
      </c>
      <c r="M1290" s="110" t="n"/>
      <c r="N1290" s="54" t="n"/>
      <c r="O1290" s="54" t="n"/>
      <c r="P1290" s="54" t="n"/>
      <c r="Q1290" s="110" t="n"/>
      <c r="R1290" s="110" t="n"/>
      <c r="S1290" s="54" t="n"/>
      <c r="T1290" s="111">
        <f>IF($G1290="","",IFERROR(INDEX(Taux_Devises,MATCH(IF($M1290="",Devise_Base,$M1290),Codes_Devises,0)),1))</f>
        <v/>
      </c>
      <c r="U1290" s="112">
        <f>IF($G1290="","",ROUND($G1290*$T1290,2))</f>
        <v/>
      </c>
      <c r="V1290" s="113">
        <f>IF($B1290="","",MONTH($B1290))</f>
        <v/>
      </c>
      <c r="W1290" s="113">
        <f>IF($B1290="","",YEAR($B1290))</f>
        <v/>
      </c>
    </row>
    <row r="1291">
      <c r="B1291" s="105" t="n"/>
      <c r="C1291" s="54" t="n"/>
      <c r="D1291" s="54" t="n"/>
      <c r="E1291" s="54" t="n"/>
      <c r="F1291" s="54" t="n"/>
      <c r="G1291" s="65" t="n"/>
      <c r="H1291" s="54" t="n"/>
      <c r="I1291" s="106">
        <f>IF($C1291="","",IFERROR(INDEX(Sens_Types,MATCH($C1291,Liste_Types,0)),""))</f>
        <v/>
      </c>
      <c r="J1291" s="107">
        <f>IF($I1291="▲ ENTRÉE",$U1291,"")</f>
        <v/>
      </c>
      <c r="K1291" s="108">
        <f>IF($I1291="▼ SORTIE",$U1291,"")</f>
        <v/>
      </c>
      <c r="L1291" s="109">
        <f>$L1290+N($J1291)-N($K1291)</f>
        <v/>
      </c>
      <c r="M1291" s="110" t="n"/>
      <c r="N1291" s="54" t="n"/>
      <c r="O1291" s="54" t="n"/>
      <c r="P1291" s="54" t="n"/>
      <c r="Q1291" s="110" t="n"/>
      <c r="R1291" s="110" t="n"/>
      <c r="S1291" s="54" t="n"/>
      <c r="T1291" s="111">
        <f>IF($G1291="","",IFERROR(INDEX(Taux_Devises,MATCH(IF($M1291="",Devise_Base,$M1291),Codes_Devises,0)),1))</f>
        <v/>
      </c>
      <c r="U1291" s="112">
        <f>IF($G1291="","",ROUND($G1291*$T1291,2))</f>
        <v/>
      </c>
      <c r="V1291" s="113">
        <f>IF($B1291="","",MONTH($B1291))</f>
        <v/>
      </c>
      <c r="W1291" s="113">
        <f>IF($B1291="","",YEAR($B1291))</f>
        <v/>
      </c>
    </row>
    <row r="1292">
      <c r="B1292" s="105" t="n"/>
      <c r="C1292" s="54" t="n"/>
      <c r="D1292" s="54" t="n"/>
      <c r="E1292" s="54" t="n"/>
      <c r="F1292" s="54" t="n"/>
      <c r="G1292" s="65" t="n"/>
      <c r="H1292" s="54" t="n"/>
      <c r="I1292" s="106">
        <f>IF($C1292="","",IFERROR(INDEX(Sens_Types,MATCH($C1292,Liste_Types,0)),""))</f>
        <v/>
      </c>
      <c r="J1292" s="107">
        <f>IF($I1292="▲ ENTRÉE",$U1292,"")</f>
        <v/>
      </c>
      <c r="K1292" s="108">
        <f>IF($I1292="▼ SORTIE",$U1292,"")</f>
        <v/>
      </c>
      <c r="L1292" s="109">
        <f>$L1291+N($J1292)-N($K1292)</f>
        <v/>
      </c>
      <c r="M1292" s="110" t="n"/>
      <c r="N1292" s="54" t="n"/>
      <c r="O1292" s="54" t="n"/>
      <c r="P1292" s="54" t="n"/>
      <c r="Q1292" s="110" t="n"/>
      <c r="R1292" s="110" t="n"/>
      <c r="S1292" s="54" t="n"/>
      <c r="T1292" s="111">
        <f>IF($G1292="","",IFERROR(INDEX(Taux_Devises,MATCH(IF($M1292="",Devise_Base,$M1292),Codes_Devises,0)),1))</f>
        <v/>
      </c>
      <c r="U1292" s="112">
        <f>IF($G1292="","",ROUND($G1292*$T1292,2))</f>
        <v/>
      </c>
      <c r="V1292" s="113">
        <f>IF($B1292="","",MONTH($B1292))</f>
        <v/>
      </c>
      <c r="W1292" s="113">
        <f>IF($B1292="","",YEAR($B1292))</f>
        <v/>
      </c>
    </row>
    <row r="1293">
      <c r="B1293" s="105" t="n"/>
      <c r="C1293" s="54" t="n"/>
      <c r="D1293" s="54" t="n"/>
      <c r="E1293" s="54" t="n"/>
      <c r="F1293" s="54" t="n"/>
      <c r="G1293" s="65" t="n"/>
      <c r="H1293" s="54" t="n"/>
      <c r="I1293" s="106">
        <f>IF($C1293="","",IFERROR(INDEX(Sens_Types,MATCH($C1293,Liste_Types,0)),""))</f>
        <v/>
      </c>
      <c r="J1293" s="107">
        <f>IF($I1293="▲ ENTRÉE",$U1293,"")</f>
        <v/>
      </c>
      <c r="K1293" s="108">
        <f>IF($I1293="▼ SORTIE",$U1293,"")</f>
        <v/>
      </c>
      <c r="L1293" s="109">
        <f>$L1292+N($J1293)-N($K1293)</f>
        <v/>
      </c>
      <c r="M1293" s="110" t="n"/>
      <c r="N1293" s="54" t="n"/>
      <c r="O1293" s="54" t="n"/>
      <c r="P1293" s="54" t="n"/>
      <c r="Q1293" s="110" t="n"/>
      <c r="R1293" s="110" t="n"/>
      <c r="S1293" s="54" t="n"/>
      <c r="T1293" s="111">
        <f>IF($G1293="","",IFERROR(INDEX(Taux_Devises,MATCH(IF($M1293="",Devise_Base,$M1293),Codes_Devises,0)),1))</f>
        <v/>
      </c>
      <c r="U1293" s="112">
        <f>IF($G1293="","",ROUND($G1293*$T1293,2))</f>
        <v/>
      </c>
      <c r="V1293" s="113">
        <f>IF($B1293="","",MONTH($B1293))</f>
        <v/>
      </c>
      <c r="W1293" s="113">
        <f>IF($B1293="","",YEAR($B1293))</f>
        <v/>
      </c>
    </row>
    <row r="1294">
      <c r="B1294" s="105" t="n"/>
      <c r="C1294" s="54" t="n"/>
      <c r="D1294" s="54" t="n"/>
      <c r="E1294" s="54" t="n"/>
      <c r="F1294" s="54" t="n"/>
      <c r="G1294" s="65" t="n"/>
      <c r="H1294" s="54" t="n"/>
      <c r="I1294" s="106">
        <f>IF($C1294="","",IFERROR(INDEX(Sens_Types,MATCH($C1294,Liste_Types,0)),""))</f>
        <v/>
      </c>
      <c r="J1294" s="107">
        <f>IF($I1294="▲ ENTRÉE",$U1294,"")</f>
        <v/>
      </c>
      <c r="K1294" s="108">
        <f>IF($I1294="▼ SORTIE",$U1294,"")</f>
        <v/>
      </c>
      <c r="L1294" s="109">
        <f>$L1293+N($J1294)-N($K1294)</f>
        <v/>
      </c>
      <c r="M1294" s="110" t="n"/>
      <c r="N1294" s="54" t="n"/>
      <c r="O1294" s="54" t="n"/>
      <c r="P1294" s="54" t="n"/>
      <c r="Q1294" s="110" t="n"/>
      <c r="R1294" s="110" t="n"/>
      <c r="S1294" s="54" t="n"/>
      <c r="T1294" s="111">
        <f>IF($G1294="","",IFERROR(INDEX(Taux_Devises,MATCH(IF($M1294="",Devise_Base,$M1294),Codes_Devises,0)),1))</f>
        <v/>
      </c>
      <c r="U1294" s="112">
        <f>IF($G1294="","",ROUND($G1294*$T1294,2))</f>
        <v/>
      </c>
      <c r="V1294" s="113">
        <f>IF($B1294="","",MONTH($B1294))</f>
        <v/>
      </c>
      <c r="W1294" s="113">
        <f>IF($B1294="","",YEAR($B1294))</f>
        <v/>
      </c>
    </row>
    <row r="1295">
      <c r="B1295" s="105" t="n"/>
      <c r="C1295" s="54" t="n"/>
      <c r="D1295" s="54" t="n"/>
      <c r="E1295" s="54" t="n"/>
      <c r="F1295" s="54" t="n"/>
      <c r="G1295" s="65" t="n"/>
      <c r="H1295" s="54" t="n"/>
      <c r="I1295" s="106">
        <f>IF($C1295="","",IFERROR(INDEX(Sens_Types,MATCH($C1295,Liste_Types,0)),""))</f>
        <v/>
      </c>
      <c r="J1295" s="107">
        <f>IF($I1295="▲ ENTRÉE",$U1295,"")</f>
        <v/>
      </c>
      <c r="K1295" s="108">
        <f>IF($I1295="▼ SORTIE",$U1295,"")</f>
        <v/>
      </c>
      <c r="L1295" s="109">
        <f>$L1294+N($J1295)-N($K1295)</f>
        <v/>
      </c>
      <c r="M1295" s="110" t="n"/>
      <c r="N1295" s="54" t="n"/>
      <c r="O1295" s="54" t="n"/>
      <c r="P1295" s="54" t="n"/>
      <c r="Q1295" s="110" t="n"/>
      <c r="R1295" s="110" t="n"/>
      <c r="S1295" s="54" t="n"/>
      <c r="T1295" s="111">
        <f>IF($G1295="","",IFERROR(INDEX(Taux_Devises,MATCH(IF($M1295="",Devise_Base,$M1295),Codes_Devises,0)),1))</f>
        <v/>
      </c>
      <c r="U1295" s="112">
        <f>IF($G1295="","",ROUND($G1295*$T1295,2))</f>
        <v/>
      </c>
      <c r="V1295" s="113">
        <f>IF($B1295="","",MONTH($B1295))</f>
        <v/>
      </c>
      <c r="W1295" s="113">
        <f>IF($B1295="","",YEAR($B1295))</f>
        <v/>
      </c>
    </row>
    <row r="1296">
      <c r="B1296" s="105" t="n"/>
      <c r="C1296" s="54" t="n"/>
      <c r="D1296" s="54" t="n"/>
      <c r="E1296" s="54" t="n"/>
      <c r="F1296" s="54" t="n"/>
      <c r="G1296" s="65" t="n"/>
      <c r="H1296" s="54" t="n"/>
      <c r="I1296" s="106">
        <f>IF($C1296="","",IFERROR(INDEX(Sens_Types,MATCH($C1296,Liste_Types,0)),""))</f>
        <v/>
      </c>
      <c r="J1296" s="107">
        <f>IF($I1296="▲ ENTRÉE",$U1296,"")</f>
        <v/>
      </c>
      <c r="K1296" s="108">
        <f>IF($I1296="▼ SORTIE",$U1296,"")</f>
        <v/>
      </c>
      <c r="L1296" s="109">
        <f>$L1295+N($J1296)-N($K1296)</f>
        <v/>
      </c>
      <c r="M1296" s="110" t="n"/>
      <c r="N1296" s="54" t="n"/>
      <c r="O1296" s="54" t="n"/>
      <c r="P1296" s="54" t="n"/>
      <c r="Q1296" s="110" t="n"/>
      <c r="R1296" s="110" t="n"/>
      <c r="S1296" s="54" t="n"/>
      <c r="T1296" s="111">
        <f>IF($G1296="","",IFERROR(INDEX(Taux_Devises,MATCH(IF($M1296="",Devise_Base,$M1296),Codes_Devises,0)),1))</f>
        <v/>
      </c>
      <c r="U1296" s="112">
        <f>IF($G1296="","",ROUND($G1296*$T1296,2))</f>
        <v/>
      </c>
      <c r="V1296" s="113">
        <f>IF($B1296="","",MONTH($B1296))</f>
        <v/>
      </c>
      <c r="W1296" s="113">
        <f>IF($B1296="","",YEAR($B1296))</f>
        <v/>
      </c>
    </row>
    <row r="1297">
      <c r="B1297" s="105" t="n"/>
      <c r="C1297" s="54" t="n"/>
      <c r="D1297" s="54" t="n"/>
      <c r="E1297" s="54" t="n"/>
      <c r="F1297" s="54" t="n"/>
      <c r="G1297" s="65" t="n"/>
      <c r="H1297" s="54" t="n"/>
      <c r="I1297" s="106">
        <f>IF($C1297="","",IFERROR(INDEX(Sens_Types,MATCH($C1297,Liste_Types,0)),""))</f>
        <v/>
      </c>
      <c r="J1297" s="107">
        <f>IF($I1297="▲ ENTRÉE",$U1297,"")</f>
        <v/>
      </c>
      <c r="K1297" s="108">
        <f>IF($I1297="▼ SORTIE",$U1297,"")</f>
        <v/>
      </c>
      <c r="L1297" s="109">
        <f>$L1296+N($J1297)-N($K1297)</f>
        <v/>
      </c>
      <c r="M1297" s="110" t="n"/>
      <c r="N1297" s="54" t="n"/>
      <c r="O1297" s="54" t="n"/>
      <c r="P1297" s="54" t="n"/>
      <c r="Q1297" s="110" t="n"/>
      <c r="R1297" s="110" t="n"/>
      <c r="S1297" s="54" t="n"/>
      <c r="T1297" s="111">
        <f>IF($G1297="","",IFERROR(INDEX(Taux_Devises,MATCH(IF($M1297="",Devise_Base,$M1297),Codes_Devises,0)),1))</f>
        <v/>
      </c>
      <c r="U1297" s="112">
        <f>IF($G1297="","",ROUND($G1297*$T1297,2))</f>
        <v/>
      </c>
      <c r="V1297" s="113">
        <f>IF($B1297="","",MONTH($B1297))</f>
        <v/>
      </c>
      <c r="W1297" s="113">
        <f>IF($B1297="","",YEAR($B1297))</f>
        <v/>
      </c>
    </row>
    <row r="1298">
      <c r="B1298" s="105" t="n"/>
      <c r="C1298" s="54" t="n"/>
      <c r="D1298" s="54" t="n"/>
      <c r="E1298" s="54" t="n"/>
      <c r="F1298" s="54" t="n"/>
      <c r="G1298" s="65" t="n"/>
      <c r="H1298" s="54" t="n"/>
      <c r="I1298" s="106">
        <f>IF($C1298="","",IFERROR(INDEX(Sens_Types,MATCH($C1298,Liste_Types,0)),""))</f>
        <v/>
      </c>
      <c r="J1298" s="107">
        <f>IF($I1298="▲ ENTRÉE",$U1298,"")</f>
        <v/>
      </c>
      <c r="K1298" s="108">
        <f>IF($I1298="▼ SORTIE",$U1298,"")</f>
        <v/>
      </c>
      <c r="L1298" s="109">
        <f>$L1297+N($J1298)-N($K1298)</f>
        <v/>
      </c>
      <c r="M1298" s="110" t="n"/>
      <c r="N1298" s="54" t="n"/>
      <c r="O1298" s="54" t="n"/>
      <c r="P1298" s="54" t="n"/>
      <c r="Q1298" s="110" t="n"/>
      <c r="R1298" s="110" t="n"/>
      <c r="S1298" s="54" t="n"/>
      <c r="T1298" s="111">
        <f>IF($G1298="","",IFERROR(INDEX(Taux_Devises,MATCH(IF($M1298="",Devise_Base,$M1298),Codes_Devises,0)),1))</f>
        <v/>
      </c>
      <c r="U1298" s="112">
        <f>IF($G1298="","",ROUND($G1298*$T1298,2))</f>
        <v/>
      </c>
      <c r="V1298" s="113">
        <f>IF($B1298="","",MONTH($B1298))</f>
        <v/>
      </c>
      <c r="W1298" s="113">
        <f>IF($B1298="","",YEAR($B1298))</f>
        <v/>
      </c>
    </row>
    <row r="1299">
      <c r="B1299" s="105" t="n"/>
      <c r="C1299" s="54" t="n"/>
      <c r="D1299" s="54" t="n"/>
      <c r="E1299" s="54" t="n"/>
      <c r="F1299" s="54" t="n"/>
      <c r="G1299" s="65" t="n"/>
      <c r="H1299" s="54" t="n"/>
      <c r="I1299" s="106">
        <f>IF($C1299="","",IFERROR(INDEX(Sens_Types,MATCH($C1299,Liste_Types,0)),""))</f>
        <v/>
      </c>
      <c r="J1299" s="107">
        <f>IF($I1299="▲ ENTRÉE",$U1299,"")</f>
        <v/>
      </c>
      <c r="K1299" s="108">
        <f>IF($I1299="▼ SORTIE",$U1299,"")</f>
        <v/>
      </c>
      <c r="L1299" s="109">
        <f>$L1298+N($J1299)-N($K1299)</f>
        <v/>
      </c>
      <c r="M1299" s="110" t="n"/>
      <c r="N1299" s="54" t="n"/>
      <c r="O1299" s="54" t="n"/>
      <c r="P1299" s="54" t="n"/>
      <c r="Q1299" s="110" t="n"/>
      <c r="R1299" s="110" t="n"/>
      <c r="S1299" s="54" t="n"/>
      <c r="T1299" s="111">
        <f>IF($G1299="","",IFERROR(INDEX(Taux_Devises,MATCH(IF($M1299="",Devise_Base,$M1299),Codes_Devises,0)),1))</f>
        <v/>
      </c>
      <c r="U1299" s="112">
        <f>IF($G1299="","",ROUND($G1299*$T1299,2))</f>
        <v/>
      </c>
      <c r="V1299" s="113">
        <f>IF($B1299="","",MONTH($B1299))</f>
        <v/>
      </c>
      <c r="W1299" s="113">
        <f>IF($B1299="","",YEAR($B1299))</f>
        <v/>
      </c>
    </row>
    <row r="1300">
      <c r="B1300" s="105" t="n"/>
      <c r="C1300" s="54" t="n"/>
      <c r="D1300" s="54" t="n"/>
      <c r="E1300" s="54" t="n"/>
      <c r="F1300" s="54" t="n"/>
      <c r="G1300" s="65" t="n"/>
      <c r="H1300" s="54" t="n"/>
      <c r="I1300" s="106">
        <f>IF($C1300="","",IFERROR(INDEX(Sens_Types,MATCH($C1300,Liste_Types,0)),""))</f>
        <v/>
      </c>
      <c r="J1300" s="107">
        <f>IF($I1300="▲ ENTRÉE",$U1300,"")</f>
        <v/>
      </c>
      <c r="K1300" s="108">
        <f>IF($I1300="▼ SORTIE",$U1300,"")</f>
        <v/>
      </c>
      <c r="L1300" s="109">
        <f>$L1299+N($J1300)-N($K1300)</f>
        <v/>
      </c>
      <c r="M1300" s="110" t="n"/>
      <c r="N1300" s="54" t="n"/>
      <c r="O1300" s="54" t="n"/>
      <c r="P1300" s="54" t="n"/>
      <c r="Q1300" s="110" t="n"/>
      <c r="R1300" s="110" t="n"/>
      <c r="S1300" s="54" t="n"/>
      <c r="T1300" s="111">
        <f>IF($G1300="","",IFERROR(INDEX(Taux_Devises,MATCH(IF($M1300="",Devise_Base,$M1300),Codes_Devises,0)),1))</f>
        <v/>
      </c>
      <c r="U1300" s="112">
        <f>IF($G1300="","",ROUND($G1300*$T1300,2))</f>
        <v/>
      </c>
      <c r="V1300" s="113">
        <f>IF($B1300="","",MONTH($B1300))</f>
        <v/>
      </c>
      <c r="W1300" s="113">
        <f>IF($B1300="","",YEAR($B1300))</f>
        <v/>
      </c>
    </row>
    <row r="1301">
      <c r="B1301" s="105" t="n"/>
      <c r="C1301" s="54" t="n"/>
      <c r="D1301" s="54" t="n"/>
      <c r="E1301" s="54" t="n"/>
      <c r="F1301" s="54" t="n"/>
      <c r="G1301" s="65" t="n"/>
      <c r="H1301" s="54" t="n"/>
      <c r="I1301" s="106">
        <f>IF($C1301="","",IFERROR(INDEX(Sens_Types,MATCH($C1301,Liste_Types,0)),""))</f>
        <v/>
      </c>
      <c r="J1301" s="107">
        <f>IF($I1301="▲ ENTRÉE",$U1301,"")</f>
        <v/>
      </c>
      <c r="K1301" s="108">
        <f>IF($I1301="▼ SORTIE",$U1301,"")</f>
        <v/>
      </c>
      <c r="L1301" s="109">
        <f>$L1300+N($J1301)-N($K1301)</f>
        <v/>
      </c>
      <c r="M1301" s="110" t="n"/>
      <c r="N1301" s="54" t="n"/>
      <c r="O1301" s="54" t="n"/>
      <c r="P1301" s="54" t="n"/>
      <c r="Q1301" s="110" t="n"/>
      <c r="R1301" s="110" t="n"/>
      <c r="S1301" s="54" t="n"/>
      <c r="T1301" s="111">
        <f>IF($G1301="","",IFERROR(INDEX(Taux_Devises,MATCH(IF($M1301="",Devise_Base,$M1301),Codes_Devises,0)),1))</f>
        <v/>
      </c>
      <c r="U1301" s="112">
        <f>IF($G1301="","",ROUND($G1301*$T1301,2))</f>
        <v/>
      </c>
      <c r="V1301" s="113">
        <f>IF($B1301="","",MONTH($B1301))</f>
        <v/>
      </c>
      <c r="W1301" s="113">
        <f>IF($B1301="","",YEAR($B1301))</f>
        <v/>
      </c>
    </row>
    <row r="1302">
      <c r="B1302" s="105" t="n"/>
      <c r="C1302" s="54" t="n"/>
      <c r="D1302" s="54" t="n"/>
      <c r="E1302" s="54" t="n"/>
      <c r="F1302" s="54" t="n"/>
      <c r="G1302" s="65" t="n"/>
      <c r="H1302" s="54" t="n"/>
      <c r="I1302" s="106">
        <f>IF($C1302="","",IFERROR(INDEX(Sens_Types,MATCH($C1302,Liste_Types,0)),""))</f>
        <v/>
      </c>
      <c r="J1302" s="107">
        <f>IF($I1302="▲ ENTRÉE",$U1302,"")</f>
        <v/>
      </c>
      <c r="K1302" s="108">
        <f>IF($I1302="▼ SORTIE",$U1302,"")</f>
        <v/>
      </c>
      <c r="L1302" s="109">
        <f>$L1301+N($J1302)-N($K1302)</f>
        <v/>
      </c>
      <c r="M1302" s="110" t="n"/>
      <c r="N1302" s="54" t="n"/>
      <c r="O1302" s="54" t="n"/>
      <c r="P1302" s="54" t="n"/>
      <c r="Q1302" s="110" t="n"/>
      <c r="R1302" s="110" t="n"/>
      <c r="S1302" s="54" t="n"/>
      <c r="T1302" s="111">
        <f>IF($G1302="","",IFERROR(INDEX(Taux_Devises,MATCH(IF($M1302="",Devise_Base,$M1302),Codes_Devises,0)),1))</f>
        <v/>
      </c>
      <c r="U1302" s="112">
        <f>IF($G1302="","",ROUND($G1302*$T1302,2))</f>
        <v/>
      </c>
      <c r="V1302" s="113">
        <f>IF($B1302="","",MONTH($B1302))</f>
        <v/>
      </c>
      <c r="W1302" s="113">
        <f>IF($B1302="","",YEAR($B1302))</f>
        <v/>
      </c>
    </row>
    <row r="1303">
      <c r="B1303" s="105" t="n"/>
      <c r="C1303" s="54" t="n"/>
      <c r="D1303" s="54" t="n"/>
      <c r="E1303" s="54" t="n"/>
      <c r="F1303" s="54" t="n"/>
      <c r="G1303" s="65" t="n"/>
      <c r="H1303" s="54" t="n"/>
      <c r="I1303" s="106">
        <f>IF($C1303="","",IFERROR(INDEX(Sens_Types,MATCH($C1303,Liste_Types,0)),""))</f>
        <v/>
      </c>
      <c r="J1303" s="107">
        <f>IF($I1303="▲ ENTRÉE",$U1303,"")</f>
        <v/>
      </c>
      <c r="K1303" s="108">
        <f>IF($I1303="▼ SORTIE",$U1303,"")</f>
        <v/>
      </c>
      <c r="L1303" s="109">
        <f>$L1302+N($J1303)-N($K1303)</f>
        <v/>
      </c>
      <c r="M1303" s="110" t="n"/>
      <c r="N1303" s="54" t="n"/>
      <c r="O1303" s="54" t="n"/>
      <c r="P1303" s="54" t="n"/>
      <c r="Q1303" s="110" t="n"/>
      <c r="R1303" s="110" t="n"/>
      <c r="S1303" s="54" t="n"/>
      <c r="T1303" s="111">
        <f>IF($G1303="","",IFERROR(INDEX(Taux_Devises,MATCH(IF($M1303="",Devise_Base,$M1303),Codes_Devises,0)),1))</f>
        <v/>
      </c>
      <c r="U1303" s="112">
        <f>IF($G1303="","",ROUND($G1303*$T1303,2))</f>
        <v/>
      </c>
      <c r="V1303" s="113">
        <f>IF($B1303="","",MONTH($B1303))</f>
        <v/>
      </c>
      <c r="W1303" s="113">
        <f>IF($B1303="","",YEAR($B1303))</f>
        <v/>
      </c>
    </row>
    <row r="1304">
      <c r="B1304" s="105" t="n"/>
      <c r="C1304" s="54" t="n"/>
      <c r="D1304" s="54" t="n"/>
      <c r="E1304" s="54" t="n"/>
      <c r="F1304" s="54" t="n"/>
      <c r="G1304" s="65" t="n"/>
      <c r="H1304" s="54" t="n"/>
      <c r="I1304" s="106">
        <f>IF($C1304="","",IFERROR(INDEX(Sens_Types,MATCH($C1304,Liste_Types,0)),""))</f>
        <v/>
      </c>
      <c r="J1304" s="107">
        <f>IF($I1304="▲ ENTRÉE",$U1304,"")</f>
        <v/>
      </c>
      <c r="K1304" s="108">
        <f>IF($I1304="▼ SORTIE",$U1304,"")</f>
        <v/>
      </c>
      <c r="L1304" s="109">
        <f>$L1303+N($J1304)-N($K1304)</f>
        <v/>
      </c>
      <c r="M1304" s="110" t="n"/>
      <c r="N1304" s="54" t="n"/>
      <c r="O1304" s="54" t="n"/>
      <c r="P1304" s="54" t="n"/>
      <c r="Q1304" s="110" t="n"/>
      <c r="R1304" s="110" t="n"/>
      <c r="S1304" s="54" t="n"/>
      <c r="T1304" s="111">
        <f>IF($G1304="","",IFERROR(INDEX(Taux_Devises,MATCH(IF($M1304="",Devise_Base,$M1304),Codes_Devises,0)),1))</f>
        <v/>
      </c>
      <c r="U1304" s="112">
        <f>IF($G1304="","",ROUND($G1304*$T1304,2))</f>
        <v/>
      </c>
      <c r="V1304" s="113">
        <f>IF($B1304="","",MONTH($B1304))</f>
        <v/>
      </c>
      <c r="W1304" s="113">
        <f>IF($B1304="","",YEAR($B1304))</f>
        <v/>
      </c>
    </row>
    <row r="1305">
      <c r="B1305" s="105" t="n"/>
      <c r="C1305" s="54" t="n"/>
      <c r="D1305" s="54" t="n"/>
      <c r="E1305" s="54" t="n"/>
      <c r="F1305" s="54" t="n"/>
      <c r="G1305" s="65" t="n"/>
      <c r="H1305" s="54" t="n"/>
      <c r="I1305" s="106">
        <f>IF($C1305="","",IFERROR(INDEX(Sens_Types,MATCH($C1305,Liste_Types,0)),""))</f>
        <v/>
      </c>
      <c r="J1305" s="107">
        <f>IF($I1305="▲ ENTRÉE",$U1305,"")</f>
        <v/>
      </c>
      <c r="K1305" s="108">
        <f>IF($I1305="▼ SORTIE",$U1305,"")</f>
        <v/>
      </c>
      <c r="L1305" s="109">
        <f>$L1304+N($J1305)-N($K1305)</f>
        <v/>
      </c>
      <c r="M1305" s="110" t="n"/>
      <c r="N1305" s="54" t="n"/>
      <c r="O1305" s="54" t="n"/>
      <c r="P1305" s="54" t="n"/>
      <c r="Q1305" s="110" t="n"/>
      <c r="R1305" s="110" t="n"/>
      <c r="S1305" s="54" t="n"/>
      <c r="T1305" s="111">
        <f>IF($G1305="","",IFERROR(INDEX(Taux_Devises,MATCH(IF($M1305="",Devise_Base,$M1305),Codes_Devises,0)),1))</f>
        <v/>
      </c>
      <c r="U1305" s="112">
        <f>IF($G1305="","",ROUND($G1305*$T1305,2))</f>
        <v/>
      </c>
      <c r="V1305" s="113">
        <f>IF($B1305="","",MONTH($B1305))</f>
        <v/>
      </c>
      <c r="W1305" s="113">
        <f>IF($B1305="","",YEAR($B1305))</f>
        <v/>
      </c>
    </row>
    <row r="1306">
      <c r="B1306" s="105" t="n"/>
      <c r="C1306" s="54" t="n"/>
      <c r="D1306" s="54" t="n"/>
      <c r="E1306" s="54" t="n"/>
      <c r="F1306" s="54" t="n"/>
      <c r="G1306" s="65" t="n"/>
      <c r="H1306" s="54" t="n"/>
      <c r="I1306" s="106">
        <f>IF($C1306="","",IFERROR(INDEX(Sens_Types,MATCH($C1306,Liste_Types,0)),""))</f>
        <v/>
      </c>
      <c r="J1306" s="107">
        <f>IF($I1306="▲ ENTRÉE",$U1306,"")</f>
        <v/>
      </c>
      <c r="K1306" s="108">
        <f>IF($I1306="▼ SORTIE",$U1306,"")</f>
        <v/>
      </c>
      <c r="L1306" s="109">
        <f>$L1305+N($J1306)-N($K1306)</f>
        <v/>
      </c>
      <c r="M1306" s="110" t="n"/>
      <c r="N1306" s="54" t="n"/>
      <c r="O1306" s="54" t="n"/>
      <c r="P1306" s="54" t="n"/>
      <c r="Q1306" s="110" t="n"/>
      <c r="R1306" s="110" t="n"/>
      <c r="S1306" s="54" t="n"/>
      <c r="T1306" s="111">
        <f>IF($G1306="","",IFERROR(INDEX(Taux_Devises,MATCH(IF($M1306="",Devise_Base,$M1306),Codes_Devises,0)),1))</f>
        <v/>
      </c>
      <c r="U1306" s="112">
        <f>IF($G1306="","",ROUND($G1306*$T1306,2))</f>
        <v/>
      </c>
      <c r="V1306" s="113">
        <f>IF($B1306="","",MONTH($B1306))</f>
        <v/>
      </c>
      <c r="W1306" s="113">
        <f>IF($B1306="","",YEAR($B1306))</f>
        <v/>
      </c>
    </row>
    <row r="1307">
      <c r="B1307" s="105" t="n"/>
      <c r="C1307" s="54" t="n"/>
      <c r="D1307" s="54" t="n"/>
      <c r="E1307" s="54" t="n"/>
      <c r="F1307" s="54" t="n"/>
      <c r="G1307" s="65" t="n"/>
      <c r="H1307" s="54" t="n"/>
      <c r="I1307" s="106">
        <f>IF($C1307="","",IFERROR(INDEX(Sens_Types,MATCH($C1307,Liste_Types,0)),""))</f>
        <v/>
      </c>
      <c r="J1307" s="107">
        <f>IF($I1307="▲ ENTRÉE",$U1307,"")</f>
        <v/>
      </c>
      <c r="K1307" s="108">
        <f>IF($I1307="▼ SORTIE",$U1307,"")</f>
        <v/>
      </c>
      <c r="L1307" s="109">
        <f>$L1306+N($J1307)-N($K1307)</f>
        <v/>
      </c>
      <c r="M1307" s="110" t="n"/>
      <c r="N1307" s="54" t="n"/>
      <c r="O1307" s="54" t="n"/>
      <c r="P1307" s="54" t="n"/>
      <c r="Q1307" s="110" t="n"/>
      <c r="R1307" s="110" t="n"/>
      <c r="S1307" s="54" t="n"/>
      <c r="T1307" s="111">
        <f>IF($G1307="","",IFERROR(INDEX(Taux_Devises,MATCH(IF($M1307="",Devise_Base,$M1307),Codes_Devises,0)),1))</f>
        <v/>
      </c>
      <c r="U1307" s="112">
        <f>IF($G1307="","",ROUND($G1307*$T1307,2))</f>
        <v/>
      </c>
      <c r="V1307" s="113">
        <f>IF($B1307="","",MONTH($B1307))</f>
        <v/>
      </c>
      <c r="W1307" s="113">
        <f>IF($B1307="","",YEAR($B1307))</f>
        <v/>
      </c>
    </row>
    <row r="1308">
      <c r="B1308" s="105" t="n"/>
      <c r="C1308" s="54" t="n"/>
      <c r="D1308" s="54" t="n"/>
      <c r="E1308" s="54" t="n"/>
      <c r="F1308" s="54" t="n"/>
      <c r="G1308" s="65" t="n"/>
      <c r="H1308" s="54" t="n"/>
      <c r="I1308" s="106">
        <f>IF($C1308="","",IFERROR(INDEX(Sens_Types,MATCH($C1308,Liste_Types,0)),""))</f>
        <v/>
      </c>
      <c r="J1308" s="107">
        <f>IF($I1308="▲ ENTRÉE",$U1308,"")</f>
        <v/>
      </c>
      <c r="K1308" s="108">
        <f>IF($I1308="▼ SORTIE",$U1308,"")</f>
        <v/>
      </c>
      <c r="L1308" s="109">
        <f>$L1307+N($J1308)-N($K1308)</f>
        <v/>
      </c>
      <c r="M1308" s="110" t="n"/>
      <c r="N1308" s="54" t="n"/>
      <c r="O1308" s="54" t="n"/>
      <c r="P1308" s="54" t="n"/>
      <c r="Q1308" s="110" t="n"/>
      <c r="R1308" s="110" t="n"/>
      <c r="S1308" s="54" t="n"/>
      <c r="T1308" s="111">
        <f>IF($G1308="","",IFERROR(INDEX(Taux_Devises,MATCH(IF($M1308="",Devise_Base,$M1308),Codes_Devises,0)),1))</f>
        <v/>
      </c>
      <c r="U1308" s="112">
        <f>IF($G1308="","",ROUND($G1308*$T1308,2))</f>
        <v/>
      </c>
      <c r="V1308" s="113">
        <f>IF($B1308="","",MONTH($B1308))</f>
        <v/>
      </c>
      <c r="W1308" s="113">
        <f>IF($B1308="","",YEAR($B1308))</f>
        <v/>
      </c>
    </row>
    <row r="1309">
      <c r="B1309" s="105" t="n"/>
      <c r="C1309" s="54" t="n"/>
      <c r="D1309" s="54" t="n"/>
      <c r="E1309" s="54" t="n"/>
      <c r="F1309" s="54" t="n"/>
      <c r="G1309" s="65" t="n"/>
      <c r="H1309" s="54" t="n"/>
      <c r="I1309" s="106">
        <f>IF($C1309="","",IFERROR(INDEX(Sens_Types,MATCH($C1309,Liste_Types,0)),""))</f>
        <v/>
      </c>
      <c r="J1309" s="107">
        <f>IF($I1309="▲ ENTRÉE",$U1309,"")</f>
        <v/>
      </c>
      <c r="K1309" s="108">
        <f>IF($I1309="▼ SORTIE",$U1309,"")</f>
        <v/>
      </c>
      <c r="L1309" s="109">
        <f>$L1308+N($J1309)-N($K1309)</f>
        <v/>
      </c>
      <c r="M1309" s="110" t="n"/>
      <c r="N1309" s="54" t="n"/>
      <c r="O1309" s="54" t="n"/>
      <c r="P1309" s="54" t="n"/>
      <c r="Q1309" s="110" t="n"/>
      <c r="R1309" s="110" t="n"/>
      <c r="S1309" s="54" t="n"/>
      <c r="T1309" s="111">
        <f>IF($G1309="","",IFERROR(INDEX(Taux_Devises,MATCH(IF($M1309="",Devise_Base,$M1309),Codes_Devises,0)),1))</f>
        <v/>
      </c>
      <c r="U1309" s="112">
        <f>IF($G1309="","",ROUND($G1309*$T1309,2))</f>
        <v/>
      </c>
      <c r="V1309" s="113">
        <f>IF($B1309="","",MONTH($B1309))</f>
        <v/>
      </c>
      <c r="W1309" s="113">
        <f>IF($B1309="","",YEAR($B1309))</f>
        <v/>
      </c>
    </row>
    <row r="1310">
      <c r="B1310" s="105" t="n"/>
      <c r="C1310" s="54" t="n"/>
      <c r="D1310" s="54" t="n"/>
      <c r="E1310" s="54" t="n"/>
      <c r="F1310" s="54" t="n"/>
      <c r="G1310" s="65" t="n"/>
      <c r="H1310" s="54" t="n"/>
      <c r="I1310" s="106">
        <f>IF($C1310="","",IFERROR(INDEX(Sens_Types,MATCH($C1310,Liste_Types,0)),""))</f>
        <v/>
      </c>
      <c r="J1310" s="107">
        <f>IF($I1310="▲ ENTRÉE",$U1310,"")</f>
        <v/>
      </c>
      <c r="K1310" s="108">
        <f>IF($I1310="▼ SORTIE",$U1310,"")</f>
        <v/>
      </c>
      <c r="L1310" s="109">
        <f>$L1309+N($J1310)-N($K1310)</f>
        <v/>
      </c>
      <c r="M1310" s="110" t="n"/>
      <c r="N1310" s="54" t="n"/>
      <c r="O1310" s="54" t="n"/>
      <c r="P1310" s="54" t="n"/>
      <c r="Q1310" s="110" t="n"/>
      <c r="R1310" s="110" t="n"/>
      <c r="S1310" s="54" t="n"/>
      <c r="T1310" s="111">
        <f>IF($G1310="","",IFERROR(INDEX(Taux_Devises,MATCH(IF($M1310="",Devise_Base,$M1310),Codes_Devises,0)),1))</f>
        <v/>
      </c>
      <c r="U1310" s="112">
        <f>IF($G1310="","",ROUND($G1310*$T1310,2))</f>
        <v/>
      </c>
      <c r="V1310" s="113">
        <f>IF($B1310="","",MONTH($B1310))</f>
        <v/>
      </c>
      <c r="W1310" s="113">
        <f>IF($B1310="","",YEAR($B1310))</f>
        <v/>
      </c>
    </row>
    <row r="1311">
      <c r="B1311" s="105" t="n"/>
      <c r="C1311" s="54" t="n"/>
      <c r="D1311" s="54" t="n"/>
      <c r="E1311" s="54" t="n"/>
      <c r="F1311" s="54" t="n"/>
      <c r="G1311" s="65" t="n"/>
      <c r="H1311" s="54" t="n"/>
      <c r="I1311" s="106">
        <f>IF($C1311="","",IFERROR(INDEX(Sens_Types,MATCH($C1311,Liste_Types,0)),""))</f>
        <v/>
      </c>
      <c r="J1311" s="107">
        <f>IF($I1311="▲ ENTRÉE",$U1311,"")</f>
        <v/>
      </c>
      <c r="K1311" s="108">
        <f>IF($I1311="▼ SORTIE",$U1311,"")</f>
        <v/>
      </c>
      <c r="L1311" s="109">
        <f>$L1310+N($J1311)-N($K1311)</f>
        <v/>
      </c>
      <c r="M1311" s="110" t="n"/>
      <c r="N1311" s="54" t="n"/>
      <c r="O1311" s="54" t="n"/>
      <c r="P1311" s="54" t="n"/>
      <c r="Q1311" s="110" t="n"/>
      <c r="R1311" s="110" t="n"/>
      <c r="S1311" s="54" t="n"/>
      <c r="T1311" s="111">
        <f>IF($G1311="","",IFERROR(INDEX(Taux_Devises,MATCH(IF($M1311="",Devise_Base,$M1311),Codes_Devises,0)),1))</f>
        <v/>
      </c>
      <c r="U1311" s="112">
        <f>IF($G1311="","",ROUND($G1311*$T1311,2))</f>
        <v/>
      </c>
      <c r="V1311" s="113">
        <f>IF($B1311="","",MONTH($B1311))</f>
        <v/>
      </c>
      <c r="W1311" s="113">
        <f>IF($B1311="","",YEAR($B1311))</f>
        <v/>
      </c>
    </row>
    <row r="1312">
      <c r="B1312" s="105" t="n"/>
      <c r="C1312" s="54" t="n"/>
      <c r="D1312" s="54" t="n"/>
      <c r="E1312" s="54" t="n"/>
      <c r="F1312" s="54" t="n"/>
      <c r="G1312" s="65" t="n"/>
      <c r="H1312" s="54" t="n"/>
      <c r="I1312" s="106">
        <f>IF($C1312="","",IFERROR(INDEX(Sens_Types,MATCH($C1312,Liste_Types,0)),""))</f>
        <v/>
      </c>
      <c r="J1312" s="107">
        <f>IF($I1312="▲ ENTRÉE",$U1312,"")</f>
        <v/>
      </c>
      <c r="K1312" s="108">
        <f>IF($I1312="▼ SORTIE",$U1312,"")</f>
        <v/>
      </c>
      <c r="L1312" s="109">
        <f>$L1311+N($J1312)-N($K1312)</f>
        <v/>
      </c>
      <c r="M1312" s="110" t="n"/>
      <c r="N1312" s="54" t="n"/>
      <c r="O1312" s="54" t="n"/>
      <c r="P1312" s="54" t="n"/>
      <c r="Q1312" s="110" t="n"/>
      <c r="R1312" s="110" t="n"/>
      <c r="S1312" s="54" t="n"/>
      <c r="T1312" s="111">
        <f>IF($G1312="","",IFERROR(INDEX(Taux_Devises,MATCH(IF($M1312="",Devise_Base,$M1312),Codes_Devises,0)),1))</f>
        <v/>
      </c>
      <c r="U1312" s="112">
        <f>IF($G1312="","",ROUND($G1312*$T1312,2))</f>
        <v/>
      </c>
      <c r="V1312" s="113">
        <f>IF($B1312="","",MONTH($B1312))</f>
        <v/>
      </c>
      <c r="W1312" s="113">
        <f>IF($B1312="","",YEAR($B1312))</f>
        <v/>
      </c>
    </row>
    <row r="1313">
      <c r="B1313" s="105" t="n"/>
      <c r="C1313" s="54" t="n"/>
      <c r="D1313" s="54" t="n"/>
      <c r="E1313" s="54" t="n"/>
      <c r="F1313" s="54" t="n"/>
      <c r="G1313" s="65" t="n"/>
      <c r="H1313" s="54" t="n"/>
      <c r="I1313" s="106">
        <f>IF($C1313="","",IFERROR(INDEX(Sens_Types,MATCH($C1313,Liste_Types,0)),""))</f>
        <v/>
      </c>
      <c r="J1313" s="107">
        <f>IF($I1313="▲ ENTRÉE",$U1313,"")</f>
        <v/>
      </c>
      <c r="K1313" s="108">
        <f>IF($I1313="▼ SORTIE",$U1313,"")</f>
        <v/>
      </c>
      <c r="L1313" s="109">
        <f>$L1312+N($J1313)-N($K1313)</f>
        <v/>
      </c>
      <c r="M1313" s="110" t="n"/>
      <c r="N1313" s="54" t="n"/>
      <c r="O1313" s="54" t="n"/>
      <c r="P1313" s="54" t="n"/>
      <c r="Q1313" s="110" t="n"/>
      <c r="R1313" s="110" t="n"/>
      <c r="S1313" s="54" t="n"/>
      <c r="T1313" s="111">
        <f>IF($G1313="","",IFERROR(INDEX(Taux_Devises,MATCH(IF($M1313="",Devise_Base,$M1313),Codes_Devises,0)),1))</f>
        <v/>
      </c>
      <c r="U1313" s="112">
        <f>IF($G1313="","",ROUND($G1313*$T1313,2))</f>
        <v/>
      </c>
      <c r="V1313" s="113">
        <f>IF($B1313="","",MONTH($B1313))</f>
        <v/>
      </c>
      <c r="W1313" s="113">
        <f>IF($B1313="","",YEAR($B1313))</f>
        <v/>
      </c>
    </row>
    <row r="1314">
      <c r="B1314" s="105" t="n"/>
      <c r="C1314" s="54" t="n"/>
      <c r="D1314" s="54" t="n"/>
      <c r="E1314" s="54" t="n"/>
      <c r="F1314" s="54" t="n"/>
      <c r="G1314" s="65" t="n"/>
      <c r="H1314" s="54" t="n"/>
      <c r="I1314" s="106">
        <f>IF($C1314="","",IFERROR(INDEX(Sens_Types,MATCH($C1314,Liste_Types,0)),""))</f>
        <v/>
      </c>
      <c r="J1314" s="107">
        <f>IF($I1314="▲ ENTRÉE",$U1314,"")</f>
        <v/>
      </c>
      <c r="K1314" s="108">
        <f>IF($I1314="▼ SORTIE",$U1314,"")</f>
        <v/>
      </c>
      <c r="L1314" s="109">
        <f>$L1313+N($J1314)-N($K1314)</f>
        <v/>
      </c>
      <c r="M1314" s="110" t="n"/>
      <c r="N1314" s="54" t="n"/>
      <c r="O1314" s="54" t="n"/>
      <c r="P1314" s="54" t="n"/>
      <c r="Q1314" s="110" t="n"/>
      <c r="R1314" s="110" t="n"/>
      <c r="S1314" s="54" t="n"/>
      <c r="T1314" s="111">
        <f>IF($G1314="","",IFERROR(INDEX(Taux_Devises,MATCH(IF($M1314="",Devise_Base,$M1314),Codes_Devises,0)),1))</f>
        <v/>
      </c>
      <c r="U1314" s="112">
        <f>IF($G1314="","",ROUND($G1314*$T1314,2))</f>
        <v/>
      </c>
      <c r="V1314" s="113">
        <f>IF($B1314="","",MONTH($B1314))</f>
        <v/>
      </c>
      <c r="W1314" s="113">
        <f>IF($B1314="","",YEAR($B1314))</f>
        <v/>
      </c>
    </row>
    <row r="1315">
      <c r="B1315" s="105" t="n"/>
      <c r="C1315" s="54" t="n"/>
      <c r="D1315" s="54" t="n"/>
      <c r="E1315" s="54" t="n"/>
      <c r="F1315" s="54" t="n"/>
      <c r="G1315" s="65" t="n"/>
      <c r="H1315" s="54" t="n"/>
      <c r="I1315" s="106">
        <f>IF($C1315="","",IFERROR(INDEX(Sens_Types,MATCH($C1315,Liste_Types,0)),""))</f>
        <v/>
      </c>
      <c r="J1315" s="107">
        <f>IF($I1315="▲ ENTRÉE",$U1315,"")</f>
        <v/>
      </c>
      <c r="K1315" s="108">
        <f>IF($I1315="▼ SORTIE",$U1315,"")</f>
        <v/>
      </c>
      <c r="L1315" s="109">
        <f>$L1314+N($J1315)-N($K1315)</f>
        <v/>
      </c>
      <c r="M1315" s="110" t="n"/>
      <c r="N1315" s="54" t="n"/>
      <c r="O1315" s="54" t="n"/>
      <c r="P1315" s="54" t="n"/>
      <c r="Q1315" s="110" t="n"/>
      <c r="R1315" s="110" t="n"/>
      <c r="S1315" s="54" t="n"/>
      <c r="T1315" s="111">
        <f>IF($G1315="","",IFERROR(INDEX(Taux_Devises,MATCH(IF($M1315="",Devise_Base,$M1315),Codes_Devises,0)),1))</f>
        <v/>
      </c>
      <c r="U1315" s="112">
        <f>IF($G1315="","",ROUND($G1315*$T1315,2))</f>
        <v/>
      </c>
      <c r="V1315" s="113">
        <f>IF($B1315="","",MONTH($B1315))</f>
        <v/>
      </c>
      <c r="W1315" s="113">
        <f>IF($B1315="","",YEAR($B1315))</f>
        <v/>
      </c>
    </row>
    <row r="1316">
      <c r="B1316" s="105" t="n"/>
      <c r="C1316" s="54" t="n"/>
      <c r="D1316" s="54" t="n"/>
      <c r="E1316" s="54" t="n"/>
      <c r="F1316" s="54" t="n"/>
      <c r="G1316" s="65" t="n"/>
      <c r="H1316" s="54" t="n"/>
      <c r="I1316" s="106">
        <f>IF($C1316="","",IFERROR(INDEX(Sens_Types,MATCH($C1316,Liste_Types,0)),""))</f>
        <v/>
      </c>
      <c r="J1316" s="107">
        <f>IF($I1316="▲ ENTRÉE",$U1316,"")</f>
        <v/>
      </c>
      <c r="K1316" s="108">
        <f>IF($I1316="▼ SORTIE",$U1316,"")</f>
        <v/>
      </c>
      <c r="L1316" s="109">
        <f>$L1315+N($J1316)-N($K1316)</f>
        <v/>
      </c>
      <c r="M1316" s="110" t="n"/>
      <c r="N1316" s="54" t="n"/>
      <c r="O1316" s="54" t="n"/>
      <c r="P1316" s="54" t="n"/>
      <c r="Q1316" s="110" t="n"/>
      <c r="R1316" s="110" t="n"/>
      <c r="S1316" s="54" t="n"/>
      <c r="T1316" s="111">
        <f>IF($G1316="","",IFERROR(INDEX(Taux_Devises,MATCH(IF($M1316="",Devise_Base,$M1316),Codes_Devises,0)),1))</f>
        <v/>
      </c>
      <c r="U1316" s="112">
        <f>IF($G1316="","",ROUND($G1316*$T1316,2))</f>
        <v/>
      </c>
      <c r="V1316" s="113">
        <f>IF($B1316="","",MONTH($B1316))</f>
        <v/>
      </c>
      <c r="W1316" s="113">
        <f>IF($B1316="","",YEAR($B1316))</f>
        <v/>
      </c>
    </row>
    <row r="1317">
      <c r="B1317" s="105" t="n"/>
      <c r="C1317" s="54" t="n"/>
      <c r="D1317" s="54" t="n"/>
      <c r="E1317" s="54" t="n"/>
      <c r="F1317" s="54" t="n"/>
      <c r="G1317" s="65" t="n"/>
      <c r="H1317" s="54" t="n"/>
      <c r="I1317" s="106">
        <f>IF($C1317="","",IFERROR(INDEX(Sens_Types,MATCH($C1317,Liste_Types,0)),""))</f>
        <v/>
      </c>
      <c r="J1317" s="107">
        <f>IF($I1317="▲ ENTRÉE",$U1317,"")</f>
        <v/>
      </c>
      <c r="K1317" s="108">
        <f>IF($I1317="▼ SORTIE",$U1317,"")</f>
        <v/>
      </c>
      <c r="L1317" s="109">
        <f>$L1316+N($J1317)-N($K1317)</f>
        <v/>
      </c>
      <c r="M1317" s="110" t="n"/>
      <c r="N1317" s="54" t="n"/>
      <c r="O1317" s="54" t="n"/>
      <c r="P1317" s="54" t="n"/>
      <c r="Q1317" s="110" t="n"/>
      <c r="R1317" s="110" t="n"/>
      <c r="S1317" s="54" t="n"/>
      <c r="T1317" s="111">
        <f>IF($G1317="","",IFERROR(INDEX(Taux_Devises,MATCH(IF($M1317="",Devise_Base,$M1317),Codes_Devises,0)),1))</f>
        <v/>
      </c>
      <c r="U1317" s="112">
        <f>IF($G1317="","",ROUND($G1317*$T1317,2))</f>
        <v/>
      </c>
      <c r="V1317" s="113">
        <f>IF($B1317="","",MONTH($B1317))</f>
        <v/>
      </c>
      <c r="W1317" s="113">
        <f>IF($B1317="","",YEAR($B1317))</f>
        <v/>
      </c>
    </row>
    <row r="1318">
      <c r="B1318" s="105" t="n"/>
      <c r="C1318" s="54" t="n"/>
      <c r="D1318" s="54" t="n"/>
      <c r="E1318" s="54" t="n"/>
      <c r="F1318" s="54" t="n"/>
      <c r="G1318" s="65" t="n"/>
      <c r="H1318" s="54" t="n"/>
      <c r="I1318" s="106">
        <f>IF($C1318="","",IFERROR(INDEX(Sens_Types,MATCH($C1318,Liste_Types,0)),""))</f>
        <v/>
      </c>
      <c r="J1318" s="107">
        <f>IF($I1318="▲ ENTRÉE",$U1318,"")</f>
        <v/>
      </c>
      <c r="K1318" s="108">
        <f>IF($I1318="▼ SORTIE",$U1318,"")</f>
        <v/>
      </c>
      <c r="L1318" s="109">
        <f>$L1317+N($J1318)-N($K1318)</f>
        <v/>
      </c>
      <c r="M1318" s="110" t="n"/>
      <c r="N1318" s="54" t="n"/>
      <c r="O1318" s="54" t="n"/>
      <c r="P1318" s="54" t="n"/>
      <c r="Q1318" s="110" t="n"/>
      <c r="R1318" s="110" t="n"/>
      <c r="S1318" s="54" t="n"/>
      <c r="T1318" s="111">
        <f>IF($G1318="","",IFERROR(INDEX(Taux_Devises,MATCH(IF($M1318="",Devise_Base,$M1318),Codes_Devises,0)),1))</f>
        <v/>
      </c>
      <c r="U1318" s="112">
        <f>IF($G1318="","",ROUND($G1318*$T1318,2))</f>
        <v/>
      </c>
      <c r="V1318" s="113">
        <f>IF($B1318="","",MONTH($B1318))</f>
        <v/>
      </c>
      <c r="W1318" s="113">
        <f>IF($B1318="","",YEAR($B1318))</f>
        <v/>
      </c>
    </row>
    <row r="1319">
      <c r="B1319" s="105" t="n"/>
      <c r="C1319" s="54" t="n"/>
      <c r="D1319" s="54" t="n"/>
      <c r="E1319" s="54" t="n"/>
      <c r="F1319" s="54" t="n"/>
      <c r="G1319" s="65" t="n"/>
      <c r="H1319" s="54" t="n"/>
      <c r="I1319" s="106">
        <f>IF($C1319="","",IFERROR(INDEX(Sens_Types,MATCH($C1319,Liste_Types,0)),""))</f>
        <v/>
      </c>
      <c r="J1319" s="107">
        <f>IF($I1319="▲ ENTRÉE",$U1319,"")</f>
        <v/>
      </c>
      <c r="K1319" s="108">
        <f>IF($I1319="▼ SORTIE",$U1319,"")</f>
        <v/>
      </c>
      <c r="L1319" s="109">
        <f>$L1318+N($J1319)-N($K1319)</f>
        <v/>
      </c>
      <c r="M1319" s="110" t="n"/>
      <c r="N1319" s="54" t="n"/>
      <c r="O1319" s="54" t="n"/>
      <c r="P1319" s="54" t="n"/>
      <c r="Q1319" s="110" t="n"/>
      <c r="R1319" s="110" t="n"/>
      <c r="S1319" s="54" t="n"/>
      <c r="T1319" s="111">
        <f>IF($G1319="","",IFERROR(INDEX(Taux_Devises,MATCH(IF($M1319="",Devise_Base,$M1319),Codes_Devises,0)),1))</f>
        <v/>
      </c>
      <c r="U1319" s="112">
        <f>IF($G1319="","",ROUND($G1319*$T1319,2))</f>
        <v/>
      </c>
      <c r="V1319" s="113">
        <f>IF($B1319="","",MONTH($B1319))</f>
        <v/>
      </c>
      <c r="W1319" s="113">
        <f>IF($B1319="","",YEAR($B1319))</f>
        <v/>
      </c>
    </row>
    <row r="1320">
      <c r="B1320" s="105" t="n"/>
      <c r="C1320" s="54" t="n"/>
      <c r="D1320" s="54" t="n"/>
      <c r="E1320" s="54" t="n"/>
      <c r="F1320" s="54" t="n"/>
      <c r="G1320" s="65" t="n"/>
      <c r="H1320" s="54" t="n"/>
      <c r="I1320" s="106">
        <f>IF($C1320="","",IFERROR(INDEX(Sens_Types,MATCH($C1320,Liste_Types,0)),""))</f>
        <v/>
      </c>
      <c r="J1320" s="107">
        <f>IF($I1320="▲ ENTRÉE",$U1320,"")</f>
        <v/>
      </c>
      <c r="K1320" s="108">
        <f>IF($I1320="▼ SORTIE",$U1320,"")</f>
        <v/>
      </c>
      <c r="L1320" s="109">
        <f>$L1319+N($J1320)-N($K1320)</f>
        <v/>
      </c>
      <c r="M1320" s="110" t="n"/>
      <c r="N1320" s="54" t="n"/>
      <c r="O1320" s="54" t="n"/>
      <c r="P1320" s="54" t="n"/>
      <c r="Q1320" s="110" t="n"/>
      <c r="R1320" s="110" t="n"/>
      <c r="S1320" s="54" t="n"/>
      <c r="T1320" s="111">
        <f>IF($G1320="","",IFERROR(INDEX(Taux_Devises,MATCH(IF($M1320="",Devise_Base,$M1320),Codes_Devises,0)),1))</f>
        <v/>
      </c>
      <c r="U1320" s="112">
        <f>IF($G1320="","",ROUND($G1320*$T1320,2))</f>
        <v/>
      </c>
      <c r="V1320" s="113">
        <f>IF($B1320="","",MONTH($B1320))</f>
        <v/>
      </c>
      <c r="W1320" s="113">
        <f>IF($B1320="","",YEAR($B1320))</f>
        <v/>
      </c>
    </row>
    <row r="1321">
      <c r="B1321" s="105" t="n"/>
      <c r="C1321" s="54" t="n"/>
      <c r="D1321" s="54" t="n"/>
      <c r="E1321" s="54" t="n"/>
      <c r="F1321" s="54" t="n"/>
      <c r="G1321" s="65" t="n"/>
      <c r="H1321" s="54" t="n"/>
      <c r="I1321" s="106">
        <f>IF($C1321="","",IFERROR(INDEX(Sens_Types,MATCH($C1321,Liste_Types,0)),""))</f>
        <v/>
      </c>
      <c r="J1321" s="107">
        <f>IF($I1321="▲ ENTRÉE",$U1321,"")</f>
        <v/>
      </c>
      <c r="K1321" s="108">
        <f>IF($I1321="▼ SORTIE",$U1321,"")</f>
        <v/>
      </c>
      <c r="L1321" s="109">
        <f>$L1320+N($J1321)-N($K1321)</f>
        <v/>
      </c>
      <c r="M1321" s="110" t="n"/>
      <c r="N1321" s="54" t="n"/>
      <c r="O1321" s="54" t="n"/>
      <c r="P1321" s="54" t="n"/>
      <c r="Q1321" s="110" t="n"/>
      <c r="R1321" s="110" t="n"/>
      <c r="S1321" s="54" t="n"/>
      <c r="T1321" s="111">
        <f>IF($G1321="","",IFERROR(INDEX(Taux_Devises,MATCH(IF($M1321="",Devise_Base,$M1321),Codes_Devises,0)),1))</f>
        <v/>
      </c>
      <c r="U1321" s="112">
        <f>IF($G1321="","",ROUND($G1321*$T1321,2))</f>
        <v/>
      </c>
      <c r="V1321" s="113">
        <f>IF($B1321="","",MONTH($B1321))</f>
        <v/>
      </c>
      <c r="W1321" s="113">
        <f>IF($B1321="","",YEAR($B1321))</f>
        <v/>
      </c>
    </row>
    <row r="1322">
      <c r="B1322" s="105" t="n"/>
      <c r="C1322" s="54" t="n"/>
      <c r="D1322" s="54" t="n"/>
      <c r="E1322" s="54" t="n"/>
      <c r="F1322" s="54" t="n"/>
      <c r="G1322" s="65" t="n"/>
      <c r="H1322" s="54" t="n"/>
      <c r="I1322" s="106">
        <f>IF($C1322="","",IFERROR(INDEX(Sens_Types,MATCH($C1322,Liste_Types,0)),""))</f>
        <v/>
      </c>
      <c r="J1322" s="107">
        <f>IF($I1322="▲ ENTRÉE",$U1322,"")</f>
        <v/>
      </c>
      <c r="K1322" s="108">
        <f>IF($I1322="▼ SORTIE",$U1322,"")</f>
        <v/>
      </c>
      <c r="L1322" s="109">
        <f>$L1321+N($J1322)-N($K1322)</f>
        <v/>
      </c>
      <c r="M1322" s="110" t="n"/>
      <c r="N1322" s="54" t="n"/>
      <c r="O1322" s="54" t="n"/>
      <c r="P1322" s="54" t="n"/>
      <c r="Q1322" s="110" t="n"/>
      <c r="R1322" s="110" t="n"/>
      <c r="S1322" s="54" t="n"/>
      <c r="T1322" s="111">
        <f>IF($G1322="","",IFERROR(INDEX(Taux_Devises,MATCH(IF($M1322="",Devise_Base,$M1322),Codes_Devises,0)),1))</f>
        <v/>
      </c>
      <c r="U1322" s="112">
        <f>IF($G1322="","",ROUND($G1322*$T1322,2))</f>
        <v/>
      </c>
      <c r="V1322" s="113">
        <f>IF($B1322="","",MONTH($B1322))</f>
        <v/>
      </c>
      <c r="W1322" s="113">
        <f>IF($B1322="","",YEAR($B1322))</f>
        <v/>
      </c>
    </row>
    <row r="1323">
      <c r="B1323" s="105" t="n"/>
      <c r="C1323" s="54" t="n"/>
      <c r="D1323" s="54" t="n"/>
      <c r="E1323" s="54" t="n"/>
      <c r="F1323" s="54" t="n"/>
      <c r="G1323" s="65" t="n"/>
      <c r="H1323" s="54" t="n"/>
      <c r="I1323" s="106">
        <f>IF($C1323="","",IFERROR(INDEX(Sens_Types,MATCH($C1323,Liste_Types,0)),""))</f>
        <v/>
      </c>
      <c r="J1323" s="107">
        <f>IF($I1323="▲ ENTRÉE",$U1323,"")</f>
        <v/>
      </c>
      <c r="K1323" s="108">
        <f>IF($I1323="▼ SORTIE",$U1323,"")</f>
        <v/>
      </c>
      <c r="L1323" s="109">
        <f>$L1322+N($J1323)-N($K1323)</f>
        <v/>
      </c>
      <c r="M1323" s="110" t="n"/>
      <c r="N1323" s="54" t="n"/>
      <c r="O1323" s="54" t="n"/>
      <c r="P1323" s="54" t="n"/>
      <c r="Q1323" s="110" t="n"/>
      <c r="R1323" s="110" t="n"/>
      <c r="S1323" s="54" t="n"/>
      <c r="T1323" s="111">
        <f>IF($G1323="","",IFERROR(INDEX(Taux_Devises,MATCH(IF($M1323="",Devise_Base,$M1323),Codes_Devises,0)),1))</f>
        <v/>
      </c>
      <c r="U1323" s="112">
        <f>IF($G1323="","",ROUND($G1323*$T1323,2))</f>
        <v/>
      </c>
      <c r="V1323" s="113">
        <f>IF($B1323="","",MONTH($B1323))</f>
        <v/>
      </c>
      <c r="W1323" s="113">
        <f>IF($B1323="","",YEAR($B1323))</f>
        <v/>
      </c>
    </row>
    <row r="1324">
      <c r="B1324" s="105" t="n"/>
      <c r="C1324" s="54" t="n"/>
      <c r="D1324" s="54" t="n"/>
      <c r="E1324" s="54" t="n"/>
      <c r="F1324" s="54" t="n"/>
      <c r="G1324" s="65" t="n"/>
      <c r="H1324" s="54" t="n"/>
      <c r="I1324" s="106">
        <f>IF($C1324="","",IFERROR(INDEX(Sens_Types,MATCH($C1324,Liste_Types,0)),""))</f>
        <v/>
      </c>
      <c r="J1324" s="107">
        <f>IF($I1324="▲ ENTRÉE",$U1324,"")</f>
        <v/>
      </c>
      <c r="K1324" s="108">
        <f>IF($I1324="▼ SORTIE",$U1324,"")</f>
        <v/>
      </c>
      <c r="L1324" s="109">
        <f>$L1323+N($J1324)-N($K1324)</f>
        <v/>
      </c>
      <c r="M1324" s="110" t="n"/>
      <c r="N1324" s="54" t="n"/>
      <c r="O1324" s="54" t="n"/>
      <c r="P1324" s="54" t="n"/>
      <c r="Q1324" s="110" t="n"/>
      <c r="R1324" s="110" t="n"/>
      <c r="S1324" s="54" t="n"/>
      <c r="T1324" s="111">
        <f>IF($G1324="","",IFERROR(INDEX(Taux_Devises,MATCH(IF($M1324="",Devise_Base,$M1324),Codes_Devises,0)),1))</f>
        <v/>
      </c>
      <c r="U1324" s="112">
        <f>IF($G1324="","",ROUND($G1324*$T1324,2))</f>
        <v/>
      </c>
      <c r="V1324" s="113">
        <f>IF($B1324="","",MONTH($B1324))</f>
        <v/>
      </c>
      <c r="W1324" s="113">
        <f>IF($B1324="","",YEAR($B1324))</f>
        <v/>
      </c>
    </row>
    <row r="1325">
      <c r="B1325" s="105" t="n"/>
      <c r="C1325" s="54" t="n"/>
      <c r="D1325" s="54" t="n"/>
      <c r="E1325" s="54" t="n"/>
      <c r="F1325" s="54" t="n"/>
      <c r="G1325" s="65" t="n"/>
      <c r="H1325" s="54" t="n"/>
      <c r="I1325" s="106">
        <f>IF($C1325="","",IFERROR(INDEX(Sens_Types,MATCH($C1325,Liste_Types,0)),""))</f>
        <v/>
      </c>
      <c r="J1325" s="107">
        <f>IF($I1325="▲ ENTRÉE",$U1325,"")</f>
        <v/>
      </c>
      <c r="K1325" s="108">
        <f>IF($I1325="▼ SORTIE",$U1325,"")</f>
        <v/>
      </c>
      <c r="L1325" s="109">
        <f>$L1324+N($J1325)-N($K1325)</f>
        <v/>
      </c>
      <c r="M1325" s="110" t="n"/>
      <c r="N1325" s="54" t="n"/>
      <c r="O1325" s="54" t="n"/>
      <c r="P1325" s="54" t="n"/>
      <c r="Q1325" s="110" t="n"/>
      <c r="R1325" s="110" t="n"/>
      <c r="S1325" s="54" t="n"/>
      <c r="T1325" s="111">
        <f>IF($G1325="","",IFERROR(INDEX(Taux_Devises,MATCH(IF($M1325="",Devise_Base,$M1325),Codes_Devises,0)),1))</f>
        <v/>
      </c>
      <c r="U1325" s="112">
        <f>IF($G1325="","",ROUND($G1325*$T1325,2))</f>
        <v/>
      </c>
      <c r="V1325" s="113">
        <f>IF($B1325="","",MONTH($B1325))</f>
        <v/>
      </c>
      <c r="W1325" s="113">
        <f>IF($B1325="","",YEAR($B1325))</f>
        <v/>
      </c>
    </row>
    <row r="1326">
      <c r="B1326" s="105" t="n"/>
      <c r="C1326" s="54" t="n"/>
      <c r="D1326" s="54" t="n"/>
      <c r="E1326" s="54" t="n"/>
      <c r="F1326" s="54" t="n"/>
      <c r="G1326" s="65" t="n"/>
      <c r="H1326" s="54" t="n"/>
      <c r="I1326" s="106">
        <f>IF($C1326="","",IFERROR(INDEX(Sens_Types,MATCH($C1326,Liste_Types,0)),""))</f>
        <v/>
      </c>
      <c r="J1326" s="107">
        <f>IF($I1326="▲ ENTRÉE",$U1326,"")</f>
        <v/>
      </c>
      <c r="K1326" s="108">
        <f>IF($I1326="▼ SORTIE",$U1326,"")</f>
        <v/>
      </c>
      <c r="L1326" s="109">
        <f>$L1325+N($J1326)-N($K1326)</f>
        <v/>
      </c>
      <c r="M1326" s="110" t="n"/>
      <c r="N1326" s="54" t="n"/>
      <c r="O1326" s="54" t="n"/>
      <c r="P1326" s="54" t="n"/>
      <c r="Q1326" s="110" t="n"/>
      <c r="R1326" s="110" t="n"/>
      <c r="S1326" s="54" t="n"/>
      <c r="T1326" s="111">
        <f>IF($G1326="","",IFERROR(INDEX(Taux_Devises,MATCH(IF($M1326="",Devise_Base,$M1326),Codes_Devises,0)),1))</f>
        <v/>
      </c>
      <c r="U1326" s="112">
        <f>IF($G1326="","",ROUND($G1326*$T1326,2))</f>
        <v/>
      </c>
      <c r="V1326" s="113">
        <f>IF($B1326="","",MONTH($B1326))</f>
        <v/>
      </c>
      <c r="W1326" s="113">
        <f>IF($B1326="","",YEAR($B1326))</f>
        <v/>
      </c>
    </row>
    <row r="1327">
      <c r="B1327" s="105" t="n"/>
      <c r="C1327" s="54" t="n"/>
      <c r="D1327" s="54" t="n"/>
      <c r="E1327" s="54" t="n"/>
      <c r="F1327" s="54" t="n"/>
      <c r="G1327" s="65" t="n"/>
      <c r="H1327" s="54" t="n"/>
      <c r="I1327" s="106">
        <f>IF($C1327="","",IFERROR(INDEX(Sens_Types,MATCH($C1327,Liste_Types,0)),""))</f>
        <v/>
      </c>
      <c r="J1327" s="107">
        <f>IF($I1327="▲ ENTRÉE",$U1327,"")</f>
        <v/>
      </c>
      <c r="K1327" s="108">
        <f>IF($I1327="▼ SORTIE",$U1327,"")</f>
        <v/>
      </c>
      <c r="L1327" s="109">
        <f>$L1326+N($J1327)-N($K1327)</f>
        <v/>
      </c>
      <c r="M1327" s="110" t="n"/>
      <c r="N1327" s="54" t="n"/>
      <c r="O1327" s="54" t="n"/>
      <c r="P1327" s="54" t="n"/>
      <c r="Q1327" s="110" t="n"/>
      <c r="R1327" s="110" t="n"/>
      <c r="S1327" s="54" t="n"/>
      <c r="T1327" s="111">
        <f>IF($G1327="","",IFERROR(INDEX(Taux_Devises,MATCH(IF($M1327="",Devise_Base,$M1327),Codes_Devises,0)),1))</f>
        <v/>
      </c>
      <c r="U1327" s="112">
        <f>IF($G1327="","",ROUND($G1327*$T1327,2))</f>
        <v/>
      </c>
      <c r="V1327" s="113">
        <f>IF($B1327="","",MONTH($B1327))</f>
        <v/>
      </c>
      <c r="W1327" s="113">
        <f>IF($B1327="","",YEAR($B1327))</f>
        <v/>
      </c>
    </row>
    <row r="1328">
      <c r="B1328" s="105" t="n"/>
      <c r="C1328" s="54" t="n"/>
      <c r="D1328" s="54" t="n"/>
      <c r="E1328" s="54" t="n"/>
      <c r="F1328" s="54" t="n"/>
      <c r="G1328" s="65" t="n"/>
      <c r="H1328" s="54" t="n"/>
      <c r="I1328" s="106">
        <f>IF($C1328="","",IFERROR(INDEX(Sens_Types,MATCH($C1328,Liste_Types,0)),""))</f>
        <v/>
      </c>
      <c r="J1328" s="107">
        <f>IF($I1328="▲ ENTRÉE",$U1328,"")</f>
        <v/>
      </c>
      <c r="K1328" s="108">
        <f>IF($I1328="▼ SORTIE",$U1328,"")</f>
        <v/>
      </c>
      <c r="L1328" s="109">
        <f>$L1327+N($J1328)-N($K1328)</f>
        <v/>
      </c>
      <c r="M1328" s="110" t="n"/>
      <c r="N1328" s="54" t="n"/>
      <c r="O1328" s="54" t="n"/>
      <c r="P1328" s="54" t="n"/>
      <c r="Q1328" s="110" t="n"/>
      <c r="R1328" s="110" t="n"/>
      <c r="S1328" s="54" t="n"/>
      <c r="T1328" s="111">
        <f>IF($G1328="","",IFERROR(INDEX(Taux_Devises,MATCH(IF($M1328="",Devise_Base,$M1328),Codes_Devises,0)),1))</f>
        <v/>
      </c>
      <c r="U1328" s="112">
        <f>IF($G1328="","",ROUND($G1328*$T1328,2))</f>
        <v/>
      </c>
      <c r="V1328" s="113">
        <f>IF($B1328="","",MONTH($B1328))</f>
        <v/>
      </c>
      <c r="W1328" s="113">
        <f>IF($B1328="","",YEAR($B1328))</f>
        <v/>
      </c>
    </row>
    <row r="1329">
      <c r="B1329" s="105" t="n"/>
      <c r="C1329" s="54" t="n"/>
      <c r="D1329" s="54" t="n"/>
      <c r="E1329" s="54" t="n"/>
      <c r="F1329" s="54" t="n"/>
      <c r="G1329" s="65" t="n"/>
      <c r="H1329" s="54" t="n"/>
      <c r="I1329" s="106">
        <f>IF($C1329="","",IFERROR(INDEX(Sens_Types,MATCH($C1329,Liste_Types,0)),""))</f>
        <v/>
      </c>
      <c r="J1329" s="107">
        <f>IF($I1329="▲ ENTRÉE",$U1329,"")</f>
        <v/>
      </c>
      <c r="K1329" s="108">
        <f>IF($I1329="▼ SORTIE",$U1329,"")</f>
        <v/>
      </c>
      <c r="L1329" s="109">
        <f>$L1328+N($J1329)-N($K1329)</f>
        <v/>
      </c>
      <c r="M1329" s="110" t="n"/>
      <c r="N1329" s="54" t="n"/>
      <c r="O1329" s="54" t="n"/>
      <c r="P1329" s="54" t="n"/>
      <c r="Q1329" s="110" t="n"/>
      <c r="R1329" s="110" t="n"/>
      <c r="S1329" s="54" t="n"/>
      <c r="T1329" s="111">
        <f>IF($G1329="","",IFERROR(INDEX(Taux_Devises,MATCH(IF($M1329="",Devise_Base,$M1329),Codes_Devises,0)),1))</f>
        <v/>
      </c>
      <c r="U1329" s="112">
        <f>IF($G1329="","",ROUND($G1329*$T1329,2))</f>
        <v/>
      </c>
      <c r="V1329" s="113">
        <f>IF($B1329="","",MONTH($B1329))</f>
        <v/>
      </c>
      <c r="W1329" s="113">
        <f>IF($B1329="","",YEAR($B1329))</f>
        <v/>
      </c>
    </row>
    <row r="1330">
      <c r="B1330" s="105" t="n"/>
      <c r="C1330" s="54" t="n"/>
      <c r="D1330" s="54" t="n"/>
      <c r="E1330" s="54" t="n"/>
      <c r="F1330" s="54" t="n"/>
      <c r="G1330" s="65" t="n"/>
      <c r="H1330" s="54" t="n"/>
      <c r="I1330" s="106">
        <f>IF($C1330="","",IFERROR(INDEX(Sens_Types,MATCH($C1330,Liste_Types,0)),""))</f>
        <v/>
      </c>
      <c r="J1330" s="107">
        <f>IF($I1330="▲ ENTRÉE",$U1330,"")</f>
        <v/>
      </c>
      <c r="K1330" s="108">
        <f>IF($I1330="▼ SORTIE",$U1330,"")</f>
        <v/>
      </c>
      <c r="L1330" s="109">
        <f>$L1329+N($J1330)-N($K1330)</f>
        <v/>
      </c>
      <c r="M1330" s="110" t="n"/>
      <c r="N1330" s="54" t="n"/>
      <c r="O1330" s="54" t="n"/>
      <c r="P1330" s="54" t="n"/>
      <c r="Q1330" s="110" t="n"/>
      <c r="R1330" s="110" t="n"/>
      <c r="S1330" s="54" t="n"/>
      <c r="T1330" s="111">
        <f>IF($G1330="","",IFERROR(INDEX(Taux_Devises,MATCH(IF($M1330="",Devise_Base,$M1330),Codes_Devises,0)),1))</f>
        <v/>
      </c>
      <c r="U1330" s="112">
        <f>IF($G1330="","",ROUND($G1330*$T1330,2))</f>
        <v/>
      </c>
      <c r="V1330" s="113">
        <f>IF($B1330="","",MONTH($B1330))</f>
        <v/>
      </c>
      <c r="W1330" s="113">
        <f>IF($B1330="","",YEAR($B1330))</f>
        <v/>
      </c>
    </row>
    <row r="1331">
      <c r="B1331" s="105" t="n"/>
      <c r="C1331" s="54" t="n"/>
      <c r="D1331" s="54" t="n"/>
      <c r="E1331" s="54" t="n"/>
      <c r="F1331" s="54" t="n"/>
      <c r="G1331" s="65" t="n"/>
      <c r="H1331" s="54" t="n"/>
      <c r="I1331" s="106">
        <f>IF($C1331="","",IFERROR(INDEX(Sens_Types,MATCH($C1331,Liste_Types,0)),""))</f>
        <v/>
      </c>
      <c r="J1331" s="107">
        <f>IF($I1331="▲ ENTRÉE",$U1331,"")</f>
        <v/>
      </c>
      <c r="K1331" s="108">
        <f>IF($I1331="▼ SORTIE",$U1331,"")</f>
        <v/>
      </c>
      <c r="L1331" s="109">
        <f>$L1330+N($J1331)-N($K1331)</f>
        <v/>
      </c>
      <c r="M1331" s="110" t="n"/>
      <c r="N1331" s="54" t="n"/>
      <c r="O1331" s="54" t="n"/>
      <c r="P1331" s="54" t="n"/>
      <c r="Q1331" s="110" t="n"/>
      <c r="R1331" s="110" t="n"/>
      <c r="S1331" s="54" t="n"/>
      <c r="T1331" s="111">
        <f>IF($G1331="","",IFERROR(INDEX(Taux_Devises,MATCH(IF($M1331="",Devise_Base,$M1331),Codes_Devises,0)),1))</f>
        <v/>
      </c>
      <c r="U1331" s="112">
        <f>IF($G1331="","",ROUND($G1331*$T1331,2))</f>
        <v/>
      </c>
      <c r="V1331" s="113">
        <f>IF($B1331="","",MONTH($B1331))</f>
        <v/>
      </c>
      <c r="W1331" s="113">
        <f>IF($B1331="","",YEAR($B1331))</f>
        <v/>
      </c>
    </row>
    <row r="1332">
      <c r="B1332" s="105" t="n"/>
      <c r="C1332" s="54" t="n"/>
      <c r="D1332" s="54" t="n"/>
      <c r="E1332" s="54" t="n"/>
      <c r="F1332" s="54" t="n"/>
      <c r="G1332" s="65" t="n"/>
      <c r="H1332" s="54" t="n"/>
      <c r="I1332" s="106">
        <f>IF($C1332="","",IFERROR(INDEX(Sens_Types,MATCH($C1332,Liste_Types,0)),""))</f>
        <v/>
      </c>
      <c r="J1332" s="107">
        <f>IF($I1332="▲ ENTRÉE",$U1332,"")</f>
        <v/>
      </c>
      <c r="K1332" s="108">
        <f>IF($I1332="▼ SORTIE",$U1332,"")</f>
        <v/>
      </c>
      <c r="L1332" s="109">
        <f>$L1331+N($J1332)-N($K1332)</f>
        <v/>
      </c>
      <c r="M1332" s="110" t="n"/>
      <c r="N1332" s="54" t="n"/>
      <c r="O1332" s="54" t="n"/>
      <c r="P1332" s="54" t="n"/>
      <c r="Q1332" s="110" t="n"/>
      <c r="R1332" s="110" t="n"/>
      <c r="S1332" s="54" t="n"/>
      <c r="T1332" s="111">
        <f>IF($G1332="","",IFERROR(INDEX(Taux_Devises,MATCH(IF($M1332="",Devise_Base,$M1332),Codes_Devises,0)),1))</f>
        <v/>
      </c>
      <c r="U1332" s="112">
        <f>IF($G1332="","",ROUND($G1332*$T1332,2))</f>
        <v/>
      </c>
      <c r="V1332" s="113">
        <f>IF($B1332="","",MONTH($B1332))</f>
        <v/>
      </c>
      <c r="W1332" s="113">
        <f>IF($B1332="","",YEAR($B1332))</f>
        <v/>
      </c>
    </row>
    <row r="1333">
      <c r="B1333" s="105" t="n"/>
      <c r="C1333" s="54" t="n"/>
      <c r="D1333" s="54" t="n"/>
      <c r="E1333" s="54" t="n"/>
      <c r="F1333" s="54" t="n"/>
      <c r="G1333" s="65" t="n"/>
      <c r="H1333" s="54" t="n"/>
      <c r="I1333" s="106">
        <f>IF($C1333="","",IFERROR(INDEX(Sens_Types,MATCH($C1333,Liste_Types,0)),""))</f>
        <v/>
      </c>
      <c r="J1333" s="107">
        <f>IF($I1333="▲ ENTRÉE",$U1333,"")</f>
        <v/>
      </c>
      <c r="K1333" s="108">
        <f>IF($I1333="▼ SORTIE",$U1333,"")</f>
        <v/>
      </c>
      <c r="L1333" s="109">
        <f>$L1332+N($J1333)-N($K1333)</f>
        <v/>
      </c>
      <c r="M1333" s="110" t="n"/>
      <c r="N1333" s="54" t="n"/>
      <c r="O1333" s="54" t="n"/>
      <c r="P1333" s="54" t="n"/>
      <c r="Q1333" s="110" t="n"/>
      <c r="R1333" s="110" t="n"/>
      <c r="S1333" s="54" t="n"/>
      <c r="T1333" s="111">
        <f>IF($G1333="","",IFERROR(INDEX(Taux_Devises,MATCH(IF($M1333="",Devise_Base,$M1333),Codes_Devises,0)),1))</f>
        <v/>
      </c>
      <c r="U1333" s="112">
        <f>IF($G1333="","",ROUND($G1333*$T1333,2))</f>
        <v/>
      </c>
      <c r="V1333" s="113">
        <f>IF($B1333="","",MONTH($B1333))</f>
        <v/>
      </c>
      <c r="W1333" s="113">
        <f>IF($B1333="","",YEAR($B1333))</f>
        <v/>
      </c>
    </row>
    <row r="1334">
      <c r="B1334" s="105" t="n"/>
      <c r="C1334" s="54" t="n"/>
      <c r="D1334" s="54" t="n"/>
      <c r="E1334" s="54" t="n"/>
      <c r="F1334" s="54" t="n"/>
      <c r="G1334" s="65" t="n"/>
      <c r="H1334" s="54" t="n"/>
      <c r="I1334" s="106">
        <f>IF($C1334="","",IFERROR(INDEX(Sens_Types,MATCH($C1334,Liste_Types,0)),""))</f>
        <v/>
      </c>
      <c r="J1334" s="107">
        <f>IF($I1334="▲ ENTRÉE",$U1334,"")</f>
        <v/>
      </c>
      <c r="K1334" s="108">
        <f>IF($I1334="▼ SORTIE",$U1334,"")</f>
        <v/>
      </c>
      <c r="L1334" s="109">
        <f>$L1333+N($J1334)-N($K1334)</f>
        <v/>
      </c>
      <c r="M1334" s="110" t="n"/>
      <c r="N1334" s="54" t="n"/>
      <c r="O1334" s="54" t="n"/>
      <c r="P1334" s="54" t="n"/>
      <c r="Q1334" s="110" t="n"/>
      <c r="R1334" s="110" t="n"/>
      <c r="S1334" s="54" t="n"/>
      <c r="T1334" s="111">
        <f>IF($G1334="","",IFERROR(INDEX(Taux_Devises,MATCH(IF($M1334="",Devise_Base,$M1334),Codes_Devises,0)),1))</f>
        <v/>
      </c>
      <c r="U1334" s="112">
        <f>IF($G1334="","",ROUND($G1334*$T1334,2))</f>
        <v/>
      </c>
      <c r="V1334" s="113">
        <f>IF($B1334="","",MONTH($B1334))</f>
        <v/>
      </c>
      <c r="W1334" s="113">
        <f>IF($B1334="","",YEAR($B1334))</f>
        <v/>
      </c>
    </row>
    <row r="1335">
      <c r="B1335" s="105" t="n"/>
      <c r="C1335" s="54" t="n"/>
      <c r="D1335" s="54" t="n"/>
      <c r="E1335" s="54" t="n"/>
      <c r="F1335" s="54" t="n"/>
      <c r="G1335" s="65" t="n"/>
      <c r="H1335" s="54" t="n"/>
      <c r="I1335" s="106">
        <f>IF($C1335="","",IFERROR(INDEX(Sens_Types,MATCH($C1335,Liste_Types,0)),""))</f>
        <v/>
      </c>
      <c r="J1335" s="107">
        <f>IF($I1335="▲ ENTRÉE",$U1335,"")</f>
        <v/>
      </c>
      <c r="K1335" s="108">
        <f>IF($I1335="▼ SORTIE",$U1335,"")</f>
        <v/>
      </c>
      <c r="L1335" s="109">
        <f>$L1334+N($J1335)-N($K1335)</f>
        <v/>
      </c>
      <c r="M1335" s="110" t="n"/>
      <c r="N1335" s="54" t="n"/>
      <c r="O1335" s="54" t="n"/>
      <c r="P1335" s="54" t="n"/>
      <c r="Q1335" s="110" t="n"/>
      <c r="R1335" s="110" t="n"/>
      <c r="S1335" s="54" t="n"/>
      <c r="T1335" s="111">
        <f>IF($G1335="","",IFERROR(INDEX(Taux_Devises,MATCH(IF($M1335="",Devise_Base,$M1335),Codes_Devises,0)),1))</f>
        <v/>
      </c>
      <c r="U1335" s="112">
        <f>IF($G1335="","",ROUND($G1335*$T1335,2))</f>
        <v/>
      </c>
      <c r="V1335" s="113">
        <f>IF($B1335="","",MONTH($B1335))</f>
        <v/>
      </c>
      <c r="W1335" s="113">
        <f>IF($B1335="","",YEAR($B1335))</f>
        <v/>
      </c>
    </row>
    <row r="1336">
      <c r="B1336" s="105" t="n"/>
      <c r="C1336" s="54" t="n"/>
      <c r="D1336" s="54" t="n"/>
      <c r="E1336" s="54" t="n"/>
      <c r="F1336" s="54" t="n"/>
      <c r="G1336" s="65" t="n"/>
      <c r="H1336" s="54" t="n"/>
      <c r="I1336" s="106">
        <f>IF($C1336="","",IFERROR(INDEX(Sens_Types,MATCH($C1336,Liste_Types,0)),""))</f>
        <v/>
      </c>
      <c r="J1336" s="107">
        <f>IF($I1336="▲ ENTRÉE",$U1336,"")</f>
        <v/>
      </c>
      <c r="K1336" s="108">
        <f>IF($I1336="▼ SORTIE",$U1336,"")</f>
        <v/>
      </c>
      <c r="L1336" s="109">
        <f>$L1335+N($J1336)-N($K1336)</f>
        <v/>
      </c>
      <c r="M1336" s="110" t="n"/>
      <c r="N1336" s="54" t="n"/>
      <c r="O1336" s="54" t="n"/>
      <c r="P1336" s="54" t="n"/>
      <c r="Q1336" s="110" t="n"/>
      <c r="R1336" s="110" t="n"/>
      <c r="S1336" s="54" t="n"/>
      <c r="T1336" s="111">
        <f>IF($G1336="","",IFERROR(INDEX(Taux_Devises,MATCH(IF($M1336="",Devise_Base,$M1336),Codes_Devises,0)),1))</f>
        <v/>
      </c>
      <c r="U1336" s="112">
        <f>IF($G1336="","",ROUND($G1336*$T1336,2))</f>
        <v/>
      </c>
      <c r="V1336" s="113">
        <f>IF($B1336="","",MONTH($B1336))</f>
        <v/>
      </c>
      <c r="W1336" s="113">
        <f>IF($B1336="","",YEAR($B1336))</f>
        <v/>
      </c>
    </row>
    <row r="1337">
      <c r="B1337" s="105" t="n"/>
      <c r="C1337" s="54" t="n"/>
      <c r="D1337" s="54" t="n"/>
      <c r="E1337" s="54" t="n"/>
      <c r="F1337" s="54" t="n"/>
      <c r="G1337" s="65" t="n"/>
      <c r="H1337" s="54" t="n"/>
      <c r="I1337" s="106">
        <f>IF($C1337="","",IFERROR(INDEX(Sens_Types,MATCH($C1337,Liste_Types,0)),""))</f>
        <v/>
      </c>
      <c r="J1337" s="107">
        <f>IF($I1337="▲ ENTRÉE",$U1337,"")</f>
        <v/>
      </c>
      <c r="K1337" s="108">
        <f>IF($I1337="▼ SORTIE",$U1337,"")</f>
        <v/>
      </c>
      <c r="L1337" s="109">
        <f>$L1336+N($J1337)-N($K1337)</f>
        <v/>
      </c>
      <c r="M1337" s="110" t="n"/>
      <c r="N1337" s="54" t="n"/>
      <c r="O1337" s="54" t="n"/>
      <c r="P1337" s="54" t="n"/>
      <c r="Q1337" s="110" t="n"/>
      <c r="R1337" s="110" t="n"/>
      <c r="S1337" s="54" t="n"/>
      <c r="T1337" s="111">
        <f>IF($G1337="","",IFERROR(INDEX(Taux_Devises,MATCH(IF($M1337="",Devise_Base,$M1337),Codes_Devises,0)),1))</f>
        <v/>
      </c>
      <c r="U1337" s="112">
        <f>IF($G1337="","",ROUND($G1337*$T1337,2))</f>
        <v/>
      </c>
      <c r="V1337" s="113">
        <f>IF($B1337="","",MONTH($B1337))</f>
        <v/>
      </c>
      <c r="W1337" s="113">
        <f>IF($B1337="","",YEAR($B1337))</f>
        <v/>
      </c>
    </row>
    <row r="1338">
      <c r="B1338" s="105" t="n"/>
      <c r="C1338" s="54" t="n"/>
      <c r="D1338" s="54" t="n"/>
      <c r="E1338" s="54" t="n"/>
      <c r="F1338" s="54" t="n"/>
      <c r="G1338" s="65" t="n"/>
      <c r="H1338" s="54" t="n"/>
      <c r="I1338" s="106">
        <f>IF($C1338="","",IFERROR(INDEX(Sens_Types,MATCH($C1338,Liste_Types,0)),""))</f>
        <v/>
      </c>
      <c r="J1338" s="107">
        <f>IF($I1338="▲ ENTRÉE",$U1338,"")</f>
        <v/>
      </c>
      <c r="K1338" s="108">
        <f>IF($I1338="▼ SORTIE",$U1338,"")</f>
        <v/>
      </c>
      <c r="L1338" s="109">
        <f>$L1337+N($J1338)-N($K1338)</f>
        <v/>
      </c>
      <c r="M1338" s="110" t="n"/>
      <c r="N1338" s="54" t="n"/>
      <c r="O1338" s="54" t="n"/>
      <c r="P1338" s="54" t="n"/>
      <c r="Q1338" s="110" t="n"/>
      <c r="R1338" s="110" t="n"/>
      <c r="S1338" s="54" t="n"/>
      <c r="T1338" s="111">
        <f>IF($G1338="","",IFERROR(INDEX(Taux_Devises,MATCH(IF($M1338="",Devise_Base,$M1338),Codes_Devises,0)),1))</f>
        <v/>
      </c>
      <c r="U1338" s="112">
        <f>IF($G1338="","",ROUND($G1338*$T1338,2))</f>
        <v/>
      </c>
      <c r="V1338" s="113">
        <f>IF($B1338="","",MONTH($B1338))</f>
        <v/>
      </c>
      <c r="W1338" s="113">
        <f>IF($B1338="","",YEAR($B1338))</f>
        <v/>
      </c>
    </row>
    <row r="1339">
      <c r="B1339" s="105" t="n"/>
      <c r="C1339" s="54" t="n"/>
      <c r="D1339" s="54" t="n"/>
      <c r="E1339" s="54" t="n"/>
      <c r="F1339" s="54" t="n"/>
      <c r="G1339" s="65" t="n"/>
      <c r="H1339" s="54" t="n"/>
      <c r="I1339" s="106">
        <f>IF($C1339="","",IFERROR(INDEX(Sens_Types,MATCH($C1339,Liste_Types,0)),""))</f>
        <v/>
      </c>
      <c r="J1339" s="107">
        <f>IF($I1339="▲ ENTRÉE",$U1339,"")</f>
        <v/>
      </c>
      <c r="K1339" s="108">
        <f>IF($I1339="▼ SORTIE",$U1339,"")</f>
        <v/>
      </c>
      <c r="L1339" s="109">
        <f>$L1338+N($J1339)-N($K1339)</f>
        <v/>
      </c>
      <c r="M1339" s="110" t="n"/>
      <c r="N1339" s="54" t="n"/>
      <c r="O1339" s="54" t="n"/>
      <c r="P1339" s="54" t="n"/>
      <c r="Q1339" s="110" t="n"/>
      <c r="R1339" s="110" t="n"/>
      <c r="S1339" s="54" t="n"/>
      <c r="T1339" s="111">
        <f>IF($G1339="","",IFERROR(INDEX(Taux_Devises,MATCH(IF($M1339="",Devise_Base,$M1339),Codes_Devises,0)),1))</f>
        <v/>
      </c>
      <c r="U1339" s="112">
        <f>IF($G1339="","",ROUND($G1339*$T1339,2))</f>
        <v/>
      </c>
      <c r="V1339" s="113">
        <f>IF($B1339="","",MONTH($B1339))</f>
        <v/>
      </c>
      <c r="W1339" s="113">
        <f>IF($B1339="","",YEAR($B1339))</f>
        <v/>
      </c>
    </row>
    <row r="1340">
      <c r="B1340" s="105" t="n"/>
      <c r="C1340" s="54" t="n"/>
      <c r="D1340" s="54" t="n"/>
      <c r="E1340" s="54" t="n"/>
      <c r="F1340" s="54" t="n"/>
      <c r="G1340" s="65" t="n"/>
      <c r="H1340" s="54" t="n"/>
      <c r="I1340" s="106">
        <f>IF($C1340="","",IFERROR(INDEX(Sens_Types,MATCH($C1340,Liste_Types,0)),""))</f>
        <v/>
      </c>
      <c r="J1340" s="107">
        <f>IF($I1340="▲ ENTRÉE",$U1340,"")</f>
        <v/>
      </c>
      <c r="K1340" s="108">
        <f>IF($I1340="▼ SORTIE",$U1340,"")</f>
        <v/>
      </c>
      <c r="L1340" s="109">
        <f>$L1339+N($J1340)-N($K1340)</f>
        <v/>
      </c>
      <c r="M1340" s="110" t="n"/>
      <c r="N1340" s="54" t="n"/>
      <c r="O1340" s="54" t="n"/>
      <c r="P1340" s="54" t="n"/>
      <c r="Q1340" s="110" t="n"/>
      <c r="R1340" s="110" t="n"/>
      <c r="S1340" s="54" t="n"/>
      <c r="T1340" s="111">
        <f>IF($G1340="","",IFERROR(INDEX(Taux_Devises,MATCH(IF($M1340="",Devise_Base,$M1340),Codes_Devises,0)),1))</f>
        <v/>
      </c>
      <c r="U1340" s="112">
        <f>IF($G1340="","",ROUND($G1340*$T1340,2))</f>
        <v/>
      </c>
      <c r="V1340" s="113">
        <f>IF($B1340="","",MONTH($B1340))</f>
        <v/>
      </c>
      <c r="W1340" s="113">
        <f>IF($B1340="","",YEAR($B1340))</f>
        <v/>
      </c>
    </row>
    <row r="1341">
      <c r="B1341" s="105" t="n"/>
      <c r="C1341" s="54" t="n"/>
      <c r="D1341" s="54" t="n"/>
      <c r="E1341" s="54" t="n"/>
      <c r="F1341" s="54" t="n"/>
      <c r="G1341" s="65" t="n"/>
      <c r="H1341" s="54" t="n"/>
      <c r="I1341" s="106">
        <f>IF($C1341="","",IFERROR(INDEX(Sens_Types,MATCH($C1341,Liste_Types,0)),""))</f>
        <v/>
      </c>
      <c r="J1341" s="107">
        <f>IF($I1341="▲ ENTRÉE",$U1341,"")</f>
        <v/>
      </c>
      <c r="K1341" s="108">
        <f>IF($I1341="▼ SORTIE",$U1341,"")</f>
        <v/>
      </c>
      <c r="L1341" s="109">
        <f>$L1340+N($J1341)-N($K1341)</f>
        <v/>
      </c>
      <c r="M1341" s="110" t="n"/>
      <c r="N1341" s="54" t="n"/>
      <c r="O1341" s="54" t="n"/>
      <c r="P1341" s="54" t="n"/>
      <c r="Q1341" s="110" t="n"/>
      <c r="R1341" s="110" t="n"/>
      <c r="S1341" s="54" t="n"/>
      <c r="T1341" s="111">
        <f>IF($G1341="","",IFERROR(INDEX(Taux_Devises,MATCH(IF($M1341="",Devise_Base,$M1341),Codes_Devises,0)),1))</f>
        <v/>
      </c>
      <c r="U1341" s="112">
        <f>IF($G1341="","",ROUND($G1341*$T1341,2))</f>
        <v/>
      </c>
      <c r="V1341" s="113">
        <f>IF($B1341="","",MONTH($B1341))</f>
        <v/>
      </c>
      <c r="W1341" s="113">
        <f>IF($B1341="","",YEAR($B1341))</f>
        <v/>
      </c>
    </row>
    <row r="1342">
      <c r="B1342" s="105" t="n"/>
      <c r="C1342" s="54" t="n"/>
      <c r="D1342" s="54" t="n"/>
      <c r="E1342" s="54" t="n"/>
      <c r="F1342" s="54" t="n"/>
      <c r="G1342" s="65" t="n"/>
      <c r="H1342" s="54" t="n"/>
      <c r="I1342" s="106">
        <f>IF($C1342="","",IFERROR(INDEX(Sens_Types,MATCH($C1342,Liste_Types,0)),""))</f>
        <v/>
      </c>
      <c r="J1342" s="107">
        <f>IF($I1342="▲ ENTRÉE",$U1342,"")</f>
        <v/>
      </c>
      <c r="K1342" s="108">
        <f>IF($I1342="▼ SORTIE",$U1342,"")</f>
        <v/>
      </c>
      <c r="L1342" s="109">
        <f>$L1341+N($J1342)-N($K1342)</f>
        <v/>
      </c>
      <c r="M1342" s="110" t="n"/>
      <c r="N1342" s="54" t="n"/>
      <c r="O1342" s="54" t="n"/>
      <c r="P1342" s="54" t="n"/>
      <c r="Q1342" s="110" t="n"/>
      <c r="R1342" s="110" t="n"/>
      <c r="S1342" s="54" t="n"/>
      <c r="T1342" s="111">
        <f>IF($G1342="","",IFERROR(INDEX(Taux_Devises,MATCH(IF($M1342="",Devise_Base,$M1342),Codes_Devises,0)),1))</f>
        <v/>
      </c>
      <c r="U1342" s="112">
        <f>IF($G1342="","",ROUND($G1342*$T1342,2))</f>
        <v/>
      </c>
      <c r="V1342" s="113">
        <f>IF($B1342="","",MONTH($B1342))</f>
        <v/>
      </c>
      <c r="W1342" s="113">
        <f>IF($B1342="","",YEAR($B1342))</f>
        <v/>
      </c>
    </row>
    <row r="1343">
      <c r="B1343" s="105" t="n"/>
      <c r="C1343" s="54" t="n"/>
      <c r="D1343" s="54" t="n"/>
      <c r="E1343" s="54" t="n"/>
      <c r="F1343" s="54" t="n"/>
      <c r="G1343" s="65" t="n"/>
      <c r="H1343" s="54" t="n"/>
      <c r="I1343" s="106">
        <f>IF($C1343="","",IFERROR(INDEX(Sens_Types,MATCH($C1343,Liste_Types,0)),""))</f>
        <v/>
      </c>
      <c r="J1343" s="107">
        <f>IF($I1343="▲ ENTRÉE",$U1343,"")</f>
        <v/>
      </c>
      <c r="K1343" s="108">
        <f>IF($I1343="▼ SORTIE",$U1343,"")</f>
        <v/>
      </c>
      <c r="L1343" s="109">
        <f>$L1342+N($J1343)-N($K1343)</f>
        <v/>
      </c>
      <c r="M1343" s="110" t="n"/>
      <c r="N1343" s="54" t="n"/>
      <c r="O1343" s="54" t="n"/>
      <c r="P1343" s="54" t="n"/>
      <c r="Q1343" s="110" t="n"/>
      <c r="R1343" s="110" t="n"/>
      <c r="S1343" s="54" t="n"/>
      <c r="T1343" s="111">
        <f>IF($G1343="","",IFERROR(INDEX(Taux_Devises,MATCH(IF($M1343="",Devise_Base,$M1343),Codes_Devises,0)),1))</f>
        <v/>
      </c>
      <c r="U1343" s="112">
        <f>IF($G1343="","",ROUND($G1343*$T1343,2))</f>
        <v/>
      </c>
      <c r="V1343" s="113">
        <f>IF($B1343="","",MONTH($B1343))</f>
        <v/>
      </c>
      <c r="W1343" s="113">
        <f>IF($B1343="","",YEAR($B1343))</f>
        <v/>
      </c>
    </row>
    <row r="1344">
      <c r="B1344" s="105" t="n"/>
      <c r="C1344" s="54" t="n"/>
      <c r="D1344" s="54" t="n"/>
      <c r="E1344" s="54" t="n"/>
      <c r="F1344" s="54" t="n"/>
      <c r="G1344" s="65" t="n"/>
      <c r="H1344" s="54" t="n"/>
      <c r="I1344" s="106">
        <f>IF($C1344="","",IFERROR(INDEX(Sens_Types,MATCH($C1344,Liste_Types,0)),""))</f>
        <v/>
      </c>
      <c r="J1344" s="107">
        <f>IF($I1344="▲ ENTRÉE",$U1344,"")</f>
        <v/>
      </c>
      <c r="K1344" s="108">
        <f>IF($I1344="▼ SORTIE",$U1344,"")</f>
        <v/>
      </c>
      <c r="L1344" s="109">
        <f>$L1343+N($J1344)-N($K1344)</f>
        <v/>
      </c>
      <c r="M1344" s="110" t="n"/>
      <c r="N1344" s="54" t="n"/>
      <c r="O1344" s="54" t="n"/>
      <c r="P1344" s="54" t="n"/>
      <c r="Q1344" s="110" t="n"/>
      <c r="R1344" s="110" t="n"/>
      <c r="S1344" s="54" t="n"/>
      <c r="T1344" s="111">
        <f>IF($G1344="","",IFERROR(INDEX(Taux_Devises,MATCH(IF($M1344="",Devise_Base,$M1344),Codes_Devises,0)),1))</f>
        <v/>
      </c>
      <c r="U1344" s="112">
        <f>IF($G1344="","",ROUND($G1344*$T1344,2))</f>
        <v/>
      </c>
      <c r="V1344" s="113">
        <f>IF($B1344="","",MONTH($B1344))</f>
        <v/>
      </c>
      <c r="W1344" s="113">
        <f>IF($B1344="","",YEAR($B1344))</f>
        <v/>
      </c>
    </row>
    <row r="1345">
      <c r="B1345" s="105" t="n"/>
      <c r="C1345" s="54" t="n"/>
      <c r="D1345" s="54" t="n"/>
      <c r="E1345" s="54" t="n"/>
      <c r="F1345" s="54" t="n"/>
      <c r="G1345" s="65" t="n"/>
      <c r="H1345" s="54" t="n"/>
      <c r="I1345" s="106">
        <f>IF($C1345="","",IFERROR(INDEX(Sens_Types,MATCH($C1345,Liste_Types,0)),""))</f>
        <v/>
      </c>
      <c r="J1345" s="107">
        <f>IF($I1345="▲ ENTRÉE",$U1345,"")</f>
        <v/>
      </c>
      <c r="K1345" s="108">
        <f>IF($I1345="▼ SORTIE",$U1345,"")</f>
        <v/>
      </c>
      <c r="L1345" s="109">
        <f>$L1344+N($J1345)-N($K1345)</f>
        <v/>
      </c>
      <c r="M1345" s="110" t="n"/>
      <c r="N1345" s="54" t="n"/>
      <c r="O1345" s="54" t="n"/>
      <c r="P1345" s="54" t="n"/>
      <c r="Q1345" s="110" t="n"/>
      <c r="R1345" s="110" t="n"/>
      <c r="S1345" s="54" t="n"/>
      <c r="T1345" s="111">
        <f>IF($G1345="","",IFERROR(INDEX(Taux_Devises,MATCH(IF($M1345="",Devise_Base,$M1345),Codes_Devises,0)),1))</f>
        <v/>
      </c>
      <c r="U1345" s="112">
        <f>IF($G1345="","",ROUND($G1345*$T1345,2))</f>
        <v/>
      </c>
      <c r="V1345" s="113">
        <f>IF($B1345="","",MONTH($B1345))</f>
        <v/>
      </c>
      <c r="W1345" s="113">
        <f>IF($B1345="","",YEAR($B1345))</f>
        <v/>
      </c>
    </row>
    <row r="1346">
      <c r="B1346" s="105" t="n"/>
      <c r="C1346" s="54" t="n"/>
      <c r="D1346" s="54" t="n"/>
      <c r="E1346" s="54" t="n"/>
      <c r="F1346" s="54" t="n"/>
      <c r="G1346" s="65" t="n"/>
      <c r="H1346" s="54" t="n"/>
      <c r="I1346" s="106">
        <f>IF($C1346="","",IFERROR(INDEX(Sens_Types,MATCH($C1346,Liste_Types,0)),""))</f>
        <v/>
      </c>
      <c r="J1346" s="107">
        <f>IF($I1346="▲ ENTRÉE",$U1346,"")</f>
        <v/>
      </c>
      <c r="K1346" s="108">
        <f>IF($I1346="▼ SORTIE",$U1346,"")</f>
        <v/>
      </c>
      <c r="L1346" s="109">
        <f>$L1345+N($J1346)-N($K1346)</f>
        <v/>
      </c>
      <c r="M1346" s="110" t="n"/>
      <c r="N1346" s="54" t="n"/>
      <c r="O1346" s="54" t="n"/>
      <c r="P1346" s="54" t="n"/>
      <c r="Q1346" s="110" t="n"/>
      <c r="R1346" s="110" t="n"/>
      <c r="S1346" s="54" t="n"/>
      <c r="T1346" s="111">
        <f>IF($G1346="","",IFERROR(INDEX(Taux_Devises,MATCH(IF($M1346="",Devise_Base,$M1346),Codes_Devises,0)),1))</f>
        <v/>
      </c>
      <c r="U1346" s="112">
        <f>IF($G1346="","",ROUND($G1346*$T1346,2))</f>
        <v/>
      </c>
      <c r="V1346" s="113">
        <f>IF($B1346="","",MONTH($B1346))</f>
        <v/>
      </c>
      <c r="W1346" s="113">
        <f>IF($B1346="","",YEAR($B1346))</f>
        <v/>
      </c>
    </row>
    <row r="1347">
      <c r="B1347" s="105" t="n"/>
      <c r="C1347" s="54" t="n"/>
      <c r="D1347" s="54" t="n"/>
      <c r="E1347" s="54" t="n"/>
      <c r="F1347" s="54" t="n"/>
      <c r="G1347" s="65" t="n"/>
      <c r="H1347" s="54" t="n"/>
      <c r="I1347" s="106">
        <f>IF($C1347="","",IFERROR(INDEX(Sens_Types,MATCH($C1347,Liste_Types,0)),""))</f>
        <v/>
      </c>
      <c r="J1347" s="107">
        <f>IF($I1347="▲ ENTRÉE",$U1347,"")</f>
        <v/>
      </c>
      <c r="K1347" s="108">
        <f>IF($I1347="▼ SORTIE",$U1347,"")</f>
        <v/>
      </c>
      <c r="L1347" s="109">
        <f>$L1346+N($J1347)-N($K1347)</f>
        <v/>
      </c>
      <c r="M1347" s="110" t="n"/>
      <c r="N1347" s="54" t="n"/>
      <c r="O1347" s="54" t="n"/>
      <c r="P1347" s="54" t="n"/>
      <c r="Q1347" s="110" t="n"/>
      <c r="R1347" s="110" t="n"/>
      <c r="S1347" s="54" t="n"/>
      <c r="T1347" s="111">
        <f>IF($G1347="","",IFERROR(INDEX(Taux_Devises,MATCH(IF($M1347="",Devise_Base,$M1347),Codes_Devises,0)),1))</f>
        <v/>
      </c>
      <c r="U1347" s="112">
        <f>IF($G1347="","",ROUND($G1347*$T1347,2))</f>
        <v/>
      </c>
      <c r="V1347" s="113">
        <f>IF($B1347="","",MONTH($B1347))</f>
        <v/>
      </c>
      <c r="W1347" s="113">
        <f>IF($B1347="","",YEAR($B1347))</f>
        <v/>
      </c>
    </row>
    <row r="1348">
      <c r="B1348" s="105" t="n"/>
      <c r="C1348" s="54" t="n"/>
      <c r="D1348" s="54" t="n"/>
      <c r="E1348" s="54" t="n"/>
      <c r="F1348" s="54" t="n"/>
      <c r="G1348" s="65" t="n"/>
      <c r="H1348" s="54" t="n"/>
      <c r="I1348" s="106">
        <f>IF($C1348="","",IFERROR(INDEX(Sens_Types,MATCH($C1348,Liste_Types,0)),""))</f>
        <v/>
      </c>
      <c r="J1348" s="107">
        <f>IF($I1348="▲ ENTRÉE",$U1348,"")</f>
        <v/>
      </c>
      <c r="K1348" s="108">
        <f>IF($I1348="▼ SORTIE",$U1348,"")</f>
        <v/>
      </c>
      <c r="L1348" s="109">
        <f>$L1347+N($J1348)-N($K1348)</f>
        <v/>
      </c>
      <c r="M1348" s="110" t="n"/>
      <c r="N1348" s="54" t="n"/>
      <c r="O1348" s="54" t="n"/>
      <c r="P1348" s="54" t="n"/>
      <c r="Q1348" s="110" t="n"/>
      <c r="R1348" s="110" t="n"/>
      <c r="S1348" s="54" t="n"/>
      <c r="T1348" s="111">
        <f>IF($G1348="","",IFERROR(INDEX(Taux_Devises,MATCH(IF($M1348="",Devise_Base,$M1348),Codes_Devises,0)),1))</f>
        <v/>
      </c>
      <c r="U1348" s="112">
        <f>IF($G1348="","",ROUND($G1348*$T1348,2))</f>
        <v/>
      </c>
      <c r="V1348" s="113">
        <f>IF($B1348="","",MONTH($B1348))</f>
        <v/>
      </c>
      <c r="W1348" s="113">
        <f>IF($B1348="","",YEAR($B1348))</f>
        <v/>
      </c>
    </row>
    <row r="1349">
      <c r="B1349" s="105" t="n"/>
      <c r="C1349" s="54" t="n"/>
      <c r="D1349" s="54" t="n"/>
      <c r="E1349" s="54" t="n"/>
      <c r="F1349" s="54" t="n"/>
      <c r="G1349" s="65" t="n"/>
      <c r="H1349" s="54" t="n"/>
      <c r="I1349" s="106">
        <f>IF($C1349="","",IFERROR(INDEX(Sens_Types,MATCH($C1349,Liste_Types,0)),""))</f>
        <v/>
      </c>
      <c r="J1349" s="107">
        <f>IF($I1349="▲ ENTRÉE",$U1349,"")</f>
        <v/>
      </c>
      <c r="K1349" s="108">
        <f>IF($I1349="▼ SORTIE",$U1349,"")</f>
        <v/>
      </c>
      <c r="L1349" s="109">
        <f>$L1348+N($J1349)-N($K1349)</f>
        <v/>
      </c>
      <c r="M1349" s="110" t="n"/>
      <c r="N1349" s="54" t="n"/>
      <c r="O1349" s="54" t="n"/>
      <c r="P1349" s="54" t="n"/>
      <c r="Q1349" s="110" t="n"/>
      <c r="R1349" s="110" t="n"/>
      <c r="S1349" s="54" t="n"/>
      <c r="T1349" s="111">
        <f>IF($G1349="","",IFERROR(INDEX(Taux_Devises,MATCH(IF($M1349="",Devise_Base,$M1349),Codes_Devises,0)),1))</f>
        <v/>
      </c>
      <c r="U1349" s="112">
        <f>IF($G1349="","",ROUND($G1349*$T1349,2))</f>
        <v/>
      </c>
      <c r="V1349" s="113">
        <f>IF($B1349="","",MONTH($B1349))</f>
        <v/>
      </c>
      <c r="W1349" s="113">
        <f>IF($B1349="","",YEAR($B1349))</f>
        <v/>
      </c>
    </row>
    <row r="1350">
      <c r="B1350" s="105" t="n"/>
      <c r="C1350" s="54" t="n"/>
      <c r="D1350" s="54" t="n"/>
      <c r="E1350" s="54" t="n"/>
      <c r="F1350" s="54" t="n"/>
      <c r="G1350" s="65" t="n"/>
      <c r="H1350" s="54" t="n"/>
      <c r="I1350" s="106">
        <f>IF($C1350="","",IFERROR(INDEX(Sens_Types,MATCH($C1350,Liste_Types,0)),""))</f>
        <v/>
      </c>
      <c r="J1350" s="107">
        <f>IF($I1350="▲ ENTRÉE",$U1350,"")</f>
        <v/>
      </c>
      <c r="K1350" s="108">
        <f>IF($I1350="▼ SORTIE",$U1350,"")</f>
        <v/>
      </c>
      <c r="L1350" s="109">
        <f>$L1349+N($J1350)-N($K1350)</f>
        <v/>
      </c>
      <c r="M1350" s="110" t="n"/>
      <c r="N1350" s="54" t="n"/>
      <c r="O1350" s="54" t="n"/>
      <c r="P1350" s="54" t="n"/>
      <c r="Q1350" s="110" t="n"/>
      <c r="R1350" s="110" t="n"/>
      <c r="S1350" s="54" t="n"/>
      <c r="T1350" s="111">
        <f>IF($G1350="","",IFERROR(INDEX(Taux_Devises,MATCH(IF($M1350="",Devise_Base,$M1350),Codes_Devises,0)),1))</f>
        <v/>
      </c>
      <c r="U1350" s="112">
        <f>IF($G1350="","",ROUND($G1350*$T1350,2))</f>
        <v/>
      </c>
      <c r="V1350" s="113">
        <f>IF($B1350="","",MONTH($B1350))</f>
        <v/>
      </c>
      <c r="W1350" s="113">
        <f>IF($B1350="","",YEAR($B1350))</f>
        <v/>
      </c>
    </row>
    <row r="1351">
      <c r="B1351" s="105" t="n"/>
      <c r="C1351" s="54" t="n"/>
      <c r="D1351" s="54" t="n"/>
      <c r="E1351" s="54" t="n"/>
      <c r="F1351" s="54" t="n"/>
      <c r="G1351" s="65" t="n"/>
      <c r="H1351" s="54" t="n"/>
      <c r="I1351" s="106">
        <f>IF($C1351="","",IFERROR(INDEX(Sens_Types,MATCH($C1351,Liste_Types,0)),""))</f>
        <v/>
      </c>
      <c r="J1351" s="107">
        <f>IF($I1351="▲ ENTRÉE",$U1351,"")</f>
        <v/>
      </c>
      <c r="K1351" s="108">
        <f>IF($I1351="▼ SORTIE",$U1351,"")</f>
        <v/>
      </c>
      <c r="L1351" s="109">
        <f>$L1350+N($J1351)-N($K1351)</f>
        <v/>
      </c>
      <c r="M1351" s="110" t="n"/>
      <c r="N1351" s="54" t="n"/>
      <c r="O1351" s="54" t="n"/>
      <c r="P1351" s="54" t="n"/>
      <c r="Q1351" s="110" t="n"/>
      <c r="R1351" s="110" t="n"/>
      <c r="S1351" s="54" t="n"/>
      <c r="T1351" s="111">
        <f>IF($G1351="","",IFERROR(INDEX(Taux_Devises,MATCH(IF($M1351="",Devise_Base,$M1351),Codes_Devises,0)),1))</f>
        <v/>
      </c>
      <c r="U1351" s="112">
        <f>IF($G1351="","",ROUND($G1351*$T1351,2))</f>
        <v/>
      </c>
      <c r="V1351" s="113">
        <f>IF($B1351="","",MONTH($B1351))</f>
        <v/>
      </c>
      <c r="W1351" s="113">
        <f>IF($B1351="","",YEAR($B1351))</f>
        <v/>
      </c>
    </row>
    <row r="1352">
      <c r="B1352" s="105" t="n"/>
      <c r="C1352" s="54" t="n"/>
      <c r="D1352" s="54" t="n"/>
      <c r="E1352" s="54" t="n"/>
      <c r="F1352" s="54" t="n"/>
      <c r="G1352" s="65" t="n"/>
      <c r="H1352" s="54" t="n"/>
      <c r="I1352" s="106">
        <f>IF($C1352="","",IFERROR(INDEX(Sens_Types,MATCH($C1352,Liste_Types,0)),""))</f>
        <v/>
      </c>
      <c r="J1352" s="107">
        <f>IF($I1352="▲ ENTRÉE",$U1352,"")</f>
        <v/>
      </c>
      <c r="K1352" s="108">
        <f>IF($I1352="▼ SORTIE",$U1352,"")</f>
        <v/>
      </c>
      <c r="L1352" s="109">
        <f>$L1351+N($J1352)-N($K1352)</f>
        <v/>
      </c>
      <c r="M1352" s="110" t="n"/>
      <c r="N1352" s="54" t="n"/>
      <c r="O1352" s="54" t="n"/>
      <c r="P1352" s="54" t="n"/>
      <c r="Q1352" s="110" t="n"/>
      <c r="R1352" s="110" t="n"/>
      <c r="S1352" s="54" t="n"/>
      <c r="T1352" s="111">
        <f>IF($G1352="","",IFERROR(INDEX(Taux_Devises,MATCH(IF($M1352="",Devise_Base,$M1352),Codes_Devises,0)),1))</f>
        <v/>
      </c>
      <c r="U1352" s="112">
        <f>IF($G1352="","",ROUND($G1352*$T1352,2))</f>
        <v/>
      </c>
      <c r="V1352" s="113">
        <f>IF($B1352="","",MONTH($B1352))</f>
        <v/>
      </c>
      <c r="W1352" s="113">
        <f>IF($B1352="","",YEAR($B1352))</f>
        <v/>
      </c>
    </row>
    <row r="1353">
      <c r="B1353" s="105" t="n"/>
      <c r="C1353" s="54" t="n"/>
      <c r="D1353" s="54" t="n"/>
      <c r="E1353" s="54" t="n"/>
      <c r="F1353" s="54" t="n"/>
      <c r="G1353" s="65" t="n"/>
      <c r="H1353" s="54" t="n"/>
      <c r="I1353" s="106">
        <f>IF($C1353="","",IFERROR(INDEX(Sens_Types,MATCH($C1353,Liste_Types,0)),""))</f>
        <v/>
      </c>
      <c r="J1353" s="107">
        <f>IF($I1353="▲ ENTRÉE",$U1353,"")</f>
        <v/>
      </c>
      <c r="K1353" s="108">
        <f>IF($I1353="▼ SORTIE",$U1353,"")</f>
        <v/>
      </c>
      <c r="L1353" s="109">
        <f>$L1352+N($J1353)-N($K1353)</f>
        <v/>
      </c>
      <c r="M1353" s="110" t="n"/>
      <c r="N1353" s="54" t="n"/>
      <c r="O1353" s="54" t="n"/>
      <c r="P1353" s="54" t="n"/>
      <c r="Q1353" s="110" t="n"/>
      <c r="R1353" s="110" t="n"/>
      <c r="S1353" s="54" t="n"/>
      <c r="T1353" s="111">
        <f>IF($G1353="","",IFERROR(INDEX(Taux_Devises,MATCH(IF($M1353="",Devise_Base,$M1353),Codes_Devises,0)),1))</f>
        <v/>
      </c>
      <c r="U1353" s="112">
        <f>IF($G1353="","",ROUND($G1353*$T1353,2))</f>
        <v/>
      </c>
      <c r="V1353" s="113">
        <f>IF($B1353="","",MONTH($B1353))</f>
        <v/>
      </c>
      <c r="W1353" s="113">
        <f>IF($B1353="","",YEAR($B1353))</f>
        <v/>
      </c>
    </row>
    <row r="1354">
      <c r="B1354" s="105" t="n"/>
      <c r="C1354" s="54" t="n"/>
      <c r="D1354" s="54" t="n"/>
      <c r="E1354" s="54" t="n"/>
      <c r="F1354" s="54" t="n"/>
      <c r="G1354" s="65" t="n"/>
      <c r="H1354" s="54" t="n"/>
      <c r="I1354" s="106">
        <f>IF($C1354="","",IFERROR(INDEX(Sens_Types,MATCH($C1354,Liste_Types,0)),""))</f>
        <v/>
      </c>
      <c r="J1354" s="107">
        <f>IF($I1354="▲ ENTRÉE",$U1354,"")</f>
        <v/>
      </c>
      <c r="K1354" s="108">
        <f>IF($I1354="▼ SORTIE",$U1354,"")</f>
        <v/>
      </c>
      <c r="L1354" s="109">
        <f>$L1353+N($J1354)-N($K1354)</f>
        <v/>
      </c>
      <c r="M1354" s="110" t="n"/>
      <c r="N1354" s="54" t="n"/>
      <c r="O1354" s="54" t="n"/>
      <c r="P1354" s="54" t="n"/>
      <c r="Q1354" s="110" t="n"/>
      <c r="R1354" s="110" t="n"/>
      <c r="S1354" s="54" t="n"/>
      <c r="T1354" s="111">
        <f>IF($G1354="","",IFERROR(INDEX(Taux_Devises,MATCH(IF($M1354="",Devise_Base,$M1354),Codes_Devises,0)),1))</f>
        <v/>
      </c>
      <c r="U1354" s="112">
        <f>IF($G1354="","",ROUND($G1354*$T1354,2))</f>
        <v/>
      </c>
      <c r="V1354" s="113">
        <f>IF($B1354="","",MONTH($B1354))</f>
        <v/>
      </c>
      <c r="W1354" s="113">
        <f>IF($B1354="","",YEAR($B1354))</f>
        <v/>
      </c>
    </row>
    <row r="1355">
      <c r="B1355" s="105" t="n"/>
      <c r="C1355" s="54" t="n"/>
      <c r="D1355" s="54" t="n"/>
      <c r="E1355" s="54" t="n"/>
      <c r="F1355" s="54" t="n"/>
      <c r="G1355" s="65" t="n"/>
      <c r="H1355" s="54" t="n"/>
      <c r="I1355" s="106">
        <f>IF($C1355="","",IFERROR(INDEX(Sens_Types,MATCH($C1355,Liste_Types,0)),""))</f>
        <v/>
      </c>
      <c r="J1355" s="107">
        <f>IF($I1355="▲ ENTRÉE",$U1355,"")</f>
        <v/>
      </c>
      <c r="K1355" s="108">
        <f>IF($I1355="▼ SORTIE",$U1355,"")</f>
        <v/>
      </c>
      <c r="L1355" s="109">
        <f>$L1354+N($J1355)-N($K1355)</f>
        <v/>
      </c>
      <c r="M1355" s="110" t="n"/>
      <c r="N1355" s="54" t="n"/>
      <c r="O1355" s="54" t="n"/>
      <c r="P1355" s="54" t="n"/>
      <c r="Q1355" s="110" t="n"/>
      <c r="R1355" s="110" t="n"/>
      <c r="S1355" s="54" t="n"/>
      <c r="T1355" s="111">
        <f>IF($G1355="","",IFERROR(INDEX(Taux_Devises,MATCH(IF($M1355="",Devise_Base,$M1355),Codes_Devises,0)),1))</f>
        <v/>
      </c>
      <c r="U1355" s="112">
        <f>IF($G1355="","",ROUND($G1355*$T1355,2))</f>
        <v/>
      </c>
      <c r="V1355" s="113">
        <f>IF($B1355="","",MONTH($B1355))</f>
        <v/>
      </c>
      <c r="W1355" s="113">
        <f>IF($B1355="","",YEAR($B1355))</f>
        <v/>
      </c>
    </row>
    <row r="1356">
      <c r="B1356" s="105" t="n"/>
      <c r="C1356" s="54" t="n"/>
      <c r="D1356" s="54" t="n"/>
      <c r="E1356" s="54" t="n"/>
      <c r="F1356" s="54" t="n"/>
      <c r="G1356" s="65" t="n"/>
      <c r="H1356" s="54" t="n"/>
      <c r="I1356" s="106">
        <f>IF($C1356="","",IFERROR(INDEX(Sens_Types,MATCH($C1356,Liste_Types,0)),""))</f>
        <v/>
      </c>
      <c r="J1356" s="107">
        <f>IF($I1356="▲ ENTRÉE",$U1356,"")</f>
        <v/>
      </c>
      <c r="K1356" s="108">
        <f>IF($I1356="▼ SORTIE",$U1356,"")</f>
        <v/>
      </c>
      <c r="L1356" s="109">
        <f>$L1355+N($J1356)-N($K1356)</f>
        <v/>
      </c>
      <c r="M1356" s="110" t="n"/>
      <c r="N1356" s="54" t="n"/>
      <c r="O1356" s="54" t="n"/>
      <c r="P1356" s="54" t="n"/>
      <c r="Q1356" s="110" t="n"/>
      <c r="R1356" s="110" t="n"/>
      <c r="S1356" s="54" t="n"/>
      <c r="T1356" s="111">
        <f>IF($G1356="","",IFERROR(INDEX(Taux_Devises,MATCH(IF($M1356="",Devise_Base,$M1356),Codes_Devises,0)),1))</f>
        <v/>
      </c>
      <c r="U1356" s="112">
        <f>IF($G1356="","",ROUND($G1356*$T1356,2))</f>
        <v/>
      </c>
      <c r="V1356" s="113">
        <f>IF($B1356="","",MONTH($B1356))</f>
        <v/>
      </c>
      <c r="W1356" s="113">
        <f>IF($B1356="","",YEAR($B1356))</f>
        <v/>
      </c>
    </row>
    <row r="1357">
      <c r="B1357" s="105" t="n"/>
      <c r="C1357" s="54" t="n"/>
      <c r="D1357" s="54" t="n"/>
      <c r="E1357" s="54" t="n"/>
      <c r="F1357" s="54" t="n"/>
      <c r="G1357" s="65" t="n"/>
      <c r="H1357" s="54" t="n"/>
      <c r="I1357" s="106">
        <f>IF($C1357="","",IFERROR(INDEX(Sens_Types,MATCH($C1357,Liste_Types,0)),""))</f>
        <v/>
      </c>
      <c r="J1357" s="107">
        <f>IF($I1357="▲ ENTRÉE",$U1357,"")</f>
        <v/>
      </c>
      <c r="K1357" s="108">
        <f>IF($I1357="▼ SORTIE",$U1357,"")</f>
        <v/>
      </c>
      <c r="L1357" s="109">
        <f>$L1356+N($J1357)-N($K1357)</f>
        <v/>
      </c>
      <c r="M1357" s="110" t="n"/>
      <c r="N1357" s="54" t="n"/>
      <c r="O1357" s="54" t="n"/>
      <c r="P1357" s="54" t="n"/>
      <c r="Q1357" s="110" t="n"/>
      <c r="R1357" s="110" t="n"/>
      <c r="S1357" s="54" t="n"/>
      <c r="T1357" s="111">
        <f>IF($G1357="","",IFERROR(INDEX(Taux_Devises,MATCH(IF($M1357="",Devise_Base,$M1357),Codes_Devises,0)),1))</f>
        <v/>
      </c>
      <c r="U1357" s="112">
        <f>IF($G1357="","",ROUND($G1357*$T1357,2))</f>
        <v/>
      </c>
      <c r="V1357" s="113">
        <f>IF($B1357="","",MONTH($B1357))</f>
        <v/>
      </c>
      <c r="W1357" s="113">
        <f>IF($B1357="","",YEAR($B1357))</f>
        <v/>
      </c>
    </row>
    <row r="1358">
      <c r="B1358" s="105" t="n"/>
      <c r="C1358" s="54" t="n"/>
      <c r="D1358" s="54" t="n"/>
      <c r="E1358" s="54" t="n"/>
      <c r="F1358" s="54" t="n"/>
      <c r="G1358" s="65" t="n"/>
      <c r="H1358" s="54" t="n"/>
      <c r="I1358" s="106">
        <f>IF($C1358="","",IFERROR(INDEX(Sens_Types,MATCH($C1358,Liste_Types,0)),""))</f>
        <v/>
      </c>
      <c r="J1358" s="107">
        <f>IF($I1358="▲ ENTRÉE",$U1358,"")</f>
        <v/>
      </c>
      <c r="K1358" s="108">
        <f>IF($I1358="▼ SORTIE",$U1358,"")</f>
        <v/>
      </c>
      <c r="L1358" s="109">
        <f>$L1357+N($J1358)-N($K1358)</f>
        <v/>
      </c>
      <c r="M1358" s="110" t="n"/>
      <c r="N1358" s="54" t="n"/>
      <c r="O1358" s="54" t="n"/>
      <c r="P1358" s="54" t="n"/>
      <c r="Q1358" s="110" t="n"/>
      <c r="R1358" s="110" t="n"/>
      <c r="S1358" s="54" t="n"/>
      <c r="T1358" s="111">
        <f>IF($G1358="","",IFERROR(INDEX(Taux_Devises,MATCH(IF($M1358="",Devise_Base,$M1358),Codes_Devises,0)),1))</f>
        <v/>
      </c>
      <c r="U1358" s="112">
        <f>IF($G1358="","",ROUND($G1358*$T1358,2))</f>
        <v/>
      </c>
      <c r="V1358" s="113">
        <f>IF($B1358="","",MONTH($B1358))</f>
        <v/>
      </c>
      <c r="W1358" s="113">
        <f>IF($B1358="","",YEAR($B1358))</f>
        <v/>
      </c>
    </row>
    <row r="1359">
      <c r="B1359" s="105" t="n"/>
      <c r="C1359" s="54" t="n"/>
      <c r="D1359" s="54" t="n"/>
      <c r="E1359" s="54" t="n"/>
      <c r="F1359" s="54" t="n"/>
      <c r="G1359" s="65" t="n"/>
      <c r="H1359" s="54" t="n"/>
      <c r="I1359" s="106">
        <f>IF($C1359="","",IFERROR(INDEX(Sens_Types,MATCH($C1359,Liste_Types,0)),""))</f>
        <v/>
      </c>
      <c r="J1359" s="107">
        <f>IF($I1359="▲ ENTRÉE",$U1359,"")</f>
        <v/>
      </c>
      <c r="K1359" s="108">
        <f>IF($I1359="▼ SORTIE",$U1359,"")</f>
        <v/>
      </c>
      <c r="L1359" s="109">
        <f>$L1358+N($J1359)-N($K1359)</f>
        <v/>
      </c>
      <c r="M1359" s="110" t="n"/>
      <c r="N1359" s="54" t="n"/>
      <c r="O1359" s="54" t="n"/>
      <c r="P1359" s="54" t="n"/>
      <c r="Q1359" s="110" t="n"/>
      <c r="R1359" s="110" t="n"/>
      <c r="S1359" s="54" t="n"/>
      <c r="T1359" s="111">
        <f>IF($G1359="","",IFERROR(INDEX(Taux_Devises,MATCH(IF($M1359="",Devise_Base,$M1359),Codes_Devises,0)),1))</f>
        <v/>
      </c>
      <c r="U1359" s="112">
        <f>IF($G1359="","",ROUND($G1359*$T1359,2))</f>
        <v/>
      </c>
      <c r="V1359" s="113">
        <f>IF($B1359="","",MONTH($B1359))</f>
        <v/>
      </c>
      <c r="W1359" s="113">
        <f>IF($B1359="","",YEAR($B1359))</f>
        <v/>
      </c>
    </row>
    <row r="1360">
      <c r="B1360" s="105" t="n"/>
      <c r="C1360" s="54" t="n"/>
      <c r="D1360" s="54" t="n"/>
      <c r="E1360" s="54" t="n"/>
      <c r="F1360" s="54" t="n"/>
      <c r="G1360" s="65" t="n"/>
      <c r="H1360" s="54" t="n"/>
      <c r="I1360" s="106">
        <f>IF($C1360="","",IFERROR(INDEX(Sens_Types,MATCH($C1360,Liste_Types,0)),""))</f>
        <v/>
      </c>
      <c r="J1360" s="107">
        <f>IF($I1360="▲ ENTRÉE",$U1360,"")</f>
        <v/>
      </c>
      <c r="K1360" s="108">
        <f>IF($I1360="▼ SORTIE",$U1360,"")</f>
        <v/>
      </c>
      <c r="L1360" s="109">
        <f>$L1359+N($J1360)-N($K1360)</f>
        <v/>
      </c>
      <c r="M1360" s="110" t="n"/>
      <c r="N1360" s="54" t="n"/>
      <c r="O1360" s="54" t="n"/>
      <c r="P1360" s="54" t="n"/>
      <c r="Q1360" s="110" t="n"/>
      <c r="R1360" s="110" t="n"/>
      <c r="S1360" s="54" t="n"/>
      <c r="T1360" s="111">
        <f>IF($G1360="","",IFERROR(INDEX(Taux_Devises,MATCH(IF($M1360="",Devise_Base,$M1360),Codes_Devises,0)),1))</f>
        <v/>
      </c>
      <c r="U1360" s="112">
        <f>IF($G1360="","",ROUND($G1360*$T1360,2))</f>
        <v/>
      </c>
      <c r="V1360" s="113">
        <f>IF($B1360="","",MONTH($B1360))</f>
        <v/>
      </c>
      <c r="W1360" s="113">
        <f>IF($B1360="","",YEAR($B1360))</f>
        <v/>
      </c>
    </row>
    <row r="1361">
      <c r="B1361" s="105" t="n"/>
      <c r="C1361" s="54" t="n"/>
      <c r="D1361" s="54" t="n"/>
      <c r="E1361" s="54" t="n"/>
      <c r="F1361" s="54" t="n"/>
      <c r="G1361" s="65" t="n"/>
      <c r="H1361" s="54" t="n"/>
      <c r="I1361" s="106">
        <f>IF($C1361="","",IFERROR(INDEX(Sens_Types,MATCH($C1361,Liste_Types,0)),""))</f>
        <v/>
      </c>
      <c r="J1361" s="107">
        <f>IF($I1361="▲ ENTRÉE",$U1361,"")</f>
        <v/>
      </c>
      <c r="K1361" s="108">
        <f>IF($I1361="▼ SORTIE",$U1361,"")</f>
        <v/>
      </c>
      <c r="L1361" s="109">
        <f>$L1360+N($J1361)-N($K1361)</f>
        <v/>
      </c>
      <c r="M1361" s="110" t="n"/>
      <c r="N1361" s="54" t="n"/>
      <c r="O1361" s="54" t="n"/>
      <c r="P1361" s="54" t="n"/>
      <c r="Q1361" s="110" t="n"/>
      <c r="R1361" s="110" t="n"/>
      <c r="S1361" s="54" t="n"/>
      <c r="T1361" s="111">
        <f>IF($G1361="","",IFERROR(INDEX(Taux_Devises,MATCH(IF($M1361="",Devise_Base,$M1361),Codes_Devises,0)),1))</f>
        <v/>
      </c>
      <c r="U1361" s="112">
        <f>IF($G1361="","",ROUND($G1361*$T1361,2))</f>
        <v/>
      </c>
      <c r="V1361" s="113">
        <f>IF($B1361="","",MONTH($B1361))</f>
        <v/>
      </c>
      <c r="W1361" s="113">
        <f>IF($B1361="","",YEAR($B1361))</f>
        <v/>
      </c>
    </row>
    <row r="1362">
      <c r="B1362" s="105" t="n"/>
      <c r="C1362" s="54" t="n"/>
      <c r="D1362" s="54" t="n"/>
      <c r="E1362" s="54" t="n"/>
      <c r="F1362" s="54" t="n"/>
      <c r="G1362" s="65" t="n"/>
      <c r="H1362" s="54" t="n"/>
      <c r="I1362" s="106">
        <f>IF($C1362="","",IFERROR(INDEX(Sens_Types,MATCH($C1362,Liste_Types,0)),""))</f>
        <v/>
      </c>
      <c r="J1362" s="107">
        <f>IF($I1362="▲ ENTRÉE",$U1362,"")</f>
        <v/>
      </c>
      <c r="K1362" s="108">
        <f>IF($I1362="▼ SORTIE",$U1362,"")</f>
        <v/>
      </c>
      <c r="L1362" s="109">
        <f>$L1361+N($J1362)-N($K1362)</f>
        <v/>
      </c>
      <c r="M1362" s="110" t="n"/>
      <c r="N1362" s="54" t="n"/>
      <c r="O1362" s="54" t="n"/>
      <c r="P1362" s="54" t="n"/>
      <c r="Q1362" s="110" t="n"/>
      <c r="R1362" s="110" t="n"/>
      <c r="S1362" s="54" t="n"/>
      <c r="T1362" s="111">
        <f>IF($G1362="","",IFERROR(INDEX(Taux_Devises,MATCH(IF($M1362="",Devise_Base,$M1362),Codes_Devises,0)),1))</f>
        <v/>
      </c>
      <c r="U1362" s="112">
        <f>IF($G1362="","",ROUND($G1362*$T1362,2))</f>
        <v/>
      </c>
      <c r="V1362" s="113">
        <f>IF($B1362="","",MONTH($B1362))</f>
        <v/>
      </c>
      <c r="W1362" s="113">
        <f>IF($B1362="","",YEAR($B1362))</f>
        <v/>
      </c>
    </row>
    <row r="1363">
      <c r="B1363" s="105" t="n"/>
      <c r="C1363" s="54" t="n"/>
      <c r="D1363" s="54" t="n"/>
      <c r="E1363" s="54" t="n"/>
      <c r="F1363" s="54" t="n"/>
      <c r="G1363" s="65" t="n"/>
      <c r="H1363" s="54" t="n"/>
      <c r="I1363" s="106">
        <f>IF($C1363="","",IFERROR(INDEX(Sens_Types,MATCH($C1363,Liste_Types,0)),""))</f>
        <v/>
      </c>
      <c r="J1363" s="107">
        <f>IF($I1363="▲ ENTRÉE",$U1363,"")</f>
        <v/>
      </c>
      <c r="K1363" s="108">
        <f>IF($I1363="▼ SORTIE",$U1363,"")</f>
        <v/>
      </c>
      <c r="L1363" s="109">
        <f>$L1362+N($J1363)-N($K1363)</f>
        <v/>
      </c>
      <c r="M1363" s="110" t="n"/>
      <c r="N1363" s="54" t="n"/>
      <c r="O1363" s="54" t="n"/>
      <c r="P1363" s="54" t="n"/>
      <c r="Q1363" s="110" t="n"/>
      <c r="R1363" s="110" t="n"/>
      <c r="S1363" s="54" t="n"/>
      <c r="T1363" s="111">
        <f>IF($G1363="","",IFERROR(INDEX(Taux_Devises,MATCH(IF($M1363="",Devise_Base,$M1363),Codes_Devises,0)),1))</f>
        <v/>
      </c>
      <c r="U1363" s="112">
        <f>IF($G1363="","",ROUND($G1363*$T1363,2))</f>
        <v/>
      </c>
      <c r="V1363" s="113">
        <f>IF($B1363="","",MONTH($B1363))</f>
        <v/>
      </c>
      <c r="W1363" s="113">
        <f>IF($B1363="","",YEAR($B1363))</f>
        <v/>
      </c>
    </row>
    <row r="1364">
      <c r="B1364" s="105" t="n"/>
      <c r="C1364" s="54" t="n"/>
      <c r="D1364" s="54" t="n"/>
      <c r="E1364" s="54" t="n"/>
      <c r="F1364" s="54" t="n"/>
      <c r="G1364" s="65" t="n"/>
      <c r="H1364" s="54" t="n"/>
      <c r="I1364" s="106">
        <f>IF($C1364="","",IFERROR(INDEX(Sens_Types,MATCH($C1364,Liste_Types,0)),""))</f>
        <v/>
      </c>
      <c r="J1364" s="107">
        <f>IF($I1364="▲ ENTRÉE",$U1364,"")</f>
        <v/>
      </c>
      <c r="K1364" s="108">
        <f>IF($I1364="▼ SORTIE",$U1364,"")</f>
        <v/>
      </c>
      <c r="L1364" s="109">
        <f>$L1363+N($J1364)-N($K1364)</f>
        <v/>
      </c>
      <c r="M1364" s="110" t="n"/>
      <c r="N1364" s="54" t="n"/>
      <c r="O1364" s="54" t="n"/>
      <c r="P1364" s="54" t="n"/>
      <c r="Q1364" s="110" t="n"/>
      <c r="R1364" s="110" t="n"/>
      <c r="S1364" s="54" t="n"/>
      <c r="T1364" s="111">
        <f>IF($G1364="","",IFERROR(INDEX(Taux_Devises,MATCH(IF($M1364="",Devise_Base,$M1364),Codes_Devises,0)),1))</f>
        <v/>
      </c>
      <c r="U1364" s="112">
        <f>IF($G1364="","",ROUND($G1364*$T1364,2))</f>
        <v/>
      </c>
      <c r="V1364" s="113">
        <f>IF($B1364="","",MONTH($B1364))</f>
        <v/>
      </c>
      <c r="W1364" s="113">
        <f>IF($B1364="","",YEAR($B1364))</f>
        <v/>
      </c>
    </row>
    <row r="1365">
      <c r="B1365" s="105" t="n"/>
      <c r="C1365" s="54" t="n"/>
      <c r="D1365" s="54" t="n"/>
      <c r="E1365" s="54" t="n"/>
      <c r="F1365" s="54" t="n"/>
      <c r="G1365" s="65" t="n"/>
      <c r="H1365" s="54" t="n"/>
      <c r="I1365" s="106">
        <f>IF($C1365="","",IFERROR(INDEX(Sens_Types,MATCH($C1365,Liste_Types,0)),""))</f>
        <v/>
      </c>
      <c r="J1365" s="107">
        <f>IF($I1365="▲ ENTRÉE",$U1365,"")</f>
        <v/>
      </c>
      <c r="K1365" s="108">
        <f>IF($I1365="▼ SORTIE",$U1365,"")</f>
        <v/>
      </c>
      <c r="L1365" s="109">
        <f>$L1364+N($J1365)-N($K1365)</f>
        <v/>
      </c>
      <c r="M1365" s="110" t="n"/>
      <c r="N1365" s="54" t="n"/>
      <c r="O1365" s="54" t="n"/>
      <c r="P1365" s="54" t="n"/>
      <c r="Q1365" s="110" t="n"/>
      <c r="R1365" s="110" t="n"/>
      <c r="S1365" s="54" t="n"/>
      <c r="T1365" s="111">
        <f>IF($G1365="","",IFERROR(INDEX(Taux_Devises,MATCH(IF($M1365="",Devise_Base,$M1365),Codes_Devises,0)),1))</f>
        <v/>
      </c>
      <c r="U1365" s="112">
        <f>IF($G1365="","",ROUND($G1365*$T1365,2))</f>
        <v/>
      </c>
      <c r="V1365" s="113">
        <f>IF($B1365="","",MONTH($B1365))</f>
        <v/>
      </c>
      <c r="W1365" s="113">
        <f>IF($B1365="","",YEAR($B1365))</f>
        <v/>
      </c>
    </row>
    <row r="1366">
      <c r="B1366" s="105" t="n"/>
      <c r="C1366" s="54" t="n"/>
      <c r="D1366" s="54" t="n"/>
      <c r="E1366" s="54" t="n"/>
      <c r="F1366" s="54" t="n"/>
      <c r="G1366" s="65" t="n"/>
      <c r="H1366" s="54" t="n"/>
      <c r="I1366" s="106">
        <f>IF($C1366="","",IFERROR(INDEX(Sens_Types,MATCH($C1366,Liste_Types,0)),""))</f>
        <v/>
      </c>
      <c r="J1366" s="107">
        <f>IF($I1366="▲ ENTRÉE",$U1366,"")</f>
        <v/>
      </c>
      <c r="K1366" s="108">
        <f>IF($I1366="▼ SORTIE",$U1366,"")</f>
        <v/>
      </c>
      <c r="L1366" s="109">
        <f>$L1365+N($J1366)-N($K1366)</f>
        <v/>
      </c>
      <c r="M1366" s="110" t="n"/>
      <c r="N1366" s="54" t="n"/>
      <c r="O1366" s="54" t="n"/>
      <c r="P1366" s="54" t="n"/>
      <c r="Q1366" s="110" t="n"/>
      <c r="R1366" s="110" t="n"/>
      <c r="S1366" s="54" t="n"/>
      <c r="T1366" s="111">
        <f>IF($G1366="","",IFERROR(INDEX(Taux_Devises,MATCH(IF($M1366="",Devise_Base,$M1366),Codes_Devises,0)),1))</f>
        <v/>
      </c>
      <c r="U1366" s="112">
        <f>IF($G1366="","",ROUND($G1366*$T1366,2))</f>
        <v/>
      </c>
      <c r="V1366" s="113">
        <f>IF($B1366="","",MONTH($B1366))</f>
        <v/>
      </c>
      <c r="W1366" s="113">
        <f>IF($B1366="","",YEAR($B1366))</f>
        <v/>
      </c>
    </row>
    <row r="1367">
      <c r="B1367" s="105" t="n"/>
      <c r="C1367" s="54" t="n"/>
      <c r="D1367" s="54" t="n"/>
      <c r="E1367" s="54" t="n"/>
      <c r="F1367" s="54" t="n"/>
      <c r="G1367" s="65" t="n"/>
      <c r="H1367" s="54" t="n"/>
      <c r="I1367" s="106">
        <f>IF($C1367="","",IFERROR(INDEX(Sens_Types,MATCH($C1367,Liste_Types,0)),""))</f>
        <v/>
      </c>
      <c r="J1367" s="107">
        <f>IF($I1367="▲ ENTRÉE",$U1367,"")</f>
        <v/>
      </c>
      <c r="K1367" s="108">
        <f>IF($I1367="▼ SORTIE",$U1367,"")</f>
        <v/>
      </c>
      <c r="L1367" s="109">
        <f>$L1366+N($J1367)-N($K1367)</f>
        <v/>
      </c>
      <c r="M1367" s="110" t="n"/>
      <c r="N1367" s="54" t="n"/>
      <c r="O1367" s="54" t="n"/>
      <c r="P1367" s="54" t="n"/>
      <c r="Q1367" s="110" t="n"/>
      <c r="R1367" s="110" t="n"/>
      <c r="S1367" s="54" t="n"/>
      <c r="T1367" s="111">
        <f>IF($G1367="","",IFERROR(INDEX(Taux_Devises,MATCH(IF($M1367="",Devise_Base,$M1367),Codes_Devises,0)),1))</f>
        <v/>
      </c>
      <c r="U1367" s="112">
        <f>IF($G1367="","",ROUND($G1367*$T1367,2))</f>
        <v/>
      </c>
      <c r="V1367" s="113">
        <f>IF($B1367="","",MONTH($B1367))</f>
        <v/>
      </c>
      <c r="W1367" s="113">
        <f>IF($B1367="","",YEAR($B1367))</f>
        <v/>
      </c>
    </row>
    <row r="1368">
      <c r="B1368" s="105" t="n"/>
      <c r="C1368" s="54" t="n"/>
      <c r="D1368" s="54" t="n"/>
      <c r="E1368" s="54" t="n"/>
      <c r="F1368" s="54" t="n"/>
      <c r="G1368" s="65" t="n"/>
      <c r="H1368" s="54" t="n"/>
      <c r="I1368" s="106">
        <f>IF($C1368="","",IFERROR(INDEX(Sens_Types,MATCH($C1368,Liste_Types,0)),""))</f>
        <v/>
      </c>
      <c r="J1368" s="107">
        <f>IF($I1368="▲ ENTRÉE",$U1368,"")</f>
        <v/>
      </c>
      <c r="K1368" s="108">
        <f>IF($I1368="▼ SORTIE",$U1368,"")</f>
        <v/>
      </c>
      <c r="L1368" s="109">
        <f>$L1367+N($J1368)-N($K1368)</f>
        <v/>
      </c>
      <c r="M1368" s="110" t="n"/>
      <c r="N1368" s="54" t="n"/>
      <c r="O1368" s="54" t="n"/>
      <c r="P1368" s="54" t="n"/>
      <c r="Q1368" s="110" t="n"/>
      <c r="R1368" s="110" t="n"/>
      <c r="S1368" s="54" t="n"/>
      <c r="T1368" s="111">
        <f>IF($G1368="","",IFERROR(INDEX(Taux_Devises,MATCH(IF($M1368="",Devise_Base,$M1368),Codes_Devises,0)),1))</f>
        <v/>
      </c>
      <c r="U1368" s="112">
        <f>IF($G1368="","",ROUND($G1368*$T1368,2))</f>
        <v/>
      </c>
      <c r="V1368" s="113">
        <f>IF($B1368="","",MONTH($B1368))</f>
        <v/>
      </c>
      <c r="W1368" s="113">
        <f>IF($B1368="","",YEAR($B1368))</f>
        <v/>
      </c>
    </row>
    <row r="1369">
      <c r="B1369" s="105" t="n"/>
      <c r="C1369" s="54" t="n"/>
      <c r="D1369" s="54" t="n"/>
      <c r="E1369" s="54" t="n"/>
      <c r="F1369" s="54" t="n"/>
      <c r="G1369" s="65" t="n"/>
      <c r="H1369" s="54" t="n"/>
      <c r="I1369" s="106">
        <f>IF($C1369="","",IFERROR(INDEX(Sens_Types,MATCH($C1369,Liste_Types,0)),""))</f>
        <v/>
      </c>
      <c r="J1369" s="107">
        <f>IF($I1369="▲ ENTRÉE",$U1369,"")</f>
        <v/>
      </c>
      <c r="K1369" s="108">
        <f>IF($I1369="▼ SORTIE",$U1369,"")</f>
        <v/>
      </c>
      <c r="L1369" s="109">
        <f>$L1368+N($J1369)-N($K1369)</f>
        <v/>
      </c>
      <c r="M1369" s="110" t="n"/>
      <c r="N1369" s="54" t="n"/>
      <c r="O1369" s="54" t="n"/>
      <c r="P1369" s="54" t="n"/>
      <c r="Q1369" s="110" t="n"/>
      <c r="R1369" s="110" t="n"/>
      <c r="S1369" s="54" t="n"/>
      <c r="T1369" s="111">
        <f>IF($G1369="","",IFERROR(INDEX(Taux_Devises,MATCH(IF($M1369="",Devise_Base,$M1369),Codes_Devises,0)),1))</f>
        <v/>
      </c>
      <c r="U1369" s="112">
        <f>IF($G1369="","",ROUND($G1369*$T1369,2))</f>
        <v/>
      </c>
      <c r="V1369" s="113">
        <f>IF($B1369="","",MONTH($B1369))</f>
        <v/>
      </c>
      <c r="W1369" s="113">
        <f>IF($B1369="","",YEAR($B1369))</f>
        <v/>
      </c>
    </row>
    <row r="1370">
      <c r="B1370" s="105" t="n"/>
      <c r="C1370" s="54" t="n"/>
      <c r="D1370" s="54" t="n"/>
      <c r="E1370" s="54" t="n"/>
      <c r="F1370" s="54" t="n"/>
      <c r="G1370" s="65" t="n"/>
      <c r="H1370" s="54" t="n"/>
      <c r="I1370" s="106">
        <f>IF($C1370="","",IFERROR(INDEX(Sens_Types,MATCH($C1370,Liste_Types,0)),""))</f>
        <v/>
      </c>
      <c r="J1370" s="107">
        <f>IF($I1370="▲ ENTRÉE",$U1370,"")</f>
        <v/>
      </c>
      <c r="K1370" s="108">
        <f>IF($I1370="▼ SORTIE",$U1370,"")</f>
        <v/>
      </c>
      <c r="L1370" s="109">
        <f>$L1369+N($J1370)-N($K1370)</f>
        <v/>
      </c>
      <c r="M1370" s="110" t="n"/>
      <c r="N1370" s="54" t="n"/>
      <c r="O1370" s="54" t="n"/>
      <c r="P1370" s="54" t="n"/>
      <c r="Q1370" s="110" t="n"/>
      <c r="R1370" s="110" t="n"/>
      <c r="S1370" s="54" t="n"/>
      <c r="T1370" s="111">
        <f>IF($G1370="","",IFERROR(INDEX(Taux_Devises,MATCH(IF($M1370="",Devise_Base,$M1370),Codes_Devises,0)),1))</f>
        <v/>
      </c>
      <c r="U1370" s="112">
        <f>IF($G1370="","",ROUND($G1370*$T1370,2))</f>
        <v/>
      </c>
      <c r="V1370" s="113">
        <f>IF($B1370="","",MONTH($B1370))</f>
        <v/>
      </c>
      <c r="W1370" s="113">
        <f>IF($B1370="","",YEAR($B1370))</f>
        <v/>
      </c>
    </row>
    <row r="1371">
      <c r="B1371" s="105" t="n"/>
      <c r="C1371" s="54" t="n"/>
      <c r="D1371" s="54" t="n"/>
      <c r="E1371" s="54" t="n"/>
      <c r="F1371" s="54" t="n"/>
      <c r="G1371" s="65" t="n"/>
      <c r="H1371" s="54" t="n"/>
      <c r="I1371" s="106">
        <f>IF($C1371="","",IFERROR(INDEX(Sens_Types,MATCH($C1371,Liste_Types,0)),""))</f>
        <v/>
      </c>
      <c r="J1371" s="107">
        <f>IF($I1371="▲ ENTRÉE",$U1371,"")</f>
        <v/>
      </c>
      <c r="K1371" s="108">
        <f>IF($I1371="▼ SORTIE",$U1371,"")</f>
        <v/>
      </c>
      <c r="L1371" s="109">
        <f>$L1370+N($J1371)-N($K1371)</f>
        <v/>
      </c>
      <c r="M1371" s="110" t="n"/>
      <c r="N1371" s="54" t="n"/>
      <c r="O1371" s="54" t="n"/>
      <c r="P1371" s="54" t="n"/>
      <c r="Q1371" s="110" t="n"/>
      <c r="R1371" s="110" t="n"/>
      <c r="S1371" s="54" t="n"/>
      <c r="T1371" s="111">
        <f>IF($G1371="","",IFERROR(INDEX(Taux_Devises,MATCH(IF($M1371="",Devise_Base,$M1371),Codes_Devises,0)),1))</f>
        <v/>
      </c>
      <c r="U1371" s="112">
        <f>IF($G1371="","",ROUND($G1371*$T1371,2))</f>
        <v/>
      </c>
      <c r="V1371" s="113">
        <f>IF($B1371="","",MONTH($B1371))</f>
        <v/>
      </c>
      <c r="W1371" s="113">
        <f>IF($B1371="","",YEAR($B1371))</f>
        <v/>
      </c>
    </row>
    <row r="1372">
      <c r="B1372" s="105" t="n"/>
      <c r="C1372" s="54" t="n"/>
      <c r="D1372" s="54" t="n"/>
      <c r="E1372" s="54" t="n"/>
      <c r="F1372" s="54" t="n"/>
      <c r="G1372" s="65" t="n"/>
      <c r="H1372" s="54" t="n"/>
      <c r="I1372" s="106">
        <f>IF($C1372="","",IFERROR(INDEX(Sens_Types,MATCH($C1372,Liste_Types,0)),""))</f>
        <v/>
      </c>
      <c r="J1372" s="107">
        <f>IF($I1372="▲ ENTRÉE",$U1372,"")</f>
        <v/>
      </c>
      <c r="K1372" s="108">
        <f>IF($I1372="▼ SORTIE",$U1372,"")</f>
        <v/>
      </c>
      <c r="L1372" s="109">
        <f>$L1371+N($J1372)-N($K1372)</f>
        <v/>
      </c>
      <c r="M1372" s="110" t="n"/>
      <c r="N1372" s="54" t="n"/>
      <c r="O1372" s="54" t="n"/>
      <c r="P1372" s="54" t="n"/>
      <c r="Q1372" s="110" t="n"/>
      <c r="R1372" s="110" t="n"/>
      <c r="S1372" s="54" t="n"/>
      <c r="T1372" s="111">
        <f>IF($G1372="","",IFERROR(INDEX(Taux_Devises,MATCH(IF($M1372="",Devise_Base,$M1372),Codes_Devises,0)),1))</f>
        <v/>
      </c>
      <c r="U1372" s="112">
        <f>IF($G1372="","",ROUND($G1372*$T1372,2))</f>
        <v/>
      </c>
      <c r="V1372" s="113">
        <f>IF($B1372="","",MONTH($B1372))</f>
        <v/>
      </c>
      <c r="W1372" s="113">
        <f>IF($B1372="","",YEAR($B1372))</f>
        <v/>
      </c>
    </row>
    <row r="1373">
      <c r="B1373" s="105" t="n"/>
      <c r="C1373" s="54" t="n"/>
      <c r="D1373" s="54" t="n"/>
      <c r="E1373" s="54" t="n"/>
      <c r="F1373" s="54" t="n"/>
      <c r="G1373" s="65" t="n"/>
      <c r="H1373" s="54" t="n"/>
      <c r="I1373" s="106">
        <f>IF($C1373="","",IFERROR(INDEX(Sens_Types,MATCH($C1373,Liste_Types,0)),""))</f>
        <v/>
      </c>
      <c r="J1373" s="107">
        <f>IF($I1373="▲ ENTRÉE",$U1373,"")</f>
        <v/>
      </c>
      <c r="K1373" s="108">
        <f>IF($I1373="▼ SORTIE",$U1373,"")</f>
        <v/>
      </c>
      <c r="L1373" s="109">
        <f>$L1372+N($J1373)-N($K1373)</f>
        <v/>
      </c>
      <c r="M1373" s="110" t="n"/>
      <c r="N1373" s="54" t="n"/>
      <c r="O1373" s="54" t="n"/>
      <c r="P1373" s="54" t="n"/>
      <c r="Q1373" s="110" t="n"/>
      <c r="R1373" s="110" t="n"/>
      <c r="S1373" s="54" t="n"/>
      <c r="T1373" s="111">
        <f>IF($G1373="","",IFERROR(INDEX(Taux_Devises,MATCH(IF($M1373="",Devise_Base,$M1373),Codes_Devises,0)),1))</f>
        <v/>
      </c>
      <c r="U1373" s="112">
        <f>IF($G1373="","",ROUND($G1373*$T1373,2))</f>
        <v/>
      </c>
      <c r="V1373" s="113">
        <f>IF($B1373="","",MONTH($B1373))</f>
        <v/>
      </c>
      <c r="W1373" s="113">
        <f>IF($B1373="","",YEAR($B1373))</f>
        <v/>
      </c>
    </row>
    <row r="1374">
      <c r="B1374" s="105" t="n"/>
      <c r="C1374" s="54" t="n"/>
      <c r="D1374" s="54" t="n"/>
      <c r="E1374" s="54" t="n"/>
      <c r="F1374" s="54" t="n"/>
      <c r="G1374" s="65" t="n"/>
      <c r="H1374" s="54" t="n"/>
      <c r="I1374" s="106">
        <f>IF($C1374="","",IFERROR(INDEX(Sens_Types,MATCH($C1374,Liste_Types,0)),""))</f>
        <v/>
      </c>
      <c r="J1374" s="107">
        <f>IF($I1374="▲ ENTRÉE",$U1374,"")</f>
        <v/>
      </c>
      <c r="K1374" s="108">
        <f>IF($I1374="▼ SORTIE",$U1374,"")</f>
        <v/>
      </c>
      <c r="L1374" s="109">
        <f>$L1373+N($J1374)-N($K1374)</f>
        <v/>
      </c>
      <c r="M1374" s="110" t="n"/>
      <c r="N1374" s="54" t="n"/>
      <c r="O1374" s="54" t="n"/>
      <c r="P1374" s="54" t="n"/>
      <c r="Q1374" s="110" t="n"/>
      <c r="R1374" s="110" t="n"/>
      <c r="S1374" s="54" t="n"/>
      <c r="T1374" s="111">
        <f>IF($G1374="","",IFERROR(INDEX(Taux_Devises,MATCH(IF($M1374="",Devise_Base,$M1374),Codes_Devises,0)),1))</f>
        <v/>
      </c>
      <c r="U1374" s="112">
        <f>IF($G1374="","",ROUND($G1374*$T1374,2))</f>
        <v/>
      </c>
      <c r="V1374" s="113">
        <f>IF($B1374="","",MONTH($B1374))</f>
        <v/>
      </c>
      <c r="W1374" s="113">
        <f>IF($B1374="","",YEAR($B1374))</f>
        <v/>
      </c>
    </row>
    <row r="1375">
      <c r="B1375" s="105" t="n"/>
      <c r="C1375" s="54" t="n"/>
      <c r="D1375" s="54" t="n"/>
      <c r="E1375" s="54" t="n"/>
      <c r="F1375" s="54" t="n"/>
      <c r="G1375" s="65" t="n"/>
      <c r="H1375" s="54" t="n"/>
      <c r="I1375" s="106">
        <f>IF($C1375="","",IFERROR(INDEX(Sens_Types,MATCH($C1375,Liste_Types,0)),""))</f>
        <v/>
      </c>
      <c r="J1375" s="107">
        <f>IF($I1375="▲ ENTRÉE",$U1375,"")</f>
        <v/>
      </c>
      <c r="K1375" s="108">
        <f>IF($I1375="▼ SORTIE",$U1375,"")</f>
        <v/>
      </c>
      <c r="L1375" s="109">
        <f>$L1374+N($J1375)-N($K1375)</f>
        <v/>
      </c>
      <c r="M1375" s="110" t="n"/>
      <c r="N1375" s="54" t="n"/>
      <c r="O1375" s="54" t="n"/>
      <c r="P1375" s="54" t="n"/>
      <c r="Q1375" s="110" t="n"/>
      <c r="R1375" s="110" t="n"/>
      <c r="S1375" s="54" t="n"/>
      <c r="T1375" s="111">
        <f>IF($G1375="","",IFERROR(INDEX(Taux_Devises,MATCH(IF($M1375="",Devise_Base,$M1375),Codes_Devises,0)),1))</f>
        <v/>
      </c>
      <c r="U1375" s="112">
        <f>IF($G1375="","",ROUND($G1375*$T1375,2))</f>
        <v/>
      </c>
      <c r="V1375" s="113">
        <f>IF($B1375="","",MONTH($B1375))</f>
        <v/>
      </c>
      <c r="W1375" s="113">
        <f>IF($B1375="","",YEAR($B1375))</f>
        <v/>
      </c>
    </row>
    <row r="1376">
      <c r="B1376" s="105" t="n"/>
      <c r="C1376" s="54" t="n"/>
      <c r="D1376" s="54" t="n"/>
      <c r="E1376" s="54" t="n"/>
      <c r="F1376" s="54" t="n"/>
      <c r="G1376" s="65" t="n"/>
      <c r="H1376" s="54" t="n"/>
      <c r="I1376" s="106">
        <f>IF($C1376="","",IFERROR(INDEX(Sens_Types,MATCH($C1376,Liste_Types,0)),""))</f>
        <v/>
      </c>
      <c r="J1376" s="107">
        <f>IF($I1376="▲ ENTRÉE",$U1376,"")</f>
        <v/>
      </c>
      <c r="K1376" s="108">
        <f>IF($I1376="▼ SORTIE",$U1376,"")</f>
        <v/>
      </c>
      <c r="L1376" s="109">
        <f>$L1375+N($J1376)-N($K1376)</f>
        <v/>
      </c>
      <c r="M1376" s="110" t="n"/>
      <c r="N1376" s="54" t="n"/>
      <c r="O1376" s="54" t="n"/>
      <c r="P1376" s="54" t="n"/>
      <c r="Q1376" s="110" t="n"/>
      <c r="R1376" s="110" t="n"/>
      <c r="S1376" s="54" t="n"/>
      <c r="T1376" s="111">
        <f>IF($G1376="","",IFERROR(INDEX(Taux_Devises,MATCH(IF($M1376="",Devise_Base,$M1376),Codes_Devises,0)),1))</f>
        <v/>
      </c>
      <c r="U1376" s="112">
        <f>IF($G1376="","",ROUND($G1376*$T1376,2))</f>
        <v/>
      </c>
      <c r="V1376" s="113">
        <f>IF($B1376="","",MONTH($B1376))</f>
        <v/>
      </c>
      <c r="W1376" s="113">
        <f>IF($B1376="","",YEAR($B1376))</f>
        <v/>
      </c>
    </row>
    <row r="1377">
      <c r="B1377" s="105" t="n"/>
      <c r="C1377" s="54" t="n"/>
      <c r="D1377" s="54" t="n"/>
      <c r="E1377" s="54" t="n"/>
      <c r="F1377" s="54" t="n"/>
      <c r="G1377" s="65" t="n"/>
      <c r="H1377" s="54" t="n"/>
      <c r="I1377" s="106">
        <f>IF($C1377="","",IFERROR(INDEX(Sens_Types,MATCH($C1377,Liste_Types,0)),""))</f>
        <v/>
      </c>
      <c r="J1377" s="107">
        <f>IF($I1377="▲ ENTRÉE",$U1377,"")</f>
        <v/>
      </c>
      <c r="K1377" s="108">
        <f>IF($I1377="▼ SORTIE",$U1377,"")</f>
        <v/>
      </c>
      <c r="L1377" s="109">
        <f>$L1376+N($J1377)-N($K1377)</f>
        <v/>
      </c>
      <c r="M1377" s="110" t="n"/>
      <c r="N1377" s="54" t="n"/>
      <c r="O1377" s="54" t="n"/>
      <c r="P1377" s="54" t="n"/>
      <c r="Q1377" s="110" t="n"/>
      <c r="R1377" s="110" t="n"/>
      <c r="S1377" s="54" t="n"/>
      <c r="T1377" s="111">
        <f>IF($G1377="","",IFERROR(INDEX(Taux_Devises,MATCH(IF($M1377="",Devise_Base,$M1377),Codes_Devises,0)),1))</f>
        <v/>
      </c>
      <c r="U1377" s="112">
        <f>IF($G1377="","",ROUND($G1377*$T1377,2))</f>
        <v/>
      </c>
      <c r="V1377" s="113">
        <f>IF($B1377="","",MONTH($B1377))</f>
        <v/>
      </c>
      <c r="W1377" s="113">
        <f>IF($B1377="","",YEAR($B1377))</f>
        <v/>
      </c>
    </row>
    <row r="1378">
      <c r="B1378" s="105" t="n"/>
      <c r="C1378" s="54" t="n"/>
      <c r="D1378" s="54" t="n"/>
      <c r="E1378" s="54" t="n"/>
      <c r="F1378" s="54" t="n"/>
      <c r="G1378" s="65" t="n"/>
      <c r="H1378" s="54" t="n"/>
      <c r="I1378" s="106">
        <f>IF($C1378="","",IFERROR(INDEX(Sens_Types,MATCH($C1378,Liste_Types,0)),""))</f>
        <v/>
      </c>
      <c r="J1378" s="107">
        <f>IF($I1378="▲ ENTRÉE",$U1378,"")</f>
        <v/>
      </c>
      <c r="K1378" s="108">
        <f>IF($I1378="▼ SORTIE",$U1378,"")</f>
        <v/>
      </c>
      <c r="L1378" s="109">
        <f>$L1377+N($J1378)-N($K1378)</f>
        <v/>
      </c>
      <c r="M1378" s="110" t="n"/>
      <c r="N1378" s="54" t="n"/>
      <c r="O1378" s="54" t="n"/>
      <c r="P1378" s="54" t="n"/>
      <c r="Q1378" s="110" t="n"/>
      <c r="R1378" s="110" t="n"/>
      <c r="S1378" s="54" t="n"/>
      <c r="T1378" s="111">
        <f>IF($G1378="","",IFERROR(INDEX(Taux_Devises,MATCH(IF($M1378="",Devise_Base,$M1378),Codes_Devises,0)),1))</f>
        <v/>
      </c>
      <c r="U1378" s="112">
        <f>IF($G1378="","",ROUND($G1378*$T1378,2))</f>
        <v/>
      </c>
      <c r="V1378" s="113">
        <f>IF($B1378="","",MONTH($B1378))</f>
        <v/>
      </c>
      <c r="W1378" s="113">
        <f>IF($B1378="","",YEAR($B1378))</f>
        <v/>
      </c>
    </row>
    <row r="1379">
      <c r="B1379" s="105" t="n"/>
      <c r="C1379" s="54" t="n"/>
      <c r="D1379" s="54" t="n"/>
      <c r="E1379" s="54" t="n"/>
      <c r="F1379" s="54" t="n"/>
      <c r="G1379" s="65" t="n"/>
      <c r="H1379" s="54" t="n"/>
      <c r="I1379" s="106">
        <f>IF($C1379="","",IFERROR(INDEX(Sens_Types,MATCH($C1379,Liste_Types,0)),""))</f>
        <v/>
      </c>
      <c r="J1379" s="107">
        <f>IF($I1379="▲ ENTRÉE",$U1379,"")</f>
        <v/>
      </c>
      <c r="K1379" s="108">
        <f>IF($I1379="▼ SORTIE",$U1379,"")</f>
        <v/>
      </c>
      <c r="L1379" s="109">
        <f>$L1378+N($J1379)-N($K1379)</f>
        <v/>
      </c>
      <c r="M1379" s="110" t="n"/>
      <c r="N1379" s="54" t="n"/>
      <c r="O1379" s="54" t="n"/>
      <c r="P1379" s="54" t="n"/>
      <c r="Q1379" s="110" t="n"/>
      <c r="R1379" s="110" t="n"/>
      <c r="S1379" s="54" t="n"/>
      <c r="T1379" s="111">
        <f>IF($G1379="","",IFERROR(INDEX(Taux_Devises,MATCH(IF($M1379="",Devise_Base,$M1379),Codes_Devises,0)),1))</f>
        <v/>
      </c>
      <c r="U1379" s="112">
        <f>IF($G1379="","",ROUND($G1379*$T1379,2))</f>
        <v/>
      </c>
      <c r="V1379" s="113">
        <f>IF($B1379="","",MONTH($B1379))</f>
        <v/>
      </c>
      <c r="W1379" s="113">
        <f>IF($B1379="","",YEAR($B1379))</f>
        <v/>
      </c>
    </row>
    <row r="1380">
      <c r="B1380" s="105" t="n"/>
      <c r="C1380" s="54" t="n"/>
      <c r="D1380" s="54" t="n"/>
      <c r="E1380" s="54" t="n"/>
      <c r="F1380" s="54" t="n"/>
      <c r="G1380" s="65" t="n"/>
      <c r="H1380" s="54" t="n"/>
      <c r="I1380" s="106">
        <f>IF($C1380="","",IFERROR(INDEX(Sens_Types,MATCH($C1380,Liste_Types,0)),""))</f>
        <v/>
      </c>
      <c r="J1380" s="107">
        <f>IF($I1380="▲ ENTRÉE",$U1380,"")</f>
        <v/>
      </c>
      <c r="K1380" s="108">
        <f>IF($I1380="▼ SORTIE",$U1380,"")</f>
        <v/>
      </c>
      <c r="L1380" s="109">
        <f>$L1379+N($J1380)-N($K1380)</f>
        <v/>
      </c>
      <c r="M1380" s="110" t="n"/>
      <c r="N1380" s="54" t="n"/>
      <c r="O1380" s="54" t="n"/>
      <c r="P1380" s="54" t="n"/>
      <c r="Q1380" s="110" t="n"/>
      <c r="R1380" s="110" t="n"/>
      <c r="S1380" s="54" t="n"/>
      <c r="T1380" s="111">
        <f>IF($G1380="","",IFERROR(INDEX(Taux_Devises,MATCH(IF($M1380="",Devise_Base,$M1380),Codes_Devises,0)),1))</f>
        <v/>
      </c>
      <c r="U1380" s="112">
        <f>IF($G1380="","",ROUND($G1380*$T1380,2))</f>
        <v/>
      </c>
      <c r="V1380" s="113">
        <f>IF($B1380="","",MONTH($B1380))</f>
        <v/>
      </c>
      <c r="W1380" s="113">
        <f>IF($B1380="","",YEAR($B1380))</f>
        <v/>
      </c>
    </row>
    <row r="1381">
      <c r="B1381" s="105" t="n"/>
      <c r="C1381" s="54" t="n"/>
      <c r="D1381" s="54" t="n"/>
      <c r="E1381" s="54" t="n"/>
      <c r="F1381" s="54" t="n"/>
      <c r="G1381" s="65" t="n"/>
      <c r="H1381" s="54" t="n"/>
      <c r="I1381" s="106">
        <f>IF($C1381="","",IFERROR(INDEX(Sens_Types,MATCH($C1381,Liste_Types,0)),""))</f>
        <v/>
      </c>
      <c r="J1381" s="107">
        <f>IF($I1381="▲ ENTRÉE",$U1381,"")</f>
        <v/>
      </c>
      <c r="K1381" s="108">
        <f>IF($I1381="▼ SORTIE",$U1381,"")</f>
        <v/>
      </c>
      <c r="L1381" s="109">
        <f>$L1380+N($J1381)-N($K1381)</f>
        <v/>
      </c>
      <c r="M1381" s="110" t="n"/>
      <c r="N1381" s="54" t="n"/>
      <c r="O1381" s="54" t="n"/>
      <c r="P1381" s="54" t="n"/>
      <c r="Q1381" s="110" t="n"/>
      <c r="R1381" s="110" t="n"/>
      <c r="S1381" s="54" t="n"/>
      <c r="T1381" s="111">
        <f>IF($G1381="","",IFERROR(INDEX(Taux_Devises,MATCH(IF($M1381="",Devise_Base,$M1381),Codes_Devises,0)),1))</f>
        <v/>
      </c>
      <c r="U1381" s="112">
        <f>IF($G1381="","",ROUND($G1381*$T1381,2))</f>
        <v/>
      </c>
      <c r="V1381" s="113">
        <f>IF($B1381="","",MONTH($B1381))</f>
        <v/>
      </c>
      <c r="W1381" s="113">
        <f>IF($B1381="","",YEAR($B1381))</f>
        <v/>
      </c>
    </row>
    <row r="1382">
      <c r="B1382" s="105" t="n"/>
      <c r="C1382" s="54" t="n"/>
      <c r="D1382" s="54" t="n"/>
      <c r="E1382" s="54" t="n"/>
      <c r="F1382" s="54" t="n"/>
      <c r="G1382" s="65" t="n"/>
      <c r="H1382" s="54" t="n"/>
      <c r="I1382" s="106">
        <f>IF($C1382="","",IFERROR(INDEX(Sens_Types,MATCH($C1382,Liste_Types,0)),""))</f>
        <v/>
      </c>
      <c r="J1382" s="107">
        <f>IF($I1382="▲ ENTRÉE",$U1382,"")</f>
        <v/>
      </c>
      <c r="K1382" s="108">
        <f>IF($I1382="▼ SORTIE",$U1382,"")</f>
        <v/>
      </c>
      <c r="L1382" s="109">
        <f>$L1381+N($J1382)-N($K1382)</f>
        <v/>
      </c>
      <c r="M1382" s="110" t="n"/>
      <c r="N1382" s="54" t="n"/>
      <c r="O1382" s="54" t="n"/>
      <c r="P1382" s="54" t="n"/>
      <c r="Q1382" s="110" t="n"/>
      <c r="R1382" s="110" t="n"/>
      <c r="S1382" s="54" t="n"/>
      <c r="T1382" s="111">
        <f>IF($G1382="","",IFERROR(INDEX(Taux_Devises,MATCH(IF($M1382="",Devise_Base,$M1382),Codes_Devises,0)),1))</f>
        <v/>
      </c>
      <c r="U1382" s="112">
        <f>IF($G1382="","",ROUND($G1382*$T1382,2))</f>
        <v/>
      </c>
      <c r="V1382" s="113">
        <f>IF($B1382="","",MONTH($B1382))</f>
        <v/>
      </c>
      <c r="W1382" s="113">
        <f>IF($B1382="","",YEAR($B1382))</f>
        <v/>
      </c>
    </row>
    <row r="1383">
      <c r="B1383" s="105" t="n"/>
      <c r="C1383" s="54" t="n"/>
      <c r="D1383" s="54" t="n"/>
      <c r="E1383" s="54" t="n"/>
      <c r="F1383" s="54" t="n"/>
      <c r="G1383" s="65" t="n"/>
      <c r="H1383" s="54" t="n"/>
      <c r="I1383" s="106">
        <f>IF($C1383="","",IFERROR(INDEX(Sens_Types,MATCH($C1383,Liste_Types,0)),""))</f>
        <v/>
      </c>
      <c r="J1383" s="107">
        <f>IF($I1383="▲ ENTRÉE",$U1383,"")</f>
        <v/>
      </c>
      <c r="K1383" s="108">
        <f>IF($I1383="▼ SORTIE",$U1383,"")</f>
        <v/>
      </c>
      <c r="L1383" s="109">
        <f>$L1382+N($J1383)-N($K1383)</f>
        <v/>
      </c>
      <c r="M1383" s="110" t="n"/>
      <c r="N1383" s="54" t="n"/>
      <c r="O1383" s="54" t="n"/>
      <c r="P1383" s="54" t="n"/>
      <c r="Q1383" s="110" t="n"/>
      <c r="R1383" s="110" t="n"/>
      <c r="S1383" s="54" t="n"/>
      <c r="T1383" s="111">
        <f>IF($G1383="","",IFERROR(INDEX(Taux_Devises,MATCH(IF($M1383="",Devise_Base,$M1383),Codes_Devises,0)),1))</f>
        <v/>
      </c>
      <c r="U1383" s="112">
        <f>IF($G1383="","",ROUND($G1383*$T1383,2))</f>
        <v/>
      </c>
      <c r="V1383" s="113">
        <f>IF($B1383="","",MONTH($B1383))</f>
        <v/>
      </c>
      <c r="W1383" s="113">
        <f>IF($B1383="","",YEAR($B1383))</f>
        <v/>
      </c>
    </row>
    <row r="1384">
      <c r="B1384" s="105" t="n"/>
      <c r="C1384" s="54" t="n"/>
      <c r="D1384" s="54" t="n"/>
      <c r="E1384" s="54" t="n"/>
      <c r="F1384" s="54" t="n"/>
      <c r="G1384" s="65" t="n"/>
      <c r="H1384" s="54" t="n"/>
      <c r="I1384" s="106">
        <f>IF($C1384="","",IFERROR(INDEX(Sens_Types,MATCH($C1384,Liste_Types,0)),""))</f>
        <v/>
      </c>
      <c r="J1384" s="107">
        <f>IF($I1384="▲ ENTRÉE",$U1384,"")</f>
        <v/>
      </c>
      <c r="K1384" s="108">
        <f>IF($I1384="▼ SORTIE",$U1384,"")</f>
        <v/>
      </c>
      <c r="L1384" s="109">
        <f>$L1383+N($J1384)-N($K1384)</f>
        <v/>
      </c>
      <c r="M1384" s="110" t="n"/>
      <c r="N1384" s="54" t="n"/>
      <c r="O1384" s="54" t="n"/>
      <c r="P1384" s="54" t="n"/>
      <c r="Q1384" s="110" t="n"/>
      <c r="R1384" s="110" t="n"/>
      <c r="S1384" s="54" t="n"/>
      <c r="T1384" s="111">
        <f>IF($G1384="","",IFERROR(INDEX(Taux_Devises,MATCH(IF($M1384="",Devise_Base,$M1384),Codes_Devises,0)),1))</f>
        <v/>
      </c>
      <c r="U1384" s="112">
        <f>IF($G1384="","",ROUND($G1384*$T1384,2))</f>
        <v/>
      </c>
      <c r="V1384" s="113">
        <f>IF($B1384="","",MONTH($B1384))</f>
        <v/>
      </c>
      <c r="W1384" s="113">
        <f>IF($B1384="","",YEAR($B1384))</f>
        <v/>
      </c>
    </row>
    <row r="1385">
      <c r="B1385" s="105" t="n"/>
      <c r="C1385" s="54" t="n"/>
      <c r="D1385" s="54" t="n"/>
      <c r="E1385" s="54" t="n"/>
      <c r="F1385" s="54" t="n"/>
      <c r="G1385" s="65" t="n"/>
      <c r="H1385" s="54" t="n"/>
      <c r="I1385" s="106">
        <f>IF($C1385="","",IFERROR(INDEX(Sens_Types,MATCH($C1385,Liste_Types,0)),""))</f>
        <v/>
      </c>
      <c r="J1385" s="107">
        <f>IF($I1385="▲ ENTRÉE",$U1385,"")</f>
        <v/>
      </c>
      <c r="K1385" s="108">
        <f>IF($I1385="▼ SORTIE",$U1385,"")</f>
        <v/>
      </c>
      <c r="L1385" s="109">
        <f>$L1384+N($J1385)-N($K1385)</f>
        <v/>
      </c>
      <c r="M1385" s="110" t="n"/>
      <c r="N1385" s="54" t="n"/>
      <c r="O1385" s="54" t="n"/>
      <c r="P1385" s="54" t="n"/>
      <c r="Q1385" s="110" t="n"/>
      <c r="R1385" s="110" t="n"/>
      <c r="S1385" s="54" t="n"/>
      <c r="T1385" s="111">
        <f>IF($G1385="","",IFERROR(INDEX(Taux_Devises,MATCH(IF($M1385="",Devise_Base,$M1385),Codes_Devises,0)),1))</f>
        <v/>
      </c>
      <c r="U1385" s="112">
        <f>IF($G1385="","",ROUND($G1385*$T1385,2))</f>
        <v/>
      </c>
      <c r="V1385" s="113">
        <f>IF($B1385="","",MONTH($B1385))</f>
        <v/>
      </c>
      <c r="W1385" s="113">
        <f>IF($B1385="","",YEAR($B1385))</f>
        <v/>
      </c>
    </row>
    <row r="1386">
      <c r="B1386" s="105" t="n"/>
      <c r="C1386" s="54" t="n"/>
      <c r="D1386" s="54" t="n"/>
      <c r="E1386" s="54" t="n"/>
      <c r="F1386" s="54" t="n"/>
      <c r="G1386" s="65" t="n"/>
      <c r="H1386" s="54" t="n"/>
      <c r="I1386" s="106">
        <f>IF($C1386="","",IFERROR(INDEX(Sens_Types,MATCH($C1386,Liste_Types,0)),""))</f>
        <v/>
      </c>
      <c r="J1386" s="107">
        <f>IF($I1386="▲ ENTRÉE",$U1386,"")</f>
        <v/>
      </c>
      <c r="K1386" s="108">
        <f>IF($I1386="▼ SORTIE",$U1386,"")</f>
        <v/>
      </c>
      <c r="L1386" s="109">
        <f>$L1385+N($J1386)-N($K1386)</f>
        <v/>
      </c>
      <c r="M1386" s="110" t="n"/>
      <c r="N1386" s="54" t="n"/>
      <c r="O1386" s="54" t="n"/>
      <c r="P1386" s="54" t="n"/>
      <c r="Q1386" s="110" t="n"/>
      <c r="R1386" s="110" t="n"/>
      <c r="S1386" s="54" t="n"/>
      <c r="T1386" s="111">
        <f>IF($G1386="","",IFERROR(INDEX(Taux_Devises,MATCH(IF($M1386="",Devise_Base,$M1386),Codes_Devises,0)),1))</f>
        <v/>
      </c>
      <c r="U1386" s="112">
        <f>IF($G1386="","",ROUND($G1386*$T1386,2))</f>
        <v/>
      </c>
      <c r="V1386" s="113">
        <f>IF($B1386="","",MONTH($B1386))</f>
        <v/>
      </c>
      <c r="W1386" s="113">
        <f>IF($B1386="","",YEAR($B1386))</f>
        <v/>
      </c>
    </row>
    <row r="1387">
      <c r="B1387" s="105" t="n"/>
      <c r="C1387" s="54" t="n"/>
      <c r="D1387" s="54" t="n"/>
      <c r="E1387" s="54" t="n"/>
      <c r="F1387" s="54" t="n"/>
      <c r="G1387" s="65" t="n"/>
      <c r="H1387" s="54" t="n"/>
      <c r="I1387" s="106">
        <f>IF($C1387="","",IFERROR(INDEX(Sens_Types,MATCH($C1387,Liste_Types,0)),""))</f>
        <v/>
      </c>
      <c r="J1387" s="107">
        <f>IF($I1387="▲ ENTRÉE",$U1387,"")</f>
        <v/>
      </c>
      <c r="K1387" s="108">
        <f>IF($I1387="▼ SORTIE",$U1387,"")</f>
        <v/>
      </c>
      <c r="L1387" s="109">
        <f>$L1386+N($J1387)-N($K1387)</f>
        <v/>
      </c>
      <c r="M1387" s="110" t="n"/>
      <c r="N1387" s="54" t="n"/>
      <c r="O1387" s="54" t="n"/>
      <c r="P1387" s="54" t="n"/>
      <c r="Q1387" s="110" t="n"/>
      <c r="R1387" s="110" t="n"/>
      <c r="S1387" s="54" t="n"/>
      <c r="T1387" s="111">
        <f>IF($G1387="","",IFERROR(INDEX(Taux_Devises,MATCH(IF($M1387="",Devise_Base,$M1387),Codes_Devises,0)),1))</f>
        <v/>
      </c>
      <c r="U1387" s="112">
        <f>IF($G1387="","",ROUND($G1387*$T1387,2))</f>
        <v/>
      </c>
      <c r="V1387" s="113">
        <f>IF($B1387="","",MONTH($B1387))</f>
        <v/>
      </c>
      <c r="W1387" s="113">
        <f>IF($B1387="","",YEAR($B1387))</f>
        <v/>
      </c>
    </row>
    <row r="1388">
      <c r="B1388" s="105" t="n"/>
      <c r="C1388" s="54" t="n"/>
      <c r="D1388" s="54" t="n"/>
      <c r="E1388" s="54" t="n"/>
      <c r="F1388" s="54" t="n"/>
      <c r="G1388" s="65" t="n"/>
      <c r="H1388" s="54" t="n"/>
      <c r="I1388" s="106">
        <f>IF($C1388="","",IFERROR(INDEX(Sens_Types,MATCH($C1388,Liste_Types,0)),""))</f>
        <v/>
      </c>
      <c r="J1388" s="107">
        <f>IF($I1388="▲ ENTRÉE",$U1388,"")</f>
        <v/>
      </c>
      <c r="K1388" s="108">
        <f>IF($I1388="▼ SORTIE",$U1388,"")</f>
        <v/>
      </c>
      <c r="L1388" s="109">
        <f>$L1387+N($J1388)-N($K1388)</f>
        <v/>
      </c>
      <c r="M1388" s="110" t="n"/>
      <c r="N1388" s="54" t="n"/>
      <c r="O1388" s="54" t="n"/>
      <c r="P1388" s="54" t="n"/>
      <c r="Q1388" s="110" t="n"/>
      <c r="R1388" s="110" t="n"/>
      <c r="S1388" s="54" t="n"/>
      <c r="T1388" s="111">
        <f>IF($G1388="","",IFERROR(INDEX(Taux_Devises,MATCH(IF($M1388="",Devise_Base,$M1388),Codes_Devises,0)),1))</f>
        <v/>
      </c>
      <c r="U1388" s="112">
        <f>IF($G1388="","",ROUND($G1388*$T1388,2))</f>
        <v/>
      </c>
      <c r="V1388" s="113">
        <f>IF($B1388="","",MONTH($B1388))</f>
        <v/>
      </c>
      <c r="W1388" s="113">
        <f>IF($B1388="","",YEAR($B1388))</f>
        <v/>
      </c>
    </row>
    <row r="1389">
      <c r="B1389" s="105" t="n"/>
      <c r="C1389" s="54" t="n"/>
      <c r="D1389" s="54" t="n"/>
      <c r="E1389" s="54" t="n"/>
      <c r="F1389" s="54" t="n"/>
      <c r="G1389" s="65" t="n"/>
      <c r="H1389" s="54" t="n"/>
      <c r="I1389" s="106">
        <f>IF($C1389="","",IFERROR(INDEX(Sens_Types,MATCH($C1389,Liste_Types,0)),""))</f>
        <v/>
      </c>
      <c r="J1389" s="107">
        <f>IF($I1389="▲ ENTRÉE",$U1389,"")</f>
        <v/>
      </c>
      <c r="K1389" s="108">
        <f>IF($I1389="▼ SORTIE",$U1389,"")</f>
        <v/>
      </c>
      <c r="L1389" s="109">
        <f>$L1388+N($J1389)-N($K1389)</f>
        <v/>
      </c>
      <c r="M1389" s="110" t="n"/>
      <c r="N1389" s="54" t="n"/>
      <c r="O1389" s="54" t="n"/>
      <c r="P1389" s="54" t="n"/>
      <c r="Q1389" s="110" t="n"/>
      <c r="R1389" s="110" t="n"/>
      <c r="S1389" s="54" t="n"/>
      <c r="T1389" s="111">
        <f>IF($G1389="","",IFERROR(INDEX(Taux_Devises,MATCH(IF($M1389="",Devise_Base,$M1389),Codes_Devises,0)),1))</f>
        <v/>
      </c>
      <c r="U1389" s="112">
        <f>IF($G1389="","",ROUND($G1389*$T1389,2))</f>
        <v/>
      </c>
      <c r="V1389" s="113">
        <f>IF($B1389="","",MONTH($B1389))</f>
        <v/>
      </c>
      <c r="W1389" s="113">
        <f>IF($B1389="","",YEAR($B1389))</f>
        <v/>
      </c>
    </row>
    <row r="1390">
      <c r="B1390" s="105" t="n"/>
      <c r="C1390" s="54" t="n"/>
      <c r="D1390" s="54" t="n"/>
      <c r="E1390" s="54" t="n"/>
      <c r="F1390" s="54" t="n"/>
      <c r="G1390" s="65" t="n"/>
      <c r="H1390" s="54" t="n"/>
      <c r="I1390" s="106">
        <f>IF($C1390="","",IFERROR(INDEX(Sens_Types,MATCH($C1390,Liste_Types,0)),""))</f>
        <v/>
      </c>
      <c r="J1390" s="107">
        <f>IF($I1390="▲ ENTRÉE",$U1390,"")</f>
        <v/>
      </c>
      <c r="K1390" s="108">
        <f>IF($I1390="▼ SORTIE",$U1390,"")</f>
        <v/>
      </c>
      <c r="L1390" s="109">
        <f>$L1389+N($J1390)-N($K1390)</f>
        <v/>
      </c>
      <c r="M1390" s="110" t="n"/>
      <c r="N1390" s="54" t="n"/>
      <c r="O1390" s="54" t="n"/>
      <c r="P1390" s="54" t="n"/>
      <c r="Q1390" s="110" t="n"/>
      <c r="R1390" s="110" t="n"/>
      <c r="S1390" s="54" t="n"/>
      <c r="T1390" s="111">
        <f>IF($G1390="","",IFERROR(INDEX(Taux_Devises,MATCH(IF($M1390="",Devise_Base,$M1390),Codes_Devises,0)),1))</f>
        <v/>
      </c>
      <c r="U1390" s="112">
        <f>IF($G1390="","",ROUND($G1390*$T1390,2))</f>
        <v/>
      </c>
      <c r="V1390" s="113">
        <f>IF($B1390="","",MONTH($B1390))</f>
        <v/>
      </c>
      <c r="W1390" s="113">
        <f>IF($B1390="","",YEAR($B1390))</f>
        <v/>
      </c>
    </row>
    <row r="1391">
      <c r="B1391" s="105" t="n"/>
      <c r="C1391" s="54" t="n"/>
      <c r="D1391" s="54" t="n"/>
      <c r="E1391" s="54" t="n"/>
      <c r="F1391" s="54" t="n"/>
      <c r="G1391" s="65" t="n"/>
      <c r="H1391" s="54" t="n"/>
      <c r="I1391" s="106">
        <f>IF($C1391="","",IFERROR(INDEX(Sens_Types,MATCH($C1391,Liste_Types,0)),""))</f>
        <v/>
      </c>
      <c r="J1391" s="107">
        <f>IF($I1391="▲ ENTRÉE",$U1391,"")</f>
        <v/>
      </c>
      <c r="K1391" s="108">
        <f>IF($I1391="▼ SORTIE",$U1391,"")</f>
        <v/>
      </c>
      <c r="L1391" s="109">
        <f>$L1390+N($J1391)-N($K1391)</f>
        <v/>
      </c>
      <c r="M1391" s="110" t="n"/>
      <c r="N1391" s="54" t="n"/>
      <c r="O1391" s="54" t="n"/>
      <c r="P1391" s="54" t="n"/>
      <c r="Q1391" s="110" t="n"/>
      <c r="R1391" s="110" t="n"/>
      <c r="S1391" s="54" t="n"/>
      <c r="T1391" s="111">
        <f>IF($G1391="","",IFERROR(INDEX(Taux_Devises,MATCH(IF($M1391="",Devise_Base,$M1391),Codes_Devises,0)),1))</f>
        <v/>
      </c>
      <c r="U1391" s="112">
        <f>IF($G1391="","",ROUND($G1391*$T1391,2))</f>
        <v/>
      </c>
      <c r="V1391" s="113">
        <f>IF($B1391="","",MONTH($B1391))</f>
        <v/>
      </c>
      <c r="W1391" s="113">
        <f>IF($B1391="","",YEAR($B1391))</f>
        <v/>
      </c>
    </row>
    <row r="1392">
      <c r="B1392" s="105" t="n"/>
      <c r="C1392" s="54" t="n"/>
      <c r="D1392" s="54" t="n"/>
      <c r="E1392" s="54" t="n"/>
      <c r="F1392" s="54" t="n"/>
      <c r="G1392" s="65" t="n"/>
      <c r="H1392" s="54" t="n"/>
      <c r="I1392" s="106">
        <f>IF($C1392="","",IFERROR(INDEX(Sens_Types,MATCH($C1392,Liste_Types,0)),""))</f>
        <v/>
      </c>
      <c r="J1392" s="107">
        <f>IF($I1392="▲ ENTRÉE",$U1392,"")</f>
        <v/>
      </c>
      <c r="K1392" s="108">
        <f>IF($I1392="▼ SORTIE",$U1392,"")</f>
        <v/>
      </c>
      <c r="L1392" s="109">
        <f>$L1391+N($J1392)-N($K1392)</f>
        <v/>
      </c>
      <c r="M1392" s="110" t="n"/>
      <c r="N1392" s="54" t="n"/>
      <c r="O1392" s="54" t="n"/>
      <c r="P1392" s="54" t="n"/>
      <c r="Q1392" s="110" t="n"/>
      <c r="R1392" s="110" t="n"/>
      <c r="S1392" s="54" t="n"/>
      <c r="T1392" s="111">
        <f>IF($G1392="","",IFERROR(INDEX(Taux_Devises,MATCH(IF($M1392="",Devise_Base,$M1392),Codes_Devises,0)),1))</f>
        <v/>
      </c>
      <c r="U1392" s="112">
        <f>IF($G1392="","",ROUND($G1392*$T1392,2))</f>
        <v/>
      </c>
      <c r="V1392" s="113">
        <f>IF($B1392="","",MONTH($B1392))</f>
        <v/>
      </c>
      <c r="W1392" s="113">
        <f>IF($B1392="","",YEAR($B1392))</f>
        <v/>
      </c>
    </row>
    <row r="1393">
      <c r="B1393" s="105" t="n"/>
      <c r="C1393" s="54" t="n"/>
      <c r="D1393" s="54" t="n"/>
      <c r="E1393" s="54" t="n"/>
      <c r="F1393" s="54" t="n"/>
      <c r="G1393" s="65" t="n"/>
      <c r="H1393" s="54" t="n"/>
      <c r="I1393" s="106">
        <f>IF($C1393="","",IFERROR(INDEX(Sens_Types,MATCH($C1393,Liste_Types,0)),""))</f>
        <v/>
      </c>
      <c r="J1393" s="107">
        <f>IF($I1393="▲ ENTRÉE",$U1393,"")</f>
        <v/>
      </c>
      <c r="K1393" s="108">
        <f>IF($I1393="▼ SORTIE",$U1393,"")</f>
        <v/>
      </c>
      <c r="L1393" s="109">
        <f>$L1392+N($J1393)-N($K1393)</f>
        <v/>
      </c>
      <c r="M1393" s="110" t="n"/>
      <c r="N1393" s="54" t="n"/>
      <c r="O1393" s="54" t="n"/>
      <c r="P1393" s="54" t="n"/>
      <c r="Q1393" s="110" t="n"/>
      <c r="R1393" s="110" t="n"/>
      <c r="S1393" s="54" t="n"/>
      <c r="T1393" s="111">
        <f>IF($G1393="","",IFERROR(INDEX(Taux_Devises,MATCH(IF($M1393="",Devise_Base,$M1393),Codes_Devises,0)),1))</f>
        <v/>
      </c>
      <c r="U1393" s="112">
        <f>IF($G1393="","",ROUND($G1393*$T1393,2))</f>
        <v/>
      </c>
      <c r="V1393" s="113">
        <f>IF($B1393="","",MONTH($B1393))</f>
        <v/>
      </c>
      <c r="W1393" s="113">
        <f>IF($B1393="","",YEAR($B1393))</f>
        <v/>
      </c>
    </row>
    <row r="1394">
      <c r="B1394" s="105" t="n"/>
      <c r="C1394" s="54" t="n"/>
      <c r="D1394" s="54" t="n"/>
      <c r="E1394" s="54" t="n"/>
      <c r="F1394" s="54" t="n"/>
      <c r="G1394" s="65" t="n"/>
      <c r="H1394" s="54" t="n"/>
      <c r="I1394" s="106">
        <f>IF($C1394="","",IFERROR(INDEX(Sens_Types,MATCH($C1394,Liste_Types,0)),""))</f>
        <v/>
      </c>
      <c r="J1394" s="107">
        <f>IF($I1394="▲ ENTRÉE",$U1394,"")</f>
        <v/>
      </c>
      <c r="K1394" s="108">
        <f>IF($I1394="▼ SORTIE",$U1394,"")</f>
        <v/>
      </c>
      <c r="L1394" s="109">
        <f>$L1393+N($J1394)-N($K1394)</f>
        <v/>
      </c>
      <c r="M1394" s="110" t="n"/>
      <c r="N1394" s="54" t="n"/>
      <c r="O1394" s="54" t="n"/>
      <c r="P1394" s="54" t="n"/>
      <c r="Q1394" s="110" t="n"/>
      <c r="R1394" s="110" t="n"/>
      <c r="S1394" s="54" t="n"/>
      <c r="T1394" s="111">
        <f>IF($G1394="","",IFERROR(INDEX(Taux_Devises,MATCH(IF($M1394="",Devise_Base,$M1394),Codes_Devises,0)),1))</f>
        <v/>
      </c>
      <c r="U1394" s="112">
        <f>IF($G1394="","",ROUND($G1394*$T1394,2))</f>
        <v/>
      </c>
      <c r="V1394" s="113">
        <f>IF($B1394="","",MONTH($B1394))</f>
        <v/>
      </c>
      <c r="W1394" s="113">
        <f>IF($B1394="","",YEAR($B1394))</f>
        <v/>
      </c>
    </row>
    <row r="1395">
      <c r="B1395" s="105" t="n"/>
      <c r="C1395" s="54" t="n"/>
      <c r="D1395" s="54" t="n"/>
      <c r="E1395" s="54" t="n"/>
      <c r="F1395" s="54" t="n"/>
      <c r="G1395" s="65" t="n"/>
      <c r="H1395" s="54" t="n"/>
      <c r="I1395" s="106">
        <f>IF($C1395="","",IFERROR(INDEX(Sens_Types,MATCH($C1395,Liste_Types,0)),""))</f>
        <v/>
      </c>
      <c r="J1395" s="107">
        <f>IF($I1395="▲ ENTRÉE",$U1395,"")</f>
        <v/>
      </c>
      <c r="K1395" s="108">
        <f>IF($I1395="▼ SORTIE",$U1395,"")</f>
        <v/>
      </c>
      <c r="L1395" s="109">
        <f>$L1394+N($J1395)-N($K1395)</f>
        <v/>
      </c>
      <c r="M1395" s="110" t="n"/>
      <c r="N1395" s="54" t="n"/>
      <c r="O1395" s="54" t="n"/>
      <c r="P1395" s="54" t="n"/>
      <c r="Q1395" s="110" t="n"/>
      <c r="R1395" s="110" t="n"/>
      <c r="S1395" s="54" t="n"/>
      <c r="T1395" s="111">
        <f>IF($G1395="","",IFERROR(INDEX(Taux_Devises,MATCH(IF($M1395="",Devise_Base,$M1395),Codes_Devises,0)),1))</f>
        <v/>
      </c>
      <c r="U1395" s="112">
        <f>IF($G1395="","",ROUND($G1395*$T1395,2))</f>
        <v/>
      </c>
      <c r="V1395" s="113">
        <f>IF($B1395="","",MONTH($B1395))</f>
        <v/>
      </c>
      <c r="W1395" s="113">
        <f>IF($B1395="","",YEAR($B1395))</f>
        <v/>
      </c>
    </row>
    <row r="1396">
      <c r="B1396" s="105" t="n"/>
      <c r="C1396" s="54" t="n"/>
      <c r="D1396" s="54" t="n"/>
      <c r="E1396" s="54" t="n"/>
      <c r="F1396" s="54" t="n"/>
      <c r="G1396" s="65" t="n"/>
      <c r="H1396" s="54" t="n"/>
      <c r="I1396" s="106">
        <f>IF($C1396="","",IFERROR(INDEX(Sens_Types,MATCH($C1396,Liste_Types,0)),""))</f>
        <v/>
      </c>
      <c r="J1396" s="107">
        <f>IF($I1396="▲ ENTRÉE",$U1396,"")</f>
        <v/>
      </c>
      <c r="K1396" s="108">
        <f>IF($I1396="▼ SORTIE",$U1396,"")</f>
        <v/>
      </c>
      <c r="L1396" s="109">
        <f>$L1395+N($J1396)-N($K1396)</f>
        <v/>
      </c>
      <c r="M1396" s="110" t="n"/>
      <c r="N1396" s="54" t="n"/>
      <c r="O1396" s="54" t="n"/>
      <c r="P1396" s="54" t="n"/>
      <c r="Q1396" s="110" t="n"/>
      <c r="R1396" s="110" t="n"/>
      <c r="S1396" s="54" t="n"/>
      <c r="T1396" s="111">
        <f>IF($G1396="","",IFERROR(INDEX(Taux_Devises,MATCH(IF($M1396="",Devise_Base,$M1396),Codes_Devises,0)),1))</f>
        <v/>
      </c>
      <c r="U1396" s="112">
        <f>IF($G1396="","",ROUND($G1396*$T1396,2))</f>
        <v/>
      </c>
      <c r="V1396" s="113">
        <f>IF($B1396="","",MONTH($B1396))</f>
        <v/>
      </c>
      <c r="W1396" s="113">
        <f>IF($B1396="","",YEAR($B1396))</f>
        <v/>
      </c>
    </row>
    <row r="1397">
      <c r="B1397" s="105" t="n"/>
      <c r="C1397" s="54" t="n"/>
      <c r="D1397" s="54" t="n"/>
      <c r="E1397" s="54" t="n"/>
      <c r="F1397" s="54" t="n"/>
      <c r="G1397" s="65" t="n"/>
      <c r="H1397" s="54" t="n"/>
      <c r="I1397" s="106">
        <f>IF($C1397="","",IFERROR(INDEX(Sens_Types,MATCH($C1397,Liste_Types,0)),""))</f>
        <v/>
      </c>
      <c r="J1397" s="107">
        <f>IF($I1397="▲ ENTRÉE",$U1397,"")</f>
        <v/>
      </c>
      <c r="K1397" s="108">
        <f>IF($I1397="▼ SORTIE",$U1397,"")</f>
        <v/>
      </c>
      <c r="L1397" s="109">
        <f>$L1396+N($J1397)-N($K1397)</f>
        <v/>
      </c>
      <c r="M1397" s="110" t="n"/>
      <c r="N1397" s="54" t="n"/>
      <c r="O1397" s="54" t="n"/>
      <c r="P1397" s="54" t="n"/>
      <c r="Q1397" s="110" t="n"/>
      <c r="R1397" s="110" t="n"/>
      <c r="S1397" s="54" t="n"/>
      <c r="T1397" s="111">
        <f>IF($G1397="","",IFERROR(INDEX(Taux_Devises,MATCH(IF($M1397="",Devise_Base,$M1397),Codes_Devises,0)),1))</f>
        <v/>
      </c>
      <c r="U1397" s="112">
        <f>IF($G1397="","",ROUND($G1397*$T1397,2))</f>
        <v/>
      </c>
      <c r="V1397" s="113">
        <f>IF($B1397="","",MONTH($B1397))</f>
        <v/>
      </c>
      <c r="W1397" s="113">
        <f>IF($B1397="","",YEAR($B1397))</f>
        <v/>
      </c>
    </row>
    <row r="1398">
      <c r="B1398" s="105" t="n"/>
      <c r="C1398" s="54" t="n"/>
      <c r="D1398" s="54" t="n"/>
      <c r="E1398" s="54" t="n"/>
      <c r="F1398" s="54" t="n"/>
      <c r="G1398" s="65" t="n"/>
      <c r="H1398" s="54" t="n"/>
      <c r="I1398" s="106">
        <f>IF($C1398="","",IFERROR(INDEX(Sens_Types,MATCH($C1398,Liste_Types,0)),""))</f>
        <v/>
      </c>
      <c r="J1398" s="107">
        <f>IF($I1398="▲ ENTRÉE",$U1398,"")</f>
        <v/>
      </c>
      <c r="K1398" s="108">
        <f>IF($I1398="▼ SORTIE",$U1398,"")</f>
        <v/>
      </c>
      <c r="L1398" s="109">
        <f>$L1397+N($J1398)-N($K1398)</f>
        <v/>
      </c>
      <c r="M1398" s="110" t="n"/>
      <c r="N1398" s="54" t="n"/>
      <c r="O1398" s="54" t="n"/>
      <c r="P1398" s="54" t="n"/>
      <c r="Q1398" s="110" t="n"/>
      <c r="R1398" s="110" t="n"/>
      <c r="S1398" s="54" t="n"/>
      <c r="T1398" s="111">
        <f>IF($G1398="","",IFERROR(INDEX(Taux_Devises,MATCH(IF($M1398="",Devise_Base,$M1398),Codes_Devises,0)),1))</f>
        <v/>
      </c>
      <c r="U1398" s="112">
        <f>IF($G1398="","",ROUND($G1398*$T1398,2))</f>
        <v/>
      </c>
      <c r="V1398" s="113">
        <f>IF($B1398="","",MONTH($B1398))</f>
        <v/>
      </c>
      <c r="W1398" s="113">
        <f>IF($B1398="","",YEAR($B1398))</f>
        <v/>
      </c>
    </row>
    <row r="1399">
      <c r="B1399" s="105" t="n"/>
      <c r="C1399" s="54" t="n"/>
      <c r="D1399" s="54" t="n"/>
      <c r="E1399" s="54" t="n"/>
      <c r="F1399" s="54" t="n"/>
      <c r="G1399" s="65" t="n"/>
      <c r="H1399" s="54" t="n"/>
      <c r="I1399" s="106">
        <f>IF($C1399="","",IFERROR(INDEX(Sens_Types,MATCH($C1399,Liste_Types,0)),""))</f>
        <v/>
      </c>
      <c r="J1399" s="107">
        <f>IF($I1399="▲ ENTRÉE",$U1399,"")</f>
        <v/>
      </c>
      <c r="K1399" s="108">
        <f>IF($I1399="▼ SORTIE",$U1399,"")</f>
        <v/>
      </c>
      <c r="L1399" s="109">
        <f>$L1398+N($J1399)-N($K1399)</f>
        <v/>
      </c>
      <c r="M1399" s="110" t="n"/>
      <c r="N1399" s="54" t="n"/>
      <c r="O1399" s="54" t="n"/>
      <c r="P1399" s="54" t="n"/>
      <c r="Q1399" s="110" t="n"/>
      <c r="R1399" s="110" t="n"/>
      <c r="S1399" s="54" t="n"/>
      <c r="T1399" s="111">
        <f>IF($G1399="","",IFERROR(INDEX(Taux_Devises,MATCH(IF($M1399="",Devise_Base,$M1399),Codes_Devises,0)),1))</f>
        <v/>
      </c>
      <c r="U1399" s="112">
        <f>IF($G1399="","",ROUND($G1399*$T1399,2))</f>
        <v/>
      </c>
      <c r="V1399" s="113">
        <f>IF($B1399="","",MONTH($B1399))</f>
        <v/>
      </c>
      <c r="W1399" s="113">
        <f>IF($B1399="","",YEAR($B1399))</f>
        <v/>
      </c>
    </row>
    <row r="1400">
      <c r="B1400" s="105" t="n"/>
      <c r="C1400" s="54" t="n"/>
      <c r="D1400" s="54" t="n"/>
      <c r="E1400" s="54" t="n"/>
      <c r="F1400" s="54" t="n"/>
      <c r="G1400" s="65" t="n"/>
      <c r="H1400" s="54" t="n"/>
      <c r="I1400" s="106">
        <f>IF($C1400="","",IFERROR(INDEX(Sens_Types,MATCH($C1400,Liste_Types,0)),""))</f>
        <v/>
      </c>
      <c r="J1400" s="107">
        <f>IF($I1400="▲ ENTRÉE",$U1400,"")</f>
        <v/>
      </c>
      <c r="K1400" s="108">
        <f>IF($I1400="▼ SORTIE",$U1400,"")</f>
        <v/>
      </c>
      <c r="L1400" s="109">
        <f>$L1399+N($J1400)-N($K1400)</f>
        <v/>
      </c>
      <c r="M1400" s="110" t="n"/>
      <c r="N1400" s="54" t="n"/>
      <c r="O1400" s="54" t="n"/>
      <c r="P1400" s="54" t="n"/>
      <c r="Q1400" s="110" t="n"/>
      <c r="R1400" s="110" t="n"/>
      <c r="S1400" s="54" t="n"/>
      <c r="T1400" s="111">
        <f>IF($G1400="","",IFERROR(INDEX(Taux_Devises,MATCH(IF($M1400="",Devise_Base,$M1400),Codes_Devises,0)),1))</f>
        <v/>
      </c>
      <c r="U1400" s="112">
        <f>IF($G1400="","",ROUND($G1400*$T1400,2))</f>
        <v/>
      </c>
      <c r="V1400" s="113">
        <f>IF($B1400="","",MONTH($B1400))</f>
        <v/>
      </c>
      <c r="W1400" s="113">
        <f>IF($B1400="","",YEAR($B1400))</f>
        <v/>
      </c>
    </row>
    <row r="1401">
      <c r="B1401" s="105" t="n"/>
      <c r="C1401" s="54" t="n"/>
      <c r="D1401" s="54" t="n"/>
      <c r="E1401" s="54" t="n"/>
      <c r="F1401" s="54" t="n"/>
      <c r="G1401" s="65" t="n"/>
      <c r="H1401" s="54" t="n"/>
      <c r="I1401" s="106">
        <f>IF($C1401="","",IFERROR(INDEX(Sens_Types,MATCH($C1401,Liste_Types,0)),""))</f>
        <v/>
      </c>
      <c r="J1401" s="107">
        <f>IF($I1401="▲ ENTRÉE",$U1401,"")</f>
        <v/>
      </c>
      <c r="K1401" s="108">
        <f>IF($I1401="▼ SORTIE",$U1401,"")</f>
        <v/>
      </c>
      <c r="L1401" s="109">
        <f>$L1400+N($J1401)-N($K1401)</f>
        <v/>
      </c>
      <c r="M1401" s="110" t="n"/>
      <c r="N1401" s="54" t="n"/>
      <c r="O1401" s="54" t="n"/>
      <c r="P1401" s="54" t="n"/>
      <c r="Q1401" s="110" t="n"/>
      <c r="R1401" s="110" t="n"/>
      <c r="S1401" s="54" t="n"/>
      <c r="T1401" s="111">
        <f>IF($G1401="","",IFERROR(INDEX(Taux_Devises,MATCH(IF($M1401="",Devise_Base,$M1401),Codes_Devises,0)),1))</f>
        <v/>
      </c>
      <c r="U1401" s="112">
        <f>IF($G1401="","",ROUND($G1401*$T1401,2))</f>
        <v/>
      </c>
      <c r="V1401" s="113">
        <f>IF($B1401="","",MONTH($B1401))</f>
        <v/>
      </c>
      <c r="W1401" s="113">
        <f>IF($B1401="","",YEAR($B1401))</f>
        <v/>
      </c>
    </row>
    <row r="1402">
      <c r="B1402" s="105" t="n"/>
      <c r="C1402" s="54" t="n"/>
      <c r="D1402" s="54" t="n"/>
      <c r="E1402" s="54" t="n"/>
      <c r="F1402" s="54" t="n"/>
      <c r="G1402" s="65" t="n"/>
      <c r="H1402" s="54" t="n"/>
      <c r="I1402" s="106">
        <f>IF($C1402="","",IFERROR(INDEX(Sens_Types,MATCH($C1402,Liste_Types,0)),""))</f>
        <v/>
      </c>
      <c r="J1402" s="107">
        <f>IF($I1402="▲ ENTRÉE",$U1402,"")</f>
        <v/>
      </c>
      <c r="K1402" s="108">
        <f>IF($I1402="▼ SORTIE",$U1402,"")</f>
        <v/>
      </c>
      <c r="L1402" s="109">
        <f>$L1401+N($J1402)-N($K1402)</f>
        <v/>
      </c>
      <c r="M1402" s="110" t="n"/>
      <c r="N1402" s="54" t="n"/>
      <c r="O1402" s="54" t="n"/>
      <c r="P1402" s="54" t="n"/>
      <c r="Q1402" s="110" t="n"/>
      <c r="R1402" s="110" t="n"/>
      <c r="S1402" s="54" t="n"/>
      <c r="T1402" s="111">
        <f>IF($G1402="","",IFERROR(INDEX(Taux_Devises,MATCH(IF($M1402="",Devise_Base,$M1402),Codes_Devises,0)),1))</f>
        <v/>
      </c>
      <c r="U1402" s="112">
        <f>IF($G1402="","",ROUND($G1402*$T1402,2))</f>
        <v/>
      </c>
      <c r="V1402" s="113">
        <f>IF($B1402="","",MONTH($B1402))</f>
        <v/>
      </c>
      <c r="W1402" s="113">
        <f>IF($B1402="","",YEAR($B1402))</f>
        <v/>
      </c>
    </row>
    <row r="1403">
      <c r="B1403" s="105" t="n"/>
      <c r="C1403" s="54" t="n"/>
      <c r="D1403" s="54" t="n"/>
      <c r="E1403" s="54" t="n"/>
      <c r="F1403" s="54" t="n"/>
      <c r="G1403" s="65" t="n"/>
      <c r="H1403" s="54" t="n"/>
      <c r="I1403" s="106">
        <f>IF($C1403="","",IFERROR(INDEX(Sens_Types,MATCH($C1403,Liste_Types,0)),""))</f>
        <v/>
      </c>
      <c r="J1403" s="107">
        <f>IF($I1403="▲ ENTRÉE",$U1403,"")</f>
        <v/>
      </c>
      <c r="K1403" s="108">
        <f>IF($I1403="▼ SORTIE",$U1403,"")</f>
        <v/>
      </c>
      <c r="L1403" s="109">
        <f>$L1402+N($J1403)-N($K1403)</f>
        <v/>
      </c>
      <c r="M1403" s="110" t="n"/>
      <c r="N1403" s="54" t="n"/>
      <c r="O1403" s="54" t="n"/>
      <c r="P1403" s="54" t="n"/>
      <c r="Q1403" s="110" t="n"/>
      <c r="R1403" s="110" t="n"/>
      <c r="S1403" s="54" t="n"/>
      <c r="T1403" s="111">
        <f>IF($G1403="","",IFERROR(INDEX(Taux_Devises,MATCH(IF($M1403="",Devise_Base,$M1403),Codes_Devises,0)),1))</f>
        <v/>
      </c>
      <c r="U1403" s="112">
        <f>IF($G1403="","",ROUND($G1403*$T1403,2))</f>
        <v/>
      </c>
      <c r="V1403" s="113">
        <f>IF($B1403="","",MONTH($B1403))</f>
        <v/>
      </c>
      <c r="W1403" s="113">
        <f>IF($B1403="","",YEAR($B1403))</f>
        <v/>
      </c>
    </row>
    <row r="1404">
      <c r="B1404" s="105" t="n"/>
      <c r="C1404" s="54" t="n"/>
      <c r="D1404" s="54" t="n"/>
      <c r="E1404" s="54" t="n"/>
      <c r="F1404" s="54" t="n"/>
      <c r="G1404" s="65" t="n"/>
      <c r="H1404" s="54" t="n"/>
      <c r="I1404" s="106">
        <f>IF($C1404="","",IFERROR(INDEX(Sens_Types,MATCH($C1404,Liste_Types,0)),""))</f>
        <v/>
      </c>
      <c r="J1404" s="107">
        <f>IF($I1404="▲ ENTRÉE",$U1404,"")</f>
        <v/>
      </c>
      <c r="K1404" s="108">
        <f>IF($I1404="▼ SORTIE",$U1404,"")</f>
        <v/>
      </c>
      <c r="L1404" s="109">
        <f>$L1403+N($J1404)-N($K1404)</f>
        <v/>
      </c>
      <c r="M1404" s="110" t="n"/>
      <c r="N1404" s="54" t="n"/>
      <c r="O1404" s="54" t="n"/>
      <c r="P1404" s="54" t="n"/>
      <c r="Q1404" s="110" t="n"/>
      <c r="R1404" s="110" t="n"/>
      <c r="S1404" s="54" t="n"/>
      <c r="T1404" s="111">
        <f>IF($G1404="","",IFERROR(INDEX(Taux_Devises,MATCH(IF($M1404="",Devise_Base,$M1404),Codes_Devises,0)),1))</f>
        <v/>
      </c>
      <c r="U1404" s="112">
        <f>IF($G1404="","",ROUND($G1404*$T1404,2))</f>
        <v/>
      </c>
      <c r="V1404" s="113">
        <f>IF($B1404="","",MONTH($B1404))</f>
        <v/>
      </c>
      <c r="W1404" s="113">
        <f>IF($B1404="","",YEAR($B1404))</f>
        <v/>
      </c>
    </row>
    <row r="1405">
      <c r="B1405" s="105" t="n"/>
      <c r="C1405" s="54" t="n"/>
      <c r="D1405" s="54" t="n"/>
      <c r="E1405" s="54" t="n"/>
      <c r="F1405" s="54" t="n"/>
      <c r="G1405" s="65" t="n"/>
      <c r="H1405" s="54" t="n"/>
      <c r="I1405" s="106">
        <f>IF($C1405="","",IFERROR(INDEX(Sens_Types,MATCH($C1405,Liste_Types,0)),""))</f>
        <v/>
      </c>
      <c r="J1405" s="107">
        <f>IF($I1405="▲ ENTRÉE",$U1405,"")</f>
        <v/>
      </c>
      <c r="K1405" s="108">
        <f>IF($I1405="▼ SORTIE",$U1405,"")</f>
        <v/>
      </c>
      <c r="L1405" s="109">
        <f>$L1404+N($J1405)-N($K1405)</f>
        <v/>
      </c>
      <c r="M1405" s="110" t="n"/>
      <c r="N1405" s="54" t="n"/>
      <c r="O1405" s="54" t="n"/>
      <c r="P1405" s="54" t="n"/>
      <c r="Q1405" s="110" t="n"/>
      <c r="R1405" s="110" t="n"/>
      <c r="S1405" s="54" t="n"/>
      <c r="T1405" s="111">
        <f>IF($G1405="","",IFERROR(INDEX(Taux_Devises,MATCH(IF($M1405="",Devise_Base,$M1405),Codes_Devises,0)),1))</f>
        <v/>
      </c>
      <c r="U1405" s="112">
        <f>IF($G1405="","",ROUND($G1405*$T1405,2))</f>
        <v/>
      </c>
      <c r="V1405" s="113">
        <f>IF($B1405="","",MONTH($B1405))</f>
        <v/>
      </c>
      <c r="W1405" s="113">
        <f>IF($B1405="","",YEAR($B1405))</f>
        <v/>
      </c>
    </row>
    <row r="1406">
      <c r="B1406" s="105" t="n"/>
      <c r="C1406" s="54" t="n"/>
      <c r="D1406" s="54" t="n"/>
      <c r="E1406" s="54" t="n"/>
      <c r="F1406" s="54" t="n"/>
      <c r="G1406" s="65" t="n"/>
      <c r="H1406" s="54" t="n"/>
      <c r="I1406" s="106">
        <f>IF($C1406="","",IFERROR(INDEX(Sens_Types,MATCH($C1406,Liste_Types,0)),""))</f>
        <v/>
      </c>
      <c r="J1406" s="107">
        <f>IF($I1406="▲ ENTRÉE",$U1406,"")</f>
        <v/>
      </c>
      <c r="K1406" s="108">
        <f>IF($I1406="▼ SORTIE",$U1406,"")</f>
        <v/>
      </c>
      <c r="L1406" s="109">
        <f>$L1405+N($J1406)-N($K1406)</f>
        <v/>
      </c>
      <c r="M1406" s="110" t="n"/>
      <c r="N1406" s="54" t="n"/>
      <c r="O1406" s="54" t="n"/>
      <c r="P1406" s="54" t="n"/>
      <c r="Q1406" s="110" t="n"/>
      <c r="R1406" s="110" t="n"/>
      <c r="S1406" s="54" t="n"/>
      <c r="T1406" s="111">
        <f>IF($G1406="","",IFERROR(INDEX(Taux_Devises,MATCH(IF($M1406="",Devise_Base,$M1406),Codes_Devises,0)),1))</f>
        <v/>
      </c>
      <c r="U1406" s="112">
        <f>IF($G1406="","",ROUND($G1406*$T1406,2))</f>
        <v/>
      </c>
      <c r="V1406" s="113">
        <f>IF($B1406="","",MONTH($B1406))</f>
        <v/>
      </c>
      <c r="W1406" s="113">
        <f>IF($B1406="","",YEAR($B1406))</f>
        <v/>
      </c>
    </row>
    <row r="1407">
      <c r="B1407" s="105" t="n"/>
      <c r="C1407" s="54" t="n"/>
      <c r="D1407" s="54" t="n"/>
      <c r="E1407" s="54" t="n"/>
      <c r="F1407" s="54" t="n"/>
      <c r="G1407" s="65" t="n"/>
      <c r="H1407" s="54" t="n"/>
      <c r="I1407" s="106">
        <f>IF($C1407="","",IFERROR(INDEX(Sens_Types,MATCH($C1407,Liste_Types,0)),""))</f>
        <v/>
      </c>
      <c r="J1407" s="107">
        <f>IF($I1407="▲ ENTRÉE",$U1407,"")</f>
        <v/>
      </c>
      <c r="K1407" s="108">
        <f>IF($I1407="▼ SORTIE",$U1407,"")</f>
        <v/>
      </c>
      <c r="L1407" s="109">
        <f>$L1406+N($J1407)-N($K1407)</f>
        <v/>
      </c>
      <c r="M1407" s="110" t="n"/>
      <c r="N1407" s="54" t="n"/>
      <c r="O1407" s="54" t="n"/>
      <c r="P1407" s="54" t="n"/>
      <c r="Q1407" s="110" t="n"/>
      <c r="R1407" s="110" t="n"/>
      <c r="S1407" s="54" t="n"/>
      <c r="T1407" s="111">
        <f>IF($G1407="","",IFERROR(INDEX(Taux_Devises,MATCH(IF($M1407="",Devise_Base,$M1407),Codes_Devises,0)),1))</f>
        <v/>
      </c>
      <c r="U1407" s="112">
        <f>IF($G1407="","",ROUND($G1407*$T1407,2))</f>
        <v/>
      </c>
      <c r="V1407" s="113">
        <f>IF($B1407="","",MONTH($B1407))</f>
        <v/>
      </c>
      <c r="W1407" s="113">
        <f>IF($B1407="","",YEAR($B1407))</f>
        <v/>
      </c>
    </row>
    <row r="1408">
      <c r="B1408" s="105" t="n"/>
      <c r="C1408" s="54" t="n"/>
      <c r="D1408" s="54" t="n"/>
      <c r="E1408" s="54" t="n"/>
      <c r="F1408" s="54" t="n"/>
      <c r="G1408" s="65" t="n"/>
      <c r="H1408" s="54" t="n"/>
      <c r="I1408" s="106">
        <f>IF($C1408="","",IFERROR(INDEX(Sens_Types,MATCH($C1408,Liste_Types,0)),""))</f>
        <v/>
      </c>
      <c r="J1408" s="107">
        <f>IF($I1408="▲ ENTRÉE",$U1408,"")</f>
        <v/>
      </c>
      <c r="K1408" s="108">
        <f>IF($I1408="▼ SORTIE",$U1408,"")</f>
        <v/>
      </c>
      <c r="L1408" s="109">
        <f>$L1407+N($J1408)-N($K1408)</f>
        <v/>
      </c>
      <c r="M1408" s="110" t="n"/>
      <c r="N1408" s="54" t="n"/>
      <c r="O1408" s="54" t="n"/>
      <c r="P1408" s="54" t="n"/>
      <c r="Q1408" s="110" t="n"/>
      <c r="R1408" s="110" t="n"/>
      <c r="S1408" s="54" t="n"/>
      <c r="T1408" s="111">
        <f>IF($G1408="","",IFERROR(INDEX(Taux_Devises,MATCH(IF($M1408="",Devise_Base,$M1408),Codes_Devises,0)),1))</f>
        <v/>
      </c>
      <c r="U1408" s="112">
        <f>IF($G1408="","",ROUND($G1408*$T1408,2))</f>
        <v/>
      </c>
      <c r="V1408" s="113">
        <f>IF($B1408="","",MONTH($B1408))</f>
        <v/>
      </c>
      <c r="W1408" s="113">
        <f>IF($B1408="","",YEAR($B1408))</f>
        <v/>
      </c>
    </row>
    <row r="1409">
      <c r="B1409" s="105" t="n"/>
      <c r="C1409" s="54" t="n"/>
      <c r="D1409" s="54" t="n"/>
      <c r="E1409" s="54" t="n"/>
      <c r="F1409" s="54" t="n"/>
      <c r="G1409" s="65" t="n"/>
      <c r="H1409" s="54" t="n"/>
      <c r="I1409" s="106">
        <f>IF($C1409="","",IFERROR(INDEX(Sens_Types,MATCH($C1409,Liste_Types,0)),""))</f>
        <v/>
      </c>
      <c r="J1409" s="107">
        <f>IF($I1409="▲ ENTRÉE",$U1409,"")</f>
        <v/>
      </c>
      <c r="K1409" s="108">
        <f>IF($I1409="▼ SORTIE",$U1409,"")</f>
        <v/>
      </c>
      <c r="L1409" s="109">
        <f>$L1408+N($J1409)-N($K1409)</f>
        <v/>
      </c>
      <c r="M1409" s="110" t="n"/>
      <c r="N1409" s="54" t="n"/>
      <c r="O1409" s="54" t="n"/>
      <c r="P1409" s="54" t="n"/>
      <c r="Q1409" s="110" t="n"/>
      <c r="R1409" s="110" t="n"/>
      <c r="S1409" s="54" t="n"/>
      <c r="T1409" s="111">
        <f>IF($G1409="","",IFERROR(INDEX(Taux_Devises,MATCH(IF($M1409="",Devise_Base,$M1409),Codes_Devises,0)),1))</f>
        <v/>
      </c>
      <c r="U1409" s="112">
        <f>IF($G1409="","",ROUND($G1409*$T1409,2))</f>
        <v/>
      </c>
      <c r="V1409" s="113">
        <f>IF($B1409="","",MONTH($B1409))</f>
        <v/>
      </c>
      <c r="W1409" s="113">
        <f>IF($B1409="","",YEAR($B1409))</f>
        <v/>
      </c>
    </row>
    <row r="1410">
      <c r="B1410" s="105" t="n"/>
      <c r="C1410" s="54" t="n"/>
      <c r="D1410" s="54" t="n"/>
      <c r="E1410" s="54" t="n"/>
      <c r="F1410" s="54" t="n"/>
      <c r="G1410" s="65" t="n"/>
      <c r="H1410" s="54" t="n"/>
      <c r="I1410" s="106">
        <f>IF($C1410="","",IFERROR(INDEX(Sens_Types,MATCH($C1410,Liste_Types,0)),""))</f>
        <v/>
      </c>
      <c r="J1410" s="107">
        <f>IF($I1410="▲ ENTRÉE",$U1410,"")</f>
        <v/>
      </c>
      <c r="K1410" s="108">
        <f>IF($I1410="▼ SORTIE",$U1410,"")</f>
        <v/>
      </c>
      <c r="L1410" s="109">
        <f>$L1409+N($J1410)-N($K1410)</f>
        <v/>
      </c>
      <c r="M1410" s="110" t="n"/>
      <c r="N1410" s="54" t="n"/>
      <c r="O1410" s="54" t="n"/>
      <c r="P1410" s="54" t="n"/>
      <c r="Q1410" s="110" t="n"/>
      <c r="R1410" s="110" t="n"/>
      <c r="S1410" s="54" t="n"/>
      <c r="T1410" s="111">
        <f>IF($G1410="","",IFERROR(INDEX(Taux_Devises,MATCH(IF($M1410="",Devise_Base,$M1410),Codes_Devises,0)),1))</f>
        <v/>
      </c>
      <c r="U1410" s="112">
        <f>IF($G1410="","",ROUND($G1410*$T1410,2))</f>
        <v/>
      </c>
      <c r="V1410" s="113">
        <f>IF($B1410="","",MONTH($B1410))</f>
        <v/>
      </c>
      <c r="W1410" s="113">
        <f>IF($B1410="","",YEAR($B1410))</f>
        <v/>
      </c>
    </row>
    <row r="1411">
      <c r="B1411" s="105" t="n"/>
      <c r="C1411" s="54" t="n"/>
      <c r="D1411" s="54" t="n"/>
      <c r="E1411" s="54" t="n"/>
      <c r="F1411" s="54" t="n"/>
      <c r="G1411" s="65" t="n"/>
      <c r="H1411" s="54" t="n"/>
      <c r="I1411" s="106">
        <f>IF($C1411="","",IFERROR(INDEX(Sens_Types,MATCH($C1411,Liste_Types,0)),""))</f>
        <v/>
      </c>
      <c r="J1411" s="107">
        <f>IF($I1411="▲ ENTRÉE",$U1411,"")</f>
        <v/>
      </c>
      <c r="K1411" s="108">
        <f>IF($I1411="▼ SORTIE",$U1411,"")</f>
        <v/>
      </c>
      <c r="L1411" s="109">
        <f>$L1410+N($J1411)-N($K1411)</f>
        <v/>
      </c>
      <c r="M1411" s="110" t="n"/>
      <c r="N1411" s="54" t="n"/>
      <c r="O1411" s="54" t="n"/>
      <c r="P1411" s="54" t="n"/>
      <c r="Q1411" s="110" t="n"/>
      <c r="R1411" s="110" t="n"/>
      <c r="S1411" s="54" t="n"/>
      <c r="T1411" s="111">
        <f>IF($G1411="","",IFERROR(INDEX(Taux_Devises,MATCH(IF($M1411="",Devise_Base,$M1411),Codes_Devises,0)),1))</f>
        <v/>
      </c>
      <c r="U1411" s="112">
        <f>IF($G1411="","",ROUND($G1411*$T1411,2))</f>
        <v/>
      </c>
      <c r="V1411" s="113">
        <f>IF($B1411="","",MONTH($B1411))</f>
        <v/>
      </c>
      <c r="W1411" s="113">
        <f>IF($B1411="","",YEAR($B1411))</f>
        <v/>
      </c>
    </row>
    <row r="1412">
      <c r="B1412" s="105" t="n"/>
      <c r="C1412" s="54" t="n"/>
      <c r="D1412" s="54" t="n"/>
      <c r="E1412" s="54" t="n"/>
      <c r="F1412" s="54" t="n"/>
      <c r="G1412" s="65" t="n"/>
      <c r="H1412" s="54" t="n"/>
      <c r="I1412" s="106">
        <f>IF($C1412="","",IFERROR(INDEX(Sens_Types,MATCH($C1412,Liste_Types,0)),""))</f>
        <v/>
      </c>
      <c r="J1412" s="107">
        <f>IF($I1412="▲ ENTRÉE",$U1412,"")</f>
        <v/>
      </c>
      <c r="K1412" s="108">
        <f>IF($I1412="▼ SORTIE",$U1412,"")</f>
        <v/>
      </c>
      <c r="L1412" s="109">
        <f>$L1411+N($J1412)-N($K1412)</f>
        <v/>
      </c>
      <c r="M1412" s="110" t="n"/>
      <c r="N1412" s="54" t="n"/>
      <c r="O1412" s="54" t="n"/>
      <c r="P1412" s="54" t="n"/>
      <c r="Q1412" s="110" t="n"/>
      <c r="R1412" s="110" t="n"/>
      <c r="S1412" s="54" t="n"/>
      <c r="T1412" s="111">
        <f>IF($G1412="","",IFERROR(INDEX(Taux_Devises,MATCH(IF($M1412="",Devise_Base,$M1412),Codes_Devises,0)),1))</f>
        <v/>
      </c>
      <c r="U1412" s="112">
        <f>IF($G1412="","",ROUND($G1412*$T1412,2))</f>
        <v/>
      </c>
      <c r="V1412" s="113">
        <f>IF($B1412="","",MONTH($B1412))</f>
        <v/>
      </c>
      <c r="W1412" s="113">
        <f>IF($B1412="","",YEAR($B1412))</f>
        <v/>
      </c>
    </row>
    <row r="1413">
      <c r="B1413" s="105" t="n"/>
      <c r="C1413" s="54" t="n"/>
      <c r="D1413" s="54" t="n"/>
      <c r="E1413" s="54" t="n"/>
      <c r="F1413" s="54" t="n"/>
      <c r="G1413" s="65" t="n"/>
      <c r="H1413" s="54" t="n"/>
      <c r="I1413" s="106">
        <f>IF($C1413="","",IFERROR(INDEX(Sens_Types,MATCH($C1413,Liste_Types,0)),""))</f>
        <v/>
      </c>
      <c r="J1413" s="107">
        <f>IF($I1413="▲ ENTRÉE",$U1413,"")</f>
        <v/>
      </c>
      <c r="K1413" s="108">
        <f>IF($I1413="▼ SORTIE",$U1413,"")</f>
        <v/>
      </c>
      <c r="L1413" s="109">
        <f>$L1412+N($J1413)-N($K1413)</f>
        <v/>
      </c>
      <c r="M1413" s="110" t="n"/>
      <c r="N1413" s="54" t="n"/>
      <c r="O1413" s="54" t="n"/>
      <c r="P1413" s="54" t="n"/>
      <c r="Q1413" s="110" t="n"/>
      <c r="R1413" s="110" t="n"/>
      <c r="S1413" s="54" t="n"/>
      <c r="T1413" s="111">
        <f>IF($G1413="","",IFERROR(INDEX(Taux_Devises,MATCH(IF($M1413="",Devise_Base,$M1413),Codes_Devises,0)),1))</f>
        <v/>
      </c>
      <c r="U1413" s="112">
        <f>IF($G1413="","",ROUND($G1413*$T1413,2))</f>
        <v/>
      </c>
      <c r="V1413" s="113">
        <f>IF($B1413="","",MONTH($B1413))</f>
        <v/>
      </c>
      <c r="W1413" s="113">
        <f>IF($B1413="","",YEAR($B1413))</f>
        <v/>
      </c>
    </row>
    <row r="1414">
      <c r="B1414" s="105" t="n"/>
      <c r="C1414" s="54" t="n"/>
      <c r="D1414" s="54" t="n"/>
      <c r="E1414" s="54" t="n"/>
      <c r="F1414" s="54" t="n"/>
      <c r="G1414" s="65" t="n"/>
      <c r="H1414" s="54" t="n"/>
      <c r="I1414" s="106">
        <f>IF($C1414="","",IFERROR(INDEX(Sens_Types,MATCH($C1414,Liste_Types,0)),""))</f>
        <v/>
      </c>
      <c r="J1414" s="107">
        <f>IF($I1414="▲ ENTRÉE",$U1414,"")</f>
        <v/>
      </c>
      <c r="K1414" s="108">
        <f>IF($I1414="▼ SORTIE",$U1414,"")</f>
        <v/>
      </c>
      <c r="L1414" s="109">
        <f>$L1413+N($J1414)-N($K1414)</f>
        <v/>
      </c>
      <c r="M1414" s="110" t="n"/>
      <c r="N1414" s="54" t="n"/>
      <c r="O1414" s="54" t="n"/>
      <c r="P1414" s="54" t="n"/>
      <c r="Q1414" s="110" t="n"/>
      <c r="R1414" s="110" t="n"/>
      <c r="S1414" s="54" t="n"/>
      <c r="T1414" s="111">
        <f>IF($G1414="","",IFERROR(INDEX(Taux_Devises,MATCH(IF($M1414="",Devise_Base,$M1414),Codes_Devises,0)),1))</f>
        <v/>
      </c>
      <c r="U1414" s="112">
        <f>IF($G1414="","",ROUND($G1414*$T1414,2))</f>
        <v/>
      </c>
      <c r="V1414" s="113">
        <f>IF($B1414="","",MONTH($B1414))</f>
        <v/>
      </c>
      <c r="W1414" s="113">
        <f>IF($B1414="","",YEAR($B1414))</f>
        <v/>
      </c>
    </row>
    <row r="1415">
      <c r="B1415" s="105" t="n"/>
      <c r="C1415" s="54" t="n"/>
      <c r="D1415" s="54" t="n"/>
      <c r="E1415" s="54" t="n"/>
      <c r="F1415" s="54" t="n"/>
      <c r="G1415" s="65" t="n"/>
      <c r="H1415" s="54" t="n"/>
      <c r="I1415" s="106">
        <f>IF($C1415="","",IFERROR(INDEX(Sens_Types,MATCH($C1415,Liste_Types,0)),""))</f>
        <v/>
      </c>
      <c r="J1415" s="107">
        <f>IF($I1415="▲ ENTRÉE",$U1415,"")</f>
        <v/>
      </c>
      <c r="K1415" s="108">
        <f>IF($I1415="▼ SORTIE",$U1415,"")</f>
        <v/>
      </c>
      <c r="L1415" s="109">
        <f>$L1414+N($J1415)-N($K1415)</f>
        <v/>
      </c>
      <c r="M1415" s="110" t="n"/>
      <c r="N1415" s="54" t="n"/>
      <c r="O1415" s="54" t="n"/>
      <c r="P1415" s="54" t="n"/>
      <c r="Q1415" s="110" t="n"/>
      <c r="R1415" s="110" t="n"/>
      <c r="S1415" s="54" t="n"/>
      <c r="T1415" s="111">
        <f>IF($G1415="","",IFERROR(INDEX(Taux_Devises,MATCH(IF($M1415="",Devise_Base,$M1415),Codes_Devises,0)),1))</f>
        <v/>
      </c>
      <c r="U1415" s="112">
        <f>IF($G1415="","",ROUND($G1415*$T1415,2))</f>
        <v/>
      </c>
      <c r="V1415" s="113">
        <f>IF($B1415="","",MONTH($B1415))</f>
        <v/>
      </c>
      <c r="W1415" s="113">
        <f>IF($B1415="","",YEAR($B1415))</f>
        <v/>
      </c>
    </row>
    <row r="1416">
      <c r="B1416" s="105" t="n"/>
      <c r="C1416" s="54" t="n"/>
      <c r="D1416" s="54" t="n"/>
      <c r="E1416" s="54" t="n"/>
      <c r="F1416" s="54" t="n"/>
      <c r="G1416" s="65" t="n"/>
      <c r="H1416" s="54" t="n"/>
      <c r="I1416" s="106">
        <f>IF($C1416="","",IFERROR(INDEX(Sens_Types,MATCH($C1416,Liste_Types,0)),""))</f>
        <v/>
      </c>
      <c r="J1416" s="107">
        <f>IF($I1416="▲ ENTRÉE",$U1416,"")</f>
        <v/>
      </c>
      <c r="K1416" s="108">
        <f>IF($I1416="▼ SORTIE",$U1416,"")</f>
        <v/>
      </c>
      <c r="L1416" s="109">
        <f>$L1415+N($J1416)-N($K1416)</f>
        <v/>
      </c>
      <c r="M1416" s="110" t="n"/>
      <c r="N1416" s="54" t="n"/>
      <c r="O1416" s="54" t="n"/>
      <c r="P1416" s="54" t="n"/>
      <c r="Q1416" s="110" t="n"/>
      <c r="R1416" s="110" t="n"/>
      <c r="S1416" s="54" t="n"/>
      <c r="T1416" s="111">
        <f>IF($G1416="","",IFERROR(INDEX(Taux_Devises,MATCH(IF($M1416="",Devise_Base,$M1416),Codes_Devises,0)),1))</f>
        <v/>
      </c>
      <c r="U1416" s="112">
        <f>IF($G1416="","",ROUND($G1416*$T1416,2))</f>
        <v/>
      </c>
      <c r="V1416" s="113">
        <f>IF($B1416="","",MONTH($B1416))</f>
        <v/>
      </c>
      <c r="W1416" s="113">
        <f>IF($B1416="","",YEAR($B1416))</f>
        <v/>
      </c>
    </row>
    <row r="1417">
      <c r="B1417" s="105" t="n"/>
      <c r="C1417" s="54" t="n"/>
      <c r="D1417" s="54" t="n"/>
      <c r="E1417" s="54" t="n"/>
      <c r="F1417" s="54" t="n"/>
      <c r="G1417" s="65" t="n"/>
      <c r="H1417" s="54" t="n"/>
      <c r="I1417" s="106">
        <f>IF($C1417="","",IFERROR(INDEX(Sens_Types,MATCH($C1417,Liste_Types,0)),""))</f>
        <v/>
      </c>
      <c r="J1417" s="107">
        <f>IF($I1417="▲ ENTRÉE",$U1417,"")</f>
        <v/>
      </c>
      <c r="K1417" s="108">
        <f>IF($I1417="▼ SORTIE",$U1417,"")</f>
        <v/>
      </c>
      <c r="L1417" s="109">
        <f>$L1416+N($J1417)-N($K1417)</f>
        <v/>
      </c>
      <c r="M1417" s="110" t="n"/>
      <c r="N1417" s="54" t="n"/>
      <c r="O1417" s="54" t="n"/>
      <c r="P1417" s="54" t="n"/>
      <c r="Q1417" s="110" t="n"/>
      <c r="R1417" s="110" t="n"/>
      <c r="S1417" s="54" t="n"/>
      <c r="T1417" s="111">
        <f>IF($G1417="","",IFERROR(INDEX(Taux_Devises,MATCH(IF($M1417="",Devise_Base,$M1417),Codes_Devises,0)),1))</f>
        <v/>
      </c>
      <c r="U1417" s="112">
        <f>IF($G1417="","",ROUND($G1417*$T1417,2))</f>
        <v/>
      </c>
      <c r="V1417" s="113">
        <f>IF($B1417="","",MONTH($B1417))</f>
        <v/>
      </c>
      <c r="W1417" s="113">
        <f>IF($B1417="","",YEAR($B1417))</f>
        <v/>
      </c>
    </row>
    <row r="1418">
      <c r="B1418" s="105" t="n"/>
      <c r="C1418" s="54" t="n"/>
      <c r="D1418" s="54" t="n"/>
      <c r="E1418" s="54" t="n"/>
      <c r="F1418" s="54" t="n"/>
      <c r="G1418" s="65" t="n"/>
      <c r="H1418" s="54" t="n"/>
      <c r="I1418" s="106">
        <f>IF($C1418="","",IFERROR(INDEX(Sens_Types,MATCH($C1418,Liste_Types,0)),""))</f>
        <v/>
      </c>
      <c r="J1418" s="107">
        <f>IF($I1418="▲ ENTRÉE",$U1418,"")</f>
        <v/>
      </c>
      <c r="K1418" s="108">
        <f>IF($I1418="▼ SORTIE",$U1418,"")</f>
        <v/>
      </c>
      <c r="L1418" s="109">
        <f>$L1417+N($J1418)-N($K1418)</f>
        <v/>
      </c>
      <c r="M1418" s="110" t="n"/>
      <c r="N1418" s="54" t="n"/>
      <c r="O1418" s="54" t="n"/>
      <c r="P1418" s="54" t="n"/>
      <c r="Q1418" s="110" t="n"/>
      <c r="R1418" s="110" t="n"/>
      <c r="S1418" s="54" t="n"/>
      <c r="T1418" s="111">
        <f>IF($G1418="","",IFERROR(INDEX(Taux_Devises,MATCH(IF($M1418="",Devise_Base,$M1418),Codes_Devises,0)),1))</f>
        <v/>
      </c>
      <c r="U1418" s="112">
        <f>IF($G1418="","",ROUND($G1418*$T1418,2))</f>
        <v/>
      </c>
      <c r="V1418" s="113">
        <f>IF($B1418="","",MONTH($B1418))</f>
        <v/>
      </c>
      <c r="W1418" s="113">
        <f>IF($B1418="","",YEAR($B1418))</f>
        <v/>
      </c>
    </row>
    <row r="1419">
      <c r="B1419" s="105" t="n"/>
      <c r="C1419" s="54" t="n"/>
      <c r="D1419" s="54" t="n"/>
      <c r="E1419" s="54" t="n"/>
      <c r="F1419" s="54" t="n"/>
      <c r="G1419" s="65" t="n"/>
      <c r="H1419" s="54" t="n"/>
      <c r="I1419" s="106">
        <f>IF($C1419="","",IFERROR(INDEX(Sens_Types,MATCH($C1419,Liste_Types,0)),""))</f>
        <v/>
      </c>
      <c r="J1419" s="107">
        <f>IF($I1419="▲ ENTRÉE",$U1419,"")</f>
        <v/>
      </c>
      <c r="K1419" s="108">
        <f>IF($I1419="▼ SORTIE",$U1419,"")</f>
        <v/>
      </c>
      <c r="L1419" s="109">
        <f>$L1418+N($J1419)-N($K1419)</f>
        <v/>
      </c>
      <c r="M1419" s="110" t="n"/>
      <c r="N1419" s="54" t="n"/>
      <c r="O1419" s="54" t="n"/>
      <c r="P1419" s="54" t="n"/>
      <c r="Q1419" s="110" t="n"/>
      <c r="R1419" s="110" t="n"/>
      <c r="S1419" s="54" t="n"/>
      <c r="T1419" s="111">
        <f>IF($G1419="","",IFERROR(INDEX(Taux_Devises,MATCH(IF($M1419="",Devise_Base,$M1419),Codes_Devises,0)),1))</f>
        <v/>
      </c>
      <c r="U1419" s="112">
        <f>IF($G1419="","",ROUND($G1419*$T1419,2))</f>
        <v/>
      </c>
      <c r="V1419" s="113">
        <f>IF($B1419="","",MONTH($B1419))</f>
        <v/>
      </c>
      <c r="W1419" s="113">
        <f>IF($B1419="","",YEAR($B1419))</f>
        <v/>
      </c>
    </row>
    <row r="1420">
      <c r="B1420" s="105" t="n"/>
      <c r="C1420" s="54" t="n"/>
      <c r="D1420" s="54" t="n"/>
      <c r="E1420" s="54" t="n"/>
      <c r="F1420" s="54" t="n"/>
      <c r="G1420" s="65" t="n"/>
      <c r="H1420" s="54" t="n"/>
      <c r="I1420" s="106">
        <f>IF($C1420="","",IFERROR(INDEX(Sens_Types,MATCH($C1420,Liste_Types,0)),""))</f>
        <v/>
      </c>
      <c r="J1420" s="107">
        <f>IF($I1420="▲ ENTRÉE",$U1420,"")</f>
        <v/>
      </c>
      <c r="K1420" s="108">
        <f>IF($I1420="▼ SORTIE",$U1420,"")</f>
        <v/>
      </c>
      <c r="L1420" s="109">
        <f>$L1419+N($J1420)-N($K1420)</f>
        <v/>
      </c>
      <c r="M1420" s="110" t="n"/>
      <c r="N1420" s="54" t="n"/>
      <c r="O1420" s="54" t="n"/>
      <c r="P1420" s="54" t="n"/>
      <c r="Q1420" s="110" t="n"/>
      <c r="R1420" s="110" t="n"/>
      <c r="S1420" s="54" t="n"/>
      <c r="T1420" s="111">
        <f>IF($G1420="","",IFERROR(INDEX(Taux_Devises,MATCH(IF($M1420="",Devise_Base,$M1420),Codes_Devises,0)),1))</f>
        <v/>
      </c>
      <c r="U1420" s="112">
        <f>IF($G1420="","",ROUND($G1420*$T1420,2))</f>
        <v/>
      </c>
      <c r="V1420" s="113">
        <f>IF($B1420="","",MONTH($B1420))</f>
        <v/>
      </c>
      <c r="W1420" s="113">
        <f>IF($B1420="","",YEAR($B1420))</f>
        <v/>
      </c>
    </row>
    <row r="1421">
      <c r="B1421" s="105" t="n"/>
      <c r="C1421" s="54" t="n"/>
      <c r="D1421" s="54" t="n"/>
      <c r="E1421" s="54" t="n"/>
      <c r="F1421" s="54" t="n"/>
      <c r="G1421" s="65" t="n"/>
      <c r="H1421" s="54" t="n"/>
      <c r="I1421" s="106">
        <f>IF($C1421="","",IFERROR(INDEX(Sens_Types,MATCH($C1421,Liste_Types,0)),""))</f>
        <v/>
      </c>
      <c r="J1421" s="107">
        <f>IF($I1421="▲ ENTRÉE",$U1421,"")</f>
        <v/>
      </c>
      <c r="K1421" s="108">
        <f>IF($I1421="▼ SORTIE",$U1421,"")</f>
        <v/>
      </c>
      <c r="L1421" s="109">
        <f>$L1420+N($J1421)-N($K1421)</f>
        <v/>
      </c>
      <c r="M1421" s="110" t="n"/>
      <c r="N1421" s="54" t="n"/>
      <c r="O1421" s="54" t="n"/>
      <c r="P1421" s="54" t="n"/>
      <c r="Q1421" s="110" t="n"/>
      <c r="R1421" s="110" t="n"/>
      <c r="S1421" s="54" t="n"/>
      <c r="T1421" s="111">
        <f>IF($G1421="","",IFERROR(INDEX(Taux_Devises,MATCH(IF($M1421="",Devise_Base,$M1421),Codes_Devises,0)),1))</f>
        <v/>
      </c>
      <c r="U1421" s="112">
        <f>IF($G1421="","",ROUND($G1421*$T1421,2))</f>
        <v/>
      </c>
      <c r="V1421" s="113">
        <f>IF($B1421="","",MONTH($B1421))</f>
        <v/>
      </c>
      <c r="W1421" s="113">
        <f>IF($B1421="","",YEAR($B1421))</f>
        <v/>
      </c>
    </row>
    <row r="1422">
      <c r="B1422" s="105" t="n"/>
      <c r="C1422" s="54" t="n"/>
      <c r="D1422" s="54" t="n"/>
      <c r="E1422" s="54" t="n"/>
      <c r="F1422" s="54" t="n"/>
      <c r="G1422" s="65" t="n"/>
      <c r="H1422" s="54" t="n"/>
      <c r="I1422" s="106">
        <f>IF($C1422="","",IFERROR(INDEX(Sens_Types,MATCH($C1422,Liste_Types,0)),""))</f>
        <v/>
      </c>
      <c r="J1422" s="107">
        <f>IF($I1422="▲ ENTRÉE",$U1422,"")</f>
        <v/>
      </c>
      <c r="K1422" s="108">
        <f>IF($I1422="▼ SORTIE",$U1422,"")</f>
        <v/>
      </c>
      <c r="L1422" s="109">
        <f>$L1421+N($J1422)-N($K1422)</f>
        <v/>
      </c>
      <c r="M1422" s="110" t="n"/>
      <c r="N1422" s="54" t="n"/>
      <c r="O1422" s="54" t="n"/>
      <c r="P1422" s="54" t="n"/>
      <c r="Q1422" s="110" t="n"/>
      <c r="R1422" s="110" t="n"/>
      <c r="S1422" s="54" t="n"/>
      <c r="T1422" s="111">
        <f>IF($G1422="","",IFERROR(INDEX(Taux_Devises,MATCH(IF($M1422="",Devise_Base,$M1422),Codes_Devises,0)),1))</f>
        <v/>
      </c>
      <c r="U1422" s="112">
        <f>IF($G1422="","",ROUND($G1422*$T1422,2))</f>
        <v/>
      </c>
      <c r="V1422" s="113">
        <f>IF($B1422="","",MONTH($B1422))</f>
        <v/>
      </c>
      <c r="W1422" s="113">
        <f>IF($B1422="","",YEAR($B1422))</f>
        <v/>
      </c>
    </row>
    <row r="1423">
      <c r="B1423" s="105" t="n"/>
      <c r="C1423" s="54" t="n"/>
      <c r="D1423" s="54" t="n"/>
      <c r="E1423" s="54" t="n"/>
      <c r="F1423" s="54" t="n"/>
      <c r="G1423" s="65" t="n"/>
      <c r="H1423" s="54" t="n"/>
      <c r="I1423" s="106">
        <f>IF($C1423="","",IFERROR(INDEX(Sens_Types,MATCH($C1423,Liste_Types,0)),""))</f>
        <v/>
      </c>
      <c r="J1423" s="107">
        <f>IF($I1423="▲ ENTRÉE",$U1423,"")</f>
        <v/>
      </c>
      <c r="K1423" s="108">
        <f>IF($I1423="▼ SORTIE",$U1423,"")</f>
        <v/>
      </c>
      <c r="L1423" s="109">
        <f>$L1422+N($J1423)-N($K1423)</f>
        <v/>
      </c>
      <c r="M1423" s="110" t="n"/>
      <c r="N1423" s="54" t="n"/>
      <c r="O1423" s="54" t="n"/>
      <c r="P1423" s="54" t="n"/>
      <c r="Q1423" s="110" t="n"/>
      <c r="R1423" s="110" t="n"/>
      <c r="S1423" s="54" t="n"/>
      <c r="T1423" s="111">
        <f>IF($G1423="","",IFERROR(INDEX(Taux_Devises,MATCH(IF($M1423="",Devise_Base,$M1423),Codes_Devises,0)),1))</f>
        <v/>
      </c>
      <c r="U1423" s="112">
        <f>IF($G1423="","",ROUND($G1423*$T1423,2))</f>
        <v/>
      </c>
      <c r="V1423" s="113">
        <f>IF($B1423="","",MONTH($B1423))</f>
        <v/>
      </c>
      <c r="W1423" s="113">
        <f>IF($B1423="","",YEAR($B1423))</f>
        <v/>
      </c>
    </row>
    <row r="1424">
      <c r="B1424" s="105" t="n"/>
      <c r="C1424" s="54" t="n"/>
      <c r="D1424" s="54" t="n"/>
      <c r="E1424" s="54" t="n"/>
      <c r="F1424" s="54" t="n"/>
      <c r="G1424" s="65" t="n"/>
      <c r="H1424" s="54" t="n"/>
      <c r="I1424" s="106">
        <f>IF($C1424="","",IFERROR(INDEX(Sens_Types,MATCH($C1424,Liste_Types,0)),""))</f>
        <v/>
      </c>
      <c r="J1424" s="107">
        <f>IF($I1424="▲ ENTRÉE",$U1424,"")</f>
        <v/>
      </c>
      <c r="K1424" s="108">
        <f>IF($I1424="▼ SORTIE",$U1424,"")</f>
        <v/>
      </c>
      <c r="L1424" s="109">
        <f>$L1423+N($J1424)-N($K1424)</f>
        <v/>
      </c>
      <c r="M1424" s="110" t="n"/>
      <c r="N1424" s="54" t="n"/>
      <c r="O1424" s="54" t="n"/>
      <c r="P1424" s="54" t="n"/>
      <c r="Q1424" s="110" t="n"/>
      <c r="R1424" s="110" t="n"/>
      <c r="S1424" s="54" t="n"/>
      <c r="T1424" s="111">
        <f>IF($G1424="","",IFERROR(INDEX(Taux_Devises,MATCH(IF($M1424="",Devise_Base,$M1424),Codes_Devises,0)),1))</f>
        <v/>
      </c>
      <c r="U1424" s="112">
        <f>IF($G1424="","",ROUND($G1424*$T1424,2))</f>
        <v/>
      </c>
      <c r="V1424" s="113">
        <f>IF($B1424="","",MONTH($B1424))</f>
        <v/>
      </c>
      <c r="W1424" s="113">
        <f>IF($B1424="","",YEAR($B1424))</f>
        <v/>
      </c>
    </row>
    <row r="1425">
      <c r="B1425" s="105" t="n"/>
      <c r="C1425" s="54" t="n"/>
      <c r="D1425" s="54" t="n"/>
      <c r="E1425" s="54" t="n"/>
      <c r="F1425" s="54" t="n"/>
      <c r="G1425" s="65" t="n"/>
      <c r="H1425" s="54" t="n"/>
      <c r="I1425" s="106">
        <f>IF($C1425="","",IFERROR(INDEX(Sens_Types,MATCH($C1425,Liste_Types,0)),""))</f>
        <v/>
      </c>
      <c r="J1425" s="107">
        <f>IF($I1425="▲ ENTRÉE",$U1425,"")</f>
        <v/>
      </c>
      <c r="K1425" s="108">
        <f>IF($I1425="▼ SORTIE",$U1425,"")</f>
        <v/>
      </c>
      <c r="L1425" s="109">
        <f>$L1424+N($J1425)-N($K1425)</f>
        <v/>
      </c>
      <c r="M1425" s="110" t="n"/>
      <c r="N1425" s="54" t="n"/>
      <c r="O1425" s="54" t="n"/>
      <c r="P1425" s="54" t="n"/>
      <c r="Q1425" s="110" t="n"/>
      <c r="R1425" s="110" t="n"/>
      <c r="S1425" s="54" t="n"/>
      <c r="T1425" s="111">
        <f>IF($G1425="","",IFERROR(INDEX(Taux_Devises,MATCH(IF($M1425="",Devise_Base,$M1425),Codes_Devises,0)),1))</f>
        <v/>
      </c>
      <c r="U1425" s="112">
        <f>IF($G1425="","",ROUND($G1425*$T1425,2))</f>
        <v/>
      </c>
      <c r="V1425" s="113">
        <f>IF($B1425="","",MONTH($B1425))</f>
        <v/>
      </c>
      <c r="W1425" s="113">
        <f>IF($B1425="","",YEAR($B1425))</f>
        <v/>
      </c>
    </row>
    <row r="1426">
      <c r="B1426" s="105" t="n"/>
      <c r="C1426" s="54" t="n"/>
      <c r="D1426" s="54" t="n"/>
      <c r="E1426" s="54" t="n"/>
      <c r="F1426" s="54" t="n"/>
      <c r="G1426" s="65" t="n"/>
      <c r="H1426" s="54" t="n"/>
      <c r="I1426" s="106">
        <f>IF($C1426="","",IFERROR(INDEX(Sens_Types,MATCH($C1426,Liste_Types,0)),""))</f>
        <v/>
      </c>
      <c r="J1426" s="107">
        <f>IF($I1426="▲ ENTRÉE",$U1426,"")</f>
        <v/>
      </c>
      <c r="K1426" s="108">
        <f>IF($I1426="▼ SORTIE",$U1426,"")</f>
        <v/>
      </c>
      <c r="L1426" s="109">
        <f>$L1425+N($J1426)-N($K1426)</f>
        <v/>
      </c>
      <c r="M1426" s="110" t="n"/>
      <c r="N1426" s="54" t="n"/>
      <c r="O1426" s="54" t="n"/>
      <c r="P1426" s="54" t="n"/>
      <c r="Q1426" s="110" t="n"/>
      <c r="R1426" s="110" t="n"/>
      <c r="S1426" s="54" t="n"/>
      <c r="T1426" s="111">
        <f>IF($G1426="","",IFERROR(INDEX(Taux_Devises,MATCH(IF($M1426="",Devise_Base,$M1426),Codes_Devises,0)),1))</f>
        <v/>
      </c>
      <c r="U1426" s="112">
        <f>IF($G1426="","",ROUND($G1426*$T1426,2))</f>
        <v/>
      </c>
      <c r="V1426" s="113">
        <f>IF($B1426="","",MONTH($B1426))</f>
        <v/>
      </c>
      <c r="W1426" s="113">
        <f>IF($B1426="","",YEAR($B1426))</f>
        <v/>
      </c>
    </row>
    <row r="1427">
      <c r="B1427" s="105" t="n"/>
      <c r="C1427" s="54" t="n"/>
      <c r="D1427" s="54" t="n"/>
      <c r="E1427" s="54" t="n"/>
      <c r="F1427" s="54" t="n"/>
      <c r="G1427" s="65" t="n"/>
      <c r="H1427" s="54" t="n"/>
      <c r="I1427" s="106">
        <f>IF($C1427="","",IFERROR(INDEX(Sens_Types,MATCH($C1427,Liste_Types,0)),""))</f>
        <v/>
      </c>
      <c r="J1427" s="107">
        <f>IF($I1427="▲ ENTRÉE",$U1427,"")</f>
        <v/>
      </c>
      <c r="K1427" s="108">
        <f>IF($I1427="▼ SORTIE",$U1427,"")</f>
        <v/>
      </c>
      <c r="L1427" s="109">
        <f>$L1426+N($J1427)-N($K1427)</f>
        <v/>
      </c>
      <c r="M1427" s="110" t="n"/>
      <c r="N1427" s="54" t="n"/>
      <c r="O1427" s="54" t="n"/>
      <c r="P1427" s="54" t="n"/>
      <c r="Q1427" s="110" t="n"/>
      <c r="R1427" s="110" t="n"/>
      <c r="S1427" s="54" t="n"/>
      <c r="T1427" s="111">
        <f>IF($G1427="","",IFERROR(INDEX(Taux_Devises,MATCH(IF($M1427="",Devise_Base,$M1427),Codes_Devises,0)),1))</f>
        <v/>
      </c>
      <c r="U1427" s="112">
        <f>IF($G1427="","",ROUND($G1427*$T1427,2))</f>
        <v/>
      </c>
      <c r="V1427" s="113">
        <f>IF($B1427="","",MONTH($B1427))</f>
        <v/>
      </c>
      <c r="W1427" s="113">
        <f>IF($B1427="","",YEAR($B1427))</f>
        <v/>
      </c>
    </row>
    <row r="1428">
      <c r="B1428" s="105" t="n"/>
      <c r="C1428" s="54" t="n"/>
      <c r="D1428" s="54" t="n"/>
      <c r="E1428" s="54" t="n"/>
      <c r="F1428" s="54" t="n"/>
      <c r="G1428" s="65" t="n"/>
      <c r="H1428" s="54" t="n"/>
      <c r="I1428" s="106">
        <f>IF($C1428="","",IFERROR(INDEX(Sens_Types,MATCH($C1428,Liste_Types,0)),""))</f>
        <v/>
      </c>
      <c r="J1428" s="107">
        <f>IF($I1428="▲ ENTRÉE",$U1428,"")</f>
        <v/>
      </c>
      <c r="K1428" s="108">
        <f>IF($I1428="▼ SORTIE",$U1428,"")</f>
        <v/>
      </c>
      <c r="L1428" s="109">
        <f>$L1427+N($J1428)-N($K1428)</f>
        <v/>
      </c>
      <c r="M1428" s="110" t="n"/>
      <c r="N1428" s="54" t="n"/>
      <c r="O1428" s="54" t="n"/>
      <c r="P1428" s="54" t="n"/>
      <c r="Q1428" s="110" t="n"/>
      <c r="R1428" s="110" t="n"/>
      <c r="S1428" s="54" t="n"/>
      <c r="T1428" s="111">
        <f>IF($G1428="","",IFERROR(INDEX(Taux_Devises,MATCH(IF($M1428="",Devise_Base,$M1428),Codes_Devises,0)),1))</f>
        <v/>
      </c>
      <c r="U1428" s="112">
        <f>IF($G1428="","",ROUND($G1428*$T1428,2))</f>
        <v/>
      </c>
      <c r="V1428" s="113">
        <f>IF($B1428="","",MONTH($B1428))</f>
        <v/>
      </c>
      <c r="W1428" s="113">
        <f>IF($B1428="","",YEAR($B1428))</f>
        <v/>
      </c>
    </row>
    <row r="1429">
      <c r="B1429" s="105" t="n"/>
      <c r="C1429" s="54" t="n"/>
      <c r="D1429" s="54" t="n"/>
      <c r="E1429" s="54" t="n"/>
      <c r="F1429" s="54" t="n"/>
      <c r="G1429" s="65" t="n"/>
      <c r="H1429" s="54" t="n"/>
      <c r="I1429" s="106">
        <f>IF($C1429="","",IFERROR(INDEX(Sens_Types,MATCH($C1429,Liste_Types,0)),""))</f>
        <v/>
      </c>
      <c r="J1429" s="107">
        <f>IF($I1429="▲ ENTRÉE",$U1429,"")</f>
        <v/>
      </c>
      <c r="K1429" s="108">
        <f>IF($I1429="▼ SORTIE",$U1429,"")</f>
        <v/>
      </c>
      <c r="L1429" s="109">
        <f>$L1428+N($J1429)-N($K1429)</f>
        <v/>
      </c>
      <c r="M1429" s="110" t="n"/>
      <c r="N1429" s="54" t="n"/>
      <c r="O1429" s="54" t="n"/>
      <c r="P1429" s="54" t="n"/>
      <c r="Q1429" s="110" t="n"/>
      <c r="R1429" s="110" t="n"/>
      <c r="S1429" s="54" t="n"/>
      <c r="T1429" s="111">
        <f>IF($G1429="","",IFERROR(INDEX(Taux_Devises,MATCH(IF($M1429="",Devise_Base,$M1429),Codes_Devises,0)),1))</f>
        <v/>
      </c>
      <c r="U1429" s="112">
        <f>IF($G1429="","",ROUND($G1429*$T1429,2))</f>
        <v/>
      </c>
      <c r="V1429" s="113">
        <f>IF($B1429="","",MONTH($B1429))</f>
        <v/>
      </c>
      <c r="W1429" s="113">
        <f>IF($B1429="","",YEAR($B1429))</f>
        <v/>
      </c>
    </row>
    <row r="1430">
      <c r="B1430" s="105" t="n"/>
      <c r="C1430" s="54" t="n"/>
      <c r="D1430" s="54" t="n"/>
      <c r="E1430" s="54" t="n"/>
      <c r="F1430" s="54" t="n"/>
      <c r="G1430" s="65" t="n"/>
      <c r="H1430" s="54" t="n"/>
      <c r="I1430" s="106">
        <f>IF($C1430="","",IFERROR(INDEX(Sens_Types,MATCH($C1430,Liste_Types,0)),""))</f>
        <v/>
      </c>
      <c r="J1430" s="107">
        <f>IF($I1430="▲ ENTRÉE",$U1430,"")</f>
        <v/>
      </c>
      <c r="K1430" s="108">
        <f>IF($I1430="▼ SORTIE",$U1430,"")</f>
        <v/>
      </c>
      <c r="L1430" s="109">
        <f>$L1429+N($J1430)-N($K1430)</f>
        <v/>
      </c>
      <c r="M1430" s="110" t="n"/>
      <c r="N1430" s="54" t="n"/>
      <c r="O1430" s="54" t="n"/>
      <c r="P1430" s="54" t="n"/>
      <c r="Q1430" s="110" t="n"/>
      <c r="R1430" s="110" t="n"/>
      <c r="S1430" s="54" t="n"/>
      <c r="T1430" s="111">
        <f>IF($G1430="","",IFERROR(INDEX(Taux_Devises,MATCH(IF($M1430="",Devise_Base,$M1430),Codes_Devises,0)),1))</f>
        <v/>
      </c>
      <c r="U1430" s="112">
        <f>IF($G1430="","",ROUND($G1430*$T1430,2))</f>
        <v/>
      </c>
      <c r="V1430" s="113">
        <f>IF($B1430="","",MONTH($B1430))</f>
        <v/>
      </c>
      <c r="W1430" s="113">
        <f>IF($B1430="","",YEAR($B1430))</f>
        <v/>
      </c>
    </row>
    <row r="1431">
      <c r="B1431" s="105" t="n"/>
      <c r="C1431" s="54" t="n"/>
      <c r="D1431" s="54" t="n"/>
      <c r="E1431" s="54" t="n"/>
      <c r="F1431" s="54" t="n"/>
      <c r="G1431" s="65" t="n"/>
      <c r="H1431" s="54" t="n"/>
      <c r="I1431" s="106">
        <f>IF($C1431="","",IFERROR(INDEX(Sens_Types,MATCH($C1431,Liste_Types,0)),""))</f>
        <v/>
      </c>
      <c r="J1431" s="107">
        <f>IF($I1431="▲ ENTRÉE",$U1431,"")</f>
        <v/>
      </c>
      <c r="K1431" s="108">
        <f>IF($I1431="▼ SORTIE",$U1431,"")</f>
        <v/>
      </c>
      <c r="L1431" s="109">
        <f>$L1430+N($J1431)-N($K1431)</f>
        <v/>
      </c>
      <c r="M1431" s="110" t="n"/>
      <c r="N1431" s="54" t="n"/>
      <c r="O1431" s="54" t="n"/>
      <c r="P1431" s="54" t="n"/>
      <c r="Q1431" s="110" t="n"/>
      <c r="R1431" s="110" t="n"/>
      <c r="S1431" s="54" t="n"/>
      <c r="T1431" s="111">
        <f>IF($G1431="","",IFERROR(INDEX(Taux_Devises,MATCH(IF($M1431="",Devise_Base,$M1431),Codes_Devises,0)),1))</f>
        <v/>
      </c>
      <c r="U1431" s="112">
        <f>IF($G1431="","",ROUND($G1431*$T1431,2))</f>
        <v/>
      </c>
      <c r="V1431" s="113">
        <f>IF($B1431="","",MONTH($B1431))</f>
        <v/>
      </c>
      <c r="W1431" s="113">
        <f>IF($B1431="","",YEAR($B1431))</f>
        <v/>
      </c>
    </row>
    <row r="1432">
      <c r="B1432" s="105" t="n"/>
      <c r="C1432" s="54" t="n"/>
      <c r="D1432" s="54" t="n"/>
      <c r="E1432" s="54" t="n"/>
      <c r="F1432" s="54" t="n"/>
      <c r="G1432" s="65" t="n"/>
      <c r="H1432" s="54" t="n"/>
      <c r="I1432" s="106">
        <f>IF($C1432="","",IFERROR(INDEX(Sens_Types,MATCH($C1432,Liste_Types,0)),""))</f>
        <v/>
      </c>
      <c r="J1432" s="107">
        <f>IF($I1432="▲ ENTRÉE",$U1432,"")</f>
        <v/>
      </c>
      <c r="K1432" s="108">
        <f>IF($I1432="▼ SORTIE",$U1432,"")</f>
        <v/>
      </c>
      <c r="L1432" s="109">
        <f>$L1431+N($J1432)-N($K1432)</f>
        <v/>
      </c>
      <c r="M1432" s="110" t="n"/>
      <c r="N1432" s="54" t="n"/>
      <c r="O1432" s="54" t="n"/>
      <c r="P1432" s="54" t="n"/>
      <c r="Q1432" s="110" t="n"/>
      <c r="R1432" s="110" t="n"/>
      <c r="S1432" s="54" t="n"/>
      <c r="T1432" s="111">
        <f>IF($G1432="","",IFERROR(INDEX(Taux_Devises,MATCH(IF($M1432="",Devise_Base,$M1432),Codes_Devises,0)),1))</f>
        <v/>
      </c>
      <c r="U1432" s="112">
        <f>IF($G1432="","",ROUND($G1432*$T1432,2))</f>
        <v/>
      </c>
      <c r="V1432" s="113">
        <f>IF($B1432="","",MONTH($B1432))</f>
        <v/>
      </c>
      <c r="W1432" s="113">
        <f>IF($B1432="","",YEAR($B1432))</f>
        <v/>
      </c>
    </row>
    <row r="1433">
      <c r="B1433" s="105" t="n"/>
      <c r="C1433" s="54" t="n"/>
      <c r="D1433" s="54" t="n"/>
      <c r="E1433" s="54" t="n"/>
      <c r="F1433" s="54" t="n"/>
      <c r="G1433" s="65" t="n"/>
      <c r="H1433" s="54" t="n"/>
      <c r="I1433" s="106">
        <f>IF($C1433="","",IFERROR(INDEX(Sens_Types,MATCH($C1433,Liste_Types,0)),""))</f>
        <v/>
      </c>
      <c r="J1433" s="107">
        <f>IF($I1433="▲ ENTRÉE",$U1433,"")</f>
        <v/>
      </c>
      <c r="K1433" s="108">
        <f>IF($I1433="▼ SORTIE",$U1433,"")</f>
        <v/>
      </c>
      <c r="L1433" s="109">
        <f>$L1432+N($J1433)-N($K1433)</f>
        <v/>
      </c>
      <c r="M1433" s="110" t="n"/>
      <c r="N1433" s="54" t="n"/>
      <c r="O1433" s="54" t="n"/>
      <c r="P1433" s="54" t="n"/>
      <c r="Q1433" s="110" t="n"/>
      <c r="R1433" s="110" t="n"/>
      <c r="S1433" s="54" t="n"/>
      <c r="T1433" s="111">
        <f>IF($G1433="","",IFERROR(INDEX(Taux_Devises,MATCH(IF($M1433="",Devise_Base,$M1433),Codes_Devises,0)),1))</f>
        <v/>
      </c>
      <c r="U1433" s="112">
        <f>IF($G1433="","",ROUND($G1433*$T1433,2))</f>
        <v/>
      </c>
      <c r="V1433" s="113">
        <f>IF($B1433="","",MONTH($B1433))</f>
        <v/>
      </c>
      <c r="W1433" s="113">
        <f>IF($B1433="","",YEAR($B1433))</f>
        <v/>
      </c>
    </row>
    <row r="1434">
      <c r="B1434" s="105" t="n"/>
      <c r="C1434" s="54" t="n"/>
      <c r="D1434" s="54" t="n"/>
      <c r="E1434" s="54" t="n"/>
      <c r="F1434" s="54" t="n"/>
      <c r="G1434" s="65" t="n"/>
      <c r="H1434" s="54" t="n"/>
      <c r="I1434" s="106">
        <f>IF($C1434="","",IFERROR(INDEX(Sens_Types,MATCH($C1434,Liste_Types,0)),""))</f>
        <v/>
      </c>
      <c r="J1434" s="107">
        <f>IF($I1434="▲ ENTRÉE",$U1434,"")</f>
        <v/>
      </c>
      <c r="K1434" s="108">
        <f>IF($I1434="▼ SORTIE",$U1434,"")</f>
        <v/>
      </c>
      <c r="L1434" s="109">
        <f>$L1433+N($J1434)-N($K1434)</f>
        <v/>
      </c>
      <c r="M1434" s="110" t="n"/>
      <c r="N1434" s="54" t="n"/>
      <c r="O1434" s="54" t="n"/>
      <c r="P1434" s="54" t="n"/>
      <c r="Q1434" s="110" t="n"/>
      <c r="R1434" s="110" t="n"/>
      <c r="S1434" s="54" t="n"/>
      <c r="T1434" s="111">
        <f>IF($G1434="","",IFERROR(INDEX(Taux_Devises,MATCH(IF($M1434="",Devise_Base,$M1434),Codes_Devises,0)),1))</f>
        <v/>
      </c>
      <c r="U1434" s="112">
        <f>IF($G1434="","",ROUND($G1434*$T1434,2))</f>
        <v/>
      </c>
      <c r="V1434" s="113">
        <f>IF($B1434="","",MONTH($B1434))</f>
        <v/>
      </c>
      <c r="W1434" s="113">
        <f>IF($B1434="","",YEAR($B1434))</f>
        <v/>
      </c>
    </row>
    <row r="1435">
      <c r="B1435" s="105" t="n"/>
      <c r="C1435" s="54" t="n"/>
      <c r="D1435" s="54" t="n"/>
      <c r="E1435" s="54" t="n"/>
      <c r="F1435" s="54" t="n"/>
      <c r="G1435" s="65" t="n"/>
      <c r="H1435" s="54" t="n"/>
      <c r="I1435" s="106">
        <f>IF($C1435="","",IFERROR(INDEX(Sens_Types,MATCH($C1435,Liste_Types,0)),""))</f>
        <v/>
      </c>
      <c r="J1435" s="107">
        <f>IF($I1435="▲ ENTRÉE",$U1435,"")</f>
        <v/>
      </c>
      <c r="K1435" s="108">
        <f>IF($I1435="▼ SORTIE",$U1435,"")</f>
        <v/>
      </c>
      <c r="L1435" s="109">
        <f>$L1434+N($J1435)-N($K1435)</f>
        <v/>
      </c>
      <c r="M1435" s="110" t="n"/>
      <c r="N1435" s="54" t="n"/>
      <c r="O1435" s="54" t="n"/>
      <c r="P1435" s="54" t="n"/>
      <c r="Q1435" s="110" t="n"/>
      <c r="R1435" s="110" t="n"/>
      <c r="S1435" s="54" t="n"/>
      <c r="T1435" s="111">
        <f>IF($G1435="","",IFERROR(INDEX(Taux_Devises,MATCH(IF($M1435="",Devise_Base,$M1435),Codes_Devises,0)),1))</f>
        <v/>
      </c>
      <c r="U1435" s="112">
        <f>IF($G1435="","",ROUND($G1435*$T1435,2))</f>
        <v/>
      </c>
      <c r="V1435" s="113">
        <f>IF($B1435="","",MONTH($B1435))</f>
        <v/>
      </c>
      <c r="W1435" s="113">
        <f>IF($B1435="","",YEAR($B1435))</f>
        <v/>
      </c>
    </row>
    <row r="1436">
      <c r="B1436" s="105" t="n"/>
      <c r="C1436" s="54" t="n"/>
      <c r="D1436" s="54" t="n"/>
      <c r="E1436" s="54" t="n"/>
      <c r="F1436" s="54" t="n"/>
      <c r="G1436" s="65" t="n"/>
      <c r="H1436" s="54" t="n"/>
      <c r="I1436" s="106">
        <f>IF($C1436="","",IFERROR(INDEX(Sens_Types,MATCH($C1436,Liste_Types,0)),""))</f>
        <v/>
      </c>
      <c r="J1436" s="107">
        <f>IF($I1436="▲ ENTRÉE",$U1436,"")</f>
        <v/>
      </c>
      <c r="K1436" s="108">
        <f>IF($I1436="▼ SORTIE",$U1436,"")</f>
        <v/>
      </c>
      <c r="L1436" s="109">
        <f>$L1435+N($J1436)-N($K1436)</f>
        <v/>
      </c>
      <c r="M1436" s="110" t="n"/>
      <c r="N1436" s="54" t="n"/>
      <c r="O1436" s="54" t="n"/>
      <c r="P1436" s="54" t="n"/>
      <c r="Q1436" s="110" t="n"/>
      <c r="R1436" s="110" t="n"/>
      <c r="S1436" s="54" t="n"/>
      <c r="T1436" s="111">
        <f>IF($G1436="","",IFERROR(INDEX(Taux_Devises,MATCH(IF($M1436="",Devise_Base,$M1436),Codes_Devises,0)),1))</f>
        <v/>
      </c>
      <c r="U1436" s="112">
        <f>IF($G1436="","",ROUND($G1436*$T1436,2))</f>
        <v/>
      </c>
      <c r="V1436" s="113">
        <f>IF($B1436="","",MONTH($B1436))</f>
        <v/>
      </c>
      <c r="W1436" s="113">
        <f>IF($B1436="","",YEAR($B1436))</f>
        <v/>
      </c>
    </row>
    <row r="1437">
      <c r="B1437" s="105" t="n"/>
      <c r="C1437" s="54" t="n"/>
      <c r="D1437" s="54" t="n"/>
      <c r="E1437" s="54" t="n"/>
      <c r="F1437" s="54" t="n"/>
      <c r="G1437" s="65" t="n"/>
      <c r="H1437" s="54" t="n"/>
      <c r="I1437" s="106">
        <f>IF($C1437="","",IFERROR(INDEX(Sens_Types,MATCH($C1437,Liste_Types,0)),""))</f>
        <v/>
      </c>
      <c r="J1437" s="107">
        <f>IF($I1437="▲ ENTRÉE",$U1437,"")</f>
        <v/>
      </c>
      <c r="K1437" s="108">
        <f>IF($I1437="▼ SORTIE",$U1437,"")</f>
        <v/>
      </c>
      <c r="L1437" s="109">
        <f>$L1436+N($J1437)-N($K1437)</f>
        <v/>
      </c>
      <c r="M1437" s="110" t="n"/>
      <c r="N1437" s="54" t="n"/>
      <c r="O1437" s="54" t="n"/>
      <c r="P1437" s="54" t="n"/>
      <c r="Q1437" s="110" t="n"/>
      <c r="R1437" s="110" t="n"/>
      <c r="S1437" s="54" t="n"/>
      <c r="T1437" s="111">
        <f>IF($G1437="","",IFERROR(INDEX(Taux_Devises,MATCH(IF($M1437="",Devise_Base,$M1437),Codes_Devises,0)),1))</f>
        <v/>
      </c>
      <c r="U1437" s="112">
        <f>IF($G1437="","",ROUND($G1437*$T1437,2))</f>
        <v/>
      </c>
      <c r="V1437" s="113">
        <f>IF($B1437="","",MONTH($B1437))</f>
        <v/>
      </c>
      <c r="W1437" s="113">
        <f>IF($B1437="","",YEAR($B1437))</f>
        <v/>
      </c>
    </row>
    <row r="1438">
      <c r="B1438" s="105" t="n"/>
      <c r="C1438" s="54" t="n"/>
      <c r="D1438" s="54" t="n"/>
      <c r="E1438" s="54" t="n"/>
      <c r="F1438" s="54" t="n"/>
      <c r="G1438" s="65" t="n"/>
      <c r="H1438" s="54" t="n"/>
      <c r="I1438" s="106">
        <f>IF($C1438="","",IFERROR(INDEX(Sens_Types,MATCH($C1438,Liste_Types,0)),""))</f>
        <v/>
      </c>
      <c r="J1438" s="107">
        <f>IF($I1438="▲ ENTRÉE",$U1438,"")</f>
        <v/>
      </c>
      <c r="K1438" s="108">
        <f>IF($I1438="▼ SORTIE",$U1438,"")</f>
        <v/>
      </c>
      <c r="L1438" s="109">
        <f>$L1437+N($J1438)-N($K1438)</f>
        <v/>
      </c>
      <c r="M1438" s="110" t="n"/>
      <c r="N1438" s="54" t="n"/>
      <c r="O1438" s="54" t="n"/>
      <c r="P1438" s="54" t="n"/>
      <c r="Q1438" s="110" t="n"/>
      <c r="R1438" s="110" t="n"/>
      <c r="S1438" s="54" t="n"/>
      <c r="T1438" s="111">
        <f>IF($G1438="","",IFERROR(INDEX(Taux_Devises,MATCH(IF($M1438="",Devise_Base,$M1438),Codes_Devises,0)),1))</f>
        <v/>
      </c>
      <c r="U1438" s="112">
        <f>IF($G1438="","",ROUND($G1438*$T1438,2))</f>
        <v/>
      </c>
      <c r="V1438" s="113">
        <f>IF($B1438="","",MONTH($B1438))</f>
        <v/>
      </c>
      <c r="W1438" s="113">
        <f>IF($B1438="","",YEAR($B1438))</f>
        <v/>
      </c>
    </row>
    <row r="1439">
      <c r="B1439" s="105" t="n"/>
      <c r="C1439" s="54" t="n"/>
      <c r="D1439" s="54" t="n"/>
      <c r="E1439" s="54" t="n"/>
      <c r="F1439" s="54" t="n"/>
      <c r="G1439" s="65" t="n"/>
      <c r="H1439" s="54" t="n"/>
      <c r="I1439" s="106">
        <f>IF($C1439="","",IFERROR(INDEX(Sens_Types,MATCH($C1439,Liste_Types,0)),""))</f>
        <v/>
      </c>
      <c r="J1439" s="107">
        <f>IF($I1439="▲ ENTRÉE",$U1439,"")</f>
        <v/>
      </c>
      <c r="K1439" s="108">
        <f>IF($I1439="▼ SORTIE",$U1439,"")</f>
        <v/>
      </c>
      <c r="L1439" s="109">
        <f>$L1438+N($J1439)-N($K1439)</f>
        <v/>
      </c>
      <c r="M1439" s="110" t="n"/>
      <c r="N1439" s="54" t="n"/>
      <c r="O1439" s="54" t="n"/>
      <c r="P1439" s="54" t="n"/>
      <c r="Q1439" s="110" t="n"/>
      <c r="R1439" s="110" t="n"/>
      <c r="S1439" s="54" t="n"/>
      <c r="T1439" s="111">
        <f>IF($G1439="","",IFERROR(INDEX(Taux_Devises,MATCH(IF($M1439="",Devise_Base,$M1439),Codes_Devises,0)),1))</f>
        <v/>
      </c>
      <c r="U1439" s="112">
        <f>IF($G1439="","",ROUND($G1439*$T1439,2))</f>
        <v/>
      </c>
      <c r="V1439" s="113">
        <f>IF($B1439="","",MONTH($B1439))</f>
        <v/>
      </c>
      <c r="W1439" s="113">
        <f>IF($B1439="","",YEAR($B1439))</f>
        <v/>
      </c>
    </row>
    <row r="1440">
      <c r="B1440" s="105" t="n"/>
      <c r="C1440" s="54" t="n"/>
      <c r="D1440" s="54" t="n"/>
      <c r="E1440" s="54" t="n"/>
      <c r="F1440" s="54" t="n"/>
      <c r="G1440" s="65" t="n"/>
      <c r="H1440" s="54" t="n"/>
      <c r="I1440" s="106">
        <f>IF($C1440="","",IFERROR(INDEX(Sens_Types,MATCH($C1440,Liste_Types,0)),""))</f>
        <v/>
      </c>
      <c r="J1440" s="107">
        <f>IF($I1440="▲ ENTRÉE",$U1440,"")</f>
        <v/>
      </c>
      <c r="K1440" s="108">
        <f>IF($I1440="▼ SORTIE",$U1440,"")</f>
        <v/>
      </c>
      <c r="L1440" s="109">
        <f>$L1439+N($J1440)-N($K1440)</f>
        <v/>
      </c>
      <c r="M1440" s="110" t="n"/>
      <c r="N1440" s="54" t="n"/>
      <c r="O1440" s="54" t="n"/>
      <c r="P1440" s="54" t="n"/>
      <c r="Q1440" s="110" t="n"/>
      <c r="R1440" s="110" t="n"/>
      <c r="S1440" s="54" t="n"/>
      <c r="T1440" s="111">
        <f>IF($G1440="","",IFERROR(INDEX(Taux_Devises,MATCH(IF($M1440="",Devise_Base,$M1440),Codes_Devises,0)),1))</f>
        <v/>
      </c>
      <c r="U1440" s="112">
        <f>IF($G1440="","",ROUND($G1440*$T1440,2))</f>
        <v/>
      </c>
      <c r="V1440" s="113">
        <f>IF($B1440="","",MONTH($B1440))</f>
        <v/>
      </c>
      <c r="W1440" s="113">
        <f>IF($B1440="","",YEAR($B1440))</f>
        <v/>
      </c>
    </row>
    <row r="1441">
      <c r="B1441" s="105" t="n"/>
      <c r="C1441" s="54" t="n"/>
      <c r="D1441" s="54" t="n"/>
      <c r="E1441" s="54" t="n"/>
      <c r="F1441" s="54" t="n"/>
      <c r="G1441" s="65" t="n"/>
      <c r="H1441" s="54" t="n"/>
      <c r="I1441" s="106">
        <f>IF($C1441="","",IFERROR(INDEX(Sens_Types,MATCH($C1441,Liste_Types,0)),""))</f>
        <v/>
      </c>
      <c r="J1441" s="107">
        <f>IF($I1441="▲ ENTRÉE",$U1441,"")</f>
        <v/>
      </c>
      <c r="K1441" s="108">
        <f>IF($I1441="▼ SORTIE",$U1441,"")</f>
        <v/>
      </c>
      <c r="L1441" s="109">
        <f>$L1440+N($J1441)-N($K1441)</f>
        <v/>
      </c>
      <c r="M1441" s="110" t="n"/>
      <c r="N1441" s="54" t="n"/>
      <c r="O1441" s="54" t="n"/>
      <c r="P1441" s="54" t="n"/>
      <c r="Q1441" s="110" t="n"/>
      <c r="R1441" s="110" t="n"/>
      <c r="S1441" s="54" t="n"/>
      <c r="T1441" s="111">
        <f>IF($G1441="","",IFERROR(INDEX(Taux_Devises,MATCH(IF($M1441="",Devise_Base,$M1441),Codes_Devises,0)),1))</f>
        <v/>
      </c>
      <c r="U1441" s="112">
        <f>IF($G1441="","",ROUND($G1441*$T1441,2))</f>
        <v/>
      </c>
      <c r="V1441" s="113">
        <f>IF($B1441="","",MONTH($B1441))</f>
        <v/>
      </c>
      <c r="W1441" s="113">
        <f>IF($B1441="","",YEAR($B1441))</f>
        <v/>
      </c>
    </row>
    <row r="1442">
      <c r="B1442" s="105" t="n"/>
      <c r="C1442" s="54" t="n"/>
      <c r="D1442" s="54" t="n"/>
      <c r="E1442" s="54" t="n"/>
      <c r="F1442" s="54" t="n"/>
      <c r="G1442" s="65" t="n"/>
      <c r="H1442" s="54" t="n"/>
      <c r="I1442" s="106">
        <f>IF($C1442="","",IFERROR(INDEX(Sens_Types,MATCH($C1442,Liste_Types,0)),""))</f>
        <v/>
      </c>
      <c r="J1442" s="107">
        <f>IF($I1442="▲ ENTRÉE",$U1442,"")</f>
        <v/>
      </c>
      <c r="K1442" s="108">
        <f>IF($I1442="▼ SORTIE",$U1442,"")</f>
        <v/>
      </c>
      <c r="L1442" s="109">
        <f>$L1441+N($J1442)-N($K1442)</f>
        <v/>
      </c>
      <c r="M1442" s="110" t="n"/>
      <c r="N1442" s="54" t="n"/>
      <c r="O1442" s="54" t="n"/>
      <c r="P1442" s="54" t="n"/>
      <c r="Q1442" s="110" t="n"/>
      <c r="R1442" s="110" t="n"/>
      <c r="S1442" s="54" t="n"/>
      <c r="T1442" s="111">
        <f>IF($G1442="","",IFERROR(INDEX(Taux_Devises,MATCH(IF($M1442="",Devise_Base,$M1442),Codes_Devises,0)),1))</f>
        <v/>
      </c>
      <c r="U1442" s="112">
        <f>IF($G1442="","",ROUND($G1442*$T1442,2))</f>
        <v/>
      </c>
      <c r="V1442" s="113">
        <f>IF($B1442="","",MONTH($B1442))</f>
        <v/>
      </c>
      <c r="W1442" s="113">
        <f>IF($B1442="","",YEAR($B1442))</f>
        <v/>
      </c>
    </row>
    <row r="1443">
      <c r="B1443" s="105" t="n"/>
      <c r="C1443" s="54" t="n"/>
      <c r="D1443" s="54" t="n"/>
      <c r="E1443" s="54" t="n"/>
      <c r="F1443" s="54" t="n"/>
      <c r="G1443" s="65" t="n"/>
      <c r="H1443" s="54" t="n"/>
      <c r="I1443" s="106">
        <f>IF($C1443="","",IFERROR(INDEX(Sens_Types,MATCH($C1443,Liste_Types,0)),""))</f>
        <v/>
      </c>
      <c r="J1443" s="107">
        <f>IF($I1443="▲ ENTRÉE",$U1443,"")</f>
        <v/>
      </c>
      <c r="K1443" s="108">
        <f>IF($I1443="▼ SORTIE",$U1443,"")</f>
        <v/>
      </c>
      <c r="L1443" s="109">
        <f>$L1442+N($J1443)-N($K1443)</f>
        <v/>
      </c>
      <c r="M1443" s="110" t="n"/>
      <c r="N1443" s="54" t="n"/>
      <c r="O1443" s="54" t="n"/>
      <c r="P1443" s="54" t="n"/>
      <c r="Q1443" s="110" t="n"/>
      <c r="R1443" s="110" t="n"/>
      <c r="S1443" s="54" t="n"/>
      <c r="T1443" s="111">
        <f>IF($G1443="","",IFERROR(INDEX(Taux_Devises,MATCH(IF($M1443="",Devise_Base,$M1443),Codes_Devises,0)),1))</f>
        <v/>
      </c>
      <c r="U1443" s="112">
        <f>IF($G1443="","",ROUND($G1443*$T1443,2))</f>
        <v/>
      </c>
      <c r="V1443" s="113">
        <f>IF($B1443="","",MONTH($B1443))</f>
        <v/>
      </c>
      <c r="W1443" s="113">
        <f>IF($B1443="","",YEAR($B1443))</f>
        <v/>
      </c>
    </row>
    <row r="1444">
      <c r="B1444" s="105" t="n"/>
      <c r="C1444" s="54" t="n"/>
      <c r="D1444" s="54" t="n"/>
      <c r="E1444" s="54" t="n"/>
      <c r="F1444" s="54" t="n"/>
      <c r="G1444" s="65" t="n"/>
      <c r="H1444" s="54" t="n"/>
      <c r="I1444" s="106">
        <f>IF($C1444="","",IFERROR(INDEX(Sens_Types,MATCH($C1444,Liste_Types,0)),""))</f>
        <v/>
      </c>
      <c r="J1444" s="107">
        <f>IF($I1444="▲ ENTRÉE",$U1444,"")</f>
        <v/>
      </c>
      <c r="K1444" s="108">
        <f>IF($I1444="▼ SORTIE",$U1444,"")</f>
        <v/>
      </c>
      <c r="L1444" s="109">
        <f>$L1443+N($J1444)-N($K1444)</f>
        <v/>
      </c>
      <c r="M1444" s="110" t="n"/>
      <c r="N1444" s="54" t="n"/>
      <c r="O1444" s="54" t="n"/>
      <c r="P1444" s="54" t="n"/>
      <c r="Q1444" s="110" t="n"/>
      <c r="R1444" s="110" t="n"/>
      <c r="S1444" s="54" t="n"/>
      <c r="T1444" s="111">
        <f>IF($G1444="","",IFERROR(INDEX(Taux_Devises,MATCH(IF($M1444="",Devise_Base,$M1444),Codes_Devises,0)),1))</f>
        <v/>
      </c>
      <c r="U1444" s="112">
        <f>IF($G1444="","",ROUND($G1444*$T1444,2))</f>
        <v/>
      </c>
      <c r="V1444" s="113">
        <f>IF($B1444="","",MONTH($B1444))</f>
        <v/>
      </c>
      <c r="W1444" s="113">
        <f>IF($B1444="","",YEAR($B1444))</f>
        <v/>
      </c>
    </row>
    <row r="1445">
      <c r="B1445" s="105" t="n"/>
      <c r="C1445" s="54" t="n"/>
      <c r="D1445" s="54" t="n"/>
      <c r="E1445" s="54" t="n"/>
      <c r="F1445" s="54" t="n"/>
      <c r="G1445" s="65" t="n"/>
      <c r="H1445" s="54" t="n"/>
      <c r="I1445" s="106">
        <f>IF($C1445="","",IFERROR(INDEX(Sens_Types,MATCH($C1445,Liste_Types,0)),""))</f>
        <v/>
      </c>
      <c r="J1445" s="107">
        <f>IF($I1445="▲ ENTRÉE",$U1445,"")</f>
        <v/>
      </c>
      <c r="K1445" s="108">
        <f>IF($I1445="▼ SORTIE",$U1445,"")</f>
        <v/>
      </c>
      <c r="L1445" s="109">
        <f>$L1444+N($J1445)-N($K1445)</f>
        <v/>
      </c>
      <c r="M1445" s="110" t="n"/>
      <c r="N1445" s="54" t="n"/>
      <c r="O1445" s="54" t="n"/>
      <c r="P1445" s="54" t="n"/>
      <c r="Q1445" s="110" t="n"/>
      <c r="R1445" s="110" t="n"/>
      <c r="S1445" s="54" t="n"/>
      <c r="T1445" s="111">
        <f>IF($G1445="","",IFERROR(INDEX(Taux_Devises,MATCH(IF($M1445="",Devise_Base,$M1445),Codes_Devises,0)),1))</f>
        <v/>
      </c>
      <c r="U1445" s="112">
        <f>IF($G1445="","",ROUND($G1445*$T1445,2))</f>
        <v/>
      </c>
      <c r="V1445" s="113">
        <f>IF($B1445="","",MONTH($B1445))</f>
        <v/>
      </c>
      <c r="W1445" s="113">
        <f>IF($B1445="","",YEAR($B1445))</f>
        <v/>
      </c>
    </row>
    <row r="1446">
      <c r="B1446" s="105" t="n"/>
      <c r="C1446" s="54" t="n"/>
      <c r="D1446" s="54" t="n"/>
      <c r="E1446" s="54" t="n"/>
      <c r="F1446" s="54" t="n"/>
      <c r="G1446" s="65" t="n"/>
      <c r="H1446" s="54" t="n"/>
      <c r="I1446" s="106">
        <f>IF($C1446="","",IFERROR(INDEX(Sens_Types,MATCH($C1446,Liste_Types,0)),""))</f>
        <v/>
      </c>
      <c r="J1446" s="107">
        <f>IF($I1446="▲ ENTRÉE",$U1446,"")</f>
        <v/>
      </c>
      <c r="K1446" s="108">
        <f>IF($I1446="▼ SORTIE",$U1446,"")</f>
        <v/>
      </c>
      <c r="L1446" s="109">
        <f>$L1445+N($J1446)-N($K1446)</f>
        <v/>
      </c>
      <c r="M1446" s="110" t="n"/>
      <c r="N1446" s="54" t="n"/>
      <c r="O1446" s="54" t="n"/>
      <c r="P1446" s="54" t="n"/>
      <c r="Q1446" s="110" t="n"/>
      <c r="R1446" s="110" t="n"/>
      <c r="S1446" s="54" t="n"/>
      <c r="T1446" s="111">
        <f>IF($G1446="","",IFERROR(INDEX(Taux_Devises,MATCH(IF($M1446="",Devise_Base,$M1446),Codes_Devises,0)),1))</f>
        <v/>
      </c>
      <c r="U1446" s="112">
        <f>IF($G1446="","",ROUND($G1446*$T1446,2))</f>
        <v/>
      </c>
      <c r="V1446" s="113">
        <f>IF($B1446="","",MONTH($B1446))</f>
        <v/>
      </c>
      <c r="W1446" s="113">
        <f>IF($B1446="","",YEAR($B1446))</f>
        <v/>
      </c>
    </row>
    <row r="1447">
      <c r="B1447" s="105" t="n"/>
      <c r="C1447" s="54" t="n"/>
      <c r="D1447" s="54" t="n"/>
      <c r="E1447" s="54" t="n"/>
      <c r="F1447" s="54" t="n"/>
      <c r="G1447" s="65" t="n"/>
      <c r="H1447" s="54" t="n"/>
      <c r="I1447" s="106">
        <f>IF($C1447="","",IFERROR(INDEX(Sens_Types,MATCH($C1447,Liste_Types,0)),""))</f>
        <v/>
      </c>
      <c r="J1447" s="107">
        <f>IF($I1447="▲ ENTRÉE",$U1447,"")</f>
        <v/>
      </c>
      <c r="K1447" s="108">
        <f>IF($I1447="▼ SORTIE",$U1447,"")</f>
        <v/>
      </c>
      <c r="L1447" s="109">
        <f>$L1446+N($J1447)-N($K1447)</f>
        <v/>
      </c>
      <c r="M1447" s="110" t="n"/>
      <c r="N1447" s="54" t="n"/>
      <c r="O1447" s="54" t="n"/>
      <c r="P1447" s="54" t="n"/>
      <c r="Q1447" s="110" t="n"/>
      <c r="R1447" s="110" t="n"/>
      <c r="S1447" s="54" t="n"/>
      <c r="T1447" s="111">
        <f>IF($G1447="","",IFERROR(INDEX(Taux_Devises,MATCH(IF($M1447="",Devise_Base,$M1447),Codes_Devises,0)),1))</f>
        <v/>
      </c>
      <c r="U1447" s="112">
        <f>IF($G1447="","",ROUND($G1447*$T1447,2))</f>
        <v/>
      </c>
      <c r="V1447" s="113">
        <f>IF($B1447="","",MONTH($B1447))</f>
        <v/>
      </c>
      <c r="W1447" s="113">
        <f>IF($B1447="","",YEAR($B1447))</f>
        <v/>
      </c>
    </row>
    <row r="1448">
      <c r="B1448" s="105" t="n"/>
      <c r="C1448" s="54" t="n"/>
      <c r="D1448" s="54" t="n"/>
      <c r="E1448" s="54" t="n"/>
      <c r="F1448" s="54" t="n"/>
      <c r="G1448" s="65" t="n"/>
      <c r="H1448" s="54" t="n"/>
      <c r="I1448" s="106">
        <f>IF($C1448="","",IFERROR(INDEX(Sens_Types,MATCH($C1448,Liste_Types,0)),""))</f>
        <v/>
      </c>
      <c r="J1448" s="107">
        <f>IF($I1448="▲ ENTRÉE",$U1448,"")</f>
        <v/>
      </c>
      <c r="K1448" s="108">
        <f>IF($I1448="▼ SORTIE",$U1448,"")</f>
        <v/>
      </c>
      <c r="L1448" s="109">
        <f>$L1447+N($J1448)-N($K1448)</f>
        <v/>
      </c>
      <c r="M1448" s="110" t="n"/>
      <c r="N1448" s="54" t="n"/>
      <c r="O1448" s="54" t="n"/>
      <c r="P1448" s="54" t="n"/>
      <c r="Q1448" s="110" t="n"/>
      <c r="R1448" s="110" t="n"/>
      <c r="S1448" s="54" t="n"/>
      <c r="T1448" s="111">
        <f>IF($G1448="","",IFERROR(INDEX(Taux_Devises,MATCH(IF($M1448="",Devise_Base,$M1448),Codes_Devises,0)),1))</f>
        <v/>
      </c>
      <c r="U1448" s="112">
        <f>IF($G1448="","",ROUND($G1448*$T1448,2))</f>
        <v/>
      </c>
      <c r="V1448" s="113">
        <f>IF($B1448="","",MONTH($B1448))</f>
        <v/>
      </c>
      <c r="W1448" s="113">
        <f>IF($B1448="","",YEAR($B1448))</f>
        <v/>
      </c>
    </row>
    <row r="1449">
      <c r="B1449" s="105" t="n"/>
      <c r="C1449" s="54" t="n"/>
      <c r="D1449" s="54" t="n"/>
      <c r="E1449" s="54" t="n"/>
      <c r="F1449" s="54" t="n"/>
      <c r="G1449" s="65" t="n"/>
      <c r="H1449" s="54" t="n"/>
      <c r="I1449" s="106">
        <f>IF($C1449="","",IFERROR(INDEX(Sens_Types,MATCH($C1449,Liste_Types,0)),""))</f>
        <v/>
      </c>
      <c r="J1449" s="107">
        <f>IF($I1449="▲ ENTRÉE",$U1449,"")</f>
        <v/>
      </c>
      <c r="K1449" s="108">
        <f>IF($I1449="▼ SORTIE",$U1449,"")</f>
        <v/>
      </c>
      <c r="L1449" s="109">
        <f>$L1448+N($J1449)-N($K1449)</f>
        <v/>
      </c>
      <c r="M1449" s="110" t="n"/>
      <c r="N1449" s="54" t="n"/>
      <c r="O1449" s="54" t="n"/>
      <c r="P1449" s="54" t="n"/>
      <c r="Q1449" s="110" t="n"/>
      <c r="R1449" s="110" t="n"/>
      <c r="S1449" s="54" t="n"/>
      <c r="T1449" s="111">
        <f>IF($G1449="","",IFERROR(INDEX(Taux_Devises,MATCH(IF($M1449="",Devise_Base,$M1449),Codes_Devises,0)),1))</f>
        <v/>
      </c>
      <c r="U1449" s="112">
        <f>IF($G1449="","",ROUND($G1449*$T1449,2))</f>
        <v/>
      </c>
      <c r="V1449" s="113">
        <f>IF($B1449="","",MONTH($B1449))</f>
        <v/>
      </c>
      <c r="W1449" s="113">
        <f>IF($B1449="","",YEAR($B1449))</f>
        <v/>
      </c>
    </row>
    <row r="1450">
      <c r="B1450" s="105" t="n"/>
      <c r="C1450" s="54" t="n"/>
      <c r="D1450" s="54" t="n"/>
      <c r="E1450" s="54" t="n"/>
      <c r="F1450" s="54" t="n"/>
      <c r="G1450" s="65" t="n"/>
      <c r="H1450" s="54" t="n"/>
      <c r="I1450" s="106">
        <f>IF($C1450="","",IFERROR(INDEX(Sens_Types,MATCH($C1450,Liste_Types,0)),""))</f>
        <v/>
      </c>
      <c r="J1450" s="107">
        <f>IF($I1450="▲ ENTRÉE",$U1450,"")</f>
        <v/>
      </c>
      <c r="K1450" s="108">
        <f>IF($I1450="▼ SORTIE",$U1450,"")</f>
        <v/>
      </c>
      <c r="L1450" s="109">
        <f>$L1449+N($J1450)-N($K1450)</f>
        <v/>
      </c>
      <c r="M1450" s="110" t="n"/>
      <c r="N1450" s="54" t="n"/>
      <c r="O1450" s="54" t="n"/>
      <c r="P1450" s="54" t="n"/>
      <c r="Q1450" s="110" t="n"/>
      <c r="R1450" s="110" t="n"/>
      <c r="S1450" s="54" t="n"/>
      <c r="T1450" s="111">
        <f>IF($G1450="","",IFERROR(INDEX(Taux_Devises,MATCH(IF($M1450="",Devise_Base,$M1450),Codes_Devises,0)),1))</f>
        <v/>
      </c>
      <c r="U1450" s="112">
        <f>IF($G1450="","",ROUND($G1450*$T1450,2))</f>
        <v/>
      </c>
      <c r="V1450" s="113">
        <f>IF($B1450="","",MONTH($B1450))</f>
        <v/>
      </c>
      <c r="W1450" s="113">
        <f>IF($B1450="","",YEAR($B1450))</f>
        <v/>
      </c>
    </row>
    <row r="1451">
      <c r="B1451" s="105" t="n"/>
      <c r="C1451" s="54" t="n"/>
      <c r="D1451" s="54" t="n"/>
      <c r="E1451" s="54" t="n"/>
      <c r="F1451" s="54" t="n"/>
      <c r="G1451" s="65" t="n"/>
      <c r="H1451" s="54" t="n"/>
      <c r="I1451" s="106">
        <f>IF($C1451="","",IFERROR(INDEX(Sens_Types,MATCH($C1451,Liste_Types,0)),""))</f>
        <v/>
      </c>
      <c r="J1451" s="107">
        <f>IF($I1451="▲ ENTRÉE",$U1451,"")</f>
        <v/>
      </c>
      <c r="K1451" s="108">
        <f>IF($I1451="▼ SORTIE",$U1451,"")</f>
        <v/>
      </c>
      <c r="L1451" s="109">
        <f>$L1450+N($J1451)-N($K1451)</f>
        <v/>
      </c>
      <c r="M1451" s="110" t="n"/>
      <c r="N1451" s="54" t="n"/>
      <c r="O1451" s="54" t="n"/>
      <c r="P1451" s="54" t="n"/>
      <c r="Q1451" s="110" t="n"/>
      <c r="R1451" s="110" t="n"/>
      <c r="S1451" s="54" t="n"/>
      <c r="T1451" s="111">
        <f>IF($G1451="","",IFERROR(INDEX(Taux_Devises,MATCH(IF($M1451="",Devise_Base,$M1451),Codes_Devises,0)),1))</f>
        <v/>
      </c>
      <c r="U1451" s="112">
        <f>IF($G1451="","",ROUND($G1451*$T1451,2))</f>
        <v/>
      </c>
      <c r="V1451" s="113">
        <f>IF($B1451="","",MONTH($B1451))</f>
        <v/>
      </c>
      <c r="W1451" s="113">
        <f>IF($B1451="","",YEAR($B1451))</f>
        <v/>
      </c>
    </row>
    <row r="1452">
      <c r="B1452" s="105" t="n"/>
      <c r="C1452" s="54" t="n"/>
      <c r="D1452" s="54" t="n"/>
      <c r="E1452" s="54" t="n"/>
      <c r="F1452" s="54" t="n"/>
      <c r="G1452" s="65" t="n"/>
      <c r="H1452" s="54" t="n"/>
      <c r="I1452" s="106">
        <f>IF($C1452="","",IFERROR(INDEX(Sens_Types,MATCH($C1452,Liste_Types,0)),""))</f>
        <v/>
      </c>
      <c r="J1452" s="107">
        <f>IF($I1452="▲ ENTRÉE",$U1452,"")</f>
        <v/>
      </c>
      <c r="K1452" s="108">
        <f>IF($I1452="▼ SORTIE",$U1452,"")</f>
        <v/>
      </c>
      <c r="L1452" s="109">
        <f>$L1451+N($J1452)-N($K1452)</f>
        <v/>
      </c>
      <c r="M1452" s="110" t="n"/>
      <c r="N1452" s="54" t="n"/>
      <c r="O1452" s="54" t="n"/>
      <c r="P1452" s="54" t="n"/>
      <c r="Q1452" s="110" t="n"/>
      <c r="R1452" s="110" t="n"/>
      <c r="S1452" s="54" t="n"/>
      <c r="T1452" s="111">
        <f>IF($G1452="","",IFERROR(INDEX(Taux_Devises,MATCH(IF($M1452="",Devise_Base,$M1452),Codes_Devises,0)),1))</f>
        <v/>
      </c>
      <c r="U1452" s="112">
        <f>IF($G1452="","",ROUND($G1452*$T1452,2))</f>
        <v/>
      </c>
      <c r="V1452" s="113">
        <f>IF($B1452="","",MONTH($B1452))</f>
        <v/>
      </c>
      <c r="W1452" s="113">
        <f>IF($B1452="","",YEAR($B1452))</f>
        <v/>
      </c>
    </row>
    <row r="1453">
      <c r="B1453" s="105" t="n"/>
      <c r="C1453" s="54" t="n"/>
      <c r="D1453" s="54" t="n"/>
      <c r="E1453" s="54" t="n"/>
      <c r="F1453" s="54" t="n"/>
      <c r="G1453" s="65" t="n"/>
      <c r="H1453" s="54" t="n"/>
      <c r="I1453" s="106">
        <f>IF($C1453="","",IFERROR(INDEX(Sens_Types,MATCH($C1453,Liste_Types,0)),""))</f>
        <v/>
      </c>
      <c r="J1453" s="107">
        <f>IF($I1453="▲ ENTRÉE",$U1453,"")</f>
        <v/>
      </c>
      <c r="K1453" s="108">
        <f>IF($I1453="▼ SORTIE",$U1453,"")</f>
        <v/>
      </c>
      <c r="L1453" s="109">
        <f>$L1452+N($J1453)-N($K1453)</f>
        <v/>
      </c>
      <c r="M1453" s="110" t="n"/>
      <c r="N1453" s="54" t="n"/>
      <c r="O1453" s="54" t="n"/>
      <c r="P1453" s="54" t="n"/>
      <c r="Q1453" s="110" t="n"/>
      <c r="R1453" s="110" t="n"/>
      <c r="S1453" s="54" t="n"/>
      <c r="T1453" s="111">
        <f>IF($G1453="","",IFERROR(INDEX(Taux_Devises,MATCH(IF($M1453="",Devise_Base,$M1453),Codes_Devises,0)),1))</f>
        <v/>
      </c>
      <c r="U1453" s="112">
        <f>IF($G1453="","",ROUND($G1453*$T1453,2))</f>
        <v/>
      </c>
      <c r="V1453" s="113">
        <f>IF($B1453="","",MONTH($B1453))</f>
        <v/>
      </c>
      <c r="W1453" s="113">
        <f>IF($B1453="","",YEAR($B1453))</f>
        <v/>
      </c>
    </row>
    <row r="1454">
      <c r="B1454" s="105" t="n"/>
      <c r="C1454" s="54" t="n"/>
      <c r="D1454" s="54" t="n"/>
      <c r="E1454" s="54" t="n"/>
      <c r="F1454" s="54" t="n"/>
      <c r="G1454" s="65" t="n"/>
      <c r="H1454" s="54" t="n"/>
      <c r="I1454" s="106">
        <f>IF($C1454="","",IFERROR(INDEX(Sens_Types,MATCH($C1454,Liste_Types,0)),""))</f>
        <v/>
      </c>
      <c r="J1454" s="107">
        <f>IF($I1454="▲ ENTRÉE",$U1454,"")</f>
        <v/>
      </c>
      <c r="K1454" s="108">
        <f>IF($I1454="▼ SORTIE",$U1454,"")</f>
        <v/>
      </c>
      <c r="L1454" s="109">
        <f>$L1453+N($J1454)-N($K1454)</f>
        <v/>
      </c>
      <c r="M1454" s="110" t="n"/>
      <c r="N1454" s="54" t="n"/>
      <c r="O1454" s="54" t="n"/>
      <c r="P1454" s="54" t="n"/>
      <c r="Q1454" s="110" t="n"/>
      <c r="R1454" s="110" t="n"/>
      <c r="S1454" s="54" t="n"/>
      <c r="T1454" s="111">
        <f>IF($G1454="","",IFERROR(INDEX(Taux_Devises,MATCH(IF($M1454="",Devise_Base,$M1454),Codes_Devises,0)),1))</f>
        <v/>
      </c>
      <c r="U1454" s="112">
        <f>IF($G1454="","",ROUND($G1454*$T1454,2))</f>
        <v/>
      </c>
      <c r="V1454" s="113">
        <f>IF($B1454="","",MONTH($B1454))</f>
        <v/>
      </c>
      <c r="W1454" s="113">
        <f>IF($B1454="","",YEAR($B1454))</f>
        <v/>
      </c>
    </row>
    <row r="1455">
      <c r="B1455" s="105" t="n"/>
      <c r="C1455" s="54" t="n"/>
      <c r="D1455" s="54" t="n"/>
      <c r="E1455" s="54" t="n"/>
      <c r="F1455" s="54" t="n"/>
      <c r="G1455" s="65" t="n"/>
      <c r="H1455" s="54" t="n"/>
      <c r="I1455" s="106">
        <f>IF($C1455="","",IFERROR(INDEX(Sens_Types,MATCH($C1455,Liste_Types,0)),""))</f>
        <v/>
      </c>
      <c r="J1455" s="107">
        <f>IF($I1455="▲ ENTRÉE",$U1455,"")</f>
        <v/>
      </c>
      <c r="K1455" s="108">
        <f>IF($I1455="▼ SORTIE",$U1455,"")</f>
        <v/>
      </c>
      <c r="L1455" s="109">
        <f>$L1454+N($J1455)-N($K1455)</f>
        <v/>
      </c>
      <c r="M1455" s="110" t="n"/>
      <c r="N1455" s="54" t="n"/>
      <c r="O1455" s="54" t="n"/>
      <c r="P1455" s="54" t="n"/>
      <c r="Q1455" s="110" t="n"/>
      <c r="R1455" s="110" t="n"/>
      <c r="S1455" s="54" t="n"/>
      <c r="T1455" s="111">
        <f>IF($G1455="","",IFERROR(INDEX(Taux_Devises,MATCH(IF($M1455="",Devise_Base,$M1455),Codes_Devises,0)),1))</f>
        <v/>
      </c>
      <c r="U1455" s="112">
        <f>IF($G1455="","",ROUND($G1455*$T1455,2))</f>
        <v/>
      </c>
      <c r="V1455" s="113">
        <f>IF($B1455="","",MONTH($B1455))</f>
        <v/>
      </c>
      <c r="W1455" s="113">
        <f>IF($B1455="","",YEAR($B1455))</f>
        <v/>
      </c>
    </row>
    <row r="1456">
      <c r="B1456" s="105" t="n"/>
      <c r="C1456" s="54" t="n"/>
      <c r="D1456" s="54" t="n"/>
      <c r="E1456" s="54" t="n"/>
      <c r="F1456" s="54" t="n"/>
      <c r="G1456" s="65" t="n"/>
      <c r="H1456" s="54" t="n"/>
      <c r="I1456" s="106">
        <f>IF($C1456="","",IFERROR(INDEX(Sens_Types,MATCH($C1456,Liste_Types,0)),""))</f>
        <v/>
      </c>
      <c r="J1456" s="107">
        <f>IF($I1456="▲ ENTRÉE",$U1456,"")</f>
        <v/>
      </c>
      <c r="K1456" s="108">
        <f>IF($I1456="▼ SORTIE",$U1456,"")</f>
        <v/>
      </c>
      <c r="L1456" s="109">
        <f>$L1455+N($J1456)-N($K1456)</f>
        <v/>
      </c>
      <c r="M1456" s="110" t="n"/>
      <c r="N1456" s="54" t="n"/>
      <c r="O1456" s="54" t="n"/>
      <c r="P1456" s="54" t="n"/>
      <c r="Q1456" s="110" t="n"/>
      <c r="R1456" s="110" t="n"/>
      <c r="S1456" s="54" t="n"/>
      <c r="T1456" s="111">
        <f>IF($G1456="","",IFERROR(INDEX(Taux_Devises,MATCH(IF($M1456="",Devise_Base,$M1456),Codes_Devises,0)),1))</f>
        <v/>
      </c>
      <c r="U1456" s="112">
        <f>IF($G1456="","",ROUND($G1456*$T1456,2))</f>
        <v/>
      </c>
      <c r="V1456" s="113">
        <f>IF($B1456="","",MONTH($B1456))</f>
        <v/>
      </c>
      <c r="W1456" s="113">
        <f>IF($B1456="","",YEAR($B1456))</f>
        <v/>
      </c>
    </row>
    <row r="1457">
      <c r="B1457" s="105" t="n"/>
      <c r="C1457" s="54" t="n"/>
      <c r="D1457" s="54" t="n"/>
      <c r="E1457" s="54" t="n"/>
      <c r="F1457" s="54" t="n"/>
      <c r="G1457" s="65" t="n"/>
      <c r="H1457" s="54" t="n"/>
      <c r="I1457" s="106">
        <f>IF($C1457="","",IFERROR(INDEX(Sens_Types,MATCH($C1457,Liste_Types,0)),""))</f>
        <v/>
      </c>
      <c r="J1457" s="107">
        <f>IF($I1457="▲ ENTRÉE",$U1457,"")</f>
        <v/>
      </c>
      <c r="K1457" s="108">
        <f>IF($I1457="▼ SORTIE",$U1457,"")</f>
        <v/>
      </c>
      <c r="L1457" s="109">
        <f>$L1456+N($J1457)-N($K1457)</f>
        <v/>
      </c>
      <c r="M1457" s="110" t="n"/>
      <c r="N1457" s="54" t="n"/>
      <c r="O1457" s="54" t="n"/>
      <c r="P1457" s="54" t="n"/>
      <c r="Q1457" s="110" t="n"/>
      <c r="R1457" s="110" t="n"/>
      <c r="S1457" s="54" t="n"/>
      <c r="T1457" s="111">
        <f>IF($G1457="","",IFERROR(INDEX(Taux_Devises,MATCH(IF($M1457="",Devise_Base,$M1457),Codes_Devises,0)),1))</f>
        <v/>
      </c>
      <c r="U1457" s="112">
        <f>IF($G1457="","",ROUND($G1457*$T1457,2))</f>
        <v/>
      </c>
      <c r="V1457" s="113">
        <f>IF($B1457="","",MONTH($B1457))</f>
        <v/>
      </c>
      <c r="W1457" s="113">
        <f>IF($B1457="","",YEAR($B1457))</f>
        <v/>
      </c>
    </row>
    <row r="1458">
      <c r="B1458" s="105" t="n"/>
      <c r="C1458" s="54" t="n"/>
      <c r="D1458" s="54" t="n"/>
      <c r="E1458" s="54" t="n"/>
      <c r="F1458" s="54" t="n"/>
      <c r="G1458" s="65" t="n"/>
      <c r="H1458" s="54" t="n"/>
      <c r="I1458" s="106">
        <f>IF($C1458="","",IFERROR(INDEX(Sens_Types,MATCH($C1458,Liste_Types,0)),""))</f>
        <v/>
      </c>
      <c r="J1458" s="107">
        <f>IF($I1458="▲ ENTRÉE",$U1458,"")</f>
        <v/>
      </c>
      <c r="K1458" s="108">
        <f>IF($I1458="▼ SORTIE",$U1458,"")</f>
        <v/>
      </c>
      <c r="L1458" s="109">
        <f>$L1457+N($J1458)-N($K1458)</f>
        <v/>
      </c>
      <c r="M1458" s="110" t="n"/>
      <c r="N1458" s="54" t="n"/>
      <c r="O1458" s="54" t="n"/>
      <c r="P1458" s="54" t="n"/>
      <c r="Q1458" s="110" t="n"/>
      <c r="R1458" s="110" t="n"/>
      <c r="S1458" s="54" t="n"/>
      <c r="T1458" s="111">
        <f>IF($G1458="","",IFERROR(INDEX(Taux_Devises,MATCH(IF($M1458="",Devise_Base,$M1458),Codes_Devises,0)),1))</f>
        <v/>
      </c>
      <c r="U1458" s="112">
        <f>IF($G1458="","",ROUND($G1458*$T1458,2))</f>
        <v/>
      </c>
      <c r="V1458" s="113">
        <f>IF($B1458="","",MONTH($B1458))</f>
        <v/>
      </c>
      <c r="W1458" s="113">
        <f>IF($B1458="","",YEAR($B1458))</f>
        <v/>
      </c>
    </row>
    <row r="1459">
      <c r="B1459" s="105" t="n"/>
      <c r="C1459" s="54" t="n"/>
      <c r="D1459" s="54" t="n"/>
      <c r="E1459" s="54" t="n"/>
      <c r="F1459" s="54" t="n"/>
      <c r="G1459" s="65" t="n"/>
      <c r="H1459" s="54" t="n"/>
      <c r="I1459" s="106">
        <f>IF($C1459="","",IFERROR(INDEX(Sens_Types,MATCH($C1459,Liste_Types,0)),""))</f>
        <v/>
      </c>
      <c r="J1459" s="107">
        <f>IF($I1459="▲ ENTRÉE",$U1459,"")</f>
        <v/>
      </c>
      <c r="K1459" s="108">
        <f>IF($I1459="▼ SORTIE",$U1459,"")</f>
        <v/>
      </c>
      <c r="L1459" s="109">
        <f>$L1458+N($J1459)-N($K1459)</f>
        <v/>
      </c>
      <c r="M1459" s="110" t="n"/>
      <c r="N1459" s="54" t="n"/>
      <c r="O1459" s="54" t="n"/>
      <c r="P1459" s="54" t="n"/>
      <c r="Q1459" s="110" t="n"/>
      <c r="R1459" s="110" t="n"/>
      <c r="S1459" s="54" t="n"/>
      <c r="T1459" s="111">
        <f>IF($G1459="","",IFERROR(INDEX(Taux_Devises,MATCH(IF($M1459="",Devise_Base,$M1459),Codes_Devises,0)),1))</f>
        <v/>
      </c>
      <c r="U1459" s="112">
        <f>IF($G1459="","",ROUND($G1459*$T1459,2))</f>
        <v/>
      </c>
      <c r="V1459" s="113">
        <f>IF($B1459="","",MONTH($B1459))</f>
        <v/>
      </c>
      <c r="W1459" s="113">
        <f>IF($B1459="","",YEAR($B1459))</f>
        <v/>
      </c>
    </row>
    <row r="1460">
      <c r="B1460" s="105" t="n"/>
      <c r="C1460" s="54" t="n"/>
      <c r="D1460" s="54" t="n"/>
      <c r="E1460" s="54" t="n"/>
      <c r="F1460" s="54" t="n"/>
      <c r="G1460" s="65" t="n"/>
      <c r="H1460" s="54" t="n"/>
      <c r="I1460" s="106">
        <f>IF($C1460="","",IFERROR(INDEX(Sens_Types,MATCH($C1460,Liste_Types,0)),""))</f>
        <v/>
      </c>
      <c r="J1460" s="107">
        <f>IF($I1460="▲ ENTRÉE",$U1460,"")</f>
        <v/>
      </c>
      <c r="K1460" s="108">
        <f>IF($I1460="▼ SORTIE",$U1460,"")</f>
        <v/>
      </c>
      <c r="L1460" s="109">
        <f>$L1459+N($J1460)-N($K1460)</f>
        <v/>
      </c>
      <c r="M1460" s="110" t="n"/>
      <c r="N1460" s="54" t="n"/>
      <c r="O1460" s="54" t="n"/>
      <c r="P1460" s="54" t="n"/>
      <c r="Q1460" s="110" t="n"/>
      <c r="R1460" s="110" t="n"/>
      <c r="S1460" s="54" t="n"/>
      <c r="T1460" s="111">
        <f>IF($G1460="","",IFERROR(INDEX(Taux_Devises,MATCH(IF($M1460="",Devise_Base,$M1460),Codes_Devises,0)),1))</f>
        <v/>
      </c>
      <c r="U1460" s="112">
        <f>IF($G1460="","",ROUND($G1460*$T1460,2))</f>
        <v/>
      </c>
      <c r="V1460" s="113">
        <f>IF($B1460="","",MONTH($B1460))</f>
        <v/>
      </c>
      <c r="W1460" s="113">
        <f>IF($B1460="","",YEAR($B1460))</f>
        <v/>
      </c>
    </row>
    <row r="1461">
      <c r="B1461" s="105" t="n"/>
      <c r="C1461" s="54" t="n"/>
      <c r="D1461" s="54" t="n"/>
      <c r="E1461" s="54" t="n"/>
      <c r="F1461" s="54" t="n"/>
      <c r="G1461" s="65" t="n"/>
      <c r="H1461" s="54" t="n"/>
      <c r="I1461" s="106">
        <f>IF($C1461="","",IFERROR(INDEX(Sens_Types,MATCH($C1461,Liste_Types,0)),""))</f>
        <v/>
      </c>
      <c r="J1461" s="107">
        <f>IF($I1461="▲ ENTRÉE",$U1461,"")</f>
        <v/>
      </c>
      <c r="K1461" s="108">
        <f>IF($I1461="▼ SORTIE",$U1461,"")</f>
        <v/>
      </c>
      <c r="L1461" s="109">
        <f>$L1460+N($J1461)-N($K1461)</f>
        <v/>
      </c>
      <c r="M1461" s="110" t="n"/>
      <c r="N1461" s="54" t="n"/>
      <c r="O1461" s="54" t="n"/>
      <c r="P1461" s="54" t="n"/>
      <c r="Q1461" s="110" t="n"/>
      <c r="R1461" s="110" t="n"/>
      <c r="S1461" s="54" t="n"/>
      <c r="T1461" s="111">
        <f>IF($G1461="","",IFERROR(INDEX(Taux_Devises,MATCH(IF($M1461="",Devise_Base,$M1461),Codes_Devises,0)),1))</f>
        <v/>
      </c>
      <c r="U1461" s="112">
        <f>IF($G1461="","",ROUND($G1461*$T1461,2))</f>
        <v/>
      </c>
      <c r="V1461" s="113">
        <f>IF($B1461="","",MONTH($B1461))</f>
        <v/>
      </c>
      <c r="W1461" s="113">
        <f>IF($B1461="","",YEAR($B1461))</f>
        <v/>
      </c>
    </row>
    <row r="1462">
      <c r="B1462" s="105" t="n"/>
      <c r="C1462" s="54" t="n"/>
      <c r="D1462" s="54" t="n"/>
      <c r="E1462" s="54" t="n"/>
      <c r="F1462" s="54" t="n"/>
      <c r="G1462" s="65" t="n"/>
      <c r="H1462" s="54" t="n"/>
      <c r="I1462" s="106">
        <f>IF($C1462="","",IFERROR(INDEX(Sens_Types,MATCH($C1462,Liste_Types,0)),""))</f>
        <v/>
      </c>
      <c r="J1462" s="107">
        <f>IF($I1462="▲ ENTRÉE",$U1462,"")</f>
        <v/>
      </c>
      <c r="K1462" s="108">
        <f>IF($I1462="▼ SORTIE",$U1462,"")</f>
        <v/>
      </c>
      <c r="L1462" s="109">
        <f>$L1461+N($J1462)-N($K1462)</f>
        <v/>
      </c>
      <c r="M1462" s="110" t="n"/>
      <c r="N1462" s="54" t="n"/>
      <c r="O1462" s="54" t="n"/>
      <c r="P1462" s="54" t="n"/>
      <c r="Q1462" s="110" t="n"/>
      <c r="R1462" s="110" t="n"/>
      <c r="S1462" s="54" t="n"/>
      <c r="T1462" s="111">
        <f>IF($G1462="","",IFERROR(INDEX(Taux_Devises,MATCH(IF($M1462="",Devise_Base,$M1462),Codes_Devises,0)),1))</f>
        <v/>
      </c>
      <c r="U1462" s="112">
        <f>IF($G1462="","",ROUND($G1462*$T1462,2))</f>
        <v/>
      </c>
      <c r="V1462" s="113">
        <f>IF($B1462="","",MONTH($B1462))</f>
        <v/>
      </c>
      <c r="W1462" s="113">
        <f>IF($B1462="","",YEAR($B1462))</f>
        <v/>
      </c>
    </row>
    <row r="1463">
      <c r="B1463" s="105" t="n"/>
      <c r="C1463" s="54" t="n"/>
      <c r="D1463" s="54" t="n"/>
      <c r="E1463" s="54" t="n"/>
      <c r="F1463" s="54" t="n"/>
      <c r="G1463" s="65" t="n"/>
      <c r="H1463" s="54" t="n"/>
      <c r="I1463" s="106">
        <f>IF($C1463="","",IFERROR(INDEX(Sens_Types,MATCH($C1463,Liste_Types,0)),""))</f>
        <v/>
      </c>
      <c r="J1463" s="107">
        <f>IF($I1463="▲ ENTRÉE",$U1463,"")</f>
        <v/>
      </c>
      <c r="K1463" s="108">
        <f>IF($I1463="▼ SORTIE",$U1463,"")</f>
        <v/>
      </c>
      <c r="L1463" s="109">
        <f>$L1462+N($J1463)-N($K1463)</f>
        <v/>
      </c>
      <c r="M1463" s="110" t="n"/>
      <c r="N1463" s="54" t="n"/>
      <c r="O1463" s="54" t="n"/>
      <c r="P1463" s="54" t="n"/>
      <c r="Q1463" s="110" t="n"/>
      <c r="R1463" s="110" t="n"/>
      <c r="S1463" s="54" t="n"/>
      <c r="T1463" s="111">
        <f>IF($G1463="","",IFERROR(INDEX(Taux_Devises,MATCH(IF($M1463="",Devise_Base,$M1463),Codes_Devises,0)),1))</f>
        <v/>
      </c>
      <c r="U1463" s="112">
        <f>IF($G1463="","",ROUND($G1463*$T1463,2))</f>
        <v/>
      </c>
      <c r="V1463" s="113">
        <f>IF($B1463="","",MONTH($B1463))</f>
        <v/>
      </c>
      <c r="W1463" s="113">
        <f>IF($B1463="","",YEAR($B1463))</f>
        <v/>
      </c>
    </row>
    <row r="1464">
      <c r="B1464" s="105" t="n"/>
      <c r="C1464" s="54" t="n"/>
      <c r="D1464" s="54" t="n"/>
      <c r="E1464" s="54" t="n"/>
      <c r="F1464" s="54" t="n"/>
      <c r="G1464" s="65" t="n"/>
      <c r="H1464" s="54" t="n"/>
      <c r="I1464" s="106">
        <f>IF($C1464="","",IFERROR(INDEX(Sens_Types,MATCH($C1464,Liste_Types,0)),""))</f>
        <v/>
      </c>
      <c r="J1464" s="107">
        <f>IF($I1464="▲ ENTRÉE",$U1464,"")</f>
        <v/>
      </c>
      <c r="K1464" s="108">
        <f>IF($I1464="▼ SORTIE",$U1464,"")</f>
        <v/>
      </c>
      <c r="L1464" s="109">
        <f>$L1463+N($J1464)-N($K1464)</f>
        <v/>
      </c>
      <c r="M1464" s="110" t="n"/>
      <c r="N1464" s="54" t="n"/>
      <c r="O1464" s="54" t="n"/>
      <c r="P1464" s="54" t="n"/>
      <c r="Q1464" s="110" t="n"/>
      <c r="R1464" s="110" t="n"/>
      <c r="S1464" s="54" t="n"/>
      <c r="T1464" s="111">
        <f>IF($G1464="","",IFERROR(INDEX(Taux_Devises,MATCH(IF($M1464="",Devise_Base,$M1464),Codes_Devises,0)),1))</f>
        <v/>
      </c>
      <c r="U1464" s="112">
        <f>IF($G1464="","",ROUND($G1464*$T1464,2))</f>
        <v/>
      </c>
      <c r="V1464" s="113">
        <f>IF($B1464="","",MONTH($B1464))</f>
        <v/>
      </c>
      <c r="W1464" s="113">
        <f>IF($B1464="","",YEAR($B1464))</f>
        <v/>
      </c>
    </row>
    <row r="1465">
      <c r="B1465" s="105" t="n"/>
      <c r="C1465" s="54" t="n"/>
      <c r="D1465" s="54" t="n"/>
      <c r="E1465" s="54" t="n"/>
      <c r="F1465" s="54" t="n"/>
      <c r="G1465" s="65" t="n"/>
      <c r="H1465" s="54" t="n"/>
      <c r="I1465" s="106">
        <f>IF($C1465="","",IFERROR(INDEX(Sens_Types,MATCH($C1465,Liste_Types,0)),""))</f>
        <v/>
      </c>
      <c r="J1465" s="107">
        <f>IF($I1465="▲ ENTRÉE",$U1465,"")</f>
        <v/>
      </c>
      <c r="K1465" s="108">
        <f>IF($I1465="▼ SORTIE",$U1465,"")</f>
        <v/>
      </c>
      <c r="L1465" s="109">
        <f>$L1464+N($J1465)-N($K1465)</f>
        <v/>
      </c>
      <c r="M1465" s="110" t="n"/>
      <c r="N1465" s="54" t="n"/>
      <c r="O1465" s="54" t="n"/>
      <c r="P1465" s="54" t="n"/>
      <c r="Q1465" s="110" t="n"/>
      <c r="R1465" s="110" t="n"/>
      <c r="S1465" s="54" t="n"/>
      <c r="T1465" s="111">
        <f>IF($G1465="","",IFERROR(INDEX(Taux_Devises,MATCH(IF($M1465="",Devise_Base,$M1465),Codes_Devises,0)),1))</f>
        <v/>
      </c>
      <c r="U1465" s="112">
        <f>IF($G1465="","",ROUND($G1465*$T1465,2))</f>
        <v/>
      </c>
      <c r="V1465" s="113">
        <f>IF($B1465="","",MONTH($B1465))</f>
        <v/>
      </c>
      <c r="W1465" s="113">
        <f>IF($B1465="","",YEAR($B1465))</f>
        <v/>
      </c>
    </row>
    <row r="1466">
      <c r="B1466" s="105" t="n"/>
      <c r="C1466" s="54" t="n"/>
      <c r="D1466" s="54" t="n"/>
      <c r="E1466" s="54" t="n"/>
      <c r="F1466" s="54" t="n"/>
      <c r="G1466" s="65" t="n"/>
      <c r="H1466" s="54" t="n"/>
      <c r="I1466" s="106">
        <f>IF($C1466="","",IFERROR(INDEX(Sens_Types,MATCH($C1466,Liste_Types,0)),""))</f>
        <v/>
      </c>
      <c r="J1466" s="107">
        <f>IF($I1466="▲ ENTRÉE",$U1466,"")</f>
        <v/>
      </c>
      <c r="K1466" s="108">
        <f>IF($I1466="▼ SORTIE",$U1466,"")</f>
        <v/>
      </c>
      <c r="L1466" s="109">
        <f>$L1465+N($J1466)-N($K1466)</f>
        <v/>
      </c>
      <c r="M1466" s="110" t="n"/>
      <c r="N1466" s="54" t="n"/>
      <c r="O1466" s="54" t="n"/>
      <c r="P1466" s="54" t="n"/>
      <c r="Q1466" s="110" t="n"/>
      <c r="R1466" s="110" t="n"/>
      <c r="S1466" s="54" t="n"/>
      <c r="T1466" s="111">
        <f>IF($G1466="","",IFERROR(INDEX(Taux_Devises,MATCH(IF($M1466="",Devise_Base,$M1466),Codes_Devises,0)),1))</f>
        <v/>
      </c>
      <c r="U1466" s="112">
        <f>IF($G1466="","",ROUND($G1466*$T1466,2))</f>
        <v/>
      </c>
      <c r="V1466" s="113">
        <f>IF($B1466="","",MONTH($B1466))</f>
        <v/>
      </c>
      <c r="W1466" s="113">
        <f>IF($B1466="","",YEAR($B1466))</f>
        <v/>
      </c>
    </row>
    <row r="1467">
      <c r="B1467" s="105" t="n"/>
      <c r="C1467" s="54" t="n"/>
      <c r="D1467" s="54" t="n"/>
      <c r="E1467" s="54" t="n"/>
      <c r="F1467" s="54" t="n"/>
      <c r="G1467" s="65" t="n"/>
      <c r="H1467" s="54" t="n"/>
      <c r="I1467" s="106">
        <f>IF($C1467="","",IFERROR(INDEX(Sens_Types,MATCH($C1467,Liste_Types,0)),""))</f>
        <v/>
      </c>
      <c r="J1467" s="107">
        <f>IF($I1467="▲ ENTRÉE",$U1467,"")</f>
        <v/>
      </c>
      <c r="K1467" s="108">
        <f>IF($I1467="▼ SORTIE",$U1467,"")</f>
        <v/>
      </c>
      <c r="L1467" s="109">
        <f>$L1466+N($J1467)-N($K1467)</f>
        <v/>
      </c>
      <c r="M1467" s="110" t="n"/>
      <c r="N1467" s="54" t="n"/>
      <c r="O1467" s="54" t="n"/>
      <c r="P1467" s="54" t="n"/>
      <c r="Q1467" s="110" t="n"/>
      <c r="R1467" s="110" t="n"/>
      <c r="S1467" s="54" t="n"/>
      <c r="T1467" s="111">
        <f>IF($G1467="","",IFERROR(INDEX(Taux_Devises,MATCH(IF($M1467="",Devise_Base,$M1467),Codes_Devises,0)),1))</f>
        <v/>
      </c>
      <c r="U1467" s="112">
        <f>IF($G1467="","",ROUND($G1467*$T1467,2))</f>
        <v/>
      </c>
      <c r="V1467" s="113">
        <f>IF($B1467="","",MONTH($B1467))</f>
        <v/>
      </c>
      <c r="W1467" s="113">
        <f>IF($B1467="","",YEAR($B1467))</f>
        <v/>
      </c>
    </row>
    <row r="1468">
      <c r="B1468" s="105" t="n"/>
      <c r="C1468" s="54" t="n"/>
      <c r="D1468" s="54" t="n"/>
      <c r="E1468" s="54" t="n"/>
      <c r="F1468" s="54" t="n"/>
      <c r="G1468" s="65" t="n"/>
      <c r="H1468" s="54" t="n"/>
      <c r="I1468" s="106">
        <f>IF($C1468="","",IFERROR(INDEX(Sens_Types,MATCH($C1468,Liste_Types,0)),""))</f>
        <v/>
      </c>
      <c r="J1468" s="107">
        <f>IF($I1468="▲ ENTRÉE",$U1468,"")</f>
        <v/>
      </c>
      <c r="K1468" s="108">
        <f>IF($I1468="▼ SORTIE",$U1468,"")</f>
        <v/>
      </c>
      <c r="L1468" s="109">
        <f>$L1467+N($J1468)-N($K1468)</f>
        <v/>
      </c>
      <c r="M1468" s="110" t="n"/>
      <c r="N1468" s="54" t="n"/>
      <c r="O1468" s="54" t="n"/>
      <c r="P1468" s="54" t="n"/>
      <c r="Q1468" s="110" t="n"/>
      <c r="R1468" s="110" t="n"/>
      <c r="S1468" s="54" t="n"/>
      <c r="T1468" s="111">
        <f>IF($G1468="","",IFERROR(INDEX(Taux_Devises,MATCH(IF($M1468="",Devise_Base,$M1468),Codes_Devises,0)),1))</f>
        <v/>
      </c>
      <c r="U1468" s="112">
        <f>IF($G1468="","",ROUND($G1468*$T1468,2))</f>
        <v/>
      </c>
      <c r="V1468" s="113">
        <f>IF($B1468="","",MONTH($B1468))</f>
        <v/>
      </c>
      <c r="W1468" s="113">
        <f>IF($B1468="","",YEAR($B1468))</f>
        <v/>
      </c>
    </row>
    <row r="1469">
      <c r="B1469" s="105" t="n"/>
      <c r="C1469" s="54" t="n"/>
      <c r="D1469" s="54" t="n"/>
      <c r="E1469" s="54" t="n"/>
      <c r="F1469" s="54" t="n"/>
      <c r="G1469" s="65" t="n"/>
      <c r="H1469" s="54" t="n"/>
      <c r="I1469" s="106">
        <f>IF($C1469="","",IFERROR(INDEX(Sens_Types,MATCH($C1469,Liste_Types,0)),""))</f>
        <v/>
      </c>
      <c r="J1469" s="107">
        <f>IF($I1469="▲ ENTRÉE",$U1469,"")</f>
        <v/>
      </c>
      <c r="K1469" s="108">
        <f>IF($I1469="▼ SORTIE",$U1469,"")</f>
        <v/>
      </c>
      <c r="L1469" s="109">
        <f>$L1468+N($J1469)-N($K1469)</f>
        <v/>
      </c>
      <c r="M1469" s="110" t="n"/>
      <c r="N1469" s="54" t="n"/>
      <c r="O1469" s="54" t="n"/>
      <c r="P1469" s="54" t="n"/>
      <c r="Q1469" s="110" t="n"/>
      <c r="R1469" s="110" t="n"/>
      <c r="S1469" s="54" t="n"/>
      <c r="T1469" s="111">
        <f>IF($G1469="","",IFERROR(INDEX(Taux_Devises,MATCH(IF($M1469="",Devise_Base,$M1469),Codes_Devises,0)),1))</f>
        <v/>
      </c>
      <c r="U1469" s="112">
        <f>IF($G1469="","",ROUND($G1469*$T1469,2))</f>
        <v/>
      </c>
      <c r="V1469" s="113">
        <f>IF($B1469="","",MONTH($B1469))</f>
        <v/>
      </c>
      <c r="W1469" s="113">
        <f>IF($B1469="","",YEAR($B1469))</f>
        <v/>
      </c>
    </row>
    <row r="1470">
      <c r="B1470" s="105" t="n"/>
      <c r="C1470" s="54" t="n"/>
      <c r="D1470" s="54" t="n"/>
      <c r="E1470" s="54" t="n"/>
      <c r="F1470" s="54" t="n"/>
      <c r="G1470" s="65" t="n"/>
      <c r="H1470" s="54" t="n"/>
      <c r="I1470" s="106">
        <f>IF($C1470="","",IFERROR(INDEX(Sens_Types,MATCH($C1470,Liste_Types,0)),""))</f>
        <v/>
      </c>
      <c r="J1470" s="107">
        <f>IF($I1470="▲ ENTRÉE",$U1470,"")</f>
        <v/>
      </c>
      <c r="K1470" s="108">
        <f>IF($I1470="▼ SORTIE",$U1470,"")</f>
        <v/>
      </c>
      <c r="L1470" s="109">
        <f>$L1469+N($J1470)-N($K1470)</f>
        <v/>
      </c>
      <c r="M1470" s="110" t="n"/>
      <c r="N1470" s="54" t="n"/>
      <c r="O1470" s="54" t="n"/>
      <c r="P1470" s="54" t="n"/>
      <c r="Q1470" s="110" t="n"/>
      <c r="R1470" s="110" t="n"/>
      <c r="S1470" s="54" t="n"/>
      <c r="T1470" s="111">
        <f>IF($G1470="","",IFERROR(INDEX(Taux_Devises,MATCH(IF($M1470="",Devise_Base,$M1470),Codes_Devises,0)),1))</f>
        <v/>
      </c>
      <c r="U1470" s="112">
        <f>IF($G1470="","",ROUND($G1470*$T1470,2))</f>
        <v/>
      </c>
      <c r="V1470" s="113">
        <f>IF($B1470="","",MONTH($B1470))</f>
        <v/>
      </c>
      <c r="W1470" s="113">
        <f>IF($B1470="","",YEAR($B1470))</f>
        <v/>
      </c>
    </row>
    <row r="1471">
      <c r="B1471" s="105" t="n"/>
      <c r="C1471" s="54" t="n"/>
      <c r="D1471" s="54" t="n"/>
      <c r="E1471" s="54" t="n"/>
      <c r="F1471" s="54" t="n"/>
      <c r="G1471" s="65" t="n"/>
      <c r="H1471" s="54" t="n"/>
      <c r="I1471" s="106">
        <f>IF($C1471="","",IFERROR(INDEX(Sens_Types,MATCH($C1471,Liste_Types,0)),""))</f>
        <v/>
      </c>
      <c r="J1471" s="107">
        <f>IF($I1471="▲ ENTRÉE",$U1471,"")</f>
        <v/>
      </c>
      <c r="K1471" s="108">
        <f>IF($I1471="▼ SORTIE",$U1471,"")</f>
        <v/>
      </c>
      <c r="L1471" s="109">
        <f>$L1470+N($J1471)-N($K1471)</f>
        <v/>
      </c>
      <c r="M1471" s="110" t="n"/>
      <c r="N1471" s="54" t="n"/>
      <c r="O1471" s="54" t="n"/>
      <c r="P1471" s="54" t="n"/>
      <c r="Q1471" s="110" t="n"/>
      <c r="R1471" s="110" t="n"/>
      <c r="S1471" s="54" t="n"/>
      <c r="T1471" s="111">
        <f>IF($G1471="","",IFERROR(INDEX(Taux_Devises,MATCH(IF($M1471="",Devise_Base,$M1471),Codes_Devises,0)),1))</f>
        <v/>
      </c>
      <c r="U1471" s="112">
        <f>IF($G1471="","",ROUND($G1471*$T1471,2))</f>
        <v/>
      </c>
      <c r="V1471" s="113">
        <f>IF($B1471="","",MONTH($B1471))</f>
        <v/>
      </c>
      <c r="W1471" s="113">
        <f>IF($B1471="","",YEAR($B1471))</f>
        <v/>
      </c>
    </row>
    <row r="1472">
      <c r="B1472" s="105" t="n"/>
      <c r="C1472" s="54" t="n"/>
      <c r="D1472" s="54" t="n"/>
      <c r="E1472" s="54" t="n"/>
      <c r="F1472" s="54" t="n"/>
      <c r="G1472" s="65" t="n"/>
      <c r="H1472" s="54" t="n"/>
      <c r="I1472" s="106">
        <f>IF($C1472="","",IFERROR(INDEX(Sens_Types,MATCH($C1472,Liste_Types,0)),""))</f>
        <v/>
      </c>
      <c r="J1472" s="107">
        <f>IF($I1472="▲ ENTRÉE",$U1472,"")</f>
        <v/>
      </c>
      <c r="K1472" s="108">
        <f>IF($I1472="▼ SORTIE",$U1472,"")</f>
        <v/>
      </c>
      <c r="L1472" s="109">
        <f>$L1471+N($J1472)-N($K1472)</f>
        <v/>
      </c>
      <c r="M1472" s="110" t="n"/>
      <c r="N1472" s="54" t="n"/>
      <c r="O1472" s="54" t="n"/>
      <c r="P1472" s="54" t="n"/>
      <c r="Q1472" s="110" t="n"/>
      <c r="R1472" s="110" t="n"/>
      <c r="S1472" s="54" t="n"/>
      <c r="T1472" s="111">
        <f>IF($G1472="","",IFERROR(INDEX(Taux_Devises,MATCH(IF($M1472="",Devise_Base,$M1472),Codes_Devises,0)),1))</f>
        <v/>
      </c>
      <c r="U1472" s="112">
        <f>IF($G1472="","",ROUND($G1472*$T1472,2))</f>
        <v/>
      </c>
      <c r="V1472" s="113">
        <f>IF($B1472="","",MONTH($B1472))</f>
        <v/>
      </c>
      <c r="W1472" s="113">
        <f>IF($B1472="","",YEAR($B1472))</f>
        <v/>
      </c>
    </row>
    <row r="1473">
      <c r="B1473" s="105" t="n"/>
      <c r="C1473" s="54" t="n"/>
      <c r="D1473" s="54" t="n"/>
      <c r="E1473" s="54" t="n"/>
      <c r="F1473" s="54" t="n"/>
      <c r="G1473" s="65" t="n"/>
      <c r="H1473" s="54" t="n"/>
      <c r="I1473" s="106">
        <f>IF($C1473="","",IFERROR(INDEX(Sens_Types,MATCH($C1473,Liste_Types,0)),""))</f>
        <v/>
      </c>
      <c r="J1473" s="107">
        <f>IF($I1473="▲ ENTRÉE",$U1473,"")</f>
        <v/>
      </c>
      <c r="K1473" s="108">
        <f>IF($I1473="▼ SORTIE",$U1473,"")</f>
        <v/>
      </c>
      <c r="L1473" s="109">
        <f>$L1472+N($J1473)-N($K1473)</f>
        <v/>
      </c>
      <c r="M1473" s="110" t="n"/>
      <c r="N1473" s="54" t="n"/>
      <c r="O1473" s="54" t="n"/>
      <c r="P1473" s="54" t="n"/>
      <c r="Q1473" s="110" t="n"/>
      <c r="R1473" s="110" t="n"/>
      <c r="S1473" s="54" t="n"/>
      <c r="T1473" s="111">
        <f>IF($G1473="","",IFERROR(INDEX(Taux_Devises,MATCH(IF($M1473="",Devise_Base,$M1473),Codes_Devises,0)),1))</f>
        <v/>
      </c>
      <c r="U1473" s="112">
        <f>IF($G1473="","",ROUND($G1473*$T1473,2))</f>
        <v/>
      </c>
      <c r="V1473" s="113">
        <f>IF($B1473="","",MONTH($B1473))</f>
        <v/>
      </c>
      <c r="W1473" s="113">
        <f>IF($B1473="","",YEAR($B1473))</f>
        <v/>
      </c>
    </row>
    <row r="1474">
      <c r="B1474" s="105" t="n"/>
      <c r="C1474" s="54" t="n"/>
      <c r="D1474" s="54" t="n"/>
      <c r="E1474" s="54" t="n"/>
      <c r="F1474" s="54" t="n"/>
      <c r="G1474" s="65" t="n"/>
      <c r="H1474" s="54" t="n"/>
      <c r="I1474" s="106">
        <f>IF($C1474="","",IFERROR(INDEX(Sens_Types,MATCH($C1474,Liste_Types,0)),""))</f>
        <v/>
      </c>
      <c r="J1474" s="107">
        <f>IF($I1474="▲ ENTRÉE",$U1474,"")</f>
        <v/>
      </c>
      <c r="K1474" s="108">
        <f>IF($I1474="▼ SORTIE",$U1474,"")</f>
        <v/>
      </c>
      <c r="L1474" s="109">
        <f>$L1473+N($J1474)-N($K1474)</f>
        <v/>
      </c>
      <c r="M1474" s="110" t="n"/>
      <c r="N1474" s="54" t="n"/>
      <c r="O1474" s="54" t="n"/>
      <c r="P1474" s="54" t="n"/>
      <c r="Q1474" s="110" t="n"/>
      <c r="R1474" s="110" t="n"/>
      <c r="S1474" s="54" t="n"/>
      <c r="T1474" s="111">
        <f>IF($G1474="","",IFERROR(INDEX(Taux_Devises,MATCH(IF($M1474="",Devise_Base,$M1474),Codes_Devises,0)),1))</f>
        <v/>
      </c>
      <c r="U1474" s="112">
        <f>IF($G1474="","",ROUND($G1474*$T1474,2))</f>
        <v/>
      </c>
      <c r="V1474" s="113">
        <f>IF($B1474="","",MONTH($B1474))</f>
        <v/>
      </c>
      <c r="W1474" s="113">
        <f>IF($B1474="","",YEAR($B1474))</f>
        <v/>
      </c>
    </row>
    <row r="1475">
      <c r="B1475" s="105" t="n"/>
      <c r="C1475" s="54" t="n"/>
      <c r="D1475" s="54" t="n"/>
      <c r="E1475" s="54" t="n"/>
      <c r="F1475" s="54" t="n"/>
      <c r="G1475" s="65" t="n"/>
      <c r="H1475" s="54" t="n"/>
      <c r="I1475" s="106">
        <f>IF($C1475="","",IFERROR(INDEX(Sens_Types,MATCH($C1475,Liste_Types,0)),""))</f>
        <v/>
      </c>
      <c r="J1475" s="107">
        <f>IF($I1475="▲ ENTRÉE",$U1475,"")</f>
        <v/>
      </c>
      <c r="K1475" s="108">
        <f>IF($I1475="▼ SORTIE",$U1475,"")</f>
        <v/>
      </c>
      <c r="L1475" s="109">
        <f>$L1474+N($J1475)-N($K1475)</f>
        <v/>
      </c>
      <c r="M1475" s="110" t="n"/>
      <c r="N1475" s="54" t="n"/>
      <c r="O1475" s="54" t="n"/>
      <c r="P1475" s="54" t="n"/>
      <c r="Q1475" s="110" t="n"/>
      <c r="R1475" s="110" t="n"/>
      <c r="S1475" s="54" t="n"/>
      <c r="T1475" s="111">
        <f>IF($G1475="","",IFERROR(INDEX(Taux_Devises,MATCH(IF($M1475="",Devise_Base,$M1475),Codes_Devises,0)),1))</f>
        <v/>
      </c>
      <c r="U1475" s="112">
        <f>IF($G1475="","",ROUND($G1475*$T1475,2))</f>
        <v/>
      </c>
      <c r="V1475" s="113">
        <f>IF($B1475="","",MONTH($B1475))</f>
        <v/>
      </c>
      <c r="W1475" s="113">
        <f>IF($B1475="","",YEAR($B1475))</f>
        <v/>
      </c>
    </row>
    <row r="1476">
      <c r="B1476" s="105" t="n"/>
      <c r="C1476" s="54" t="n"/>
      <c r="D1476" s="54" t="n"/>
      <c r="E1476" s="54" t="n"/>
      <c r="F1476" s="54" t="n"/>
      <c r="G1476" s="65" t="n"/>
      <c r="H1476" s="54" t="n"/>
      <c r="I1476" s="106">
        <f>IF($C1476="","",IFERROR(INDEX(Sens_Types,MATCH($C1476,Liste_Types,0)),""))</f>
        <v/>
      </c>
      <c r="J1476" s="107">
        <f>IF($I1476="▲ ENTRÉE",$U1476,"")</f>
        <v/>
      </c>
      <c r="K1476" s="108">
        <f>IF($I1476="▼ SORTIE",$U1476,"")</f>
        <v/>
      </c>
      <c r="L1476" s="109">
        <f>$L1475+N($J1476)-N($K1476)</f>
        <v/>
      </c>
      <c r="M1476" s="110" t="n"/>
      <c r="N1476" s="54" t="n"/>
      <c r="O1476" s="54" t="n"/>
      <c r="P1476" s="54" t="n"/>
      <c r="Q1476" s="110" t="n"/>
      <c r="R1476" s="110" t="n"/>
      <c r="S1476" s="54" t="n"/>
      <c r="T1476" s="111">
        <f>IF($G1476="","",IFERROR(INDEX(Taux_Devises,MATCH(IF($M1476="",Devise_Base,$M1476),Codes_Devises,0)),1))</f>
        <v/>
      </c>
      <c r="U1476" s="112">
        <f>IF($G1476="","",ROUND($G1476*$T1476,2))</f>
        <v/>
      </c>
      <c r="V1476" s="113">
        <f>IF($B1476="","",MONTH($B1476))</f>
        <v/>
      </c>
      <c r="W1476" s="113">
        <f>IF($B1476="","",YEAR($B1476))</f>
        <v/>
      </c>
    </row>
    <row r="1477">
      <c r="B1477" s="105" t="n"/>
      <c r="C1477" s="54" t="n"/>
      <c r="D1477" s="54" t="n"/>
      <c r="E1477" s="54" t="n"/>
      <c r="F1477" s="54" t="n"/>
      <c r="G1477" s="65" t="n"/>
      <c r="H1477" s="54" t="n"/>
      <c r="I1477" s="106">
        <f>IF($C1477="","",IFERROR(INDEX(Sens_Types,MATCH($C1477,Liste_Types,0)),""))</f>
        <v/>
      </c>
      <c r="J1477" s="107">
        <f>IF($I1477="▲ ENTRÉE",$U1477,"")</f>
        <v/>
      </c>
      <c r="K1477" s="108">
        <f>IF($I1477="▼ SORTIE",$U1477,"")</f>
        <v/>
      </c>
      <c r="L1477" s="109">
        <f>$L1476+N($J1477)-N($K1477)</f>
        <v/>
      </c>
      <c r="M1477" s="110" t="n"/>
      <c r="N1477" s="54" t="n"/>
      <c r="O1477" s="54" t="n"/>
      <c r="P1477" s="54" t="n"/>
      <c r="Q1477" s="110" t="n"/>
      <c r="R1477" s="110" t="n"/>
      <c r="S1477" s="54" t="n"/>
      <c r="T1477" s="111">
        <f>IF($G1477="","",IFERROR(INDEX(Taux_Devises,MATCH(IF($M1477="",Devise_Base,$M1477),Codes_Devises,0)),1))</f>
        <v/>
      </c>
      <c r="U1477" s="112">
        <f>IF($G1477="","",ROUND($G1477*$T1477,2))</f>
        <v/>
      </c>
      <c r="V1477" s="113">
        <f>IF($B1477="","",MONTH($B1477))</f>
        <v/>
      </c>
      <c r="W1477" s="113">
        <f>IF($B1477="","",YEAR($B1477))</f>
        <v/>
      </c>
    </row>
    <row r="1478">
      <c r="B1478" s="105" t="n"/>
      <c r="C1478" s="54" t="n"/>
      <c r="D1478" s="54" t="n"/>
      <c r="E1478" s="54" t="n"/>
      <c r="F1478" s="54" t="n"/>
      <c r="G1478" s="65" t="n"/>
      <c r="H1478" s="54" t="n"/>
      <c r="I1478" s="106">
        <f>IF($C1478="","",IFERROR(INDEX(Sens_Types,MATCH($C1478,Liste_Types,0)),""))</f>
        <v/>
      </c>
      <c r="J1478" s="107">
        <f>IF($I1478="▲ ENTRÉE",$U1478,"")</f>
        <v/>
      </c>
      <c r="K1478" s="108">
        <f>IF($I1478="▼ SORTIE",$U1478,"")</f>
        <v/>
      </c>
      <c r="L1478" s="109">
        <f>$L1477+N($J1478)-N($K1478)</f>
        <v/>
      </c>
      <c r="M1478" s="110" t="n"/>
      <c r="N1478" s="54" t="n"/>
      <c r="O1478" s="54" t="n"/>
      <c r="P1478" s="54" t="n"/>
      <c r="Q1478" s="110" t="n"/>
      <c r="R1478" s="110" t="n"/>
      <c r="S1478" s="54" t="n"/>
      <c r="T1478" s="111">
        <f>IF($G1478="","",IFERROR(INDEX(Taux_Devises,MATCH(IF($M1478="",Devise_Base,$M1478),Codes_Devises,0)),1))</f>
        <v/>
      </c>
      <c r="U1478" s="112">
        <f>IF($G1478="","",ROUND($G1478*$T1478,2))</f>
        <v/>
      </c>
      <c r="V1478" s="113">
        <f>IF($B1478="","",MONTH($B1478))</f>
        <v/>
      </c>
      <c r="W1478" s="113">
        <f>IF($B1478="","",YEAR($B1478))</f>
        <v/>
      </c>
    </row>
    <row r="1479">
      <c r="B1479" s="105" t="n"/>
      <c r="C1479" s="54" t="n"/>
      <c r="D1479" s="54" t="n"/>
      <c r="E1479" s="54" t="n"/>
      <c r="F1479" s="54" t="n"/>
      <c r="G1479" s="65" t="n"/>
      <c r="H1479" s="54" t="n"/>
      <c r="I1479" s="106">
        <f>IF($C1479="","",IFERROR(INDEX(Sens_Types,MATCH($C1479,Liste_Types,0)),""))</f>
        <v/>
      </c>
      <c r="J1479" s="107">
        <f>IF($I1479="▲ ENTRÉE",$U1479,"")</f>
        <v/>
      </c>
      <c r="K1479" s="108">
        <f>IF($I1479="▼ SORTIE",$U1479,"")</f>
        <v/>
      </c>
      <c r="L1479" s="109">
        <f>$L1478+N($J1479)-N($K1479)</f>
        <v/>
      </c>
      <c r="M1479" s="110" t="n"/>
      <c r="N1479" s="54" t="n"/>
      <c r="O1479" s="54" t="n"/>
      <c r="P1479" s="54" t="n"/>
      <c r="Q1479" s="110" t="n"/>
      <c r="R1479" s="110" t="n"/>
      <c r="S1479" s="54" t="n"/>
      <c r="T1479" s="111">
        <f>IF($G1479="","",IFERROR(INDEX(Taux_Devises,MATCH(IF($M1479="",Devise_Base,$M1479),Codes_Devises,0)),1))</f>
        <v/>
      </c>
      <c r="U1479" s="112">
        <f>IF($G1479="","",ROUND($G1479*$T1479,2))</f>
        <v/>
      </c>
      <c r="V1479" s="113">
        <f>IF($B1479="","",MONTH($B1479))</f>
        <v/>
      </c>
      <c r="W1479" s="113">
        <f>IF($B1479="","",YEAR($B1479))</f>
        <v/>
      </c>
    </row>
    <row r="1480">
      <c r="B1480" s="105" t="n"/>
      <c r="C1480" s="54" t="n"/>
      <c r="D1480" s="54" t="n"/>
      <c r="E1480" s="54" t="n"/>
      <c r="F1480" s="54" t="n"/>
      <c r="G1480" s="65" t="n"/>
      <c r="H1480" s="54" t="n"/>
      <c r="I1480" s="106">
        <f>IF($C1480="","",IFERROR(INDEX(Sens_Types,MATCH($C1480,Liste_Types,0)),""))</f>
        <v/>
      </c>
      <c r="J1480" s="107">
        <f>IF($I1480="▲ ENTRÉE",$U1480,"")</f>
        <v/>
      </c>
      <c r="K1480" s="108">
        <f>IF($I1480="▼ SORTIE",$U1480,"")</f>
        <v/>
      </c>
      <c r="L1480" s="109">
        <f>$L1479+N($J1480)-N($K1480)</f>
        <v/>
      </c>
      <c r="M1480" s="110" t="n"/>
      <c r="N1480" s="54" t="n"/>
      <c r="O1480" s="54" t="n"/>
      <c r="P1480" s="54" t="n"/>
      <c r="Q1480" s="110" t="n"/>
      <c r="R1480" s="110" t="n"/>
      <c r="S1480" s="54" t="n"/>
      <c r="T1480" s="111">
        <f>IF($G1480="","",IFERROR(INDEX(Taux_Devises,MATCH(IF($M1480="",Devise_Base,$M1480),Codes_Devises,0)),1))</f>
        <v/>
      </c>
      <c r="U1480" s="112">
        <f>IF($G1480="","",ROUND($G1480*$T1480,2))</f>
        <v/>
      </c>
      <c r="V1480" s="113">
        <f>IF($B1480="","",MONTH($B1480))</f>
        <v/>
      </c>
      <c r="W1480" s="113">
        <f>IF($B1480="","",YEAR($B1480))</f>
        <v/>
      </c>
    </row>
    <row r="1481">
      <c r="B1481" s="105" t="n"/>
      <c r="C1481" s="54" t="n"/>
      <c r="D1481" s="54" t="n"/>
      <c r="E1481" s="54" t="n"/>
      <c r="F1481" s="54" t="n"/>
      <c r="G1481" s="65" t="n"/>
      <c r="H1481" s="54" t="n"/>
      <c r="I1481" s="106">
        <f>IF($C1481="","",IFERROR(INDEX(Sens_Types,MATCH($C1481,Liste_Types,0)),""))</f>
        <v/>
      </c>
      <c r="J1481" s="107">
        <f>IF($I1481="▲ ENTRÉE",$U1481,"")</f>
        <v/>
      </c>
      <c r="K1481" s="108">
        <f>IF($I1481="▼ SORTIE",$U1481,"")</f>
        <v/>
      </c>
      <c r="L1481" s="109">
        <f>$L1480+N($J1481)-N($K1481)</f>
        <v/>
      </c>
      <c r="M1481" s="110" t="n"/>
      <c r="N1481" s="54" t="n"/>
      <c r="O1481" s="54" t="n"/>
      <c r="P1481" s="54" t="n"/>
      <c r="Q1481" s="110" t="n"/>
      <c r="R1481" s="110" t="n"/>
      <c r="S1481" s="54" t="n"/>
      <c r="T1481" s="111">
        <f>IF($G1481="","",IFERROR(INDEX(Taux_Devises,MATCH(IF($M1481="",Devise_Base,$M1481),Codes_Devises,0)),1))</f>
        <v/>
      </c>
      <c r="U1481" s="112">
        <f>IF($G1481="","",ROUND($G1481*$T1481,2))</f>
        <v/>
      </c>
      <c r="V1481" s="113">
        <f>IF($B1481="","",MONTH($B1481))</f>
        <v/>
      </c>
      <c r="W1481" s="113">
        <f>IF($B1481="","",YEAR($B1481))</f>
        <v/>
      </c>
    </row>
    <row r="1482">
      <c r="B1482" s="105" t="n"/>
      <c r="C1482" s="54" t="n"/>
      <c r="D1482" s="54" t="n"/>
      <c r="E1482" s="54" t="n"/>
      <c r="F1482" s="54" t="n"/>
      <c r="G1482" s="65" t="n"/>
      <c r="H1482" s="54" t="n"/>
      <c r="I1482" s="106">
        <f>IF($C1482="","",IFERROR(INDEX(Sens_Types,MATCH($C1482,Liste_Types,0)),""))</f>
        <v/>
      </c>
      <c r="J1482" s="107">
        <f>IF($I1482="▲ ENTRÉE",$U1482,"")</f>
        <v/>
      </c>
      <c r="K1482" s="108">
        <f>IF($I1482="▼ SORTIE",$U1482,"")</f>
        <v/>
      </c>
      <c r="L1482" s="109">
        <f>$L1481+N($J1482)-N($K1482)</f>
        <v/>
      </c>
      <c r="M1482" s="110" t="n"/>
      <c r="N1482" s="54" t="n"/>
      <c r="O1482" s="54" t="n"/>
      <c r="P1482" s="54" t="n"/>
      <c r="Q1482" s="110" t="n"/>
      <c r="R1482" s="110" t="n"/>
      <c r="S1482" s="54" t="n"/>
      <c r="T1482" s="111">
        <f>IF($G1482="","",IFERROR(INDEX(Taux_Devises,MATCH(IF($M1482="",Devise_Base,$M1482),Codes_Devises,0)),1))</f>
        <v/>
      </c>
      <c r="U1482" s="112">
        <f>IF($G1482="","",ROUND($G1482*$T1482,2))</f>
        <v/>
      </c>
      <c r="V1482" s="113">
        <f>IF($B1482="","",MONTH($B1482))</f>
        <v/>
      </c>
      <c r="W1482" s="113">
        <f>IF($B1482="","",YEAR($B1482))</f>
        <v/>
      </c>
    </row>
    <row r="1483">
      <c r="B1483" s="105" t="n"/>
      <c r="C1483" s="54" t="n"/>
      <c r="D1483" s="54" t="n"/>
      <c r="E1483" s="54" t="n"/>
      <c r="F1483" s="54" t="n"/>
      <c r="G1483" s="65" t="n"/>
      <c r="H1483" s="54" t="n"/>
      <c r="I1483" s="106">
        <f>IF($C1483="","",IFERROR(INDEX(Sens_Types,MATCH($C1483,Liste_Types,0)),""))</f>
        <v/>
      </c>
      <c r="J1483" s="107">
        <f>IF($I1483="▲ ENTRÉE",$U1483,"")</f>
        <v/>
      </c>
      <c r="K1483" s="108">
        <f>IF($I1483="▼ SORTIE",$U1483,"")</f>
        <v/>
      </c>
      <c r="L1483" s="109">
        <f>$L1482+N($J1483)-N($K1483)</f>
        <v/>
      </c>
      <c r="M1483" s="110" t="n"/>
      <c r="N1483" s="54" t="n"/>
      <c r="O1483" s="54" t="n"/>
      <c r="P1483" s="54" t="n"/>
      <c r="Q1483" s="110" t="n"/>
      <c r="R1483" s="110" t="n"/>
      <c r="S1483" s="54" t="n"/>
      <c r="T1483" s="111">
        <f>IF($G1483="","",IFERROR(INDEX(Taux_Devises,MATCH(IF($M1483="",Devise_Base,$M1483),Codes_Devises,0)),1))</f>
        <v/>
      </c>
      <c r="U1483" s="112">
        <f>IF($G1483="","",ROUND($G1483*$T1483,2))</f>
        <v/>
      </c>
      <c r="V1483" s="113">
        <f>IF($B1483="","",MONTH($B1483))</f>
        <v/>
      </c>
      <c r="W1483" s="113">
        <f>IF($B1483="","",YEAR($B1483))</f>
        <v/>
      </c>
    </row>
    <row r="1484">
      <c r="B1484" s="105" t="n"/>
      <c r="C1484" s="54" t="n"/>
      <c r="D1484" s="54" t="n"/>
      <c r="E1484" s="54" t="n"/>
      <c r="F1484" s="54" t="n"/>
      <c r="G1484" s="65" t="n"/>
      <c r="H1484" s="54" t="n"/>
      <c r="I1484" s="106">
        <f>IF($C1484="","",IFERROR(INDEX(Sens_Types,MATCH($C1484,Liste_Types,0)),""))</f>
        <v/>
      </c>
      <c r="J1484" s="107">
        <f>IF($I1484="▲ ENTRÉE",$U1484,"")</f>
        <v/>
      </c>
      <c r="K1484" s="108">
        <f>IF($I1484="▼ SORTIE",$U1484,"")</f>
        <v/>
      </c>
      <c r="L1484" s="109">
        <f>$L1483+N($J1484)-N($K1484)</f>
        <v/>
      </c>
      <c r="M1484" s="110" t="n"/>
      <c r="N1484" s="54" t="n"/>
      <c r="O1484" s="54" t="n"/>
      <c r="P1484" s="54" t="n"/>
      <c r="Q1484" s="110" t="n"/>
      <c r="R1484" s="110" t="n"/>
      <c r="S1484" s="54" t="n"/>
      <c r="T1484" s="111">
        <f>IF($G1484="","",IFERROR(INDEX(Taux_Devises,MATCH(IF($M1484="",Devise_Base,$M1484),Codes_Devises,0)),1))</f>
        <v/>
      </c>
      <c r="U1484" s="112">
        <f>IF($G1484="","",ROUND($G1484*$T1484,2))</f>
        <v/>
      </c>
      <c r="V1484" s="113">
        <f>IF($B1484="","",MONTH($B1484))</f>
        <v/>
      </c>
      <c r="W1484" s="113">
        <f>IF($B1484="","",YEAR($B1484))</f>
        <v/>
      </c>
    </row>
    <row r="1485">
      <c r="B1485" s="105" t="n"/>
      <c r="C1485" s="54" t="n"/>
      <c r="D1485" s="54" t="n"/>
      <c r="E1485" s="54" t="n"/>
      <c r="F1485" s="54" t="n"/>
      <c r="G1485" s="65" t="n"/>
      <c r="H1485" s="54" t="n"/>
      <c r="I1485" s="106">
        <f>IF($C1485="","",IFERROR(INDEX(Sens_Types,MATCH($C1485,Liste_Types,0)),""))</f>
        <v/>
      </c>
      <c r="J1485" s="107">
        <f>IF($I1485="▲ ENTRÉE",$U1485,"")</f>
        <v/>
      </c>
      <c r="K1485" s="108">
        <f>IF($I1485="▼ SORTIE",$U1485,"")</f>
        <v/>
      </c>
      <c r="L1485" s="109">
        <f>$L1484+N($J1485)-N($K1485)</f>
        <v/>
      </c>
      <c r="M1485" s="110" t="n"/>
      <c r="N1485" s="54" t="n"/>
      <c r="O1485" s="54" t="n"/>
      <c r="P1485" s="54" t="n"/>
      <c r="Q1485" s="110" t="n"/>
      <c r="R1485" s="110" t="n"/>
      <c r="S1485" s="54" t="n"/>
      <c r="T1485" s="111">
        <f>IF($G1485="","",IFERROR(INDEX(Taux_Devises,MATCH(IF($M1485="",Devise_Base,$M1485),Codes_Devises,0)),1))</f>
        <v/>
      </c>
      <c r="U1485" s="112">
        <f>IF($G1485="","",ROUND($G1485*$T1485,2))</f>
        <v/>
      </c>
      <c r="V1485" s="113">
        <f>IF($B1485="","",MONTH($B1485))</f>
        <v/>
      </c>
      <c r="W1485" s="113">
        <f>IF($B1485="","",YEAR($B1485))</f>
        <v/>
      </c>
    </row>
    <row r="1486">
      <c r="B1486" s="105" t="n"/>
      <c r="C1486" s="54" t="n"/>
      <c r="D1486" s="54" t="n"/>
      <c r="E1486" s="54" t="n"/>
      <c r="F1486" s="54" t="n"/>
      <c r="G1486" s="65" t="n"/>
      <c r="H1486" s="54" t="n"/>
      <c r="I1486" s="106">
        <f>IF($C1486="","",IFERROR(INDEX(Sens_Types,MATCH($C1486,Liste_Types,0)),""))</f>
        <v/>
      </c>
      <c r="J1486" s="107">
        <f>IF($I1486="▲ ENTRÉE",$U1486,"")</f>
        <v/>
      </c>
      <c r="K1486" s="108">
        <f>IF($I1486="▼ SORTIE",$U1486,"")</f>
        <v/>
      </c>
      <c r="L1486" s="109">
        <f>$L1485+N($J1486)-N($K1486)</f>
        <v/>
      </c>
      <c r="M1486" s="110" t="n"/>
      <c r="N1486" s="54" t="n"/>
      <c r="O1486" s="54" t="n"/>
      <c r="P1486" s="54" t="n"/>
      <c r="Q1486" s="110" t="n"/>
      <c r="R1486" s="110" t="n"/>
      <c r="S1486" s="54" t="n"/>
      <c r="T1486" s="111">
        <f>IF($G1486="","",IFERROR(INDEX(Taux_Devises,MATCH(IF($M1486="",Devise_Base,$M1486),Codes_Devises,0)),1))</f>
        <v/>
      </c>
      <c r="U1486" s="112">
        <f>IF($G1486="","",ROUND($G1486*$T1486,2))</f>
        <v/>
      </c>
      <c r="V1486" s="113">
        <f>IF($B1486="","",MONTH($B1486))</f>
        <v/>
      </c>
      <c r="W1486" s="113">
        <f>IF($B1486="","",YEAR($B1486))</f>
        <v/>
      </c>
    </row>
    <row r="1487">
      <c r="B1487" s="105" t="n"/>
      <c r="C1487" s="54" t="n"/>
      <c r="D1487" s="54" t="n"/>
      <c r="E1487" s="54" t="n"/>
      <c r="F1487" s="54" t="n"/>
      <c r="G1487" s="65" t="n"/>
      <c r="H1487" s="54" t="n"/>
      <c r="I1487" s="106">
        <f>IF($C1487="","",IFERROR(INDEX(Sens_Types,MATCH($C1487,Liste_Types,0)),""))</f>
        <v/>
      </c>
      <c r="J1487" s="107">
        <f>IF($I1487="▲ ENTRÉE",$U1487,"")</f>
        <v/>
      </c>
      <c r="K1487" s="108">
        <f>IF($I1487="▼ SORTIE",$U1487,"")</f>
        <v/>
      </c>
      <c r="L1487" s="109">
        <f>$L1486+N($J1487)-N($K1487)</f>
        <v/>
      </c>
      <c r="M1487" s="110" t="n"/>
      <c r="N1487" s="54" t="n"/>
      <c r="O1487" s="54" t="n"/>
      <c r="P1487" s="54" t="n"/>
      <c r="Q1487" s="110" t="n"/>
      <c r="R1487" s="110" t="n"/>
      <c r="S1487" s="54" t="n"/>
      <c r="T1487" s="111">
        <f>IF($G1487="","",IFERROR(INDEX(Taux_Devises,MATCH(IF($M1487="",Devise_Base,$M1487),Codes_Devises,0)),1))</f>
        <v/>
      </c>
      <c r="U1487" s="112">
        <f>IF($G1487="","",ROUND($G1487*$T1487,2))</f>
        <v/>
      </c>
      <c r="V1487" s="113">
        <f>IF($B1487="","",MONTH($B1487))</f>
        <v/>
      </c>
      <c r="W1487" s="113">
        <f>IF($B1487="","",YEAR($B1487))</f>
        <v/>
      </c>
    </row>
    <row r="1488">
      <c r="B1488" s="105" t="n"/>
      <c r="C1488" s="54" t="n"/>
      <c r="D1488" s="54" t="n"/>
      <c r="E1488" s="54" t="n"/>
      <c r="F1488" s="54" t="n"/>
      <c r="G1488" s="65" t="n"/>
      <c r="H1488" s="54" t="n"/>
      <c r="I1488" s="106">
        <f>IF($C1488="","",IFERROR(INDEX(Sens_Types,MATCH($C1488,Liste_Types,0)),""))</f>
        <v/>
      </c>
      <c r="J1488" s="107">
        <f>IF($I1488="▲ ENTRÉE",$U1488,"")</f>
        <v/>
      </c>
      <c r="K1488" s="108">
        <f>IF($I1488="▼ SORTIE",$U1488,"")</f>
        <v/>
      </c>
      <c r="L1488" s="109">
        <f>$L1487+N($J1488)-N($K1488)</f>
        <v/>
      </c>
      <c r="M1488" s="110" t="n"/>
      <c r="N1488" s="54" t="n"/>
      <c r="O1488" s="54" t="n"/>
      <c r="P1488" s="54" t="n"/>
      <c r="Q1488" s="110" t="n"/>
      <c r="R1488" s="110" t="n"/>
      <c r="S1488" s="54" t="n"/>
      <c r="T1488" s="111">
        <f>IF($G1488="","",IFERROR(INDEX(Taux_Devises,MATCH(IF($M1488="",Devise_Base,$M1488),Codes_Devises,0)),1))</f>
        <v/>
      </c>
      <c r="U1488" s="112">
        <f>IF($G1488="","",ROUND($G1488*$T1488,2))</f>
        <v/>
      </c>
      <c r="V1488" s="113">
        <f>IF($B1488="","",MONTH($B1488))</f>
        <v/>
      </c>
      <c r="W1488" s="113">
        <f>IF($B1488="","",YEAR($B1488))</f>
        <v/>
      </c>
    </row>
    <row r="1489">
      <c r="B1489" s="105" t="n"/>
      <c r="C1489" s="54" t="n"/>
      <c r="D1489" s="54" t="n"/>
      <c r="E1489" s="54" t="n"/>
      <c r="F1489" s="54" t="n"/>
      <c r="G1489" s="65" t="n"/>
      <c r="H1489" s="54" t="n"/>
      <c r="I1489" s="106">
        <f>IF($C1489="","",IFERROR(INDEX(Sens_Types,MATCH($C1489,Liste_Types,0)),""))</f>
        <v/>
      </c>
      <c r="J1489" s="107">
        <f>IF($I1489="▲ ENTRÉE",$U1489,"")</f>
        <v/>
      </c>
      <c r="K1489" s="108">
        <f>IF($I1489="▼ SORTIE",$U1489,"")</f>
        <v/>
      </c>
      <c r="L1489" s="109">
        <f>$L1488+N($J1489)-N($K1489)</f>
        <v/>
      </c>
      <c r="M1489" s="110" t="n"/>
      <c r="N1489" s="54" t="n"/>
      <c r="O1489" s="54" t="n"/>
      <c r="P1489" s="54" t="n"/>
      <c r="Q1489" s="110" t="n"/>
      <c r="R1489" s="110" t="n"/>
      <c r="S1489" s="54" t="n"/>
      <c r="T1489" s="111">
        <f>IF($G1489="","",IFERROR(INDEX(Taux_Devises,MATCH(IF($M1489="",Devise_Base,$M1489),Codes_Devises,0)),1))</f>
        <v/>
      </c>
      <c r="U1489" s="112">
        <f>IF($G1489="","",ROUND($G1489*$T1489,2))</f>
        <v/>
      </c>
      <c r="V1489" s="113">
        <f>IF($B1489="","",MONTH($B1489))</f>
        <v/>
      </c>
      <c r="W1489" s="113">
        <f>IF($B1489="","",YEAR($B1489))</f>
        <v/>
      </c>
    </row>
    <row r="1490">
      <c r="B1490" s="105" t="n"/>
      <c r="C1490" s="54" t="n"/>
      <c r="D1490" s="54" t="n"/>
      <c r="E1490" s="54" t="n"/>
      <c r="F1490" s="54" t="n"/>
      <c r="G1490" s="65" t="n"/>
      <c r="H1490" s="54" t="n"/>
      <c r="I1490" s="106">
        <f>IF($C1490="","",IFERROR(INDEX(Sens_Types,MATCH($C1490,Liste_Types,0)),""))</f>
        <v/>
      </c>
      <c r="J1490" s="107">
        <f>IF($I1490="▲ ENTRÉE",$U1490,"")</f>
        <v/>
      </c>
      <c r="K1490" s="108">
        <f>IF($I1490="▼ SORTIE",$U1490,"")</f>
        <v/>
      </c>
      <c r="L1490" s="109">
        <f>$L1489+N($J1490)-N($K1490)</f>
        <v/>
      </c>
      <c r="M1490" s="110" t="n"/>
      <c r="N1490" s="54" t="n"/>
      <c r="O1490" s="54" t="n"/>
      <c r="P1490" s="54" t="n"/>
      <c r="Q1490" s="110" t="n"/>
      <c r="R1490" s="110" t="n"/>
      <c r="S1490" s="54" t="n"/>
      <c r="T1490" s="111">
        <f>IF($G1490="","",IFERROR(INDEX(Taux_Devises,MATCH(IF($M1490="",Devise_Base,$M1490),Codes_Devises,0)),1))</f>
        <v/>
      </c>
      <c r="U1490" s="112">
        <f>IF($G1490="","",ROUND($G1490*$T1490,2))</f>
        <v/>
      </c>
      <c r="V1490" s="113">
        <f>IF($B1490="","",MONTH($B1490))</f>
        <v/>
      </c>
      <c r="W1490" s="113">
        <f>IF($B1490="","",YEAR($B1490))</f>
        <v/>
      </c>
    </row>
    <row r="1491">
      <c r="B1491" s="105" t="n"/>
      <c r="C1491" s="54" t="n"/>
      <c r="D1491" s="54" t="n"/>
      <c r="E1491" s="54" t="n"/>
      <c r="F1491" s="54" t="n"/>
      <c r="G1491" s="65" t="n"/>
      <c r="H1491" s="54" t="n"/>
      <c r="I1491" s="106">
        <f>IF($C1491="","",IFERROR(INDEX(Sens_Types,MATCH($C1491,Liste_Types,0)),""))</f>
        <v/>
      </c>
      <c r="J1491" s="107">
        <f>IF($I1491="▲ ENTRÉE",$U1491,"")</f>
        <v/>
      </c>
      <c r="K1491" s="108">
        <f>IF($I1491="▼ SORTIE",$U1491,"")</f>
        <v/>
      </c>
      <c r="L1491" s="109">
        <f>$L1490+N($J1491)-N($K1491)</f>
        <v/>
      </c>
      <c r="M1491" s="110" t="n"/>
      <c r="N1491" s="54" t="n"/>
      <c r="O1491" s="54" t="n"/>
      <c r="P1491" s="54" t="n"/>
      <c r="Q1491" s="110" t="n"/>
      <c r="R1491" s="110" t="n"/>
      <c r="S1491" s="54" t="n"/>
      <c r="T1491" s="111">
        <f>IF($G1491="","",IFERROR(INDEX(Taux_Devises,MATCH(IF($M1491="",Devise_Base,$M1491),Codes_Devises,0)),1))</f>
        <v/>
      </c>
      <c r="U1491" s="112">
        <f>IF($G1491="","",ROUND($G1491*$T1491,2))</f>
        <v/>
      </c>
      <c r="V1491" s="113">
        <f>IF($B1491="","",MONTH($B1491))</f>
        <v/>
      </c>
      <c r="W1491" s="113">
        <f>IF($B1491="","",YEAR($B1491))</f>
        <v/>
      </c>
    </row>
    <row r="1492">
      <c r="B1492" s="105" t="n"/>
      <c r="C1492" s="54" t="n"/>
      <c r="D1492" s="54" t="n"/>
      <c r="E1492" s="54" t="n"/>
      <c r="F1492" s="54" t="n"/>
      <c r="G1492" s="65" t="n"/>
      <c r="H1492" s="54" t="n"/>
      <c r="I1492" s="106">
        <f>IF($C1492="","",IFERROR(INDEX(Sens_Types,MATCH($C1492,Liste_Types,0)),""))</f>
        <v/>
      </c>
      <c r="J1492" s="107">
        <f>IF($I1492="▲ ENTRÉE",$U1492,"")</f>
        <v/>
      </c>
      <c r="K1492" s="108">
        <f>IF($I1492="▼ SORTIE",$U1492,"")</f>
        <v/>
      </c>
      <c r="L1492" s="109">
        <f>$L1491+N($J1492)-N($K1492)</f>
        <v/>
      </c>
      <c r="M1492" s="110" t="n"/>
      <c r="N1492" s="54" t="n"/>
      <c r="O1492" s="54" t="n"/>
      <c r="P1492" s="54" t="n"/>
      <c r="Q1492" s="110" t="n"/>
      <c r="R1492" s="110" t="n"/>
      <c r="S1492" s="54" t="n"/>
      <c r="T1492" s="111">
        <f>IF($G1492="","",IFERROR(INDEX(Taux_Devises,MATCH(IF($M1492="",Devise_Base,$M1492),Codes_Devises,0)),1))</f>
        <v/>
      </c>
      <c r="U1492" s="112">
        <f>IF($G1492="","",ROUND($G1492*$T1492,2))</f>
        <v/>
      </c>
      <c r="V1492" s="113">
        <f>IF($B1492="","",MONTH($B1492))</f>
        <v/>
      </c>
      <c r="W1492" s="113">
        <f>IF($B1492="","",YEAR($B1492))</f>
        <v/>
      </c>
    </row>
    <row r="1493">
      <c r="B1493" s="105" t="n"/>
      <c r="C1493" s="54" t="n"/>
      <c r="D1493" s="54" t="n"/>
      <c r="E1493" s="54" t="n"/>
      <c r="F1493" s="54" t="n"/>
      <c r="G1493" s="65" t="n"/>
      <c r="H1493" s="54" t="n"/>
      <c r="I1493" s="106">
        <f>IF($C1493="","",IFERROR(INDEX(Sens_Types,MATCH($C1493,Liste_Types,0)),""))</f>
        <v/>
      </c>
      <c r="J1493" s="107">
        <f>IF($I1493="▲ ENTRÉE",$U1493,"")</f>
        <v/>
      </c>
      <c r="K1493" s="108">
        <f>IF($I1493="▼ SORTIE",$U1493,"")</f>
        <v/>
      </c>
      <c r="L1493" s="109">
        <f>$L1492+N($J1493)-N($K1493)</f>
        <v/>
      </c>
      <c r="M1493" s="110" t="n"/>
      <c r="N1493" s="54" t="n"/>
      <c r="O1493" s="54" t="n"/>
      <c r="P1493" s="54" t="n"/>
      <c r="Q1493" s="110" t="n"/>
      <c r="R1493" s="110" t="n"/>
      <c r="S1493" s="54" t="n"/>
      <c r="T1493" s="111">
        <f>IF($G1493="","",IFERROR(INDEX(Taux_Devises,MATCH(IF($M1493="",Devise_Base,$M1493),Codes_Devises,0)),1))</f>
        <v/>
      </c>
      <c r="U1493" s="112">
        <f>IF($G1493="","",ROUND($G1493*$T1493,2))</f>
        <v/>
      </c>
      <c r="V1493" s="113">
        <f>IF($B1493="","",MONTH($B1493))</f>
        <v/>
      </c>
      <c r="W1493" s="113">
        <f>IF($B1493="","",YEAR($B1493))</f>
        <v/>
      </c>
    </row>
    <row r="1494">
      <c r="B1494" s="105" t="n"/>
      <c r="C1494" s="54" t="n"/>
      <c r="D1494" s="54" t="n"/>
      <c r="E1494" s="54" t="n"/>
      <c r="F1494" s="54" t="n"/>
      <c r="G1494" s="65" t="n"/>
      <c r="H1494" s="54" t="n"/>
      <c r="I1494" s="106">
        <f>IF($C1494="","",IFERROR(INDEX(Sens_Types,MATCH($C1494,Liste_Types,0)),""))</f>
        <v/>
      </c>
      <c r="J1494" s="107">
        <f>IF($I1494="▲ ENTRÉE",$U1494,"")</f>
        <v/>
      </c>
      <c r="K1494" s="108">
        <f>IF($I1494="▼ SORTIE",$U1494,"")</f>
        <v/>
      </c>
      <c r="L1494" s="109">
        <f>$L1493+N($J1494)-N($K1494)</f>
        <v/>
      </c>
      <c r="M1494" s="110" t="n"/>
      <c r="N1494" s="54" t="n"/>
      <c r="O1494" s="54" t="n"/>
      <c r="P1494" s="54" t="n"/>
      <c r="Q1494" s="110" t="n"/>
      <c r="R1494" s="110" t="n"/>
      <c r="S1494" s="54" t="n"/>
      <c r="T1494" s="111">
        <f>IF($G1494="","",IFERROR(INDEX(Taux_Devises,MATCH(IF($M1494="",Devise_Base,$M1494),Codes_Devises,0)),1))</f>
        <v/>
      </c>
      <c r="U1494" s="112">
        <f>IF($G1494="","",ROUND($G1494*$T1494,2))</f>
        <v/>
      </c>
      <c r="V1494" s="113">
        <f>IF($B1494="","",MONTH($B1494))</f>
        <v/>
      </c>
      <c r="W1494" s="113">
        <f>IF($B1494="","",YEAR($B1494))</f>
        <v/>
      </c>
    </row>
    <row r="1495">
      <c r="B1495" s="105" t="n"/>
      <c r="C1495" s="54" t="n"/>
      <c r="D1495" s="54" t="n"/>
      <c r="E1495" s="54" t="n"/>
      <c r="F1495" s="54" t="n"/>
      <c r="G1495" s="65" t="n"/>
      <c r="H1495" s="54" t="n"/>
      <c r="I1495" s="106">
        <f>IF($C1495="","",IFERROR(INDEX(Sens_Types,MATCH($C1495,Liste_Types,0)),""))</f>
        <v/>
      </c>
      <c r="J1495" s="107">
        <f>IF($I1495="▲ ENTRÉE",$U1495,"")</f>
        <v/>
      </c>
      <c r="K1495" s="108">
        <f>IF($I1495="▼ SORTIE",$U1495,"")</f>
        <v/>
      </c>
      <c r="L1495" s="109">
        <f>$L1494+N($J1495)-N($K1495)</f>
        <v/>
      </c>
      <c r="M1495" s="110" t="n"/>
      <c r="N1495" s="54" t="n"/>
      <c r="O1495" s="54" t="n"/>
      <c r="P1495" s="54" t="n"/>
      <c r="Q1495" s="110" t="n"/>
      <c r="R1495" s="110" t="n"/>
      <c r="S1495" s="54" t="n"/>
      <c r="T1495" s="111">
        <f>IF($G1495="","",IFERROR(INDEX(Taux_Devises,MATCH(IF($M1495="",Devise_Base,$M1495),Codes_Devises,0)),1))</f>
        <v/>
      </c>
      <c r="U1495" s="112">
        <f>IF($G1495="","",ROUND($G1495*$T1495,2))</f>
        <v/>
      </c>
      <c r="V1495" s="113">
        <f>IF($B1495="","",MONTH($B1495))</f>
        <v/>
      </c>
      <c r="W1495" s="113">
        <f>IF($B1495="","",YEAR($B1495))</f>
        <v/>
      </c>
    </row>
    <row r="1496">
      <c r="B1496" s="105" t="n"/>
      <c r="C1496" s="54" t="n"/>
      <c r="D1496" s="54" t="n"/>
      <c r="E1496" s="54" t="n"/>
      <c r="F1496" s="54" t="n"/>
      <c r="G1496" s="65" t="n"/>
      <c r="H1496" s="54" t="n"/>
      <c r="I1496" s="106">
        <f>IF($C1496="","",IFERROR(INDEX(Sens_Types,MATCH($C1496,Liste_Types,0)),""))</f>
        <v/>
      </c>
      <c r="J1496" s="107">
        <f>IF($I1496="▲ ENTRÉE",$U1496,"")</f>
        <v/>
      </c>
      <c r="K1496" s="108">
        <f>IF($I1496="▼ SORTIE",$U1496,"")</f>
        <v/>
      </c>
      <c r="L1496" s="109">
        <f>$L1495+N($J1496)-N($K1496)</f>
        <v/>
      </c>
      <c r="M1496" s="110" t="n"/>
      <c r="N1496" s="54" t="n"/>
      <c r="O1496" s="54" t="n"/>
      <c r="P1496" s="54" t="n"/>
      <c r="Q1496" s="110" t="n"/>
      <c r="R1496" s="110" t="n"/>
      <c r="S1496" s="54" t="n"/>
      <c r="T1496" s="111">
        <f>IF($G1496="","",IFERROR(INDEX(Taux_Devises,MATCH(IF($M1496="",Devise_Base,$M1496),Codes_Devises,0)),1))</f>
        <v/>
      </c>
      <c r="U1496" s="112">
        <f>IF($G1496="","",ROUND($G1496*$T1496,2))</f>
        <v/>
      </c>
      <c r="V1496" s="113">
        <f>IF($B1496="","",MONTH($B1496))</f>
        <v/>
      </c>
      <c r="W1496" s="113">
        <f>IF($B1496="","",YEAR($B1496))</f>
        <v/>
      </c>
    </row>
    <row r="1497">
      <c r="B1497" s="105" t="n"/>
      <c r="C1497" s="54" t="n"/>
      <c r="D1497" s="54" t="n"/>
      <c r="E1497" s="54" t="n"/>
      <c r="F1497" s="54" t="n"/>
      <c r="G1497" s="65" t="n"/>
      <c r="H1497" s="54" t="n"/>
      <c r="I1497" s="106">
        <f>IF($C1497="","",IFERROR(INDEX(Sens_Types,MATCH($C1497,Liste_Types,0)),""))</f>
        <v/>
      </c>
      <c r="J1497" s="107">
        <f>IF($I1497="▲ ENTRÉE",$U1497,"")</f>
        <v/>
      </c>
      <c r="K1497" s="108">
        <f>IF($I1497="▼ SORTIE",$U1497,"")</f>
        <v/>
      </c>
      <c r="L1497" s="109">
        <f>$L1496+N($J1497)-N($K1497)</f>
        <v/>
      </c>
      <c r="M1497" s="110" t="n"/>
      <c r="N1497" s="54" t="n"/>
      <c r="O1497" s="54" t="n"/>
      <c r="P1497" s="54" t="n"/>
      <c r="Q1497" s="110" t="n"/>
      <c r="R1497" s="110" t="n"/>
      <c r="S1497" s="54" t="n"/>
      <c r="T1497" s="111">
        <f>IF($G1497="","",IFERROR(INDEX(Taux_Devises,MATCH(IF($M1497="",Devise_Base,$M1497),Codes_Devises,0)),1))</f>
        <v/>
      </c>
      <c r="U1497" s="112">
        <f>IF($G1497="","",ROUND($G1497*$T1497,2))</f>
        <v/>
      </c>
      <c r="V1497" s="113">
        <f>IF($B1497="","",MONTH($B1497))</f>
        <v/>
      </c>
      <c r="W1497" s="113">
        <f>IF($B1497="","",YEAR($B1497))</f>
        <v/>
      </c>
    </row>
    <row r="1498">
      <c r="B1498" s="105" t="n"/>
      <c r="C1498" s="54" t="n"/>
      <c r="D1498" s="54" t="n"/>
      <c r="E1498" s="54" t="n"/>
      <c r="F1498" s="54" t="n"/>
      <c r="G1498" s="65" t="n"/>
      <c r="H1498" s="54" t="n"/>
      <c r="I1498" s="106">
        <f>IF($C1498="","",IFERROR(INDEX(Sens_Types,MATCH($C1498,Liste_Types,0)),""))</f>
        <v/>
      </c>
      <c r="J1498" s="107">
        <f>IF($I1498="▲ ENTRÉE",$U1498,"")</f>
        <v/>
      </c>
      <c r="K1498" s="108">
        <f>IF($I1498="▼ SORTIE",$U1498,"")</f>
        <v/>
      </c>
      <c r="L1498" s="109">
        <f>$L1497+N($J1498)-N($K1498)</f>
        <v/>
      </c>
      <c r="M1498" s="110" t="n"/>
      <c r="N1498" s="54" t="n"/>
      <c r="O1498" s="54" t="n"/>
      <c r="P1498" s="54" t="n"/>
      <c r="Q1498" s="110" t="n"/>
      <c r="R1498" s="110" t="n"/>
      <c r="S1498" s="54" t="n"/>
      <c r="T1498" s="111">
        <f>IF($G1498="","",IFERROR(INDEX(Taux_Devises,MATCH(IF($M1498="",Devise_Base,$M1498),Codes_Devises,0)),1))</f>
        <v/>
      </c>
      <c r="U1498" s="112">
        <f>IF($G1498="","",ROUND($G1498*$T1498,2))</f>
        <v/>
      </c>
      <c r="V1498" s="113">
        <f>IF($B1498="","",MONTH($B1498))</f>
        <v/>
      </c>
      <c r="W1498" s="113">
        <f>IF($B1498="","",YEAR($B1498))</f>
        <v/>
      </c>
    </row>
    <row r="1499">
      <c r="B1499" s="105" t="n"/>
      <c r="C1499" s="54" t="n"/>
      <c r="D1499" s="54" t="n"/>
      <c r="E1499" s="54" t="n"/>
      <c r="F1499" s="54" t="n"/>
      <c r="G1499" s="65" t="n"/>
      <c r="H1499" s="54" t="n"/>
      <c r="I1499" s="106">
        <f>IF($C1499="","",IFERROR(INDEX(Sens_Types,MATCH($C1499,Liste_Types,0)),""))</f>
        <v/>
      </c>
      <c r="J1499" s="107">
        <f>IF($I1499="▲ ENTRÉE",$U1499,"")</f>
        <v/>
      </c>
      <c r="K1499" s="108">
        <f>IF($I1499="▼ SORTIE",$U1499,"")</f>
        <v/>
      </c>
      <c r="L1499" s="109">
        <f>$L1498+N($J1499)-N($K1499)</f>
        <v/>
      </c>
      <c r="M1499" s="110" t="n"/>
      <c r="N1499" s="54" t="n"/>
      <c r="O1499" s="54" t="n"/>
      <c r="P1499" s="54" t="n"/>
      <c r="Q1499" s="110" t="n"/>
      <c r="R1499" s="110" t="n"/>
      <c r="S1499" s="54" t="n"/>
      <c r="T1499" s="111">
        <f>IF($G1499="","",IFERROR(INDEX(Taux_Devises,MATCH(IF($M1499="",Devise_Base,$M1499),Codes_Devises,0)),1))</f>
        <v/>
      </c>
      <c r="U1499" s="112">
        <f>IF($G1499="","",ROUND($G1499*$T1499,2))</f>
        <v/>
      </c>
      <c r="V1499" s="113">
        <f>IF($B1499="","",MONTH($B1499))</f>
        <v/>
      </c>
      <c r="W1499" s="113">
        <f>IF($B1499="","",YEAR($B1499))</f>
        <v/>
      </c>
    </row>
    <row r="1500">
      <c r="B1500" s="105" t="n"/>
      <c r="C1500" s="54" t="n"/>
      <c r="D1500" s="54" t="n"/>
      <c r="E1500" s="54" t="n"/>
      <c r="F1500" s="54" t="n"/>
      <c r="G1500" s="65" t="n"/>
      <c r="H1500" s="54" t="n"/>
      <c r="I1500" s="106">
        <f>IF($C1500="","",IFERROR(INDEX(Sens_Types,MATCH($C1500,Liste_Types,0)),""))</f>
        <v/>
      </c>
      <c r="J1500" s="107">
        <f>IF($I1500="▲ ENTRÉE",$U1500,"")</f>
        <v/>
      </c>
      <c r="K1500" s="108">
        <f>IF($I1500="▼ SORTIE",$U1500,"")</f>
        <v/>
      </c>
      <c r="L1500" s="109">
        <f>$L1499+N($J1500)-N($K1500)</f>
        <v/>
      </c>
      <c r="M1500" s="110" t="n"/>
      <c r="N1500" s="54" t="n"/>
      <c r="O1500" s="54" t="n"/>
      <c r="P1500" s="54" t="n"/>
      <c r="Q1500" s="110" t="n"/>
      <c r="R1500" s="110" t="n"/>
      <c r="S1500" s="54" t="n"/>
      <c r="T1500" s="111">
        <f>IF($G1500="","",IFERROR(INDEX(Taux_Devises,MATCH(IF($M1500="",Devise_Base,$M1500),Codes_Devises,0)),1))</f>
        <v/>
      </c>
      <c r="U1500" s="112">
        <f>IF($G1500="","",ROUND($G1500*$T1500,2))</f>
        <v/>
      </c>
      <c r="V1500" s="113">
        <f>IF($B1500="","",MONTH($B1500))</f>
        <v/>
      </c>
      <c r="W1500" s="113">
        <f>IF($B1500="","",YEAR($B1500))</f>
        <v/>
      </c>
    </row>
    <row r="1501">
      <c r="B1501" s="105" t="n"/>
      <c r="C1501" s="54" t="n"/>
      <c r="D1501" s="54" t="n"/>
      <c r="E1501" s="54" t="n"/>
      <c r="F1501" s="54" t="n"/>
      <c r="G1501" s="65" t="n"/>
      <c r="H1501" s="54" t="n"/>
      <c r="I1501" s="106">
        <f>IF($C1501="","",IFERROR(INDEX(Sens_Types,MATCH($C1501,Liste_Types,0)),""))</f>
        <v/>
      </c>
      <c r="J1501" s="107">
        <f>IF($I1501="▲ ENTRÉE",$U1501,"")</f>
        <v/>
      </c>
      <c r="K1501" s="108">
        <f>IF($I1501="▼ SORTIE",$U1501,"")</f>
        <v/>
      </c>
      <c r="L1501" s="109">
        <f>$L1500+N($J1501)-N($K1501)</f>
        <v/>
      </c>
      <c r="M1501" s="110" t="n"/>
      <c r="N1501" s="54" t="n"/>
      <c r="O1501" s="54" t="n"/>
      <c r="P1501" s="54" t="n"/>
      <c r="Q1501" s="110" t="n"/>
      <c r="R1501" s="110" t="n"/>
      <c r="S1501" s="54" t="n"/>
      <c r="T1501" s="111">
        <f>IF($G1501="","",IFERROR(INDEX(Taux_Devises,MATCH(IF($M1501="",Devise_Base,$M1501),Codes_Devises,0)),1))</f>
        <v/>
      </c>
      <c r="U1501" s="112">
        <f>IF($G1501="","",ROUND($G1501*$T1501,2))</f>
        <v/>
      </c>
      <c r="V1501" s="113">
        <f>IF($B1501="","",MONTH($B1501))</f>
        <v/>
      </c>
      <c r="W1501" s="113">
        <f>IF($B1501="","",YEAR($B1501))</f>
        <v/>
      </c>
    </row>
    <row r="1502">
      <c r="B1502" s="105" t="n"/>
      <c r="C1502" s="54" t="n"/>
      <c r="D1502" s="54" t="n"/>
      <c r="E1502" s="54" t="n"/>
      <c r="F1502" s="54" t="n"/>
      <c r="G1502" s="65" t="n"/>
      <c r="H1502" s="54" t="n"/>
      <c r="I1502" s="106">
        <f>IF($C1502="","",IFERROR(INDEX(Sens_Types,MATCH($C1502,Liste_Types,0)),""))</f>
        <v/>
      </c>
      <c r="J1502" s="107">
        <f>IF($I1502="▲ ENTRÉE",$U1502,"")</f>
        <v/>
      </c>
      <c r="K1502" s="108">
        <f>IF($I1502="▼ SORTIE",$U1502,"")</f>
        <v/>
      </c>
      <c r="L1502" s="109">
        <f>$L1501+N($J1502)-N($K1502)</f>
        <v/>
      </c>
      <c r="M1502" s="110" t="n"/>
      <c r="N1502" s="54" t="n"/>
      <c r="O1502" s="54" t="n"/>
      <c r="P1502" s="54" t="n"/>
      <c r="Q1502" s="110" t="n"/>
      <c r="R1502" s="110" t="n"/>
      <c r="S1502" s="54" t="n"/>
      <c r="T1502" s="111">
        <f>IF($G1502="","",IFERROR(INDEX(Taux_Devises,MATCH(IF($M1502="",Devise_Base,$M1502),Codes_Devises,0)),1))</f>
        <v/>
      </c>
      <c r="U1502" s="112">
        <f>IF($G1502="","",ROUND($G1502*$T1502,2))</f>
        <v/>
      </c>
      <c r="V1502" s="113">
        <f>IF($B1502="","",MONTH($B1502))</f>
        <v/>
      </c>
      <c r="W1502" s="113">
        <f>IF($B1502="","",YEAR($B1502))</f>
        <v/>
      </c>
    </row>
    <row r="1503">
      <c r="B1503" s="105" t="n"/>
      <c r="C1503" s="54" t="n"/>
      <c r="D1503" s="54" t="n"/>
      <c r="E1503" s="54" t="n"/>
      <c r="F1503" s="54" t="n"/>
      <c r="G1503" s="65" t="n"/>
      <c r="H1503" s="54" t="n"/>
      <c r="I1503" s="106">
        <f>IF($C1503="","",IFERROR(INDEX(Sens_Types,MATCH($C1503,Liste_Types,0)),""))</f>
        <v/>
      </c>
      <c r="J1503" s="107">
        <f>IF($I1503="▲ ENTRÉE",$U1503,"")</f>
        <v/>
      </c>
      <c r="K1503" s="108">
        <f>IF($I1503="▼ SORTIE",$U1503,"")</f>
        <v/>
      </c>
      <c r="L1503" s="109">
        <f>$L1502+N($J1503)-N($K1503)</f>
        <v/>
      </c>
      <c r="M1503" s="110" t="n"/>
      <c r="N1503" s="54" t="n"/>
      <c r="O1503" s="54" t="n"/>
      <c r="P1503" s="54" t="n"/>
      <c r="Q1503" s="110" t="n"/>
      <c r="R1503" s="110" t="n"/>
      <c r="S1503" s="54" t="n"/>
      <c r="T1503" s="111">
        <f>IF($G1503="","",IFERROR(INDEX(Taux_Devises,MATCH(IF($M1503="",Devise_Base,$M1503),Codes_Devises,0)),1))</f>
        <v/>
      </c>
      <c r="U1503" s="112">
        <f>IF($G1503="","",ROUND($G1503*$T1503,2))</f>
        <v/>
      </c>
      <c r="V1503" s="113">
        <f>IF($B1503="","",MONTH($B1503))</f>
        <v/>
      </c>
      <c r="W1503" s="113">
        <f>IF($B1503="","",YEAR($B1503))</f>
        <v/>
      </c>
    </row>
    <row r="1504">
      <c r="B1504" s="105" t="n"/>
      <c r="C1504" s="54" t="n"/>
      <c r="D1504" s="54" t="n"/>
      <c r="E1504" s="54" t="n"/>
      <c r="F1504" s="54" t="n"/>
      <c r="G1504" s="65" t="n"/>
      <c r="H1504" s="54" t="n"/>
      <c r="I1504" s="106">
        <f>IF($C1504="","",IFERROR(INDEX(Sens_Types,MATCH($C1504,Liste_Types,0)),""))</f>
        <v/>
      </c>
      <c r="J1504" s="107">
        <f>IF($I1504="▲ ENTRÉE",$U1504,"")</f>
        <v/>
      </c>
      <c r="K1504" s="108">
        <f>IF($I1504="▼ SORTIE",$U1504,"")</f>
        <v/>
      </c>
      <c r="L1504" s="109">
        <f>$L1503+N($J1504)-N($K1504)</f>
        <v/>
      </c>
      <c r="M1504" s="110" t="n"/>
      <c r="N1504" s="54" t="n"/>
      <c r="O1504" s="54" t="n"/>
      <c r="P1504" s="54" t="n"/>
      <c r="Q1504" s="110" t="n"/>
      <c r="R1504" s="110" t="n"/>
      <c r="S1504" s="54" t="n"/>
      <c r="T1504" s="111">
        <f>IF($G1504="","",IFERROR(INDEX(Taux_Devises,MATCH(IF($M1504="",Devise_Base,$M1504),Codes_Devises,0)),1))</f>
        <v/>
      </c>
      <c r="U1504" s="112">
        <f>IF($G1504="","",ROUND($G1504*$T1504,2))</f>
        <v/>
      </c>
      <c r="V1504" s="113">
        <f>IF($B1504="","",MONTH($B1504))</f>
        <v/>
      </c>
      <c r="W1504" s="113">
        <f>IF($B1504="","",YEAR($B1504))</f>
        <v/>
      </c>
    </row>
    <row r="1505">
      <c r="B1505" s="105" t="n"/>
      <c r="C1505" s="54" t="n"/>
      <c r="D1505" s="54" t="n"/>
      <c r="E1505" s="54" t="n"/>
      <c r="F1505" s="54" t="n"/>
      <c r="G1505" s="65" t="n"/>
      <c r="H1505" s="54" t="n"/>
      <c r="I1505" s="106">
        <f>IF($C1505="","",IFERROR(INDEX(Sens_Types,MATCH($C1505,Liste_Types,0)),""))</f>
        <v/>
      </c>
      <c r="J1505" s="107">
        <f>IF($I1505="▲ ENTRÉE",$U1505,"")</f>
        <v/>
      </c>
      <c r="K1505" s="108">
        <f>IF($I1505="▼ SORTIE",$U1505,"")</f>
        <v/>
      </c>
      <c r="L1505" s="109">
        <f>$L1504+N($J1505)-N($K1505)</f>
        <v/>
      </c>
      <c r="M1505" s="110" t="n"/>
      <c r="N1505" s="54" t="n"/>
      <c r="O1505" s="54" t="n"/>
      <c r="P1505" s="54" t="n"/>
      <c r="Q1505" s="110" t="n"/>
      <c r="R1505" s="110" t="n"/>
      <c r="S1505" s="54" t="n"/>
      <c r="T1505" s="111">
        <f>IF($G1505="","",IFERROR(INDEX(Taux_Devises,MATCH(IF($M1505="",Devise_Base,$M1505),Codes_Devises,0)),1))</f>
        <v/>
      </c>
      <c r="U1505" s="112">
        <f>IF($G1505="","",ROUND($G1505*$T1505,2))</f>
        <v/>
      </c>
      <c r="V1505" s="113">
        <f>IF($B1505="","",MONTH($B1505))</f>
        <v/>
      </c>
      <c r="W1505" s="113">
        <f>IF($B1505="","",YEAR($B1505))</f>
        <v/>
      </c>
    </row>
    <row r="1506">
      <c r="B1506" s="105" t="n"/>
      <c r="C1506" s="54" t="n"/>
      <c r="D1506" s="54" t="n"/>
      <c r="E1506" s="54" t="n"/>
      <c r="F1506" s="54" t="n"/>
      <c r="G1506" s="65" t="n"/>
      <c r="H1506" s="54" t="n"/>
      <c r="I1506" s="106">
        <f>IF($C1506="","",IFERROR(INDEX(Sens_Types,MATCH($C1506,Liste_Types,0)),""))</f>
        <v/>
      </c>
      <c r="J1506" s="107">
        <f>IF($I1506="▲ ENTRÉE",$U1506,"")</f>
        <v/>
      </c>
      <c r="K1506" s="108">
        <f>IF($I1506="▼ SORTIE",$U1506,"")</f>
        <v/>
      </c>
      <c r="L1506" s="109">
        <f>$L1505+N($J1506)-N($K1506)</f>
        <v/>
      </c>
      <c r="M1506" s="110" t="n"/>
      <c r="N1506" s="54" t="n"/>
      <c r="O1506" s="54" t="n"/>
      <c r="P1506" s="54" t="n"/>
      <c r="Q1506" s="110" t="n"/>
      <c r="R1506" s="110" t="n"/>
      <c r="S1506" s="54" t="n"/>
      <c r="T1506" s="111">
        <f>IF($G1506="","",IFERROR(INDEX(Taux_Devises,MATCH(IF($M1506="",Devise_Base,$M1506),Codes_Devises,0)),1))</f>
        <v/>
      </c>
      <c r="U1506" s="112">
        <f>IF($G1506="","",ROUND($G1506*$T1506,2))</f>
        <v/>
      </c>
      <c r="V1506" s="113">
        <f>IF($B1506="","",MONTH($B1506))</f>
        <v/>
      </c>
      <c r="W1506" s="113">
        <f>IF($B1506="","",YEAR($B1506))</f>
        <v/>
      </c>
    </row>
    <row r="1507">
      <c r="B1507" s="105" t="n"/>
      <c r="C1507" s="54" t="n"/>
      <c r="D1507" s="54" t="n"/>
      <c r="E1507" s="54" t="n"/>
      <c r="F1507" s="54" t="n"/>
      <c r="G1507" s="65" t="n"/>
      <c r="H1507" s="54" t="n"/>
      <c r="I1507" s="106">
        <f>IF($C1507="","",IFERROR(INDEX(Sens_Types,MATCH($C1507,Liste_Types,0)),""))</f>
        <v/>
      </c>
      <c r="J1507" s="107">
        <f>IF($I1507="▲ ENTRÉE",$U1507,"")</f>
        <v/>
      </c>
      <c r="K1507" s="108">
        <f>IF($I1507="▼ SORTIE",$U1507,"")</f>
        <v/>
      </c>
      <c r="L1507" s="109">
        <f>$L1506+N($J1507)-N($K1507)</f>
        <v/>
      </c>
      <c r="M1507" s="110" t="n"/>
      <c r="N1507" s="54" t="n"/>
      <c r="O1507" s="54" t="n"/>
      <c r="P1507" s="54" t="n"/>
      <c r="Q1507" s="110" t="n"/>
      <c r="R1507" s="110" t="n"/>
      <c r="S1507" s="54" t="n"/>
      <c r="T1507" s="111">
        <f>IF($G1507="","",IFERROR(INDEX(Taux_Devises,MATCH(IF($M1507="",Devise_Base,$M1507),Codes_Devises,0)),1))</f>
        <v/>
      </c>
      <c r="U1507" s="112">
        <f>IF($G1507="","",ROUND($G1507*$T1507,2))</f>
        <v/>
      </c>
      <c r="V1507" s="113">
        <f>IF($B1507="","",MONTH($B1507))</f>
        <v/>
      </c>
      <c r="W1507" s="113">
        <f>IF($B1507="","",YEAR($B1507))</f>
        <v/>
      </c>
    </row>
    <row r="1508">
      <c r="B1508" s="105" t="n"/>
      <c r="C1508" s="54" t="n"/>
      <c r="D1508" s="54" t="n"/>
      <c r="E1508" s="54" t="n"/>
      <c r="F1508" s="54" t="n"/>
      <c r="G1508" s="65" t="n"/>
      <c r="H1508" s="54" t="n"/>
      <c r="I1508" s="106">
        <f>IF($C1508="","",IFERROR(INDEX(Sens_Types,MATCH($C1508,Liste_Types,0)),""))</f>
        <v/>
      </c>
      <c r="J1508" s="107">
        <f>IF($I1508="▲ ENTRÉE",$U1508,"")</f>
        <v/>
      </c>
      <c r="K1508" s="108">
        <f>IF($I1508="▼ SORTIE",$U1508,"")</f>
        <v/>
      </c>
      <c r="L1508" s="109">
        <f>$L1507+N($J1508)-N($K1508)</f>
        <v/>
      </c>
      <c r="M1508" s="110" t="n"/>
      <c r="N1508" s="54" t="n"/>
      <c r="O1508" s="54" t="n"/>
      <c r="P1508" s="54" t="n"/>
      <c r="Q1508" s="110" t="n"/>
      <c r="R1508" s="110" t="n"/>
      <c r="S1508" s="54" t="n"/>
      <c r="T1508" s="111">
        <f>IF($G1508="","",IFERROR(INDEX(Taux_Devises,MATCH(IF($M1508="",Devise_Base,$M1508),Codes_Devises,0)),1))</f>
        <v/>
      </c>
      <c r="U1508" s="112">
        <f>IF($G1508="","",ROUND($G1508*$T1508,2))</f>
        <v/>
      </c>
      <c r="V1508" s="113">
        <f>IF($B1508="","",MONTH($B1508))</f>
        <v/>
      </c>
      <c r="W1508" s="113">
        <f>IF($B1508="","",YEAR($B1508))</f>
        <v/>
      </c>
    </row>
    <row r="1509">
      <c r="B1509" s="105" t="n"/>
      <c r="C1509" s="54" t="n"/>
      <c r="D1509" s="54" t="n"/>
      <c r="E1509" s="54" t="n"/>
      <c r="F1509" s="54" t="n"/>
      <c r="G1509" s="65" t="n"/>
      <c r="H1509" s="54" t="n"/>
      <c r="I1509" s="106">
        <f>IF($C1509="","",IFERROR(INDEX(Sens_Types,MATCH($C1509,Liste_Types,0)),""))</f>
        <v/>
      </c>
      <c r="J1509" s="107">
        <f>IF($I1509="▲ ENTRÉE",$U1509,"")</f>
        <v/>
      </c>
      <c r="K1509" s="108">
        <f>IF($I1509="▼ SORTIE",$U1509,"")</f>
        <v/>
      </c>
      <c r="L1509" s="109">
        <f>$L1508+N($J1509)-N($K1509)</f>
        <v/>
      </c>
      <c r="M1509" s="110" t="n"/>
      <c r="N1509" s="54" t="n"/>
      <c r="O1509" s="54" t="n"/>
      <c r="P1509" s="54" t="n"/>
      <c r="Q1509" s="110" t="n"/>
      <c r="R1509" s="110" t="n"/>
      <c r="S1509" s="54" t="n"/>
      <c r="T1509" s="111">
        <f>IF($G1509="","",IFERROR(INDEX(Taux_Devises,MATCH(IF($M1509="",Devise_Base,$M1509),Codes_Devises,0)),1))</f>
        <v/>
      </c>
      <c r="U1509" s="112">
        <f>IF($G1509="","",ROUND($G1509*$T1509,2))</f>
        <v/>
      </c>
      <c r="V1509" s="113">
        <f>IF($B1509="","",MONTH($B1509))</f>
        <v/>
      </c>
      <c r="W1509" s="113">
        <f>IF($B1509="","",YEAR($B1509))</f>
        <v/>
      </c>
    </row>
    <row r="1510">
      <c r="B1510" s="105" t="n"/>
      <c r="C1510" s="54" t="n"/>
      <c r="D1510" s="54" t="n"/>
      <c r="E1510" s="54" t="n"/>
      <c r="F1510" s="54" t="n"/>
      <c r="G1510" s="65" t="n"/>
      <c r="H1510" s="54" t="n"/>
      <c r="I1510" s="106">
        <f>IF($C1510="","",IFERROR(INDEX(Sens_Types,MATCH($C1510,Liste_Types,0)),""))</f>
        <v/>
      </c>
      <c r="J1510" s="107">
        <f>IF($I1510="▲ ENTRÉE",$U1510,"")</f>
        <v/>
      </c>
      <c r="K1510" s="108">
        <f>IF($I1510="▼ SORTIE",$U1510,"")</f>
        <v/>
      </c>
      <c r="L1510" s="109">
        <f>$L1509+N($J1510)-N($K1510)</f>
        <v/>
      </c>
      <c r="M1510" s="110" t="n"/>
      <c r="N1510" s="54" t="n"/>
      <c r="O1510" s="54" t="n"/>
      <c r="P1510" s="54" t="n"/>
      <c r="Q1510" s="110" t="n"/>
      <c r="R1510" s="110" t="n"/>
      <c r="S1510" s="54" t="n"/>
      <c r="T1510" s="111">
        <f>IF($G1510="","",IFERROR(INDEX(Taux_Devises,MATCH(IF($M1510="",Devise_Base,$M1510),Codes_Devises,0)),1))</f>
        <v/>
      </c>
      <c r="U1510" s="112">
        <f>IF($G1510="","",ROUND($G1510*$T1510,2))</f>
        <v/>
      </c>
      <c r="V1510" s="113">
        <f>IF($B1510="","",MONTH($B1510))</f>
        <v/>
      </c>
      <c r="W1510" s="113">
        <f>IF($B1510="","",YEAR($B1510))</f>
        <v/>
      </c>
    </row>
    <row r="1511">
      <c r="B1511" s="105" t="n"/>
      <c r="C1511" s="54" t="n"/>
      <c r="D1511" s="54" t="n"/>
      <c r="E1511" s="54" t="n"/>
      <c r="F1511" s="54" t="n"/>
      <c r="G1511" s="65" t="n"/>
      <c r="H1511" s="54" t="n"/>
      <c r="I1511" s="106">
        <f>IF($C1511="","",IFERROR(INDEX(Sens_Types,MATCH($C1511,Liste_Types,0)),""))</f>
        <v/>
      </c>
      <c r="J1511" s="107">
        <f>IF($I1511="▲ ENTRÉE",$U1511,"")</f>
        <v/>
      </c>
      <c r="K1511" s="108">
        <f>IF($I1511="▼ SORTIE",$U1511,"")</f>
        <v/>
      </c>
      <c r="L1511" s="109">
        <f>$L1510+N($J1511)-N($K1511)</f>
        <v/>
      </c>
      <c r="M1511" s="110" t="n"/>
      <c r="N1511" s="54" t="n"/>
      <c r="O1511" s="54" t="n"/>
      <c r="P1511" s="54" t="n"/>
      <c r="Q1511" s="110" t="n"/>
      <c r="R1511" s="110" t="n"/>
      <c r="S1511" s="54" t="n"/>
      <c r="T1511" s="111">
        <f>IF($G1511="","",IFERROR(INDEX(Taux_Devises,MATCH(IF($M1511="",Devise_Base,$M1511),Codes_Devises,0)),1))</f>
        <v/>
      </c>
      <c r="U1511" s="112">
        <f>IF($G1511="","",ROUND($G1511*$T1511,2))</f>
        <v/>
      </c>
      <c r="V1511" s="113">
        <f>IF($B1511="","",MONTH($B1511))</f>
        <v/>
      </c>
      <c r="W1511" s="113">
        <f>IF($B1511="","",YEAR($B1511))</f>
        <v/>
      </c>
    </row>
    <row r="1512">
      <c r="B1512" s="105" t="n"/>
      <c r="C1512" s="54" t="n"/>
      <c r="D1512" s="54" t="n"/>
      <c r="E1512" s="54" t="n"/>
      <c r="F1512" s="54" t="n"/>
      <c r="G1512" s="65" t="n"/>
      <c r="H1512" s="54" t="n"/>
      <c r="I1512" s="106">
        <f>IF($C1512="","",IFERROR(INDEX(Sens_Types,MATCH($C1512,Liste_Types,0)),""))</f>
        <v/>
      </c>
      <c r="J1512" s="107">
        <f>IF($I1512="▲ ENTRÉE",$U1512,"")</f>
        <v/>
      </c>
      <c r="K1512" s="108">
        <f>IF($I1512="▼ SORTIE",$U1512,"")</f>
        <v/>
      </c>
      <c r="L1512" s="109">
        <f>$L1511+N($J1512)-N($K1512)</f>
        <v/>
      </c>
      <c r="M1512" s="110" t="n"/>
      <c r="N1512" s="54" t="n"/>
      <c r="O1512" s="54" t="n"/>
      <c r="P1512" s="54" t="n"/>
      <c r="Q1512" s="110" t="n"/>
      <c r="R1512" s="110" t="n"/>
      <c r="S1512" s="54" t="n"/>
      <c r="T1512" s="111">
        <f>IF($G1512="","",IFERROR(INDEX(Taux_Devises,MATCH(IF($M1512="",Devise_Base,$M1512),Codes_Devises,0)),1))</f>
        <v/>
      </c>
      <c r="U1512" s="112">
        <f>IF($G1512="","",ROUND($G1512*$T1512,2))</f>
        <v/>
      </c>
      <c r="V1512" s="113">
        <f>IF($B1512="","",MONTH($B1512))</f>
        <v/>
      </c>
      <c r="W1512" s="113">
        <f>IF($B1512="","",YEAR($B1512))</f>
        <v/>
      </c>
    </row>
    <row r="1513">
      <c r="B1513" s="105" t="n"/>
      <c r="C1513" s="54" t="n"/>
      <c r="D1513" s="54" t="n"/>
      <c r="E1513" s="54" t="n"/>
      <c r="F1513" s="54" t="n"/>
      <c r="G1513" s="65" t="n"/>
      <c r="H1513" s="54" t="n"/>
      <c r="I1513" s="106">
        <f>IF($C1513="","",IFERROR(INDEX(Sens_Types,MATCH($C1513,Liste_Types,0)),""))</f>
        <v/>
      </c>
      <c r="J1513" s="107">
        <f>IF($I1513="▲ ENTRÉE",$U1513,"")</f>
        <v/>
      </c>
      <c r="K1513" s="108">
        <f>IF($I1513="▼ SORTIE",$U1513,"")</f>
        <v/>
      </c>
      <c r="L1513" s="109">
        <f>$L1512+N($J1513)-N($K1513)</f>
        <v/>
      </c>
      <c r="M1513" s="110" t="n"/>
      <c r="N1513" s="54" t="n"/>
      <c r="O1513" s="54" t="n"/>
      <c r="P1513" s="54" t="n"/>
      <c r="Q1513" s="110" t="n"/>
      <c r="R1513" s="110" t="n"/>
      <c r="S1513" s="54" t="n"/>
      <c r="T1513" s="111">
        <f>IF($G1513="","",IFERROR(INDEX(Taux_Devises,MATCH(IF($M1513="",Devise_Base,$M1513),Codes_Devises,0)),1))</f>
        <v/>
      </c>
      <c r="U1513" s="112">
        <f>IF($G1513="","",ROUND($G1513*$T1513,2))</f>
        <v/>
      </c>
      <c r="V1513" s="113">
        <f>IF($B1513="","",MONTH($B1513))</f>
        <v/>
      </c>
      <c r="W1513" s="113">
        <f>IF($B1513="","",YEAR($B1513))</f>
        <v/>
      </c>
    </row>
    <row r="1514">
      <c r="B1514" s="105" t="n"/>
      <c r="C1514" s="54" t="n"/>
      <c r="D1514" s="54" t="n"/>
      <c r="E1514" s="54" t="n"/>
      <c r="F1514" s="54" t="n"/>
      <c r="G1514" s="65" t="n"/>
      <c r="H1514" s="54" t="n"/>
      <c r="I1514" s="106">
        <f>IF($C1514="","",IFERROR(INDEX(Sens_Types,MATCH($C1514,Liste_Types,0)),""))</f>
        <v/>
      </c>
      <c r="J1514" s="107">
        <f>IF($I1514="▲ ENTRÉE",$U1514,"")</f>
        <v/>
      </c>
      <c r="K1514" s="108">
        <f>IF($I1514="▼ SORTIE",$U1514,"")</f>
        <v/>
      </c>
      <c r="L1514" s="109">
        <f>$L1513+N($J1514)-N($K1514)</f>
        <v/>
      </c>
      <c r="M1514" s="110" t="n"/>
      <c r="N1514" s="54" t="n"/>
      <c r="O1514" s="54" t="n"/>
      <c r="P1514" s="54" t="n"/>
      <c r="Q1514" s="110" t="n"/>
      <c r="R1514" s="110" t="n"/>
      <c r="S1514" s="54" t="n"/>
      <c r="T1514" s="111">
        <f>IF($G1514="","",IFERROR(INDEX(Taux_Devises,MATCH(IF($M1514="",Devise_Base,$M1514),Codes_Devises,0)),1))</f>
        <v/>
      </c>
      <c r="U1514" s="112">
        <f>IF($G1514="","",ROUND($G1514*$T1514,2))</f>
        <v/>
      </c>
      <c r="V1514" s="113">
        <f>IF($B1514="","",MONTH($B1514))</f>
        <v/>
      </c>
      <c r="W1514" s="113">
        <f>IF($B1514="","",YEAR($B1514))</f>
        <v/>
      </c>
    </row>
    <row r="1515">
      <c r="B1515" s="105" t="n"/>
      <c r="C1515" s="54" t="n"/>
      <c r="D1515" s="54" t="n"/>
      <c r="E1515" s="54" t="n"/>
      <c r="F1515" s="54" t="n"/>
      <c r="G1515" s="65" t="n"/>
      <c r="H1515" s="54" t="n"/>
      <c r="I1515" s="106">
        <f>IF($C1515="","",IFERROR(INDEX(Sens_Types,MATCH($C1515,Liste_Types,0)),""))</f>
        <v/>
      </c>
      <c r="J1515" s="107">
        <f>IF($I1515="▲ ENTRÉE",$U1515,"")</f>
        <v/>
      </c>
      <c r="K1515" s="108">
        <f>IF($I1515="▼ SORTIE",$U1515,"")</f>
        <v/>
      </c>
      <c r="L1515" s="109">
        <f>$L1514+N($J1515)-N($K1515)</f>
        <v/>
      </c>
      <c r="M1515" s="110" t="n"/>
      <c r="N1515" s="54" t="n"/>
      <c r="O1515" s="54" t="n"/>
      <c r="P1515" s="54" t="n"/>
      <c r="Q1515" s="110" t="n"/>
      <c r="R1515" s="110" t="n"/>
      <c r="S1515" s="54" t="n"/>
      <c r="T1515" s="111">
        <f>IF($G1515="","",IFERROR(INDEX(Taux_Devises,MATCH(IF($M1515="",Devise_Base,$M1515),Codes_Devises,0)),1))</f>
        <v/>
      </c>
      <c r="U1515" s="112">
        <f>IF($G1515="","",ROUND($G1515*$T1515,2))</f>
        <v/>
      </c>
      <c r="V1515" s="113">
        <f>IF($B1515="","",MONTH($B1515))</f>
        <v/>
      </c>
      <c r="W1515" s="113">
        <f>IF($B1515="","",YEAR($B1515))</f>
        <v/>
      </c>
    </row>
    <row r="1516">
      <c r="B1516" s="105" t="n"/>
      <c r="C1516" s="54" t="n"/>
      <c r="D1516" s="54" t="n"/>
      <c r="E1516" s="54" t="n"/>
      <c r="F1516" s="54" t="n"/>
      <c r="G1516" s="65" t="n"/>
      <c r="H1516" s="54" t="n"/>
      <c r="I1516" s="106">
        <f>IF($C1516="","",IFERROR(INDEX(Sens_Types,MATCH($C1516,Liste_Types,0)),""))</f>
        <v/>
      </c>
      <c r="J1516" s="107">
        <f>IF($I1516="▲ ENTRÉE",$U1516,"")</f>
        <v/>
      </c>
      <c r="K1516" s="108">
        <f>IF($I1516="▼ SORTIE",$U1516,"")</f>
        <v/>
      </c>
      <c r="L1516" s="109">
        <f>$L1515+N($J1516)-N($K1516)</f>
        <v/>
      </c>
      <c r="M1516" s="110" t="n"/>
      <c r="N1516" s="54" t="n"/>
      <c r="O1516" s="54" t="n"/>
      <c r="P1516" s="54" t="n"/>
      <c r="Q1516" s="110" t="n"/>
      <c r="R1516" s="110" t="n"/>
      <c r="S1516" s="54" t="n"/>
      <c r="T1516" s="111">
        <f>IF($G1516="","",IFERROR(INDEX(Taux_Devises,MATCH(IF($M1516="",Devise_Base,$M1516),Codes_Devises,0)),1))</f>
        <v/>
      </c>
      <c r="U1516" s="112">
        <f>IF($G1516="","",ROUND($G1516*$T1516,2))</f>
        <v/>
      </c>
      <c r="V1516" s="113">
        <f>IF($B1516="","",MONTH($B1516))</f>
        <v/>
      </c>
      <c r="W1516" s="113">
        <f>IF($B1516="","",YEAR($B1516))</f>
        <v/>
      </c>
    </row>
    <row r="1517">
      <c r="B1517" s="105" t="n"/>
      <c r="C1517" s="54" t="n"/>
      <c r="D1517" s="54" t="n"/>
      <c r="E1517" s="54" t="n"/>
      <c r="F1517" s="54" t="n"/>
      <c r="G1517" s="65" t="n"/>
      <c r="H1517" s="54" t="n"/>
      <c r="I1517" s="106">
        <f>IF($C1517="","",IFERROR(INDEX(Sens_Types,MATCH($C1517,Liste_Types,0)),""))</f>
        <v/>
      </c>
      <c r="J1517" s="107">
        <f>IF($I1517="▲ ENTRÉE",$U1517,"")</f>
        <v/>
      </c>
      <c r="K1517" s="108">
        <f>IF($I1517="▼ SORTIE",$U1517,"")</f>
        <v/>
      </c>
      <c r="L1517" s="109">
        <f>$L1516+N($J1517)-N($K1517)</f>
        <v/>
      </c>
      <c r="M1517" s="110" t="n"/>
      <c r="N1517" s="54" t="n"/>
      <c r="O1517" s="54" t="n"/>
      <c r="P1517" s="54" t="n"/>
      <c r="Q1517" s="110" t="n"/>
      <c r="R1517" s="110" t="n"/>
      <c r="S1517" s="54" t="n"/>
      <c r="T1517" s="111">
        <f>IF($G1517="","",IFERROR(INDEX(Taux_Devises,MATCH(IF($M1517="",Devise_Base,$M1517),Codes_Devises,0)),1))</f>
        <v/>
      </c>
      <c r="U1517" s="112">
        <f>IF($G1517="","",ROUND($G1517*$T1517,2))</f>
        <v/>
      </c>
      <c r="V1517" s="113">
        <f>IF($B1517="","",MONTH($B1517))</f>
        <v/>
      </c>
      <c r="W1517" s="113">
        <f>IF($B1517="","",YEAR($B1517))</f>
        <v/>
      </c>
    </row>
    <row r="1518">
      <c r="B1518" s="105" t="n"/>
      <c r="C1518" s="54" t="n"/>
      <c r="D1518" s="54" t="n"/>
      <c r="E1518" s="54" t="n"/>
      <c r="F1518" s="54" t="n"/>
      <c r="G1518" s="65" t="n"/>
      <c r="H1518" s="54" t="n"/>
      <c r="I1518" s="106">
        <f>IF($C1518="","",IFERROR(INDEX(Sens_Types,MATCH($C1518,Liste_Types,0)),""))</f>
        <v/>
      </c>
      <c r="J1518" s="107">
        <f>IF($I1518="▲ ENTRÉE",$U1518,"")</f>
        <v/>
      </c>
      <c r="K1518" s="108">
        <f>IF($I1518="▼ SORTIE",$U1518,"")</f>
        <v/>
      </c>
      <c r="L1518" s="109">
        <f>$L1517+N($J1518)-N($K1518)</f>
        <v/>
      </c>
      <c r="M1518" s="110" t="n"/>
      <c r="N1518" s="54" t="n"/>
      <c r="O1518" s="54" t="n"/>
      <c r="P1518" s="54" t="n"/>
      <c r="Q1518" s="110" t="n"/>
      <c r="R1518" s="110" t="n"/>
      <c r="S1518" s="54" t="n"/>
      <c r="T1518" s="111">
        <f>IF($G1518="","",IFERROR(INDEX(Taux_Devises,MATCH(IF($M1518="",Devise_Base,$M1518),Codes_Devises,0)),1))</f>
        <v/>
      </c>
      <c r="U1518" s="112">
        <f>IF($G1518="","",ROUND($G1518*$T1518,2))</f>
        <v/>
      </c>
      <c r="V1518" s="113">
        <f>IF($B1518="","",MONTH($B1518))</f>
        <v/>
      </c>
      <c r="W1518" s="113">
        <f>IF($B1518="","",YEAR($B1518))</f>
        <v/>
      </c>
    </row>
    <row r="1519">
      <c r="B1519" s="105" t="n"/>
      <c r="C1519" s="54" t="n"/>
      <c r="D1519" s="54" t="n"/>
      <c r="E1519" s="54" t="n"/>
      <c r="F1519" s="54" t="n"/>
      <c r="G1519" s="65" t="n"/>
      <c r="H1519" s="54" t="n"/>
      <c r="I1519" s="106">
        <f>IF($C1519="","",IFERROR(INDEX(Sens_Types,MATCH($C1519,Liste_Types,0)),""))</f>
        <v/>
      </c>
      <c r="J1519" s="107">
        <f>IF($I1519="▲ ENTRÉE",$U1519,"")</f>
        <v/>
      </c>
      <c r="K1519" s="108">
        <f>IF($I1519="▼ SORTIE",$U1519,"")</f>
        <v/>
      </c>
      <c r="L1519" s="109">
        <f>$L1518+N($J1519)-N($K1519)</f>
        <v/>
      </c>
      <c r="M1519" s="110" t="n"/>
      <c r="N1519" s="54" t="n"/>
      <c r="O1519" s="54" t="n"/>
      <c r="P1519" s="54" t="n"/>
      <c r="Q1519" s="110" t="n"/>
      <c r="R1519" s="110" t="n"/>
      <c r="S1519" s="54" t="n"/>
      <c r="T1519" s="111">
        <f>IF($G1519="","",IFERROR(INDEX(Taux_Devises,MATCH(IF($M1519="",Devise_Base,$M1519),Codes_Devises,0)),1))</f>
        <v/>
      </c>
      <c r="U1519" s="112">
        <f>IF($G1519="","",ROUND($G1519*$T1519,2))</f>
        <v/>
      </c>
      <c r="V1519" s="113">
        <f>IF($B1519="","",MONTH($B1519))</f>
        <v/>
      </c>
      <c r="W1519" s="113">
        <f>IF($B1519="","",YEAR($B1519))</f>
        <v/>
      </c>
    </row>
    <row r="1520">
      <c r="B1520" s="105" t="n"/>
      <c r="C1520" s="54" t="n"/>
      <c r="D1520" s="54" t="n"/>
      <c r="E1520" s="54" t="n"/>
      <c r="F1520" s="54" t="n"/>
      <c r="G1520" s="65" t="n"/>
      <c r="H1520" s="54" t="n"/>
      <c r="I1520" s="106">
        <f>IF($C1520="","",IFERROR(INDEX(Sens_Types,MATCH($C1520,Liste_Types,0)),""))</f>
        <v/>
      </c>
      <c r="J1520" s="107">
        <f>IF($I1520="▲ ENTRÉE",$U1520,"")</f>
        <v/>
      </c>
      <c r="K1520" s="108">
        <f>IF($I1520="▼ SORTIE",$U1520,"")</f>
        <v/>
      </c>
      <c r="L1520" s="109">
        <f>$L1519+N($J1520)-N($K1520)</f>
        <v/>
      </c>
      <c r="M1520" s="110" t="n"/>
      <c r="N1520" s="54" t="n"/>
      <c r="O1520" s="54" t="n"/>
      <c r="P1520" s="54" t="n"/>
      <c r="Q1520" s="110" t="n"/>
      <c r="R1520" s="110" t="n"/>
      <c r="S1520" s="54" t="n"/>
      <c r="T1520" s="111">
        <f>IF($G1520="","",IFERROR(INDEX(Taux_Devises,MATCH(IF($M1520="",Devise_Base,$M1520),Codes_Devises,0)),1))</f>
        <v/>
      </c>
      <c r="U1520" s="112">
        <f>IF($G1520="","",ROUND($G1520*$T1520,2))</f>
        <v/>
      </c>
      <c r="V1520" s="113">
        <f>IF($B1520="","",MONTH($B1520))</f>
        <v/>
      </c>
      <c r="W1520" s="113">
        <f>IF($B1520="","",YEAR($B1520))</f>
        <v/>
      </c>
    </row>
    <row r="1521">
      <c r="B1521" s="105" t="n"/>
      <c r="C1521" s="54" t="n"/>
      <c r="D1521" s="54" t="n"/>
      <c r="E1521" s="54" t="n"/>
      <c r="F1521" s="54" t="n"/>
      <c r="G1521" s="65" t="n"/>
      <c r="H1521" s="54" t="n"/>
      <c r="I1521" s="106">
        <f>IF($C1521="","",IFERROR(INDEX(Sens_Types,MATCH($C1521,Liste_Types,0)),""))</f>
        <v/>
      </c>
      <c r="J1521" s="107">
        <f>IF($I1521="▲ ENTRÉE",$U1521,"")</f>
        <v/>
      </c>
      <c r="K1521" s="108">
        <f>IF($I1521="▼ SORTIE",$U1521,"")</f>
        <v/>
      </c>
      <c r="L1521" s="109">
        <f>$L1520+N($J1521)-N($K1521)</f>
        <v/>
      </c>
      <c r="M1521" s="110" t="n"/>
      <c r="N1521" s="54" t="n"/>
      <c r="O1521" s="54" t="n"/>
      <c r="P1521" s="54" t="n"/>
      <c r="Q1521" s="110" t="n"/>
      <c r="R1521" s="110" t="n"/>
      <c r="S1521" s="54" t="n"/>
      <c r="T1521" s="111">
        <f>IF($G1521="","",IFERROR(INDEX(Taux_Devises,MATCH(IF($M1521="",Devise_Base,$M1521),Codes_Devises,0)),1))</f>
        <v/>
      </c>
      <c r="U1521" s="112">
        <f>IF($G1521="","",ROUND($G1521*$T1521,2))</f>
        <v/>
      </c>
      <c r="V1521" s="113">
        <f>IF($B1521="","",MONTH($B1521))</f>
        <v/>
      </c>
      <c r="W1521" s="113">
        <f>IF($B1521="","",YEAR($B1521))</f>
        <v/>
      </c>
    </row>
    <row r="1522">
      <c r="B1522" s="105" t="n"/>
      <c r="C1522" s="54" t="n"/>
      <c r="D1522" s="54" t="n"/>
      <c r="E1522" s="54" t="n"/>
      <c r="F1522" s="54" t="n"/>
      <c r="G1522" s="65" t="n"/>
      <c r="H1522" s="54" t="n"/>
      <c r="I1522" s="106">
        <f>IF($C1522="","",IFERROR(INDEX(Sens_Types,MATCH($C1522,Liste_Types,0)),""))</f>
        <v/>
      </c>
      <c r="J1522" s="107">
        <f>IF($I1522="▲ ENTRÉE",$U1522,"")</f>
        <v/>
      </c>
      <c r="K1522" s="108">
        <f>IF($I1522="▼ SORTIE",$U1522,"")</f>
        <v/>
      </c>
      <c r="L1522" s="109">
        <f>$L1521+N($J1522)-N($K1522)</f>
        <v/>
      </c>
      <c r="M1522" s="110" t="n"/>
      <c r="N1522" s="54" t="n"/>
      <c r="O1522" s="54" t="n"/>
      <c r="P1522" s="54" t="n"/>
      <c r="Q1522" s="110" t="n"/>
      <c r="R1522" s="110" t="n"/>
      <c r="S1522" s="54" t="n"/>
      <c r="T1522" s="111">
        <f>IF($G1522="","",IFERROR(INDEX(Taux_Devises,MATCH(IF($M1522="",Devise_Base,$M1522),Codes_Devises,0)),1))</f>
        <v/>
      </c>
      <c r="U1522" s="112">
        <f>IF($G1522="","",ROUND($G1522*$T1522,2))</f>
        <v/>
      </c>
      <c r="V1522" s="113">
        <f>IF($B1522="","",MONTH($B1522))</f>
        <v/>
      </c>
      <c r="W1522" s="113">
        <f>IF($B1522="","",YEAR($B1522))</f>
        <v/>
      </c>
    </row>
    <row r="1523">
      <c r="B1523" s="105" t="n"/>
      <c r="C1523" s="54" t="n"/>
      <c r="D1523" s="54" t="n"/>
      <c r="E1523" s="54" t="n"/>
      <c r="F1523" s="54" t="n"/>
      <c r="G1523" s="65" t="n"/>
      <c r="H1523" s="54" t="n"/>
      <c r="I1523" s="106">
        <f>IF($C1523="","",IFERROR(INDEX(Sens_Types,MATCH($C1523,Liste_Types,0)),""))</f>
        <v/>
      </c>
      <c r="J1523" s="107">
        <f>IF($I1523="▲ ENTRÉE",$U1523,"")</f>
        <v/>
      </c>
      <c r="K1523" s="108">
        <f>IF($I1523="▼ SORTIE",$U1523,"")</f>
        <v/>
      </c>
      <c r="L1523" s="109">
        <f>$L1522+N($J1523)-N($K1523)</f>
        <v/>
      </c>
      <c r="M1523" s="110" t="n"/>
      <c r="N1523" s="54" t="n"/>
      <c r="O1523" s="54" t="n"/>
      <c r="P1523" s="54" t="n"/>
      <c r="Q1523" s="110" t="n"/>
      <c r="R1523" s="110" t="n"/>
      <c r="S1523" s="54" t="n"/>
      <c r="T1523" s="111">
        <f>IF($G1523="","",IFERROR(INDEX(Taux_Devises,MATCH(IF($M1523="",Devise_Base,$M1523),Codes_Devises,0)),1))</f>
        <v/>
      </c>
      <c r="U1523" s="112">
        <f>IF($G1523="","",ROUND($G1523*$T1523,2))</f>
        <v/>
      </c>
      <c r="V1523" s="113">
        <f>IF($B1523="","",MONTH($B1523))</f>
        <v/>
      </c>
      <c r="W1523" s="113">
        <f>IF($B1523="","",YEAR($B1523))</f>
        <v/>
      </c>
    </row>
    <row r="1524">
      <c r="B1524" s="105" t="n"/>
      <c r="C1524" s="54" t="n"/>
      <c r="D1524" s="54" t="n"/>
      <c r="E1524" s="54" t="n"/>
      <c r="F1524" s="54" t="n"/>
      <c r="G1524" s="65" t="n"/>
      <c r="H1524" s="54" t="n"/>
      <c r="I1524" s="106">
        <f>IF($C1524="","",IFERROR(INDEX(Sens_Types,MATCH($C1524,Liste_Types,0)),""))</f>
        <v/>
      </c>
      <c r="J1524" s="107">
        <f>IF($I1524="▲ ENTRÉE",$U1524,"")</f>
        <v/>
      </c>
      <c r="K1524" s="108">
        <f>IF($I1524="▼ SORTIE",$U1524,"")</f>
        <v/>
      </c>
      <c r="L1524" s="109">
        <f>$L1523+N($J1524)-N($K1524)</f>
        <v/>
      </c>
      <c r="M1524" s="110" t="n"/>
      <c r="N1524" s="54" t="n"/>
      <c r="O1524" s="54" t="n"/>
      <c r="P1524" s="54" t="n"/>
      <c r="Q1524" s="110" t="n"/>
      <c r="R1524" s="110" t="n"/>
      <c r="S1524" s="54" t="n"/>
      <c r="T1524" s="111">
        <f>IF($G1524="","",IFERROR(INDEX(Taux_Devises,MATCH(IF($M1524="",Devise_Base,$M1524),Codes_Devises,0)),1))</f>
        <v/>
      </c>
      <c r="U1524" s="112">
        <f>IF($G1524="","",ROUND($G1524*$T1524,2))</f>
        <v/>
      </c>
      <c r="V1524" s="113">
        <f>IF($B1524="","",MONTH($B1524))</f>
        <v/>
      </c>
      <c r="W1524" s="113">
        <f>IF($B1524="","",YEAR($B1524))</f>
        <v/>
      </c>
    </row>
    <row r="1525">
      <c r="B1525" s="105" t="n"/>
      <c r="C1525" s="54" t="n"/>
      <c r="D1525" s="54" t="n"/>
      <c r="E1525" s="54" t="n"/>
      <c r="F1525" s="54" t="n"/>
      <c r="G1525" s="65" t="n"/>
      <c r="H1525" s="54" t="n"/>
      <c r="I1525" s="106">
        <f>IF($C1525="","",IFERROR(INDEX(Sens_Types,MATCH($C1525,Liste_Types,0)),""))</f>
        <v/>
      </c>
      <c r="J1525" s="107">
        <f>IF($I1525="▲ ENTRÉE",$U1525,"")</f>
        <v/>
      </c>
      <c r="K1525" s="108">
        <f>IF($I1525="▼ SORTIE",$U1525,"")</f>
        <v/>
      </c>
      <c r="L1525" s="109">
        <f>$L1524+N($J1525)-N($K1525)</f>
        <v/>
      </c>
      <c r="M1525" s="110" t="n"/>
      <c r="N1525" s="54" t="n"/>
      <c r="O1525" s="54" t="n"/>
      <c r="P1525" s="54" t="n"/>
      <c r="Q1525" s="110" t="n"/>
      <c r="R1525" s="110" t="n"/>
      <c r="S1525" s="54" t="n"/>
      <c r="T1525" s="111">
        <f>IF($G1525="","",IFERROR(INDEX(Taux_Devises,MATCH(IF($M1525="",Devise_Base,$M1525),Codes_Devises,0)),1))</f>
        <v/>
      </c>
      <c r="U1525" s="112">
        <f>IF($G1525="","",ROUND($G1525*$T1525,2))</f>
        <v/>
      </c>
      <c r="V1525" s="113">
        <f>IF($B1525="","",MONTH($B1525))</f>
        <v/>
      </c>
      <c r="W1525" s="113">
        <f>IF($B1525="","",YEAR($B1525))</f>
        <v/>
      </c>
    </row>
    <row r="1526">
      <c r="B1526" s="105" t="n"/>
      <c r="C1526" s="54" t="n"/>
      <c r="D1526" s="54" t="n"/>
      <c r="E1526" s="54" t="n"/>
      <c r="F1526" s="54" t="n"/>
      <c r="G1526" s="65" t="n"/>
      <c r="H1526" s="54" t="n"/>
      <c r="I1526" s="106">
        <f>IF($C1526="","",IFERROR(INDEX(Sens_Types,MATCH($C1526,Liste_Types,0)),""))</f>
        <v/>
      </c>
      <c r="J1526" s="107">
        <f>IF($I1526="▲ ENTRÉE",$U1526,"")</f>
        <v/>
      </c>
      <c r="K1526" s="108">
        <f>IF($I1526="▼ SORTIE",$U1526,"")</f>
        <v/>
      </c>
      <c r="L1526" s="109">
        <f>$L1525+N($J1526)-N($K1526)</f>
        <v/>
      </c>
      <c r="M1526" s="110" t="n"/>
      <c r="N1526" s="54" t="n"/>
      <c r="O1526" s="54" t="n"/>
      <c r="P1526" s="54" t="n"/>
      <c r="Q1526" s="110" t="n"/>
      <c r="R1526" s="110" t="n"/>
      <c r="S1526" s="54" t="n"/>
      <c r="T1526" s="111">
        <f>IF($G1526="","",IFERROR(INDEX(Taux_Devises,MATCH(IF($M1526="",Devise_Base,$M1526),Codes_Devises,0)),1))</f>
        <v/>
      </c>
      <c r="U1526" s="112">
        <f>IF($G1526="","",ROUND($G1526*$T1526,2))</f>
        <v/>
      </c>
      <c r="V1526" s="113">
        <f>IF($B1526="","",MONTH($B1526))</f>
        <v/>
      </c>
      <c r="W1526" s="113">
        <f>IF($B1526="","",YEAR($B1526))</f>
        <v/>
      </c>
    </row>
    <row r="1527">
      <c r="B1527" s="105" t="n"/>
      <c r="C1527" s="54" t="n"/>
      <c r="D1527" s="54" t="n"/>
      <c r="E1527" s="54" t="n"/>
      <c r="F1527" s="54" t="n"/>
      <c r="G1527" s="65" t="n"/>
      <c r="H1527" s="54" t="n"/>
      <c r="I1527" s="106">
        <f>IF($C1527="","",IFERROR(INDEX(Sens_Types,MATCH($C1527,Liste_Types,0)),""))</f>
        <v/>
      </c>
      <c r="J1527" s="107">
        <f>IF($I1527="▲ ENTRÉE",$U1527,"")</f>
        <v/>
      </c>
      <c r="K1527" s="108">
        <f>IF($I1527="▼ SORTIE",$U1527,"")</f>
        <v/>
      </c>
      <c r="L1527" s="109">
        <f>$L1526+N($J1527)-N($K1527)</f>
        <v/>
      </c>
      <c r="M1527" s="110" t="n"/>
      <c r="N1527" s="54" t="n"/>
      <c r="O1527" s="54" t="n"/>
      <c r="P1527" s="54" t="n"/>
      <c r="Q1527" s="110" t="n"/>
      <c r="R1527" s="110" t="n"/>
      <c r="S1527" s="54" t="n"/>
      <c r="T1527" s="111">
        <f>IF($G1527="","",IFERROR(INDEX(Taux_Devises,MATCH(IF($M1527="",Devise_Base,$M1527),Codes_Devises,0)),1))</f>
        <v/>
      </c>
      <c r="U1527" s="112">
        <f>IF($G1527="","",ROUND($G1527*$T1527,2))</f>
        <v/>
      </c>
      <c r="V1527" s="113">
        <f>IF($B1527="","",MONTH($B1527))</f>
        <v/>
      </c>
      <c r="W1527" s="113">
        <f>IF($B1527="","",YEAR($B1527))</f>
        <v/>
      </c>
    </row>
    <row r="1528">
      <c r="B1528" s="105" t="n"/>
      <c r="C1528" s="54" t="n"/>
      <c r="D1528" s="54" t="n"/>
      <c r="E1528" s="54" t="n"/>
      <c r="F1528" s="54" t="n"/>
      <c r="G1528" s="65" t="n"/>
      <c r="H1528" s="54" t="n"/>
      <c r="I1528" s="106">
        <f>IF($C1528="","",IFERROR(INDEX(Sens_Types,MATCH($C1528,Liste_Types,0)),""))</f>
        <v/>
      </c>
      <c r="J1528" s="107">
        <f>IF($I1528="▲ ENTRÉE",$U1528,"")</f>
        <v/>
      </c>
      <c r="K1528" s="108">
        <f>IF($I1528="▼ SORTIE",$U1528,"")</f>
        <v/>
      </c>
      <c r="L1528" s="109">
        <f>$L1527+N($J1528)-N($K1528)</f>
        <v/>
      </c>
      <c r="M1528" s="110" t="n"/>
      <c r="N1528" s="54" t="n"/>
      <c r="O1528" s="54" t="n"/>
      <c r="P1528" s="54" t="n"/>
      <c r="Q1528" s="110" t="n"/>
      <c r="R1528" s="110" t="n"/>
      <c r="S1528" s="54" t="n"/>
      <c r="T1528" s="111">
        <f>IF($G1528="","",IFERROR(INDEX(Taux_Devises,MATCH(IF($M1528="",Devise_Base,$M1528),Codes_Devises,0)),1))</f>
        <v/>
      </c>
      <c r="U1528" s="112">
        <f>IF($G1528="","",ROUND($G1528*$T1528,2))</f>
        <v/>
      </c>
      <c r="V1528" s="113">
        <f>IF($B1528="","",MONTH($B1528))</f>
        <v/>
      </c>
      <c r="W1528" s="113">
        <f>IF($B1528="","",YEAR($B1528))</f>
        <v/>
      </c>
    </row>
    <row r="1529">
      <c r="B1529" s="105" t="n"/>
      <c r="C1529" s="54" t="n"/>
      <c r="D1529" s="54" t="n"/>
      <c r="E1529" s="54" t="n"/>
      <c r="F1529" s="54" t="n"/>
      <c r="G1529" s="65" t="n"/>
      <c r="H1529" s="54" t="n"/>
      <c r="I1529" s="106">
        <f>IF($C1529="","",IFERROR(INDEX(Sens_Types,MATCH($C1529,Liste_Types,0)),""))</f>
        <v/>
      </c>
      <c r="J1529" s="107">
        <f>IF($I1529="▲ ENTRÉE",$U1529,"")</f>
        <v/>
      </c>
      <c r="K1529" s="108">
        <f>IF($I1529="▼ SORTIE",$U1529,"")</f>
        <v/>
      </c>
      <c r="L1529" s="109">
        <f>$L1528+N($J1529)-N($K1529)</f>
        <v/>
      </c>
      <c r="M1529" s="110" t="n"/>
      <c r="N1529" s="54" t="n"/>
      <c r="O1529" s="54" t="n"/>
      <c r="P1529" s="54" t="n"/>
      <c r="Q1529" s="110" t="n"/>
      <c r="R1529" s="110" t="n"/>
      <c r="S1529" s="54" t="n"/>
      <c r="T1529" s="111">
        <f>IF($G1529="","",IFERROR(INDEX(Taux_Devises,MATCH(IF($M1529="",Devise_Base,$M1529),Codes_Devises,0)),1))</f>
        <v/>
      </c>
      <c r="U1529" s="112">
        <f>IF($G1529="","",ROUND($G1529*$T1529,2))</f>
        <v/>
      </c>
      <c r="V1529" s="113">
        <f>IF($B1529="","",MONTH($B1529))</f>
        <v/>
      </c>
      <c r="W1529" s="113">
        <f>IF($B1529="","",YEAR($B1529))</f>
        <v/>
      </c>
    </row>
    <row r="1530">
      <c r="B1530" s="105" t="n"/>
      <c r="C1530" s="54" t="n"/>
      <c r="D1530" s="54" t="n"/>
      <c r="E1530" s="54" t="n"/>
      <c r="F1530" s="54" t="n"/>
      <c r="G1530" s="65" t="n"/>
      <c r="H1530" s="54" t="n"/>
      <c r="I1530" s="106">
        <f>IF($C1530="","",IFERROR(INDEX(Sens_Types,MATCH($C1530,Liste_Types,0)),""))</f>
        <v/>
      </c>
      <c r="J1530" s="107">
        <f>IF($I1530="▲ ENTRÉE",$U1530,"")</f>
        <v/>
      </c>
      <c r="K1530" s="108">
        <f>IF($I1530="▼ SORTIE",$U1530,"")</f>
        <v/>
      </c>
      <c r="L1530" s="109">
        <f>$L1529+N($J1530)-N($K1530)</f>
        <v/>
      </c>
      <c r="M1530" s="110" t="n"/>
      <c r="N1530" s="54" t="n"/>
      <c r="O1530" s="54" t="n"/>
      <c r="P1530" s="54" t="n"/>
      <c r="Q1530" s="110" t="n"/>
      <c r="R1530" s="110" t="n"/>
      <c r="S1530" s="54" t="n"/>
      <c r="T1530" s="111">
        <f>IF($G1530="","",IFERROR(INDEX(Taux_Devises,MATCH(IF($M1530="",Devise_Base,$M1530),Codes_Devises,0)),1))</f>
        <v/>
      </c>
      <c r="U1530" s="112">
        <f>IF($G1530="","",ROUND($G1530*$T1530,2))</f>
        <v/>
      </c>
      <c r="V1530" s="113">
        <f>IF($B1530="","",MONTH($B1530))</f>
        <v/>
      </c>
      <c r="W1530" s="113">
        <f>IF($B1530="","",YEAR($B1530))</f>
        <v/>
      </c>
    </row>
    <row r="1531">
      <c r="B1531" s="105" t="n"/>
      <c r="C1531" s="54" t="n"/>
      <c r="D1531" s="54" t="n"/>
      <c r="E1531" s="54" t="n"/>
      <c r="F1531" s="54" t="n"/>
      <c r="G1531" s="65" t="n"/>
      <c r="H1531" s="54" t="n"/>
      <c r="I1531" s="106">
        <f>IF($C1531="","",IFERROR(INDEX(Sens_Types,MATCH($C1531,Liste_Types,0)),""))</f>
        <v/>
      </c>
      <c r="J1531" s="107">
        <f>IF($I1531="▲ ENTRÉE",$U1531,"")</f>
        <v/>
      </c>
      <c r="K1531" s="108">
        <f>IF($I1531="▼ SORTIE",$U1531,"")</f>
        <v/>
      </c>
      <c r="L1531" s="109">
        <f>$L1530+N($J1531)-N($K1531)</f>
        <v/>
      </c>
      <c r="M1531" s="110" t="n"/>
      <c r="N1531" s="54" t="n"/>
      <c r="O1531" s="54" t="n"/>
      <c r="P1531" s="54" t="n"/>
      <c r="Q1531" s="110" t="n"/>
      <c r="R1531" s="110" t="n"/>
      <c r="S1531" s="54" t="n"/>
      <c r="T1531" s="111">
        <f>IF($G1531="","",IFERROR(INDEX(Taux_Devises,MATCH(IF($M1531="",Devise_Base,$M1531),Codes_Devises,0)),1))</f>
        <v/>
      </c>
      <c r="U1531" s="112">
        <f>IF($G1531="","",ROUND($G1531*$T1531,2))</f>
        <v/>
      </c>
      <c r="V1531" s="113">
        <f>IF($B1531="","",MONTH($B1531))</f>
        <v/>
      </c>
      <c r="W1531" s="113">
        <f>IF($B1531="","",YEAR($B1531))</f>
        <v/>
      </c>
    </row>
    <row r="1532">
      <c r="B1532" s="105" t="n"/>
      <c r="C1532" s="54" t="n"/>
      <c r="D1532" s="54" t="n"/>
      <c r="E1532" s="54" t="n"/>
      <c r="F1532" s="54" t="n"/>
      <c r="G1532" s="65" t="n"/>
      <c r="H1532" s="54" t="n"/>
      <c r="I1532" s="106">
        <f>IF($C1532="","",IFERROR(INDEX(Sens_Types,MATCH($C1532,Liste_Types,0)),""))</f>
        <v/>
      </c>
      <c r="J1532" s="107">
        <f>IF($I1532="▲ ENTRÉE",$U1532,"")</f>
        <v/>
      </c>
      <c r="K1532" s="108">
        <f>IF($I1532="▼ SORTIE",$U1532,"")</f>
        <v/>
      </c>
      <c r="L1532" s="109">
        <f>$L1531+N($J1532)-N($K1532)</f>
        <v/>
      </c>
      <c r="M1532" s="110" t="n"/>
      <c r="N1532" s="54" t="n"/>
      <c r="O1532" s="54" t="n"/>
      <c r="P1532" s="54" t="n"/>
      <c r="Q1532" s="110" t="n"/>
      <c r="R1532" s="110" t="n"/>
      <c r="S1532" s="54" t="n"/>
      <c r="T1532" s="111">
        <f>IF($G1532="","",IFERROR(INDEX(Taux_Devises,MATCH(IF($M1532="",Devise_Base,$M1532),Codes_Devises,0)),1))</f>
        <v/>
      </c>
      <c r="U1532" s="112">
        <f>IF($G1532="","",ROUND($G1532*$T1532,2))</f>
        <v/>
      </c>
      <c r="V1532" s="113">
        <f>IF($B1532="","",MONTH($B1532))</f>
        <v/>
      </c>
      <c r="W1532" s="113">
        <f>IF($B1532="","",YEAR($B1532))</f>
        <v/>
      </c>
    </row>
    <row r="1533">
      <c r="B1533" s="105" t="n"/>
      <c r="C1533" s="54" t="n"/>
      <c r="D1533" s="54" t="n"/>
      <c r="E1533" s="54" t="n"/>
      <c r="F1533" s="54" t="n"/>
      <c r="G1533" s="65" t="n"/>
      <c r="H1533" s="54" t="n"/>
      <c r="I1533" s="106">
        <f>IF($C1533="","",IFERROR(INDEX(Sens_Types,MATCH($C1533,Liste_Types,0)),""))</f>
        <v/>
      </c>
      <c r="J1533" s="107">
        <f>IF($I1533="▲ ENTRÉE",$U1533,"")</f>
        <v/>
      </c>
      <c r="K1533" s="108">
        <f>IF($I1533="▼ SORTIE",$U1533,"")</f>
        <v/>
      </c>
      <c r="L1533" s="109">
        <f>$L1532+N($J1533)-N($K1533)</f>
        <v/>
      </c>
      <c r="M1533" s="110" t="n"/>
      <c r="N1533" s="54" t="n"/>
      <c r="O1533" s="54" t="n"/>
      <c r="P1533" s="54" t="n"/>
      <c r="Q1533" s="110" t="n"/>
      <c r="R1533" s="110" t="n"/>
      <c r="S1533" s="54" t="n"/>
      <c r="T1533" s="111">
        <f>IF($G1533="","",IFERROR(INDEX(Taux_Devises,MATCH(IF($M1533="",Devise_Base,$M1533),Codes_Devises,0)),1))</f>
        <v/>
      </c>
      <c r="U1533" s="112">
        <f>IF($G1533="","",ROUND($G1533*$T1533,2))</f>
        <v/>
      </c>
      <c r="V1533" s="113">
        <f>IF($B1533="","",MONTH($B1533))</f>
        <v/>
      </c>
      <c r="W1533" s="113">
        <f>IF($B1533="","",YEAR($B1533))</f>
        <v/>
      </c>
    </row>
    <row r="1534">
      <c r="B1534" s="105" t="n"/>
      <c r="C1534" s="54" t="n"/>
      <c r="D1534" s="54" t="n"/>
      <c r="E1534" s="54" t="n"/>
      <c r="F1534" s="54" t="n"/>
      <c r="G1534" s="65" t="n"/>
      <c r="H1534" s="54" t="n"/>
      <c r="I1534" s="106">
        <f>IF($C1534="","",IFERROR(INDEX(Sens_Types,MATCH($C1534,Liste_Types,0)),""))</f>
        <v/>
      </c>
      <c r="J1534" s="107">
        <f>IF($I1534="▲ ENTRÉE",$U1534,"")</f>
        <v/>
      </c>
      <c r="K1534" s="108">
        <f>IF($I1534="▼ SORTIE",$U1534,"")</f>
        <v/>
      </c>
      <c r="L1534" s="109">
        <f>$L1533+N($J1534)-N($K1534)</f>
        <v/>
      </c>
      <c r="M1534" s="110" t="n"/>
      <c r="N1534" s="54" t="n"/>
      <c r="O1534" s="54" t="n"/>
      <c r="P1534" s="54" t="n"/>
      <c r="Q1534" s="110" t="n"/>
      <c r="R1534" s="110" t="n"/>
      <c r="S1534" s="54" t="n"/>
      <c r="T1534" s="111">
        <f>IF($G1534="","",IFERROR(INDEX(Taux_Devises,MATCH(IF($M1534="",Devise_Base,$M1534),Codes_Devises,0)),1))</f>
        <v/>
      </c>
      <c r="U1534" s="112">
        <f>IF($G1534="","",ROUND($G1534*$T1534,2))</f>
        <v/>
      </c>
      <c r="V1534" s="113">
        <f>IF($B1534="","",MONTH($B1534))</f>
        <v/>
      </c>
      <c r="W1534" s="113">
        <f>IF($B1534="","",YEAR($B1534))</f>
        <v/>
      </c>
    </row>
    <row r="1535">
      <c r="B1535" s="105" t="n"/>
      <c r="C1535" s="54" t="n"/>
      <c r="D1535" s="54" t="n"/>
      <c r="E1535" s="54" t="n"/>
      <c r="F1535" s="54" t="n"/>
      <c r="G1535" s="65" t="n"/>
      <c r="H1535" s="54" t="n"/>
      <c r="I1535" s="106">
        <f>IF($C1535="","",IFERROR(INDEX(Sens_Types,MATCH($C1535,Liste_Types,0)),""))</f>
        <v/>
      </c>
      <c r="J1535" s="107">
        <f>IF($I1535="▲ ENTRÉE",$U1535,"")</f>
        <v/>
      </c>
      <c r="K1535" s="108">
        <f>IF($I1535="▼ SORTIE",$U1535,"")</f>
        <v/>
      </c>
      <c r="L1535" s="109">
        <f>$L1534+N($J1535)-N($K1535)</f>
        <v/>
      </c>
      <c r="M1535" s="110" t="n"/>
      <c r="N1535" s="54" t="n"/>
      <c r="O1535" s="54" t="n"/>
      <c r="P1535" s="54" t="n"/>
      <c r="Q1535" s="110" t="n"/>
      <c r="R1535" s="110" t="n"/>
      <c r="S1535" s="54" t="n"/>
      <c r="T1535" s="111">
        <f>IF($G1535="","",IFERROR(INDEX(Taux_Devises,MATCH(IF($M1535="",Devise_Base,$M1535),Codes_Devises,0)),1))</f>
        <v/>
      </c>
      <c r="U1535" s="112">
        <f>IF($G1535="","",ROUND($G1535*$T1535,2))</f>
        <v/>
      </c>
      <c r="V1535" s="113">
        <f>IF($B1535="","",MONTH($B1535))</f>
        <v/>
      </c>
      <c r="W1535" s="113">
        <f>IF($B1535="","",YEAR($B1535))</f>
        <v/>
      </c>
    </row>
    <row r="1536">
      <c r="B1536" s="105" t="n"/>
      <c r="C1536" s="54" t="n"/>
      <c r="D1536" s="54" t="n"/>
      <c r="E1536" s="54" t="n"/>
      <c r="F1536" s="54" t="n"/>
      <c r="G1536" s="65" t="n"/>
      <c r="H1536" s="54" t="n"/>
      <c r="I1536" s="106">
        <f>IF($C1536="","",IFERROR(INDEX(Sens_Types,MATCH($C1536,Liste_Types,0)),""))</f>
        <v/>
      </c>
      <c r="J1536" s="107">
        <f>IF($I1536="▲ ENTRÉE",$U1536,"")</f>
        <v/>
      </c>
      <c r="K1536" s="108">
        <f>IF($I1536="▼ SORTIE",$U1536,"")</f>
        <v/>
      </c>
      <c r="L1536" s="109">
        <f>$L1535+N($J1536)-N($K1536)</f>
        <v/>
      </c>
      <c r="M1536" s="110" t="n"/>
      <c r="N1536" s="54" t="n"/>
      <c r="O1536" s="54" t="n"/>
      <c r="P1536" s="54" t="n"/>
      <c r="Q1536" s="110" t="n"/>
      <c r="R1536" s="110" t="n"/>
      <c r="S1536" s="54" t="n"/>
      <c r="T1536" s="111">
        <f>IF($G1536="","",IFERROR(INDEX(Taux_Devises,MATCH(IF($M1536="",Devise_Base,$M1536),Codes_Devises,0)),1))</f>
        <v/>
      </c>
      <c r="U1536" s="112">
        <f>IF($G1536="","",ROUND($G1536*$T1536,2))</f>
        <v/>
      </c>
      <c r="V1536" s="113">
        <f>IF($B1536="","",MONTH($B1536))</f>
        <v/>
      </c>
      <c r="W1536" s="113">
        <f>IF($B1536="","",YEAR($B1536))</f>
        <v/>
      </c>
    </row>
    <row r="1537">
      <c r="B1537" s="105" t="n"/>
      <c r="C1537" s="54" t="n"/>
      <c r="D1537" s="54" t="n"/>
      <c r="E1537" s="54" t="n"/>
      <c r="F1537" s="54" t="n"/>
      <c r="G1537" s="65" t="n"/>
      <c r="H1537" s="54" t="n"/>
      <c r="I1537" s="106">
        <f>IF($C1537="","",IFERROR(INDEX(Sens_Types,MATCH($C1537,Liste_Types,0)),""))</f>
        <v/>
      </c>
      <c r="J1537" s="107">
        <f>IF($I1537="▲ ENTRÉE",$U1537,"")</f>
        <v/>
      </c>
      <c r="K1537" s="108">
        <f>IF($I1537="▼ SORTIE",$U1537,"")</f>
        <v/>
      </c>
      <c r="L1537" s="109">
        <f>$L1536+N($J1537)-N($K1537)</f>
        <v/>
      </c>
      <c r="M1537" s="110" t="n"/>
      <c r="N1537" s="54" t="n"/>
      <c r="O1537" s="54" t="n"/>
      <c r="P1537" s="54" t="n"/>
      <c r="Q1537" s="110" t="n"/>
      <c r="R1537" s="110" t="n"/>
      <c r="S1537" s="54" t="n"/>
      <c r="T1537" s="111">
        <f>IF($G1537="","",IFERROR(INDEX(Taux_Devises,MATCH(IF($M1537="",Devise_Base,$M1537),Codes_Devises,0)),1))</f>
        <v/>
      </c>
      <c r="U1537" s="112">
        <f>IF($G1537="","",ROUND($G1537*$T1537,2))</f>
        <v/>
      </c>
      <c r="V1537" s="113">
        <f>IF($B1537="","",MONTH($B1537))</f>
        <v/>
      </c>
      <c r="W1537" s="113">
        <f>IF($B1537="","",YEAR($B1537))</f>
        <v/>
      </c>
    </row>
    <row r="1538">
      <c r="B1538" s="105" t="n"/>
      <c r="C1538" s="54" t="n"/>
      <c r="D1538" s="54" t="n"/>
      <c r="E1538" s="54" t="n"/>
      <c r="F1538" s="54" t="n"/>
      <c r="G1538" s="65" t="n"/>
      <c r="H1538" s="54" t="n"/>
      <c r="I1538" s="106">
        <f>IF($C1538="","",IFERROR(INDEX(Sens_Types,MATCH($C1538,Liste_Types,0)),""))</f>
        <v/>
      </c>
      <c r="J1538" s="107">
        <f>IF($I1538="▲ ENTRÉE",$U1538,"")</f>
        <v/>
      </c>
      <c r="K1538" s="108">
        <f>IF($I1538="▼ SORTIE",$U1538,"")</f>
        <v/>
      </c>
      <c r="L1538" s="109">
        <f>$L1537+N($J1538)-N($K1538)</f>
        <v/>
      </c>
      <c r="M1538" s="110" t="n"/>
      <c r="N1538" s="54" t="n"/>
      <c r="O1538" s="54" t="n"/>
      <c r="P1538" s="54" t="n"/>
      <c r="Q1538" s="110" t="n"/>
      <c r="R1538" s="110" t="n"/>
      <c r="S1538" s="54" t="n"/>
      <c r="T1538" s="111">
        <f>IF($G1538="","",IFERROR(INDEX(Taux_Devises,MATCH(IF($M1538="",Devise_Base,$M1538),Codes_Devises,0)),1))</f>
        <v/>
      </c>
      <c r="U1538" s="112">
        <f>IF($G1538="","",ROUND($G1538*$T1538,2))</f>
        <v/>
      </c>
      <c r="V1538" s="113">
        <f>IF($B1538="","",MONTH($B1538))</f>
        <v/>
      </c>
      <c r="W1538" s="113">
        <f>IF($B1538="","",YEAR($B1538))</f>
        <v/>
      </c>
    </row>
    <row r="1539">
      <c r="B1539" s="105" t="n"/>
      <c r="C1539" s="54" t="n"/>
      <c r="D1539" s="54" t="n"/>
      <c r="E1539" s="54" t="n"/>
      <c r="F1539" s="54" t="n"/>
      <c r="G1539" s="65" t="n"/>
      <c r="H1539" s="54" t="n"/>
      <c r="I1539" s="106">
        <f>IF($C1539="","",IFERROR(INDEX(Sens_Types,MATCH($C1539,Liste_Types,0)),""))</f>
        <v/>
      </c>
      <c r="J1539" s="107">
        <f>IF($I1539="▲ ENTRÉE",$U1539,"")</f>
        <v/>
      </c>
      <c r="K1539" s="108">
        <f>IF($I1539="▼ SORTIE",$U1539,"")</f>
        <v/>
      </c>
      <c r="L1539" s="109">
        <f>$L1538+N($J1539)-N($K1539)</f>
        <v/>
      </c>
      <c r="M1539" s="110" t="n"/>
      <c r="N1539" s="54" t="n"/>
      <c r="O1539" s="54" t="n"/>
      <c r="P1539" s="54" t="n"/>
      <c r="Q1539" s="110" t="n"/>
      <c r="R1539" s="110" t="n"/>
      <c r="S1539" s="54" t="n"/>
      <c r="T1539" s="111">
        <f>IF($G1539="","",IFERROR(INDEX(Taux_Devises,MATCH(IF($M1539="",Devise_Base,$M1539),Codes_Devises,0)),1))</f>
        <v/>
      </c>
      <c r="U1539" s="112">
        <f>IF($G1539="","",ROUND($G1539*$T1539,2))</f>
        <v/>
      </c>
      <c r="V1539" s="113">
        <f>IF($B1539="","",MONTH($B1539))</f>
        <v/>
      </c>
      <c r="W1539" s="113">
        <f>IF($B1539="","",YEAR($B1539))</f>
        <v/>
      </c>
    </row>
    <row r="1540">
      <c r="B1540" s="105" t="n"/>
      <c r="C1540" s="54" t="n"/>
      <c r="D1540" s="54" t="n"/>
      <c r="E1540" s="54" t="n"/>
      <c r="F1540" s="54" t="n"/>
      <c r="G1540" s="65" t="n"/>
      <c r="H1540" s="54" t="n"/>
      <c r="I1540" s="106">
        <f>IF($C1540="","",IFERROR(INDEX(Sens_Types,MATCH($C1540,Liste_Types,0)),""))</f>
        <v/>
      </c>
      <c r="J1540" s="107">
        <f>IF($I1540="▲ ENTRÉE",$U1540,"")</f>
        <v/>
      </c>
      <c r="K1540" s="108">
        <f>IF($I1540="▼ SORTIE",$U1540,"")</f>
        <v/>
      </c>
      <c r="L1540" s="109">
        <f>$L1539+N($J1540)-N($K1540)</f>
        <v/>
      </c>
      <c r="M1540" s="110" t="n"/>
      <c r="N1540" s="54" t="n"/>
      <c r="O1540" s="54" t="n"/>
      <c r="P1540" s="54" t="n"/>
      <c r="Q1540" s="110" t="n"/>
      <c r="R1540" s="110" t="n"/>
      <c r="S1540" s="54" t="n"/>
      <c r="T1540" s="111">
        <f>IF($G1540="","",IFERROR(INDEX(Taux_Devises,MATCH(IF($M1540="",Devise_Base,$M1540),Codes_Devises,0)),1))</f>
        <v/>
      </c>
      <c r="U1540" s="112">
        <f>IF($G1540="","",ROUND($G1540*$T1540,2))</f>
        <v/>
      </c>
      <c r="V1540" s="113">
        <f>IF($B1540="","",MONTH($B1540))</f>
        <v/>
      </c>
      <c r="W1540" s="113">
        <f>IF($B1540="","",YEAR($B1540))</f>
        <v/>
      </c>
    </row>
    <row r="1541">
      <c r="B1541" s="105" t="n"/>
      <c r="C1541" s="54" t="n"/>
      <c r="D1541" s="54" t="n"/>
      <c r="E1541" s="54" t="n"/>
      <c r="F1541" s="54" t="n"/>
      <c r="G1541" s="65" t="n"/>
      <c r="H1541" s="54" t="n"/>
      <c r="I1541" s="106">
        <f>IF($C1541="","",IFERROR(INDEX(Sens_Types,MATCH($C1541,Liste_Types,0)),""))</f>
        <v/>
      </c>
      <c r="J1541" s="107">
        <f>IF($I1541="▲ ENTRÉE",$U1541,"")</f>
        <v/>
      </c>
      <c r="K1541" s="108">
        <f>IF($I1541="▼ SORTIE",$U1541,"")</f>
        <v/>
      </c>
      <c r="L1541" s="109">
        <f>$L1540+N($J1541)-N($K1541)</f>
        <v/>
      </c>
      <c r="M1541" s="110" t="n"/>
      <c r="N1541" s="54" t="n"/>
      <c r="O1541" s="54" t="n"/>
      <c r="P1541" s="54" t="n"/>
      <c r="Q1541" s="110" t="n"/>
      <c r="R1541" s="110" t="n"/>
      <c r="S1541" s="54" t="n"/>
      <c r="T1541" s="111">
        <f>IF($G1541="","",IFERROR(INDEX(Taux_Devises,MATCH(IF($M1541="",Devise_Base,$M1541),Codes_Devises,0)),1))</f>
        <v/>
      </c>
      <c r="U1541" s="112">
        <f>IF($G1541="","",ROUND($G1541*$T1541,2))</f>
        <v/>
      </c>
      <c r="V1541" s="113">
        <f>IF($B1541="","",MONTH($B1541))</f>
        <v/>
      </c>
      <c r="W1541" s="113">
        <f>IF($B1541="","",YEAR($B1541))</f>
        <v/>
      </c>
    </row>
    <row r="1542">
      <c r="B1542" s="105" t="n"/>
      <c r="C1542" s="54" t="n"/>
      <c r="D1542" s="54" t="n"/>
      <c r="E1542" s="54" t="n"/>
      <c r="F1542" s="54" t="n"/>
      <c r="G1542" s="65" t="n"/>
      <c r="H1542" s="54" t="n"/>
      <c r="I1542" s="106">
        <f>IF($C1542="","",IFERROR(INDEX(Sens_Types,MATCH($C1542,Liste_Types,0)),""))</f>
        <v/>
      </c>
      <c r="J1542" s="107">
        <f>IF($I1542="▲ ENTRÉE",$U1542,"")</f>
        <v/>
      </c>
      <c r="K1542" s="108">
        <f>IF($I1542="▼ SORTIE",$U1542,"")</f>
        <v/>
      </c>
      <c r="L1542" s="109">
        <f>$L1541+N($J1542)-N($K1542)</f>
        <v/>
      </c>
      <c r="M1542" s="110" t="n"/>
      <c r="N1542" s="54" t="n"/>
      <c r="O1542" s="54" t="n"/>
      <c r="P1542" s="54" t="n"/>
      <c r="Q1542" s="110" t="n"/>
      <c r="R1542" s="110" t="n"/>
      <c r="S1542" s="54" t="n"/>
      <c r="T1542" s="111">
        <f>IF($G1542="","",IFERROR(INDEX(Taux_Devises,MATCH(IF($M1542="",Devise_Base,$M1542),Codes_Devises,0)),1))</f>
        <v/>
      </c>
      <c r="U1542" s="112">
        <f>IF($G1542="","",ROUND($G1542*$T1542,2))</f>
        <v/>
      </c>
      <c r="V1542" s="113">
        <f>IF($B1542="","",MONTH($B1542))</f>
        <v/>
      </c>
      <c r="W1542" s="113">
        <f>IF($B1542="","",YEAR($B1542))</f>
        <v/>
      </c>
    </row>
    <row r="1543">
      <c r="B1543" s="105" t="n"/>
      <c r="C1543" s="54" t="n"/>
      <c r="D1543" s="54" t="n"/>
      <c r="E1543" s="54" t="n"/>
      <c r="F1543" s="54" t="n"/>
      <c r="G1543" s="65" t="n"/>
      <c r="H1543" s="54" t="n"/>
      <c r="I1543" s="106">
        <f>IF($C1543="","",IFERROR(INDEX(Sens_Types,MATCH($C1543,Liste_Types,0)),""))</f>
        <v/>
      </c>
      <c r="J1543" s="107">
        <f>IF($I1543="▲ ENTRÉE",$U1543,"")</f>
        <v/>
      </c>
      <c r="K1543" s="108">
        <f>IF($I1543="▼ SORTIE",$U1543,"")</f>
        <v/>
      </c>
      <c r="L1543" s="109">
        <f>$L1542+N($J1543)-N($K1543)</f>
        <v/>
      </c>
      <c r="M1543" s="110" t="n"/>
      <c r="N1543" s="54" t="n"/>
      <c r="O1543" s="54" t="n"/>
      <c r="P1543" s="54" t="n"/>
      <c r="Q1543" s="110" t="n"/>
      <c r="R1543" s="110" t="n"/>
      <c r="S1543" s="54" t="n"/>
      <c r="T1543" s="111">
        <f>IF($G1543="","",IFERROR(INDEX(Taux_Devises,MATCH(IF($M1543="",Devise_Base,$M1543),Codes_Devises,0)),1))</f>
        <v/>
      </c>
      <c r="U1543" s="112">
        <f>IF($G1543="","",ROUND($G1543*$T1543,2))</f>
        <v/>
      </c>
      <c r="V1543" s="113">
        <f>IF($B1543="","",MONTH($B1543))</f>
        <v/>
      </c>
      <c r="W1543" s="113">
        <f>IF($B1543="","",YEAR($B1543))</f>
        <v/>
      </c>
    </row>
    <row r="1544">
      <c r="B1544" s="105" t="n"/>
      <c r="C1544" s="54" t="n"/>
      <c r="D1544" s="54" t="n"/>
      <c r="E1544" s="54" t="n"/>
      <c r="F1544" s="54" t="n"/>
      <c r="G1544" s="65" t="n"/>
      <c r="H1544" s="54" t="n"/>
      <c r="I1544" s="106">
        <f>IF($C1544="","",IFERROR(INDEX(Sens_Types,MATCH($C1544,Liste_Types,0)),""))</f>
        <v/>
      </c>
      <c r="J1544" s="107">
        <f>IF($I1544="▲ ENTRÉE",$U1544,"")</f>
        <v/>
      </c>
      <c r="K1544" s="108">
        <f>IF($I1544="▼ SORTIE",$U1544,"")</f>
        <v/>
      </c>
      <c r="L1544" s="109">
        <f>$L1543+N($J1544)-N($K1544)</f>
        <v/>
      </c>
      <c r="M1544" s="110" t="n"/>
      <c r="N1544" s="54" t="n"/>
      <c r="O1544" s="54" t="n"/>
      <c r="P1544" s="54" t="n"/>
      <c r="Q1544" s="110" t="n"/>
      <c r="R1544" s="110" t="n"/>
      <c r="S1544" s="54" t="n"/>
      <c r="T1544" s="111">
        <f>IF($G1544="","",IFERROR(INDEX(Taux_Devises,MATCH(IF($M1544="",Devise_Base,$M1544),Codes_Devises,0)),1))</f>
        <v/>
      </c>
      <c r="U1544" s="112">
        <f>IF($G1544="","",ROUND($G1544*$T1544,2))</f>
        <v/>
      </c>
      <c r="V1544" s="113">
        <f>IF($B1544="","",MONTH($B1544))</f>
        <v/>
      </c>
      <c r="W1544" s="113">
        <f>IF($B1544="","",YEAR($B1544))</f>
        <v/>
      </c>
    </row>
    <row r="1545">
      <c r="B1545" s="105" t="n"/>
      <c r="C1545" s="54" t="n"/>
      <c r="D1545" s="54" t="n"/>
      <c r="E1545" s="54" t="n"/>
      <c r="F1545" s="54" t="n"/>
      <c r="G1545" s="65" t="n"/>
      <c r="H1545" s="54" t="n"/>
      <c r="I1545" s="106">
        <f>IF($C1545="","",IFERROR(INDEX(Sens_Types,MATCH($C1545,Liste_Types,0)),""))</f>
        <v/>
      </c>
      <c r="J1545" s="107">
        <f>IF($I1545="▲ ENTRÉE",$U1545,"")</f>
        <v/>
      </c>
      <c r="K1545" s="108">
        <f>IF($I1545="▼ SORTIE",$U1545,"")</f>
        <v/>
      </c>
      <c r="L1545" s="109">
        <f>$L1544+N($J1545)-N($K1545)</f>
        <v/>
      </c>
      <c r="M1545" s="110" t="n"/>
      <c r="N1545" s="54" t="n"/>
      <c r="O1545" s="54" t="n"/>
      <c r="P1545" s="54" t="n"/>
      <c r="Q1545" s="110" t="n"/>
      <c r="R1545" s="110" t="n"/>
      <c r="S1545" s="54" t="n"/>
      <c r="T1545" s="111">
        <f>IF($G1545="","",IFERROR(INDEX(Taux_Devises,MATCH(IF($M1545="",Devise_Base,$M1545),Codes_Devises,0)),1))</f>
        <v/>
      </c>
      <c r="U1545" s="112">
        <f>IF($G1545="","",ROUND($G1545*$T1545,2))</f>
        <v/>
      </c>
      <c r="V1545" s="113">
        <f>IF($B1545="","",MONTH($B1545))</f>
        <v/>
      </c>
      <c r="W1545" s="113">
        <f>IF($B1545="","",YEAR($B1545))</f>
        <v/>
      </c>
    </row>
    <row r="1546">
      <c r="B1546" s="105" t="n"/>
      <c r="C1546" s="54" t="n"/>
      <c r="D1546" s="54" t="n"/>
      <c r="E1546" s="54" t="n"/>
      <c r="F1546" s="54" t="n"/>
      <c r="G1546" s="65" t="n"/>
      <c r="H1546" s="54" t="n"/>
      <c r="I1546" s="106">
        <f>IF($C1546="","",IFERROR(INDEX(Sens_Types,MATCH($C1546,Liste_Types,0)),""))</f>
        <v/>
      </c>
      <c r="J1546" s="107">
        <f>IF($I1546="▲ ENTRÉE",$U1546,"")</f>
        <v/>
      </c>
      <c r="K1546" s="108">
        <f>IF($I1546="▼ SORTIE",$U1546,"")</f>
        <v/>
      </c>
      <c r="L1546" s="109">
        <f>$L1545+N($J1546)-N($K1546)</f>
        <v/>
      </c>
      <c r="M1546" s="110" t="n"/>
      <c r="N1546" s="54" t="n"/>
      <c r="O1546" s="54" t="n"/>
      <c r="P1546" s="54" t="n"/>
      <c r="Q1546" s="110" t="n"/>
      <c r="R1546" s="110" t="n"/>
      <c r="S1546" s="54" t="n"/>
      <c r="T1546" s="111">
        <f>IF($G1546="","",IFERROR(INDEX(Taux_Devises,MATCH(IF($M1546="",Devise_Base,$M1546),Codes_Devises,0)),1))</f>
        <v/>
      </c>
      <c r="U1546" s="112">
        <f>IF($G1546="","",ROUND($G1546*$T1546,2))</f>
        <v/>
      </c>
      <c r="V1546" s="113">
        <f>IF($B1546="","",MONTH($B1546))</f>
        <v/>
      </c>
      <c r="W1546" s="113">
        <f>IF($B1546="","",YEAR($B1546))</f>
        <v/>
      </c>
    </row>
    <row r="1547">
      <c r="B1547" s="105" t="n"/>
      <c r="C1547" s="54" t="n"/>
      <c r="D1547" s="54" t="n"/>
      <c r="E1547" s="54" t="n"/>
      <c r="F1547" s="54" t="n"/>
      <c r="G1547" s="65" t="n"/>
      <c r="H1547" s="54" t="n"/>
      <c r="I1547" s="106">
        <f>IF($C1547="","",IFERROR(INDEX(Sens_Types,MATCH($C1547,Liste_Types,0)),""))</f>
        <v/>
      </c>
      <c r="J1547" s="107">
        <f>IF($I1547="▲ ENTRÉE",$U1547,"")</f>
        <v/>
      </c>
      <c r="K1547" s="108">
        <f>IF($I1547="▼ SORTIE",$U1547,"")</f>
        <v/>
      </c>
      <c r="L1547" s="109">
        <f>$L1546+N($J1547)-N($K1547)</f>
        <v/>
      </c>
      <c r="M1547" s="110" t="n"/>
      <c r="N1547" s="54" t="n"/>
      <c r="O1547" s="54" t="n"/>
      <c r="P1547" s="54" t="n"/>
      <c r="Q1547" s="110" t="n"/>
      <c r="R1547" s="110" t="n"/>
      <c r="S1547" s="54" t="n"/>
      <c r="T1547" s="111">
        <f>IF($G1547="","",IFERROR(INDEX(Taux_Devises,MATCH(IF($M1547="",Devise_Base,$M1547),Codes_Devises,0)),1))</f>
        <v/>
      </c>
      <c r="U1547" s="112">
        <f>IF($G1547="","",ROUND($G1547*$T1547,2))</f>
        <v/>
      </c>
      <c r="V1547" s="113">
        <f>IF($B1547="","",MONTH($B1547))</f>
        <v/>
      </c>
      <c r="W1547" s="113">
        <f>IF($B1547="","",YEAR($B1547))</f>
        <v/>
      </c>
    </row>
    <row r="1548">
      <c r="B1548" s="105" t="n"/>
      <c r="C1548" s="54" t="n"/>
      <c r="D1548" s="54" t="n"/>
      <c r="E1548" s="54" t="n"/>
      <c r="F1548" s="54" t="n"/>
      <c r="G1548" s="65" t="n"/>
      <c r="H1548" s="54" t="n"/>
      <c r="I1548" s="106">
        <f>IF($C1548="","",IFERROR(INDEX(Sens_Types,MATCH($C1548,Liste_Types,0)),""))</f>
        <v/>
      </c>
      <c r="J1548" s="107">
        <f>IF($I1548="▲ ENTRÉE",$U1548,"")</f>
        <v/>
      </c>
      <c r="K1548" s="108">
        <f>IF($I1548="▼ SORTIE",$U1548,"")</f>
        <v/>
      </c>
      <c r="L1548" s="109">
        <f>$L1547+N($J1548)-N($K1548)</f>
        <v/>
      </c>
      <c r="M1548" s="110" t="n"/>
      <c r="N1548" s="54" t="n"/>
      <c r="O1548" s="54" t="n"/>
      <c r="P1548" s="54" t="n"/>
      <c r="Q1548" s="110" t="n"/>
      <c r="R1548" s="110" t="n"/>
      <c r="S1548" s="54" t="n"/>
      <c r="T1548" s="111">
        <f>IF($G1548="","",IFERROR(INDEX(Taux_Devises,MATCH(IF($M1548="",Devise_Base,$M1548),Codes_Devises,0)),1))</f>
        <v/>
      </c>
      <c r="U1548" s="112">
        <f>IF($G1548="","",ROUND($G1548*$T1548,2))</f>
        <v/>
      </c>
      <c r="V1548" s="113">
        <f>IF($B1548="","",MONTH($B1548))</f>
        <v/>
      </c>
      <c r="W1548" s="113">
        <f>IF($B1548="","",YEAR($B1548))</f>
        <v/>
      </c>
    </row>
    <row r="1549">
      <c r="B1549" s="105" t="n"/>
      <c r="C1549" s="54" t="n"/>
      <c r="D1549" s="54" t="n"/>
      <c r="E1549" s="54" t="n"/>
      <c r="F1549" s="54" t="n"/>
      <c r="G1549" s="65" t="n"/>
      <c r="H1549" s="54" t="n"/>
      <c r="I1549" s="106">
        <f>IF($C1549="","",IFERROR(INDEX(Sens_Types,MATCH($C1549,Liste_Types,0)),""))</f>
        <v/>
      </c>
      <c r="J1549" s="107">
        <f>IF($I1549="▲ ENTRÉE",$U1549,"")</f>
        <v/>
      </c>
      <c r="K1549" s="108">
        <f>IF($I1549="▼ SORTIE",$U1549,"")</f>
        <v/>
      </c>
      <c r="L1549" s="109">
        <f>$L1548+N($J1549)-N($K1549)</f>
        <v/>
      </c>
      <c r="M1549" s="110" t="n"/>
      <c r="N1549" s="54" t="n"/>
      <c r="O1549" s="54" t="n"/>
      <c r="P1549" s="54" t="n"/>
      <c r="Q1549" s="110" t="n"/>
      <c r="R1549" s="110" t="n"/>
      <c r="S1549" s="54" t="n"/>
      <c r="T1549" s="111">
        <f>IF($G1549="","",IFERROR(INDEX(Taux_Devises,MATCH(IF($M1549="",Devise_Base,$M1549),Codes_Devises,0)),1))</f>
        <v/>
      </c>
      <c r="U1549" s="112">
        <f>IF($G1549="","",ROUND($G1549*$T1549,2))</f>
        <v/>
      </c>
      <c r="V1549" s="113">
        <f>IF($B1549="","",MONTH($B1549))</f>
        <v/>
      </c>
      <c r="W1549" s="113">
        <f>IF($B1549="","",YEAR($B1549))</f>
        <v/>
      </c>
    </row>
    <row r="1550">
      <c r="B1550" s="105" t="n"/>
      <c r="C1550" s="54" t="n"/>
      <c r="D1550" s="54" t="n"/>
      <c r="E1550" s="54" t="n"/>
      <c r="F1550" s="54" t="n"/>
      <c r="G1550" s="65" t="n"/>
      <c r="H1550" s="54" t="n"/>
      <c r="I1550" s="106">
        <f>IF($C1550="","",IFERROR(INDEX(Sens_Types,MATCH($C1550,Liste_Types,0)),""))</f>
        <v/>
      </c>
      <c r="J1550" s="107">
        <f>IF($I1550="▲ ENTRÉE",$U1550,"")</f>
        <v/>
      </c>
      <c r="K1550" s="108">
        <f>IF($I1550="▼ SORTIE",$U1550,"")</f>
        <v/>
      </c>
      <c r="L1550" s="109">
        <f>$L1549+N($J1550)-N($K1550)</f>
        <v/>
      </c>
      <c r="M1550" s="110" t="n"/>
      <c r="N1550" s="54" t="n"/>
      <c r="O1550" s="54" t="n"/>
      <c r="P1550" s="54" t="n"/>
      <c r="Q1550" s="110" t="n"/>
      <c r="R1550" s="110" t="n"/>
      <c r="S1550" s="54" t="n"/>
      <c r="T1550" s="111">
        <f>IF($G1550="","",IFERROR(INDEX(Taux_Devises,MATCH(IF($M1550="",Devise_Base,$M1550),Codes_Devises,0)),1))</f>
        <v/>
      </c>
      <c r="U1550" s="112">
        <f>IF($G1550="","",ROUND($G1550*$T1550,2))</f>
        <v/>
      </c>
      <c r="V1550" s="113">
        <f>IF($B1550="","",MONTH($B1550))</f>
        <v/>
      </c>
      <c r="W1550" s="113">
        <f>IF($B1550="","",YEAR($B1550))</f>
        <v/>
      </c>
    </row>
    <row r="1551">
      <c r="B1551" s="105" t="n"/>
      <c r="C1551" s="54" t="n"/>
      <c r="D1551" s="54" t="n"/>
      <c r="E1551" s="54" t="n"/>
      <c r="F1551" s="54" t="n"/>
      <c r="G1551" s="65" t="n"/>
      <c r="H1551" s="54" t="n"/>
      <c r="I1551" s="106">
        <f>IF($C1551="","",IFERROR(INDEX(Sens_Types,MATCH($C1551,Liste_Types,0)),""))</f>
        <v/>
      </c>
      <c r="J1551" s="107">
        <f>IF($I1551="▲ ENTRÉE",$U1551,"")</f>
        <v/>
      </c>
      <c r="K1551" s="108">
        <f>IF($I1551="▼ SORTIE",$U1551,"")</f>
        <v/>
      </c>
      <c r="L1551" s="109">
        <f>$L1550+N($J1551)-N($K1551)</f>
        <v/>
      </c>
      <c r="M1551" s="110" t="n"/>
      <c r="N1551" s="54" t="n"/>
      <c r="O1551" s="54" t="n"/>
      <c r="P1551" s="54" t="n"/>
      <c r="Q1551" s="110" t="n"/>
      <c r="R1551" s="110" t="n"/>
      <c r="S1551" s="54" t="n"/>
      <c r="T1551" s="111">
        <f>IF($G1551="","",IFERROR(INDEX(Taux_Devises,MATCH(IF($M1551="",Devise_Base,$M1551),Codes_Devises,0)),1))</f>
        <v/>
      </c>
      <c r="U1551" s="112">
        <f>IF($G1551="","",ROUND($G1551*$T1551,2))</f>
        <v/>
      </c>
      <c r="V1551" s="113">
        <f>IF($B1551="","",MONTH($B1551))</f>
        <v/>
      </c>
      <c r="W1551" s="113">
        <f>IF($B1551="","",YEAR($B1551))</f>
        <v/>
      </c>
    </row>
    <row r="1552">
      <c r="B1552" s="105" t="n"/>
      <c r="C1552" s="54" t="n"/>
      <c r="D1552" s="54" t="n"/>
      <c r="E1552" s="54" t="n"/>
      <c r="F1552" s="54" t="n"/>
      <c r="G1552" s="65" t="n"/>
      <c r="H1552" s="54" t="n"/>
      <c r="I1552" s="106">
        <f>IF($C1552="","",IFERROR(INDEX(Sens_Types,MATCH($C1552,Liste_Types,0)),""))</f>
        <v/>
      </c>
      <c r="J1552" s="107">
        <f>IF($I1552="▲ ENTRÉE",$U1552,"")</f>
        <v/>
      </c>
      <c r="K1552" s="108">
        <f>IF($I1552="▼ SORTIE",$U1552,"")</f>
        <v/>
      </c>
      <c r="L1552" s="109">
        <f>$L1551+N($J1552)-N($K1552)</f>
        <v/>
      </c>
      <c r="M1552" s="110" t="n"/>
      <c r="N1552" s="54" t="n"/>
      <c r="O1552" s="54" t="n"/>
      <c r="P1552" s="54" t="n"/>
      <c r="Q1552" s="110" t="n"/>
      <c r="R1552" s="110" t="n"/>
      <c r="S1552" s="54" t="n"/>
      <c r="T1552" s="111">
        <f>IF($G1552="","",IFERROR(INDEX(Taux_Devises,MATCH(IF($M1552="",Devise_Base,$M1552),Codes_Devises,0)),1))</f>
        <v/>
      </c>
      <c r="U1552" s="112">
        <f>IF($G1552="","",ROUND($G1552*$T1552,2))</f>
        <v/>
      </c>
      <c r="V1552" s="113">
        <f>IF($B1552="","",MONTH($B1552))</f>
        <v/>
      </c>
      <c r="W1552" s="113">
        <f>IF($B1552="","",YEAR($B1552))</f>
        <v/>
      </c>
    </row>
    <row r="1553">
      <c r="B1553" s="105" t="n"/>
      <c r="C1553" s="54" t="n"/>
      <c r="D1553" s="54" t="n"/>
      <c r="E1553" s="54" t="n"/>
      <c r="F1553" s="54" t="n"/>
      <c r="G1553" s="65" t="n"/>
      <c r="H1553" s="54" t="n"/>
      <c r="I1553" s="106">
        <f>IF($C1553="","",IFERROR(INDEX(Sens_Types,MATCH($C1553,Liste_Types,0)),""))</f>
        <v/>
      </c>
      <c r="J1553" s="107">
        <f>IF($I1553="▲ ENTRÉE",$U1553,"")</f>
        <v/>
      </c>
      <c r="K1553" s="108">
        <f>IF($I1553="▼ SORTIE",$U1553,"")</f>
        <v/>
      </c>
      <c r="L1553" s="109">
        <f>$L1552+N($J1553)-N($K1553)</f>
        <v/>
      </c>
      <c r="M1553" s="110" t="n"/>
      <c r="N1553" s="54" t="n"/>
      <c r="O1553" s="54" t="n"/>
      <c r="P1553" s="54" t="n"/>
      <c r="Q1553" s="110" t="n"/>
      <c r="R1553" s="110" t="n"/>
      <c r="S1553" s="54" t="n"/>
      <c r="T1553" s="111">
        <f>IF($G1553="","",IFERROR(INDEX(Taux_Devises,MATCH(IF($M1553="",Devise_Base,$M1553),Codes_Devises,0)),1))</f>
        <v/>
      </c>
      <c r="U1553" s="112">
        <f>IF($G1553="","",ROUND($G1553*$T1553,2))</f>
        <v/>
      </c>
      <c r="V1553" s="113">
        <f>IF($B1553="","",MONTH($B1553))</f>
        <v/>
      </c>
      <c r="W1553" s="113">
        <f>IF($B1553="","",YEAR($B1553))</f>
        <v/>
      </c>
    </row>
    <row r="1554">
      <c r="B1554" s="105" t="n"/>
      <c r="C1554" s="54" t="n"/>
      <c r="D1554" s="54" t="n"/>
      <c r="E1554" s="54" t="n"/>
      <c r="F1554" s="54" t="n"/>
      <c r="G1554" s="65" t="n"/>
      <c r="H1554" s="54" t="n"/>
      <c r="I1554" s="106">
        <f>IF($C1554="","",IFERROR(INDEX(Sens_Types,MATCH($C1554,Liste_Types,0)),""))</f>
        <v/>
      </c>
      <c r="J1554" s="107">
        <f>IF($I1554="▲ ENTRÉE",$U1554,"")</f>
        <v/>
      </c>
      <c r="K1554" s="108">
        <f>IF($I1554="▼ SORTIE",$U1554,"")</f>
        <v/>
      </c>
      <c r="L1554" s="109">
        <f>$L1553+N($J1554)-N($K1554)</f>
        <v/>
      </c>
      <c r="M1554" s="110" t="n"/>
      <c r="N1554" s="54" t="n"/>
      <c r="O1554" s="54" t="n"/>
      <c r="P1554" s="54" t="n"/>
      <c r="Q1554" s="110" t="n"/>
      <c r="R1554" s="110" t="n"/>
      <c r="S1554" s="54" t="n"/>
      <c r="T1554" s="111">
        <f>IF($G1554="","",IFERROR(INDEX(Taux_Devises,MATCH(IF($M1554="",Devise_Base,$M1554),Codes_Devises,0)),1))</f>
        <v/>
      </c>
      <c r="U1554" s="112">
        <f>IF($G1554="","",ROUND($G1554*$T1554,2))</f>
        <v/>
      </c>
      <c r="V1554" s="113">
        <f>IF($B1554="","",MONTH($B1554))</f>
        <v/>
      </c>
      <c r="W1554" s="113">
        <f>IF($B1554="","",YEAR($B1554))</f>
        <v/>
      </c>
    </row>
    <row r="1555">
      <c r="B1555" s="105" t="n"/>
      <c r="C1555" s="54" t="n"/>
      <c r="D1555" s="54" t="n"/>
      <c r="E1555" s="54" t="n"/>
      <c r="F1555" s="54" t="n"/>
      <c r="G1555" s="65" t="n"/>
      <c r="H1555" s="54" t="n"/>
      <c r="I1555" s="106">
        <f>IF($C1555="","",IFERROR(INDEX(Sens_Types,MATCH($C1555,Liste_Types,0)),""))</f>
        <v/>
      </c>
      <c r="J1555" s="107">
        <f>IF($I1555="▲ ENTRÉE",$U1555,"")</f>
        <v/>
      </c>
      <c r="K1555" s="108">
        <f>IF($I1555="▼ SORTIE",$U1555,"")</f>
        <v/>
      </c>
      <c r="L1555" s="109">
        <f>$L1554+N($J1555)-N($K1555)</f>
        <v/>
      </c>
      <c r="M1555" s="110" t="n"/>
      <c r="N1555" s="54" t="n"/>
      <c r="O1555" s="54" t="n"/>
      <c r="P1555" s="54" t="n"/>
      <c r="Q1555" s="110" t="n"/>
      <c r="R1555" s="110" t="n"/>
      <c r="S1555" s="54" t="n"/>
      <c r="T1555" s="111">
        <f>IF($G1555="","",IFERROR(INDEX(Taux_Devises,MATCH(IF($M1555="",Devise_Base,$M1555),Codes_Devises,0)),1))</f>
        <v/>
      </c>
      <c r="U1555" s="112">
        <f>IF($G1555="","",ROUND($G1555*$T1555,2))</f>
        <v/>
      </c>
      <c r="V1555" s="113">
        <f>IF($B1555="","",MONTH($B1555))</f>
        <v/>
      </c>
      <c r="W1555" s="113">
        <f>IF($B1555="","",YEAR($B1555))</f>
        <v/>
      </c>
    </row>
    <row r="1556">
      <c r="B1556" s="105" t="n"/>
      <c r="C1556" s="54" t="n"/>
      <c r="D1556" s="54" t="n"/>
      <c r="E1556" s="54" t="n"/>
      <c r="F1556" s="54" t="n"/>
      <c r="G1556" s="65" t="n"/>
      <c r="H1556" s="54" t="n"/>
      <c r="I1556" s="106">
        <f>IF($C1556="","",IFERROR(INDEX(Sens_Types,MATCH($C1556,Liste_Types,0)),""))</f>
        <v/>
      </c>
      <c r="J1556" s="107">
        <f>IF($I1556="▲ ENTRÉE",$U1556,"")</f>
        <v/>
      </c>
      <c r="K1556" s="108">
        <f>IF($I1556="▼ SORTIE",$U1556,"")</f>
        <v/>
      </c>
      <c r="L1556" s="109">
        <f>$L1555+N($J1556)-N($K1556)</f>
        <v/>
      </c>
      <c r="M1556" s="110" t="n"/>
      <c r="N1556" s="54" t="n"/>
      <c r="O1556" s="54" t="n"/>
      <c r="P1556" s="54" t="n"/>
      <c r="Q1556" s="110" t="n"/>
      <c r="R1556" s="110" t="n"/>
      <c r="S1556" s="54" t="n"/>
      <c r="T1556" s="111">
        <f>IF($G1556="","",IFERROR(INDEX(Taux_Devises,MATCH(IF($M1556="",Devise_Base,$M1556),Codes_Devises,0)),1))</f>
        <v/>
      </c>
      <c r="U1556" s="112">
        <f>IF($G1556="","",ROUND($G1556*$T1556,2))</f>
        <v/>
      </c>
      <c r="V1556" s="113">
        <f>IF($B1556="","",MONTH($B1556))</f>
        <v/>
      </c>
      <c r="W1556" s="113">
        <f>IF($B1556="","",YEAR($B1556))</f>
        <v/>
      </c>
    </row>
    <row r="1557">
      <c r="B1557" s="105" t="n"/>
      <c r="C1557" s="54" t="n"/>
      <c r="D1557" s="54" t="n"/>
      <c r="E1557" s="54" t="n"/>
      <c r="F1557" s="54" t="n"/>
      <c r="G1557" s="65" t="n"/>
      <c r="H1557" s="54" t="n"/>
      <c r="I1557" s="106">
        <f>IF($C1557="","",IFERROR(INDEX(Sens_Types,MATCH($C1557,Liste_Types,0)),""))</f>
        <v/>
      </c>
      <c r="J1557" s="107">
        <f>IF($I1557="▲ ENTRÉE",$U1557,"")</f>
        <v/>
      </c>
      <c r="K1557" s="108">
        <f>IF($I1557="▼ SORTIE",$U1557,"")</f>
        <v/>
      </c>
      <c r="L1557" s="109">
        <f>$L1556+N($J1557)-N($K1557)</f>
        <v/>
      </c>
      <c r="M1557" s="110" t="n"/>
      <c r="N1557" s="54" t="n"/>
      <c r="O1557" s="54" t="n"/>
      <c r="P1557" s="54" t="n"/>
      <c r="Q1557" s="110" t="n"/>
      <c r="R1557" s="110" t="n"/>
      <c r="S1557" s="54" t="n"/>
      <c r="T1557" s="111">
        <f>IF($G1557="","",IFERROR(INDEX(Taux_Devises,MATCH(IF($M1557="",Devise_Base,$M1557),Codes_Devises,0)),1))</f>
        <v/>
      </c>
      <c r="U1557" s="112">
        <f>IF($G1557="","",ROUND($G1557*$T1557,2))</f>
        <v/>
      </c>
      <c r="V1557" s="113">
        <f>IF($B1557="","",MONTH($B1557))</f>
        <v/>
      </c>
      <c r="W1557" s="113">
        <f>IF($B1557="","",YEAR($B1557))</f>
        <v/>
      </c>
    </row>
    <row r="1558">
      <c r="B1558" s="105" t="n"/>
      <c r="C1558" s="54" t="n"/>
      <c r="D1558" s="54" t="n"/>
      <c r="E1558" s="54" t="n"/>
      <c r="F1558" s="54" t="n"/>
      <c r="G1558" s="65" t="n"/>
      <c r="H1558" s="54" t="n"/>
      <c r="I1558" s="106">
        <f>IF($C1558="","",IFERROR(INDEX(Sens_Types,MATCH($C1558,Liste_Types,0)),""))</f>
        <v/>
      </c>
      <c r="J1558" s="107">
        <f>IF($I1558="▲ ENTRÉE",$U1558,"")</f>
        <v/>
      </c>
      <c r="K1558" s="108">
        <f>IF($I1558="▼ SORTIE",$U1558,"")</f>
        <v/>
      </c>
      <c r="L1558" s="109">
        <f>$L1557+N($J1558)-N($K1558)</f>
        <v/>
      </c>
      <c r="M1558" s="110" t="n"/>
      <c r="N1558" s="54" t="n"/>
      <c r="O1558" s="54" t="n"/>
      <c r="P1558" s="54" t="n"/>
      <c r="Q1558" s="110" t="n"/>
      <c r="R1558" s="110" t="n"/>
      <c r="S1558" s="54" t="n"/>
      <c r="T1558" s="111">
        <f>IF($G1558="","",IFERROR(INDEX(Taux_Devises,MATCH(IF($M1558="",Devise_Base,$M1558),Codes_Devises,0)),1))</f>
        <v/>
      </c>
      <c r="U1558" s="112">
        <f>IF($G1558="","",ROUND($G1558*$T1558,2))</f>
        <v/>
      </c>
      <c r="V1558" s="113">
        <f>IF($B1558="","",MONTH($B1558))</f>
        <v/>
      </c>
      <c r="W1558" s="113">
        <f>IF($B1558="","",YEAR($B1558))</f>
        <v/>
      </c>
    </row>
    <row r="1559">
      <c r="B1559" s="105" t="n"/>
      <c r="C1559" s="54" t="n"/>
      <c r="D1559" s="54" t="n"/>
      <c r="E1559" s="54" t="n"/>
      <c r="F1559" s="54" t="n"/>
      <c r="G1559" s="65" t="n"/>
      <c r="H1559" s="54" t="n"/>
      <c r="I1559" s="106">
        <f>IF($C1559="","",IFERROR(INDEX(Sens_Types,MATCH($C1559,Liste_Types,0)),""))</f>
        <v/>
      </c>
      <c r="J1559" s="107">
        <f>IF($I1559="▲ ENTRÉE",$U1559,"")</f>
        <v/>
      </c>
      <c r="K1559" s="108">
        <f>IF($I1559="▼ SORTIE",$U1559,"")</f>
        <v/>
      </c>
      <c r="L1559" s="109">
        <f>$L1558+N($J1559)-N($K1559)</f>
        <v/>
      </c>
      <c r="M1559" s="110" t="n"/>
      <c r="N1559" s="54" t="n"/>
      <c r="O1559" s="54" t="n"/>
      <c r="P1559" s="54" t="n"/>
      <c r="Q1559" s="110" t="n"/>
      <c r="R1559" s="110" t="n"/>
      <c r="S1559" s="54" t="n"/>
      <c r="T1559" s="111">
        <f>IF($G1559="","",IFERROR(INDEX(Taux_Devises,MATCH(IF($M1559="",Devise_Base,$M1559),Codes_Devises,0)),1))</f>
        <v/>
      </c>
      <c r="U1559" s="112">
        <f>IF($G1559="","",ROUND($G1559*$T1559,2))</f>
        <v/>
      </c>
      <c r="V1559" s="113">
        <f>IF($B1559="","",MONTH($B1559))</f>
        <v/>
      </c>
      <c r="W1559" s="113">
        <f>IF($B1559="","",YEAR($B1559))</f>
        <v/>
      </c>
    </row>
    <row r="1560">
      <c r="B1560" s="105" t="n"/>
      <c r="C1560" s="54" t="n"/>
      <c r="D1560" s="54" t="n"/>
      <c r="E1560" s="54" t="n"/>
      <c r="F1560" s="54" t="n"/>
      <c r="G1560" s="65" t="n"/>
      <c r="H1560" s="54" t="n"/>
      <c r="I1560" s="106">
        <f>IF($C1560="","",IFERROR(INDEX(Sens_Types,MATCH($C1560,Liste_Types,0)),""))</f>
        <v/>
      </c>
      <c r="J1560" s="107">
        <f>IF($I1560="▲ ENTRÉE",$U1560,"")</f>
        <v/>
      </c>
      <c r="K1560" s="108">
        <f>IF($I1560="▼ SORTIE",$U1560,"")</f>
        <v/>
      </c>
      <c r="L1560" s="109">
        <f>$L1559+N($J1560)-N($K1560)</f>
        <v/>
      </c>
      <c r="M1560" s="110" t="n"/>
      <c r="N1560" s="54" t="n"/>
      <c r="O1560" s="54" t="n"/>
      <c r="P1560" s="54" t="n"/>
      <c r="Q1560" s="110" t="n"/>
      <c r="R1560" s="110" t="n"/>
      <c r="S1560" s="54" t="n"/>
      <c r="T1560" s="111">
        <f>IF($G1560="","",IFERROR(INDEX(Taux_Devises,MATCH(IF($M1560="",Devise_Base,$M1560),Codes_Devises,0)),1))</f>
        <v/>
      </c>
      <c r="U1560" s="112">
        <f>IF($G1560="","",ROUND($G1560*$T1560,2))</f>
        <v/>
      </c>
      <c r="V1560" s="113">
        <f>IF($B1560="","",MONTH($B1560))</f>
        <v/>
      </c>
      <c r="W1560" s="113">
        <f>IF($B1560="","",YEAR($B1560))</f>
        <v/>
      </c>
    </row>
    <row r="1561">
      <c r="B1561" s="105" t="n"/>
      <c r="C1561" s="54" t="n"/>
      <c r="D1561" s="54" t="n"/>
      <c r="E1561" s="54" t="n"/>
      <c r="F1561" s="54" t="n"/>
      <c r="G1561" s="65" t="n"/>
      <c r="H1561" s="54" t="n"/>
      <c r="I1561" s="106">
        <f>IF($C1561="","",IFERROR(INDEX(Sens_Types,MATCH($C1561,Liste_Types,0)),""))</f>
        <v/>
      </c>
      <c r="J1561" s="107">
        <f>IF($I1561="▲ ENTRÉE",$U1561,"")</f>
        <v/>
      </c>
      <c r="K1561" s="108">
        <f>IF($I1561="▼ SORTIE",$U1561,"")</f>
        <v/>
      </c>
      <c r="L1561" s="109">
        <f>$L1560+N($J1561)-N($K1561)</f>
        <v/>
      </c>
      <c r="M1561" s="110" t="n"/>
      <c r="N1561" s="54" t="n"/>
      <c r="O1561" s="54" t="n"/>
      <c r="P1561" s="54" t="n"/>
      <c r="Q1561" s="110" t="n"/>
      <c r="R1561" s="110" t="n"/>
      <c r="S1561" s="54" t="n"/>
      <c r="T1561" s="111">
        <f>IF($G1561="","",IFERROR(INDEX(Taux_Devises,MATCH(IF($M1561="",Devise_Base,$M1561),Codes_Devises,0)),1))</f>
        <v/>
      </c>
      <c r="U1561" s="112">
        <f>IF($G1561="","",ROUND($G1561*$T1561,2))</f>
        <v/>
      </c>
      <c r="V1561" s="113">
        <f>IF($B1561="","",MONTH($B1561))</f>
        <v/>
      </c>
      <c r="W1561" s="113">
        <f>IF($B1561="","",YEAR($B1561))</f>
        <v/>
      </c>
    </row>
    <row r="1562">
      <c r="B1562" s="105" t="n"/>
      <c r="C1562" s="54" t="n"/>
      <c r="D1562" s="54" t="n"/>
      <c r="E1562" s="54" t="n"/>
      <c r="F1562" s="54" t="n"/>
      <c r="G1562" s="65" t="n"/>
      <c r="H1562" s="54" t="n"/>
      <c r="I1562" s="106">
        <f>IF($C1562="","",IFERROR(INDEX(Sens_Types,MATCH($C1562,Liste_Types,0)),""))</f>
        <v/>
      </c>
      <c r="J1562" s="107">
        <f>IF($I1562="▲ ENTRÉE",$U1562,"")</f>
        <v/>
      </c>
      <c r="K1562" s="108">
        <f>IF($I1562="▼ SORTIE",$U1562,"")</f>
        <v/>
      </c>
      <c r="L1562" s="109">
        <f>$L1561+N($J1562)-N($K1562)</f>
        <v/>
      </c>
      <c r="M1562" s="110" t="n"/>
      <c r="N1562" s="54" t="n"/>
      <c r="O1562" s="54" t="n"/>
      <c r="P1562" s="54" t="n"/>
      <c r="Q1562" s="110" t="n"/>
      <c r="R1562" s="110" t="n"/>
      <c r="S1562" s="54" t="n"/>
      <c r="T1562" s="111">
        <f>IF($G1562="","",IFERROR(INDEX(Taux_Devises,MATCH(IF($M1562="",Devise_Base,$M1562),Codes_Devises,0)),1))</f>
        <v/>
      </c>
      <c r="U1562" s="112">
        <f>IF($G1562="","",ROUND($G1562*$T1562,2))</f>
        <v/>
      </c>
      <c r="V1562" s="113">
        <f>IF($B1562="","",MONTH($B1562))</f>
        <v/>
      </c>
      <c r="W1562" s="113">
        <f>IF($B1562="","",YEAR($B1562))</f>
        <v/>
      </c>
    </row>
    <row r="1563">
      <c r="B1563" s="105" t="n"/>
      <c r="C1563" s="54" t="n"/>
      <c r="D1563" s="54" t="n"/>
      <c r="E1563" s="54" t="n"/>
      <c r="F1563" s="54" t="n"/>
      <c r="G1563" s="65" t="n"/>
      <c r="H1563" s="54" t="n"/>
      <c r="I1563" s="106">
        <f>IF($C1563="","",IFERROR(INDEX(Sens_Types,MATCH($C1563,Liste_Types,0)),""))</f>
        <v/>
      </c>
      <c r="J1563" s="107">
        <f>IF($I1563="▲ ENTRÉE",$U1563,"")</f>
        <v/>
      </c>
      <c r="K1563" s="108">
        <f>IF($I1563="▼ SORTIE",$U1563,"")</f>
        <v/>
      </c>
      <c r="L1563" s="109">
        <f>$L1562+N($J1563)-N($K1563)</f>
        <v/>
      </c>
      <c r="M1563" s="110" t="n"/>
      <c r="N1563" s="54" t="n"/>
      <c r="O1563" s="54" t="n"/>
      <c r="P1563" s="54" t="n"/>
      <c r="Q1563" s="110" t="n"/>
      <c r="R1563" s="110" t="n"/>
      <c r="S1563" s="54" t="n"/>
      <c r="T1563" s="111">
        <f>IF($G1563="","",IFERROR(INDEX(Taux_Devises,MATCH(IF($M1563="",Devise_Base,$M1563),Codes_Devises,0)),1))</f>
        <v/>
      </c>
      <c r="U1563" s="112">
        <f>IF($G1563="","",ROUND($G1563*$T1563,2))</f>
        <v/>
      </c>
      <c r="V1563" s="113">
        <f>IF($B1563="","",MONTH($B1563))</f>
        <v/>
      </c>
      <c r="W1563" s="113">
        <f>IF($B1563="","",YEAR($B1563))</f>
        <v/>
      </c>
    </row>
    <row r="1564">
      <c r="B1564" s="105" t="n"/>
      <c r="C1564" s="54" t="n"/>
      <c r="D1564" s="54" t="n"/>
      <c r="E1564" s="54" t="n"/>
      <c r="F1564" s="54" t="n"/>
      <c r="G1564" s="65" t="n"/>
      <c r="H1564" s="54" t="n"/>
      <c r="I1564" s="106">
        <f>IF($C1564="","",IFERROR(INDEX(Sens_Types,MATCH($C1564,Liste_Types,0)),""))</f>
        <v/>
      </c>
      <c r="J1564" s="107">
        <f>IF($I1564="▲ ENTRÉE",$U1564,"")</f>
        <v/>
      </c>
      <c r="K1564" s="108">
        <f>IF($I1564="▼ SORTIE",$U1564,"")</f>
        <v/>
      </c>
      <c r="L1564" s="109">
        <f>$L1563+N($J1564)-N($K1564)</f>
        <v/>
      </c>
      <c r="M1564" s="110" t="n"/>
      <c r="N1564" s="54" t="n"/>
      <c r="O1564" s="54" t="n"/>
      <c r="P1564" s="54" t="n"/>
      <c r="Q1564" s="110" t="n"/>
      <c r="R1564" s="110" t="n"/>
      <c r="S1564" s="54" t="n"/>
      <c r="T1564" s="111">
        <f>IF($G1564="","",IFERROR(INDEX(Taux_Devises,MATCH(IF($M1564="",Devise_Base,$M1564),Codes_Devises,0)),1))</f>
        <v/>
      </c>
      <c r="U1564" s="112">
        <f>IF($G1564="","",ROUND($G1564*$T1564,2))</f>
        <v/>
      </c>
      <c r="V1564" s="113">
        <f>IF($B1564="","",MONTH($B1564))</f>
        <v/>
      </c>
      <c r="W1564" s="113">
        <f>IF($B1564="","",YEAR($B1564))</f>
        <v/>
      </c>
    </row>
    <row r="1565">
      <c r="B1565" s="105" t="n"/>
      <c r="C1565" s="54" t="n"/>
      <c r="D1565" s="54" t="n"/>
      <c r="E1565" s="54" t="n"/>
      <c r="F1565" s="54" t="n"/>
      <c r="G1565" s="65" t="n"/>
      <c r="H1565" s="54" t="n"/>
      <c r="I1565" s="106">
        <f>IF($C1565="","",IFERROR(INDEX(Sens_Types,MATCH($C1565,Liste_Types,0)),""))</f>
        <v/>
      </c>
      <c r="J1565" s="107">
        <f>IF($I1565="▲ ENTRÉE",$U1565,"")</f>
        <v/>
      </c>
      <c r="K1565" s="108">
        <f>IF($I1565="▼ SORTIE",$U1565,"")</f>
        <v/>
      </c>
      <c r="L1565" s="109">
        <f>$L1564+N($J1565)-N($K1565)</f>
        <v/>
      </c>
      <c r="M1565" s="110" t="n"/>
      <c r="N1565" s="54" t="n"/>
      <c r="O1565" s="54" t="n"/>
      <c r="P1565" s="54" t="n"/>
      <c r="Q1565" s="110" t="n"/>
      <c r="R1565" s="110" t="n"/>
      <c r="S1565" s="54" t="n"/>
      <c r="T1565" s="111">
        <f>IF($G1565="","",IFERROR(INDEX(Taux_Devises,MATCH(IF($M1565="",Devise_Base,$M1565),Codes_Devises,0)),1))</f>
        <v/>
      </c>
      <c r="U1565" s="112">
        <f>IF($G1565="","",ROUND($G1565*$T1565,2))</f>
        <v/>
      </c>
      <c r="V1565" s="113">
        <f>IF($B1565="","",MONTH($B1565))</f>
        <v/>
      </c>
      <c r="W1565" s="113">
        <f>IF($B1565="","",YEAR($B1565))</f>
        <v/>
      </c>
    </row>
    <row r="1566">
      <c r="B1566" s="105" t="n"/>
      <c r="C1566" s="54" t="n"/>
      <c r="D1566" s="54" t="n"/>
      <c r="E1566" s="54" t="n"/>
      <c r="F1566" s="54" t="n"/>
      <c r="G1566" s="65" t="n"/>
      <c r="H1566" s="54" t="n"/>
      <c r="I1566" s="106">
        <f>IF($C1566="","",IFERROR(INDEX(Sens_Types,MATCH($C1566,Liste_Types,0)),""))</f>
        <v/>
      </c>
      <c r="J1566" s="107">
        <f>IF($I1566="▲ ENTRÉE",$U1566,"")</f>
        <v/>
      </c>
      <c r="K1566" s="108">
        <f>IF($I1566="▼ SORTIE",$U1566,"")</f>
        <v/>
      </c>
      <c r="L1566" s="109">
        <f>$L1565+N($J1566)-N($K1566)</f>
        <v/>
      </c>
      <c r="M1566" s="110" t="n"/>
      <c r="N1566" s="54" t="n"/>
      <c r="O1566" s="54" t="n"/>
      <c r="P1566" s="54" t="n"/>
      <c r="Q1566" s="110" t="n"/>
      <c r="R1566" s="110" t="n"/>
      <c r="S1566" s="54" t="n"/>
      <c r="T1566" s="111">
        <f>IF($G1566="","",IFERROR(INDEX(Taux_Devises,MATCH(IF($M1566="",Devise_Base,$M1566),Codes_Devises,0)),1))</f>
        <v/>
      </c>
      <c r="U1566" s="112">
        <f>IF($G1566="","",ROUND($G1566*$T1566,2))</f>
        <v/>
      </c>
      <c r="V1566" s="113">
        <f>IF($B1566="","",MONTH($B1566))</f>
        <v/>
      </c>
      <c r="W1566" s="113">
        <f>IF($B1566="","",YEAR($B1566))</f>
        <v/>
      </c>
    </row>
    <row r="1567">
      <c r="B1567" s="105" t="n"/>
      <c r="C1567" s="54" t="n"/>
      <c r="D1567" s="54" t="n"/>
      <c r="E1567" s="54" t="n"/>
      <c r="F1567" s="54" t="n"/>
      <c r="G1567" s="65" t="n"/>
      <c r="H1567" s="54" t="n"/>
      <c r="I1567" s="106">
        <f>IF($C1567="","",IFERROR(INDEX(Sens_Types,MATCH($C1567,Liste_Types,0)),""))</f>
        <v/>
      </c>
      <c r="J1567" s="107">
        <f>IF($I1567="▲ ENTRÉE",$U1567,"")</f>
        <v/>
      </c>
      <c r="K1567" s="108">
        <f>IF($I1567="▼ SORTIE",$U1567,"")</f>
        <v/>
      </c>
      <c r="L1567" s="109">
        <f>$L1566+N($J1567)-N($K1567)</f>
        <v/>
      </c>
      <c r="M1567" s="110" t="n"/>
      <c r="N1567" s="54" t="n"/>
      <c r="O1567" s="54" t="n"/>
      <c r="P1567" s="54" t="n"/>
      <c r="Q1567" s="110" t="n"/>
      <c r="R1567" s="110" t="n"/>
      <c r="S1567" s="54" t="n"/>
      <c r="T1567" s="111">
        <f>IF($G1567="","",IFERROR(INDEX(Taux_Devises,MATCH(IF($M1567="",Devise_Base,$M1567),Codes_Devises,0)),1))</f>
        <v/>
      </c>
      <c r="U1567" s="112">
        <f>IF($G1567="","",ROUND($G1567*$T1567,2))</f>
        <v/>
      </c>
      <c r="V1567" s="113">
        <f>IF($B1567="","",MONTH($B1567))</f>
        <v/>
      </c>
      <c r="W1567" s="113">
        <f>IF($B1567="","",YEAR($B1567))</f>
        <v/>
      </c>
    </row>
    <row r="1568">
      <c r="B1568" s="105" t="n"/>
      <c r="C1568" s="54" t="n"/>
      <c r="D1568" s="54" t="n"/>
      <c r="E1568" s="54" t="n"/>
      <c r="F1568" s="54" t="n"/>
      <c r="G1568" s="65" t="n"/>
      <c r="H1568" s="54" t="n"/>
      <c r="I1568" s="106">
        <f>IF($C1568="","",IFERROR(INDEX(Sens_Types,MATCH($C1568,Liste_Types,0)),""))</f>
        <v/>
      </c>
      <c r="J1568" s="107">
        <f>IF($I1568="▲ ENTRÉE",$U1568,"")</f>
        <v/>
      </c>
      <c r="K1568" s="108">
        <f>IF($I1568="▼ SORTIE",$U1568,"")</f>
        <v/>
      </c>
      <c r="L1568" s="109">
        <f>$L1567+N($J1568)-N($K1568)</f>
        <v/>
      </c>
      <c r="M1568" s="110" t="n"/>
      <c r="N1568" s="54" t="n"/>
      <c r="O1568" s="54" t="n"/>
      <c r="P1568" s="54" t="n"/>
      <c r="Q1568" s="110" t="n"/>
      <c r="R1568" s="110" t="n"/>
      <c r="S1568" s="54" t="n"/>
      <c r="T1568" s="111">
        <f>IF($G1568="","",IFERROR(INDEX(Taux_Devises,MATCH(IF($M1568="",Devise_Base,$M1568),Codes_Devises,0)),1))</f>
        <v/>
      </c>
      <c r="U1568" s="112">
        <f>IF($G1568="","",ROUND($G1568*$T1568,2))</f>
        <v/>
      </c>
      <c r="V1568" s="113">
        <f>IF($B1568="","",MONTH($B1568))</f>
        <v/>
      </c>
      <c r="W1568" s="113">
        <f>IF($B1568="","",YEAR($B1568))</f>
        <v/>
      </c>
    </row>
    <row r="1569">
      <c r="B1569" s="105" t="n"/>
      <c r="C1569" s="54" t="n"/>
      <c r="D1569" s="54" t="n"/>
      <c r="E1569" s="54" t="n"/>
      <c r="F1569" s="54" t="n"/>
      <c r="G1569" s="65" t="n"/>
      <c r="H1569" s="54" t="n"/>
      <c r="I1569" s="106">
        <f>IF($C1569="","",IFERROR(INDEX(Sens_Types,MATCH($C1569,Liste_Types,0)),""))</f>
        <v/>
      </c>
      <c r="J1569" s="107">
        <f>IF($I1569="▲ ENTRÉE",$U1569,"")</f>
        <v/>
      </c>
      <c r="K1569" s="108">
        <f>IF($I1569="▼ SORTIE",$U1569,"")</f>
        <v/>
      </c>
      <c r="L1569" s="109">
        <f>$L1568+N($J1569)-N($K1569)</f>
        <v/>
      </c>
      <c r="M1569" s="110" t="n"/>
      <c r="N1569" s="54" t="n"/>
      <c r="O1569" s="54" t="n"/>
      <c r="P1569" s="54" t="n"/>
      <c r="Q1569" s="110" t="n"/>
      <c r="R1569" s="110" t="n"/>
      <c r="S1569" s="54" t="n"/>
      <c r="T1569" s="111">
        <f>IF($G1569="","",IFERROR(INDEX(Taux_Devises,MATCH(IF($M1569="",Devise_Base,$M1569),Codes_Devises,0)),1))</f>
        <v/>
      </c>
      <c r="U1569" s="112">
        <f>IF($G1569="","",ROUND($G1569*$T1569,2))</f>
        <v/>
      </c>
      <c r="V1569" s="113">
        <f>IF($B1569="","",MONTH($B1569))</f>
        <v/>
      </c>
      <c r="W1569" s="113">
        <f>IF($B1569="","",YEAR($B1569))</f>
        <v/>
      </c>
    </row>
    <row r="1570">
      <c r="B1570" s="105" t="n"/>
      <c r="C1570" s="54" t="n"/>
      <c r="D1570" s="54" t="n"/>
      <c r="E1570" s="54" t="n"/>
      <c r="F1570" s="54" t="n"/>
      <c r="G1570" s="65" t="n"/>
      <c r="H1570" s="54" t="n"/>
      <c r="I1570" s="106">
        <f>IF($C1570="","",IFERROR(INDEX(Sens_Types,MATCH($C1570,Liste_Types,0)),""))</f>
        <v/>
      </c>
      <c r="J1570" s="107">
        <f>IF($I1570="▲ ENTRÉE",$U1570,"")</f>
        <v/>
      </c>
      <c r="K1570" s="108">
        <f>IF($I1570="▼ SORTIE",$U1570,"")</f>
        <v/>
      </c>
      <c r="L1570" s="109">
        <f>$L1569+N($J1570)-N($K1570)</f>
        <v/>
      </c>
      <c r="M1570" s="110" t="n"/>
      <c r="N1570" s="54" t="n"/>
      <c r="O1570" s="54" t="n"/>
      <c r="P1570" s="54" t="n"/>
      <c r="Q1570" s="110" t="n"/>
      <c r="R1570" s="110" t="n"/>
      <c r="S1570" s="54" t="n"/>
      <c r="T1570" s="111">
        <f>IF($G1570="","",IFERROR(INDEX(Taux_Devises,MATCH(IF($M1570="",Devise_Base,$M1570),Codes_Devises,0)),1))</f>
        <v/>
      </c>
      <c r="U1570" s="112">
        <f>IF($G1570="","",ROUND($G1570*$T1570,2))</f>
        <v/>
      </c>
      <c r="V1570" s="113">
        <f>IF($B1570="","",MONTH($B1570))</f>
        <v/>
      </c>
      <c r="W1570" s="113">
        <f>IF($B1570="","",YEAR($B1570))</f>
        <v/>
      </c>
    </row>
    <row r="1571">
      <c r="B1571" s="105" t="n"/>
      <c r="C1571" s="54" t="n"/>
      <c r="D1571" s="54" t="n"/>
      <c r="E1571" s="54" t="n"/>
      <c r="F1571" s="54" t="n"/>
      <c r="G1571" s="65" t="n"/>
      <c r="H1571" s="54" t="n"/>
      <c r="I1571" s="106">
        <f>IF($C1571="","",IFERROR(INDEX(Sens_Types,MATCH($C1571,Liste_Types,0)),""))</f>
        <v/>
      </c>
      <c r="J1571" s="107">
        <f>IF($I1571="▲ ENTRÉE",$U1571,"")</f>
        <v/>
      </c>
      <c r="K1571" s="108">
        <f>IF($I1571="▼ SORTIE",$U1571,"")</f>
        <v/>
      </c>
      <c r="L1571" s="109">
        <f>$L1570+N($J1571)-N($K1571)</f>
        <v/>
      </c>
      <c r="M1571" s="110" t="n"/>
      <c r="N1571" s="54" t="n"/>
      <c r="O1571" s="54" t="n"/>
      <c r="P1571" s="54" t="n"/>
      <c r="Q1571" s="110" t="n"/>
      <c r="R1571" s="110" t="n"/>
      <c r="S1571" s="54" t="n"/>
      <c r="T1571" s="111">
        <f>IF($G1571="","",IFERROR(INDEX(Taux_Devises,MATCH(IF($M1571="",Devise_Base,$M1571),Codes_Devises,0)),1))</f>
        <v/>
      </c>
      <c r="U1571" s="112">
        <f>IF($G1571="","",ROUND($G1571*$T1571,2))</f>
        <v/>
      </c>
      <c r="V1571" s="113">
        <f>IF($B1571="","",MONTH($B1571))</f>
        <v/>
      </c>
      <c r="W1571" s="113">
        <f>IF($B1571="","",YEAR($B1571))</f>
        <v/>
      </c>
    </row>
    <row r="1572">
      <c r="B1572" s="105" t="n"/>
      <c r="C1572" s="54" t="n"/>
      <c r="D1572" s="54" t="n"/>
      <c r="E1572" s="54" t="n"/>
      <c r="F1572" s="54" t="n"/>
      <c r="G1572" s="65" t="n"/>
      <c r="H1572" s="54" t="n"/>
      <c r="I1572" s="106">
        <f>IF($C1572="","",IFERROR(INDEX(Sens_Types,MATCH($C1572,Liste_Types,0)),""))</f>
        <v/>
      </c>
      <c r="J1572" s="107">
        <f>IF($I1572="▲ ENTRÉE",$U1572,"")</f>
        <v/>
      </c>
      <c r="K1572" s="108">
        <f>IF($I1572="▼ SORTIE",$U1572,"")</f>
        <v/>
      </c>
      <c r="L1572" s="109">
        <f>$L1571+N($J1572)-N($K1572)</f>
        <v/>
      </c>
      <c r="M1572" s="110" t="n"/>
      <c r="N1572" s="54" t="n"/>
      <c r="O1572" s="54" t="n"/>
      <c r="P1572" s="54" t="n"/>
      <c r="Q1572" s="110" t="n"/>
      <c r="R1572" s="110" t="n"/>
      <c r="S1572" s="54" t="n"/>
      <c r="T1572" s="111">
        <f>IF($G1572="","",IFERROR(INDEX(Taux_Devises,MATCH(IF($M1572="",Devise_Base,$M1572),Codes_Devises,0)),1))</f>
        <v/>
      </c>
      <c r="U1572" s="112">
        <f>IF($G1572="","",ROUND($G1572*$T1572,2))</f>
        <v/>
      </c>
      <c r="V1572" s="113">
        <f>IF($B1572="","",MONTH($B1572))</f>
        <v/>
      </c>
      <c r="W1572" s="113">
        <f>IF($B1572="","",YEAR($B1572))</f>
        <v/>
      </c>
    </row>
    <row r="1573">
      <c r="B1573" s="105" t="n"/>
      <c r="C1573" s="54" t="n"/>
      <c r="D1573" s="54" t="n"/>
      <c r="E1573" s="54" t="n"/>
      <c r="F1573" s="54" t="n"/>
      <c r="G1573" s="65" t="n"/>
      <c r="H1573" s="54" t="n"/>
      <c r="I1573" s="106">
        <f>IF($C1573="","",IFERROR(INDEX(Sens_Types,MATCH($C1573,Liste_Types,0)),""))</f>
        <v/>
      </c>
      <c r="J1573" s="107">
        <f>IF($I1573="▲ ENTRÉE",$U1573,"")</f>
        <v/>
      </c>
      <c r="K1573" s="108">
        <f>IF($I1573="▼ SORTIE",$U1573,"")</f>
        <v/>
      </c>
      <c r="L1573" s="109">
        <f>$L1572+N($J1573)-N($K1573)</f>
        <v/>
      </c>
      <c r="M1573" s="110" t="n"/>
      <c r="N1573" s="54" t="n"/>
      <c r="O1573" s="54" t="n"/>
      <c r="P1573" s="54" t="n"/>
      <c r="Q1573" s="110" t="n"/>
      <c r="R1573" s="110" t="n"/>
      <c r="S1573" s="54" t="n"/>
      <c r="T1573" s="111">
        <f>IF($G1573="","",IFERROR(INDEX(Taux_Devises,MATCH(IF($M1573="",Devise_Base,$M1573),Codes_Devises,0)),1))</f>
        <v/>
      </c>
      <c r="U1573" s="112">
        <f>IF($G1573="","",ROUND($G1573*$T1573,2))</f>
        <v/>
      </c>
      <c r="V1573" s="113">
        <f>IF($B1573="","",MONTH($B1573))</f>
        <v/>
      </c>
      <c r="W1573" s="113">
        <f>IF($B1573="","",YEAR($B1573))</f>
        <v/>
      </c>
    </row>
    <row r="1574">
      <c r="B1574" s="105" t="n"/>
      <c r="C1574" s="54" t="n"/>
      <c r="D1574" s="54" t="n"/>
      <c r="E1574" s="54" t="n"/>
      <c r="F1574" s="54" t="n"/>
      <c r="G1574" s="65" t="n"/>
      <c r="H1574" s="54" t="n"/>
      <c r="I1574" s="106">
        <f>IF($C1574="","",IFERROR(INDEX(Sens_Types,MATCH($C1574,Liste_Types,0)),""))</f>
        <v/>
      </c>
      <c r="J1574" s="107">
        <f>IF($I1574="▲ ENTRÉE",$U1574,"")</f>
        <v/>
      </c>
      <c r="K1574" s="108">
        <f>IF($I1574="▼ SORTIE",$U1574,"")</f>
        <v/>
      </c>
      <c r="L1574" s="109">
        <f>$L1573+N($J1574)-N($K1574)</f>
        <v/>
      </c>
      <c r="M1574" s="110" t="n"/>
      <c r="N1574" s="54" t="n"/>
      <c r="O1574" s="54" t="n"/>
      <c r="P1574" s="54" t="n"/>
      <c r="Q1574" s="110" t="n"/>
      <c r="R1574" s="110" t="n"/>
      <c r="S1574" s="54" t="n"/>
      <c r="T1574" s="111">
        <f>IF($G1574="","",IFERROR(INDEX(Taux_Devises,MATCH(IF($M1574="",Devise_Base,$M1574),Codes_Devises,0)),1))</f>
        <v/>
      </c>
      <c r="U1574" s="112">
        <f>IF($G1574="","",ROUND($G1574*$T1574,2))</f>
        <v/>
      </c>
      <c r="V1574" s="113">
        <f>IF($B1574="","",MONTH($B1574))</f>
        <v/>
      </c>
      <c r="W1574" s="113">
        <f>IF($B1574="","",YEAR($B1574))</f>
        <v/>
      </c>
    </row>
    <row r="1575">
      <c r="B1575" s="105" t="n"/>
      <c r="C1575" s="54" t="n"/>
      <c r="D1575" s="54" t="n"/>
      <c r="E1575" s="54" t="n"/>
      <c r="F1575" s="54" t="n"/>
      <c r="G1575" s="65" t="n"/>
      <c r="H1575" s="54" t="n"/>
      <c r="I1575" s="106">
        <f>IF($C1575="","",IFERROR(INDEX(Sens_Types,MATCH($C1575,Liste_Types,0)),""))</f>
        <v/>
      </c>
      <c r="J1575" s="107">
        <f>IF($I1575="▲ ENTRÉE",$U1575,"")</f>
        <v/>
      </c>
      <c r="K1575" s="108">
        <f>IF($I1575="▼ SORTIE",$U1575,"")</f>
        <v/>
      </c>
      <c r="L1575" s="109">
        <f>$L1574+N($J1575)-N($K1575)</f>
        <v/>
      </c>
      <c r="M1575" s="110" t="n"/>
      <c r="N1575" s="54" t="n"/>
      <c r="O1575" s="54" t="n"/>
      <c r="P1575" s="54" t="n"/>
      <c r="Q1575" s="110" t="n"/>
      <c r="R1575" s="110" t="n"/>
      <c r="S1575" s="54" t="n"/>
      <c r="T1575" s="111">
        <f>IF($G1575="","",IFERROR(INDEX(Taux_Devises,MATCH(IF($M1575="",Devise_Base,$M1575),Codes_Devises,0)),1))</f>
        <v/>
      </c>
      <c r="U1575" s="112">
        <f>IF($G1575="","",ROUND($G1575*$T1575,2))</f>
        <v/>
      </c>
      <c r="V1575" s="113">
        <f>IF($B1575="","",MONTH($B1575))</f>
        <v/>
      </c>
      <c r="W1575" s="113">
        <f>IF($B1575="","",YEAR($B1575))</f>
        <v/>
      </c>
    </row>
    <row r="1576">
      <c r="B1576" s="105" t="n"/>
      <c r="C1576" s="54" t="n"/>
      <c r="D1576" s="54" t="n"/>
      <c r="E1576" s="54" t="n"/>
      <c r="F1576" s="54" t="n"/>
      <c r="G1576" s="65" t="n"/>
      <c r="H1576" s="54" t="n"/>
      <c r="I1576" s="106">
        <f>IF($C1576="","",IFERROR(INDEX(Sens_Types,MATCH($C1576,Liste_Types,0)),""))</f>
        <v/>
      </c>
      <c r="J1576" s="107">
        <f>IF($I1576="▲ ENTRÉE",$U1576,"")</f>
        <v/>
      </c>
      <c r="K1576" s="108">
        <f>IF($I1576="▼ SORTIE",$U1576,"")</f>
        <v/>
      </c>
      <c r="L1576" s="109">
        <f>$L1575+N($J1576)-N($K1576)</f>
        <v/>
      </c>
      <c r="M1576" s="110" t="n"/>
      <c r="N1576" s="54" t="n"/>
      <c r="O1576" s="54" t="n"/>
      <c r="P1576" s="54" t="n"/>
      <c r="Q1576" s="110" t="n"/>
      <c r="R1576" s="110" t="n"/>
      <c r="S1576" s="54" t="n"/>
      <c r="T1576" s="111">
        <f>IF($G1576="","",IFERROR(INDEX(Taux_Devises,MATCH(IF($M1576="",Devise_Base,$M1576),Codes_Devises,0)),1))</f>
        <v/>
      </c>
      <c r="U1576" s="112">
        <f>IF($G1576="","",ROUND($G1576*$T1576,2))</f>
        <v/>
      </c>
      <c r="V1576" s="113">
        <f>IF($B1576="","",MONTH($B1576))</f>
        <v/>
      </c>
      <c r="W1576" s="113">
        <f>IF($B1576="","",YEAR($B1576))</f>
        <v/>
      </c>
    </row>
    <row r="1577">
      <c r="B1577" s="105" t="n"/>
      <c r="C1577" s="54" t="n"/>
      <c r="D1577" s="54" t="n"/>
      <c r="E1577" s="54" t="n"/>
      <c r="F1577" s="54" t="n"/>
      <c r="G1577" s="65" t="n"/>
      <c r="H1577" s="54" t="n"/>
      <c r="I1577" s="106">
        <f>IF($C1577="","",IFERROR(INDEX(Sens_Types,MATCH($C1577,Liste_Types,0)),""))</f>
        <v/>
      </c>
      <c r="J1577" s="107">
        <f>IF($I1577="▲ ENTRÉE",$U1577,"")</f>
        <v/>
      </c>
      <c r="K1577" s="108">
        <f>IF($I1577="▼ SORTIE",$U1577,"")</f>
        <v/>
      </c>
      <c r="L1577" s="109">
        <f>$L1576+N($J1577)-N($K1577)</f>
        <v/>
      </c>
      <c r="M1577" s="110" t="n"/>
      <c r="N1577" s="54" t="n"/>
      <c r="O1577" s="54" t="n"/>
      <c r="P1577" s="54" t="n"/>
      <c r="Q1577" s="110" t="n"/>
      <c r="R1577" s="110" t="n"/>
      <c r="S1577" s="54" t="n"/>
      <c r="T1577" s="111">
        <f>IF($G1577="","",IFERROR(INDEX(Taux_Devises,MATCH(IF($M1577="",Devise_Base,$M1577),Codes_Devises,0)),1))</f>
        <v/>
      </c>
      <c r="U1577" s="112">
        <f>IF($G1577="","",ROUND($G1577*$T1577,2))</f>
        <v/>
      </c>
      <c r="V1577" s="113">
        <f>IF($B1577="","",MONTH($B1577))</f>
        <v/>
      </c>
      <c r="W1577" s="113">
        <f>IF($B1577="","",YEAR($B1577))</f>
        <v/>
      </c>
    </row>
    <row r="1578">
      <c r="B1578" s="105" t="n"/>
      <c r="C1578" s="54" t="n"/>
      <c r="D1578" s="54" t="n"/>
      <c r="E1578" s="54" t="n"/>
      <c r="F1578" s="54" t="n"/>
      <c r="G1578" s="65" t="n"/>
      <c r="H1578" s="54" t="n"/>
      <c r="I1578" s="106">
        <f>IF($C1578="","",IFERROR(INDEX(Sens_Types,MATCH($C1578,Liste_Types,0)),""))</f>
        <v/>
      </c>
      <c r="J1578" s="107">
        <f>IF($I1578="▲ ENTRÉE",$U1578,"")</f>
        <v/>
      </c>
      <c r="K1578" s="108">
        <f>IF($I1578="▼ SORTIE",$U1578,"")</f>
        <v/>
      </c>
      <c r="L1578" s="109">
        <f>$L1577+N($J1578)-N($K1578)</f>
        <v/>
      </c>
      <c r="M1578" s="110" t="n"/>
      <c r="N1578" s="54" t="n"/>
      <c r="O1578" s="54" t="n"/>
      <c r="P1578" s="54" t="n"/>
      <c r="Q1578" s="110" t="n"/>
      <c r="R1578" s="110" t="n"/>
      <c r="S1578" s="54" t="n"/>
      <c r="T1578" s="111">
        <f>IF($G1578="","",IFERROR(INDEX(Taux_Devises,MATCH(IF($M1578="",Devise_Base,$M1578),Codes_Devises,0)),1))</f>
        <v/>
      </c>
      <c r="U1578" s="112">
        <f>IF($G1578="","",ROUND($G1578*$T1578,2))</f>
        <v/>
      </c>
      <c r="V1578" s="113">
        <f>IF($B1578="","",MONTH($B1578))</f>
        <v/>
      </c>
      <c r="W1578" s="113">
        <f>IF($B1578="","",YEAR($B1578))</f>
        <v/>
      </c>
    </row>
    <row r="1579">
      <c r="B1579" s="105" t="n"/>
      <c r="C1579" s="54" t="n"/>
      <c r="D1579" s="54" t="n"/>
      <c r="E1579" s="54" t="n"/>
      <c r="F1579" s="54" t="n"/>
      <c r="G1579" s="65" t="n"/>
      <c r="H1579" s="54" t="n"/>
      <c r="I1579" s="106">
        <f>IF($C1579="","",IFERROR(INDEX(Sens_Types,MATCH($C1579,Liste_Types,0)),""))</f>
        <v/>
      </c>
      <c r="J1579" s="107">
        <f>IF($I1579="▲ ENTRÉE",$U1579,"")</f>
        <v/>
      </c>
      <c r="K1579" s="108">
        <f>IF($I1579="▼ SORTIE",$U1579,"")</f>
        <v/>
      </c>
      <c r="L1579" s="109">
        <f>$L1578+N($J1579)-N($K1579)</f>
        <v/>
      </c>
      <c r="M1579" s="110" t="n"/>
      <c r="N1579" s="54" t="n"/>
      <c r="O1579" s="54" t="n"/>
      <c r="P1579" s="54" t="n"/>
      <c r="Q1579" s="110" t="n"/>
      <c r="R1579" s="110" t="n"/>
      <c r="S1579" s="54" t="n"/>
      <c r="T1579" s="111">
        <f>IF($G1579="","",IFERROR(INDEX(Taux_Devises,MATCH(IF($M1579="",Devise_Base,$M1579),Codes_Devises,0)),1))</f>
        <v/>
      </c>
      <c r="U1579" s="112">
        <f>IF($G1579="","",ROUND($G1579*$T1579,2))</f>
        <v/>
      </c>
      <c r="V1579" s="113">
        <f>IF($B1579="","",MONTH($B1579))</f>
        <v/>
      </c>
      <c r="W1579" s="113">
        <f>IF($B1579="","",YEAR($B1579))</f>
        <v/>
      </c>
    </row>
    <row r="1580">
      <c r="B1580" s="105" t="n"/>
      <c r="C1580" s="54" t="n"/>
      <c r="D1580" s="54" t="n"/>
      <c r="E1580" s="54" t="n"/>
      <c r="F1580" s="54" t="n"/>
      <c r="G1580" s="65" t="n"/>
      <c r="H1580" s="54" t="n"/>
      <c r="I1580" s="106">
        <f>IF($C1580="","",IFERROR(INDEX(Sens_Types,MATCH($C1580,Liste_Types,0)),""))</f>
        <v/>
      </c>
      <c r="J1580" s="107">
        <f>IF($I1580="▲ ENTRÉE",$U1580,"")</f>
        <v/>
      </c>
      <c r="K1580" s="108">
        <f>IF($I1580="▼ SORTIE",$U1580,"")</f>
        <v/>
      </c>
      <c r="L1580" s="109">
        <f>$L1579+N($J1580)-N($K1580)</f>
        <v/>
      </c>
      <c r="M1580" s="110" t="n"/>
      <c r="N1580" s="54" t="n"/>
      <c r="O1580" s="54" t="n"/>
      <c r="P1580" s="54" t="n"/>
      <c r="Q1580" s="110" t="n"/>
      <c r="R1580" s="110" t="n"/>
      <c r="S1580" s="54" t="n"/>
      <c r="T1580" s="111">
        <f>IF($G1580="","",IFERROR(INDEX(Taux_Devises,MATCH(IF($M1580="",Devise_Base,$M1580),Codes_Devises,0)),1))</f>
        <v/>
      </c>
      <c r="U1580" s="112">
        <f>IF($G1580="","",ROUND($G1580*$T1580,2))</f>
        <v/>
      </c>
      <c r="V1580" s="113">
        <f>IF($B1580="","",MONTH($B1580))</f>
        <v/>
      </c>
      <c r="W1580" s="113">
        <f>IF($B1580="","",YEAR($B1580))</f>
        <v/>
      </c>
    </row>
    <row r="1581">
      <c r="B1581" s="105" t="n"/>
      <c r="C1581" s="54" t="n"/>
      <c r="D1581" s="54" t="n"/>
      <c r="E1581" s="54" t="n"/>
      <c r="F1581" s="54" t="n"/>
      <c r="G1581" s="65" t="n"/>
      <c r="H1581" s="54" t="n"/>
      <c r="I1581" s="106">
        <f>IF($C1581="","",IFERROR(INDEX(Sens_Types,MATCH($C1581,Liste_Types,0)),""))</f>
        <v/>
      </c>
      <c r="J1581" s="107">
        <f>IF($I1581="▲ ENTRÉE",$U1581,"")</f>
        <v/>
      </c>
      <c r="K1581" s="108">
        <f>IF($I1581="▼ SORTIE",$U1581,"")</f>
        <v/>
      </c>
      <c r="L1581" s="109">
        <f>$L1580+N($J1581)-N($K1581)</f>
        <v/>
      </c>
      <c r="M1581" s="110" t="n"/>
      <c r="N1581" s="54" t="n"/>
      <c r="O1581" s="54" t="n"/>
      <c r="P1581" s="54" t="n"/>
      <c r="Q1581" s="110" t="n"/>
      <c r="R1581" s="110" t="n"/>
      <c r="S1581" s="54" t="n"/>
      <c r="T1581" s="111">
        <f>IF($G1581="","",IFERROR(INDEX(Taux_Devises,MATCH(IF($M1581="",Devise_Base,$M1581),Codes_Devises,0)),1))</f>
        <v/>
      </c>
      <c r="U1581" s="112">
        <f>IF($G1581="","",ROUND($G1581*$T1581,2))</f>
        <v/>
      </c>
      <c r="V1581" s="113">
        <f>IF($B1581="","",MONTH($B1581))</f>
        <v/>
      </c>
      <c r="W1581" s="113">
        <f>IF($B1581="","",YEAR($B1581))</f>
        <v/>
      </c>
    </row>
    <row r="1582">
      <c r="B1582" s="105" t="n"/>
      <c r="C1582" s="54" t="n"/>
      <c r="D1582" s="54" t="n"/>
      <c r="E1582" s="54" t="n"/>
      <c r="F1582" s="54" t="n"/>
      <c r="G1582" s="65" t="n"/>
      <c r="H1582" s="54" t="n"/>
      <c r="I1582" s="106">
        <f>IF($C1582="","",IFERROR(INDEX(Sens_Types,MATCH($C1582,Liste_Types,0)),""))</f>
        <v/>
      </c>
      <c r="J1582" s="107">
        <f>IF($I1582="▲ ENTRÉE",$U1582,"")</f>
        <v/>
      </c>
      <c r="K1582" s="108">
        <f>IF($I1582="▼ SORTIE",$U1582,"")</f>
        <v/>
      </c>
      <c r="L1582" s="109">
        <f>$L1581+N($J1582)-N($K1582)</f>
        <v/>
      </c>
      <c r="M1582" s="110" t="n"/>
      <c r="N1582" s="54" t="n"/>
      <c r="O1582" s="54" t="n"/>
      <c r="P1582" s="54" t="n"/>
      <c r="Q1582" s="110" t="n"/>
      <c r="R1582" s="110" t="n"/>
      <c r="S1582" s="54" t="n"/>
      <c r="T1582" s="111">
        <f>IF($G1582="","",IFERROR(INDEX(Taux_Devises,MATCH(IF($M1582="",Devise_Base,$M1582),Codes_Devises,0)),1))</f>
        <v/>
      </c>
      <c r="U1582" s="112">
        <f>IF($G1582="","",ROUND($G1582*$T1582,2))</f>
        <v/>
      </c>
      <c r="V1582" s="113">
        <f>IF($B1582="","",MONTH($B1582))</f>
        <v/>
      </c>
      <c r="W1582" s="113">
        <f>IF($B1582="","",YEAR($B1582))</f>
        <v/>
      </c>
    </row>
    <row r="1583">
      <c r="B1583" s="105" t="n"/>
      <c r="C1583" s="54" t="n"/>
      <c r="D1583" s="54" t="n"/>
      <c r="E1583" s="54" t="n"/>
      <c r="F1583" s="54" t="n"/>
      <c r="G1583" s="65" t="n"/>
      <c r="H1583" s="54" t="n"/>
      <c r="I1583" s="106">
        <f>IF($C1583="","",IFERROR(INDEX(Sens_Types,MATCH($C1583,Liste_Types,0)),""))</f>
        <v/>
      </c>
      <c r="J1583" s="107">
        <f>IF($I1583="▲ ENTRÉE",$U1583,"")</f>
        <v/>
      </c>
      <c r="K1583" s="108">
        <f>IF($I1583="▼ SORTIE",$U1583,"")</f>
        <v/>
      </c>
      <c r="L1583" s="109">
        <f>$L1582+N($J1583)-N($K1583)</f>
        <v/>
      </c>
      <c r="M1583" s="110" t="n"/>
      <c r="N1583" s="54" t="n"/>
      <c r="O1583" s="54" t="n"/>
      <c r="P1583" s="54" t="n"/>
      <c r="Q1583" s="110" t="n"/>
      <c r="R1583" s="110" t="n"/>
      <c r="S1583" s="54" t="n"/>
      <c r="T1583" s="111">
        <f>IF($G1583="","",IFERROR(INDEX(Taux_Devises,MATCH(IF($M1583="",Devise_Base,$M1583),Codes_Devises,0)),1))</f>
        <v/>
      </c>
      <c r="U1583" s="112">
        <f>IF($G1583="","",ROUND($G1583*$T1583,2))</f>
        <v/>
      </c>
      <c r="V1583" s="113">
        <f>IF($B1583="","",MONTH($B1583))</f>
        <v/>
      </c>
      <c r="W1583" s="113">
        <f>IF($B1583="","",YEAR($B1583))</f>
        <v/>
      </c>
    </row>
    <row r="1584">
      <c r="B1584" s="105" t="n"/>
      <c r="C1584" s="54" t="n"/>
      <c r="D1584" s="54" t="n"/>
      <c r="E1584" s="54" t="n"/>
      <c r="F1584" s="54" t="n"/>
      <c r="G1584" s="65" t="n"/>
      <c r="H1584" s="54" t="n"/>
      <c r="I1584" s="106">
        <f>IF($C1584="","",IFERROR(INDEX(Sens_Types,MATCH($C1584,Liste_Types,0)),""))</f>
        <v/>
      </c>
      <c r="J1584" s="107">
        <f>IF($I1584="▲ ENTRÉE",$U1584,"")</f>
        <v/>
      </c>
      <c r="K1584" s="108">
        <f>IF($I1584="▼ SORTIE",$U1584,"")</f>
        <v/>
      </c>
      <c r="L1584" s="109">
        <f>$L1583+N($J1584)-N($K1584)</f>
        <v/>
      </c>
      <c r="M1584" s="110" t="n"/>
      <c r="N1584" s="54" t="n"/>
      <c r="O1584" s="54" t="n"/>
      <c r="P1584" s="54" t="n"/>
      <c r="Q1584" s="110" t="n"/>
      <c r="R1584" s="110" t="n"/>
      <c r="S1584" s="54" t="n"/>
      <c r="T1584" s="111">
        <f>IF($G1584="","",IFERROR(INDEX(Taux_Devises,MATCH(IF($M1584="",Devise_Base,$M1584),Codes_Devises,0)),1))</f>
        <v/>
      </c>
      <c r="U1584" s="112">
        <f>IF($G1584="","",ROUND($G1584*$T1584,2))</f>
        <v/>
      </c>
      <c r="V1584" s="113">
        <f>IF($B1584="","",MONTH($B1584))</f>
        <v/>
      </c>
      <c r="W1584" s="113">
        <f>IF($B1584="","",YEAR($B1584))</f>
        <v/>
      </c>
    </row>
    <row r="1585">
      <c r="B1585" s="105" t="n"/>
      <c r="C1585" s="54" t="n"/>
      <c r="D1585" s="54" t="n"/>
      <c r="E1585" s="54" t="n"/>
      <c r="F1585" s="54" t="n"/>
      <c r="G1585" s="65" t="n"/>
      <c r="H1585" s="54" t="n"/>
      <c r="I1585" s="106">
        <f>IF($C1585="","",IFERROR(INDEX(Sens_Types,MATCH($C1585,Liste_Types,0)),""))</f>
        <v/>
      </c>
      <c r="J1585" s="107">
        <f>IF($I1585="▲ ENTRÉE",$U1585,"")</f>
        <v/>
      </c>
      <c r="K1585" s="108">
        <f>IF($I1585="▼ SORTIE",$U1585,"")</f>
        <v/>
      </c>
      <c r="L1585" s="109">
        <f>$L1584+N($J1585)-N($K1585)</f>
        <v/>
      </c>
      <c r="M1585" s="110" t="n"/>
      <c r="N1585" s="54" t="n"/>
      <c r="O1585" s="54" t="n"/>
      <c r="P1585" s="54" t="n"/>
      <c r="Q1585" s="110" t="n"/>
      <c r="R1585" s="110" t="n"/>
      <c r="S1585" s="54" t="n"/>
      <c r="T1585" s="111">
        <f>IF($G1585="","",IFERROR(INDEX(Taux_Devises,MATCH(IF($M1585="",Devise_Base,$M1585),Codes_Devises,0)),1))</f>
        <v/>
      </c>
      <c r="U1585" s="112">
        <f>IF($G1585="","",ROUND($G1585*$T1585,2))</f>
        <v/>
      </c>
      <c r="V1585" s="113">
        <f>IF($B1585="","",MONTH($B1585))</f>
        <v/>
      </c>
      <c r="W1585" s="113">
        <f>IF($B1585="","",YEAR($B1585))</f>
        <v/>
      </c>
    </row>
    <row r="1586">
      <c r="B1586" s="105" t="n"/>
      <c r="C1586" s="54" t="n"/>
      <c r="D1586" s="54" t="n"/>
      <c r="E1586" s="54" t="n"/>
      <c r="F1586" s="54" t="n"/>
      <c r="G1586" s="65" t="n"/>
      <c r="H1586" s="54" t="n"/>
      <c r="I1586" s="106">
        <f>IF($C1586="","",IFERROR(INDEX(Sens_Types,MATCH($C1586,Liste_Types,0)),""))</f>
        <v/>
      </c>
      <c r="J1586" s="107">
        <f>IF($I1586="▲ ENTRÉE",$U1586,"")</f>
        <v/>
      </c>
      <c r="K1586" s="108">
        <f>IF($I1586="▼ SORTIE",$U1586,"")</f>
        <v/>
      </c>
      <c r="L1586" s="109">
        <f>$L1585+N($J1586)-N($K1586)</f>
        <v/>
      </c>
      <c r="M1586" s="110" t="n"/>
      <c r="N1586" s="54" t="n"/>
      <c r="O1586" s="54" t="n"/>
      <c r="P1586" s="54" t="n"/>
      <c r="Q1586" s="110" t="n"/>
      <c r="R1586" s="110" t="n"/>
      <c r="S1586" s="54" t="n"/>
      <c r="T1586" s="111">
        <f>IF($G1586="","",IFERROR(INDEX(Taux_Devises,MATCH(IF($M1586="",Devise_Base,$M1586),Codes_Devises,0)),1))</f>
        <v/>
      </c>
      <c r="U1586" s="112">
        <f>IF($G1586="","",ROUND($G1586*$T1586,2))</f>
        <v/>
      </c>
      <c r="V1586" s="113">
        <f>IF($B1586="","",MONTH($B1586))</f>
        <v/>
      </c>
      <c r="W1586" s="113">
        <f>IF($B1586="","",YEAR($B1586))</f>
        <v/>
      </c>
    </row>
    <row r="1587">
      <c r="B1587" s="105" t="n"/>
      <c r="C1587" s="54" t="n"/>
      <c r="D1587" s="54" t="n"/>
      <c r="E1587" s="54" t="n"/>
      <c r="F1587" s="54" t="n"/>
      <c r="G1587" s="65" t="n"/>
      <c r="H1587" s="54" t="n"/>
      <c r="I1587" s="106">
        <f>IF($C1587="","",IFERROR(INDEX(Sens_Types,MATCH($C1587,Liste_Types,0)),""))</f>
        <v/>
      </c>
      <c r="J1587" s="107">
        <f>IF($I1587="▲ ENTRÉE",$U1587,"")</f>
        <v/>
      </c>
      <c r="K1587" s="108">
        <f>IF($I1587="▼ SORTIE",$U1587,"")</f>
        <v/>
      </c>
      <c r="L1587" s="109">
        <f>$L1586+N($J1587)-N($K1587)</f>
        <v/>
      </c>
      <c r="M1587" s="110" t="n"/>
      <c r="N1587" s="54" t="n"/>
      <c r="O1587" s="54" t="n"/>
      <c r="P1587" s="54" t="n"/>
      <c r="Q1587" s="110" t="n"/>
      <c r="R1587" s="110" t="n"/>
      <c r="S1587" s="54" t="n"/>
      <c r="T1587" s="111">
        <f>IF($G1587="","",IFERROR(INDEX(Taux_Devises,MATCH(IF($M1587="",Devise_Base,$M1587),Codes_Devises,0)),1))</f>
        <v/>
      </c>
      <c r="U1587" s="112">
        <f>IF($G1587="","",ROUND($G1587*$T1587,2))</f>
        <v/>
      </c>
      <c r="V1587" s="113">
        <f>IF($B1587="","",MONTH($B1587))</f>
        <v/>
      </c>
      <c r="W1587" s="113">
        <f>IF($B1587="","",YEAR($B1587))</f>
        <v/>
      </c>
    </row>
    <row r="1588">
      <c r="B1588" s="105" t="n"/>
      <c r="C1588" s="54" t="n"/>
      <c r="D1588" s="54" t="n"/>
      <c r="E1588" s="54" t="n"/>
      <c r="F1588" s="54" t="n"/>
      <c r="G1588" s="65" t="n"/>
      <c r="H1588" s="54" t="n"/>
      <c r="I1588" s="106">
        <f>IF($C1588="","",IFERROR(INDEX(Sens_Types,MATCH($C1588,Liste_Types,0)),""))</f>
        <v/>
      </c>
      <c r="J1588" s="107">
        <f>IF($I1588="▲ ENTRÉE",$U1588,"")</f>
        <v/>
      </c>
      <c r="K1588" s="108">
        <f>IF($I1588="▼ SORTIE",$U1588,"")</f>
        <v/>
      </c>
      <c r="L1588" s="109">
        <f>$L1587+N($J1588)-N($K1588)</f>
        <v/>
      </c>
      <c r="M1588" s="110" t="n"/>
      <c r="N1588" s="54" t="n"/>
      <c r="O1588" s="54" t="n"/>
      <c r="P1588" s="54" t="n"/>
      <c r="Q1588" s="110" t="n"/>
      <c r="R1588" s="110" t="n"/>
      <c r="S1588" s="54" t="n"/>
      <c r="T1588" s="111">
        <f>IF($G1588="","",IFERROR(INDEX(Taux_Devises,MATCH(IF($M1588="",Devise_Base,$M1588),Codes_Devises,0)),1))</f>
        <v/>
      </c>
      <c r="U1588" s="112">
        <f>IF($G1588="","",ROUND($G1588*$T1588,2))</f>
        <v/>
      </c>
      <c r="V1588" s="113">
        <f>IF($B1588="","",MONTH($B1588))</f>
        <v/>
      </c>
      <c r="W1588" s="113">
        <f>IF($B1588="","",YEAR($B1588))</f>
        <v/>
      </c>
    </row>
    <row r="1589">
      <c r="B1589" s="105" t="n"/>
      <c r="C1589" s="54" t="n"/>
      <c r="D1589" s="54" t="n"/>
      <c r="E1589" s="54" t="n"/>
      <c r="F1589" s="54" t="n"/>
      <c r="G1589" s="65" t="n"/>
      <c r="H1589" s="54" t="n"/>
      <c r="I1589" s="106">
        <f>IF($C1589="","",IFERROR(INDEX(Sens_Types,MATCH($C1589,Liste_Types,0)),""))</f>
        <v/>
      </c>
      <c r="J1589" s="107">
        <f>IF($I1589="▲ ENTRÉE",$U1589,"")</f>
        <v/>
      </c>
      <c r="K1589" s="108">
        <f>IF($I1589="▼ SORTIE",$U1589,"")</f>
        <v/>
      </c>
      <c r="L1589" s="109">
        <f>$L1588+N($J1589)-N($K1589)</f>
        <v/>
      </c>
      <c r="M1589" s="110" t="n"/>
      <c r="N1589" s="54" t="n"/>
      <c r="O1589" s="54" t="n"/>
      <c r="P1589" s="54" t="n"/>
      <c r="Q1589" s="110" t="n"/>
      <c r="R1589" s="110" t="n"/>
      <c r="S1589" s="54" t="n"/>
      <c r="T1589" s="111">
        <f>IF($G1589="","",IFERROR(INDEX(Taux_Devises,MATCH(IF($M1589="",Devise_Base,$M1589),Codes_Devises,0)),1))</f>
        <v/>
      </c>
      <c r="U1589" s="112">
        <f>IF($G1589="","",ROUND($G1589*$T1589,2))</f>
        <v/>
      </c>
      <c r="V1589" s="113">
        <f>IF($B1589="","",MONTH($B1589))</f>
        <v/>
      </c>
      <c r="W1589" s="113">
        <f>IF($B1589="","",YEAR($B1589))</f>
        <v/>
      </c>
    </row>
    <row r="1590">
      <c r="B1590" s="105" t="n"/>
      <c r="C1590" s="54" t="n"/>
      <c r="D1590" s="54" t="n"/>
      <c r="E1590" s="54" t="n"/>
      <c r="F1590" s="54" t="n"/>
      <c r="G1590" s="65" t="n"/>
      <c r="H1590" s="54" t="n"/>
      <c r="I1590" s="106">
        <f>IF($C1590="","",IFERROR(INDEX(Sens_Types,MATCH($C1590,Liste_Types,0)),""))</f>
        <v/>
      </c>
      <c r="J1590" s="107">
        <f>IF($I1590="▲ ENTRÉE",$U1590,"")</f>
        <v/>
      </c>
      <c r="K1590" s="108">
        <f>IF($I1590="▼ SORTIE",$U1590,"")</f>
        <v/>
      </c>
      <c r="L1590" s="109">
        <f>$L1589+N($J1590)-N($K1590)</f>
        <v/>
      </c>
      <c r="M1590" s="110" t="n"/>
      <c r="N1590" s="54" t="n"/>
      <c r="O1590" s="54" t="n"/>
      <c r="P1590" s="54" t="n"/>
      <c r="Q1590" s="110" t="n"/>
      <c r="R1590" s="110" t="n"/>
      <c r="S1590" s="54" t="n"/>
      <c r="T1590" s="111">
        <f>IF($G1590="","",IFERROR(INDEX(Taux_Devises,MATCH(IF($M1590="",Devise_Base,$M1590),Codes_Devises,0)),1))</f>
        <v/>
      </c>
      <c r="U1590" s="112">
        <f>IF($G1590="","",ROUND($G1590*$T1590,2))</f>
        <v/>
      </c>
      <c r="V1590" s="113">
        <f>IF($B1590="","",MONTH($B1590))</f>
        <v/>
      </c>
      <c r="W1590" s="113">
        <f>IF($B1590="","",YEAR($B1590))</f>
        <v/>
      </c>
    </row>
    <row r="1591">
      <c r="B1591" s="105" t="n"/>
      <c r="C1591" s="54" t="n"/>
      <c r="D1591" s="54" t="n"/>
      <c r="E1591" s="54" t="n"/>
      <c r="F1591" s="54" t="n"/>
      <c r="G1591" s="65" t="n"/>
      <c r="H1591" s="54" t="n"/>
      <c r="I1591" s="106">
        <f>IF($C1591="","",IFERROR(INDEX(Sens_Types,MATCH($C1591,Liste_Types,0)),""))</f>
        <v/>
      </c>
      <c r="J1591" s="107">
        <f>IF($I1591="▲ ENTRÉE",$U1591,"")</f>
        <v/>
      </c>
      <c r="K1591" s="108">
        <f>IF($I1591="▼ SORTIE",$U1591,"")</f>
        <v/>
      </c>
      <c r="L1591" s="109">
        <f>$L1590+N($J1591)-N($K1591)</f>
        <v/>
      </c>
      <c r="M1591" s="110" t="n"/>
      <c r="N1591" s="54" t="n"/>
      <c r="O1591" s="54" t="n"/>
      <c r="P1591" s="54" t="n"/>
      <c r="Q1591" s="110" t="n"/>
      <c r="R1591" s="110" t="n"/>
      <c r="S1591" s="54" t="n"/>
      <c r="T1591" s="111">
        <f>IF($G1591="","",IFERROR(INDEX(Taux_Devises,MATCH(IF($M1591="",Devise_Base,$M1591),Codes_Devises,0)),1))</f>
        <v/>
      </c>
      <c r="U1591" s="112">
        <f>IF($G1591="","",ROUND($G1591*$T1591,2))</f>
        <v/>
      </c>
      <c r="V1591" s="113">
        <f>IF($B1591="","",MONTH($B1591))</f>
        <v/>
      </c>
      <c r="W1591" s="113">
        <f>IF($B1591="","",YEAR($B1591))</f>
        <v/>
      </c>
    </row>
    <row r="1592">
      <c r="B1592" s="105" t="n"/>
      <c r="C1592" s="54" t="n"/>
      <c r="D1592" s="54" t="n"/>
      <c r="E1592" s="54" t="n"/>
      <c r="F1592" s="54" t="n"/>
      <c r="G1592" s="65" t="n"/>
      <c r="H1592" s="54" t="n"/>
      <c r="I1592" s="106">
        <f>IF($C1592="","",IFERROR(INDEX(Sens_Types,MATCH($C1592,Liste_Types,0)),""))</f>
        <v/>
      </c>
      <c r="J1592" s="107">
        <f>IF($I1592="▲ ENTRÉE",$U1592,"")</f>
        <v/>
      </c>
      <c r="K1592" s="108">
        <f>IF($I1592="▼ SORTIE",$U1592,"")</f>
        <v/>
      </c>
      <c r="L1592" s="109">
        <f>$L1591+N($J1592)-N($K1592)</f>
        <v/>
      </c>
      <c r="M1592" s="110" t="n"/>
      <c r="N1592" s="54" t="n"/>
      <c r="O1592" s="54" t="n"/>
      <c r="P1592" s="54" t="n"/>
      <c r="Q1592" s="110" t="n"/>
      <c r="R1592" s="110" t="n"/>
      <c r="S1592" s="54" t="n"/>
      <c r="T1592" s="111">
        <f>IF($G1592="","",IFERROR(INDEX(Taux_Devises,MATCH(IF($M1592="",Devise_Base,$M1592),Codes_Devises,0)),1))</f>
        <v/>
      </c>
      <c r="U1592" s="112">
        <f>IF($G1592="","",ROUND($G1592*$T1592,2))</f>
        <v/>
      </c>
      <c r="V1592" s="113">
        <f>IF($B1592="","",MONTH($B1592))</f>
        <v/>
      </c>
      <c r="W1592" s="113">
        <f>IF($B1592="","",YEAR($B1592))</f>
        <v/>
      </c>
    </row>
    <row r="1593">
      <c r="B1593" s="105" t="n"/>
      <c r="C1593" s="54" t="n"/>
      <c r="D1593" s="54" t="n"/>
      <c r="E1593" s="54" t="n"/>
      <c r="F1593" s="54" t="n"/>
      <c r="G1593" s="65" t="n"/>
      <c r="H1593" s="54" t="n"/>
      <c r="I1593" s="106">
        <f>IF($C1593="","",IFERROR(INDEX(Sens_Types,MATCH($C1593,Liste_Types,0)),""))</f>
        <v/>
      </c>
      <c r="J1593" s="107">
        <f>IF($I1593="▲ ENTRÉE",$U1593,"")</f>
        <v/>
      </c>
      <c r="K1593" s="108">
        <f>IF($I1593="▼ SORTIE",$U1593,"")</f>
        <v/>
      </c>
      <c r="L1593" s="109">
        <f>$L1592+N($J1593)-N($K1593)</f>
        <v/>
      </c>
      <c r="M1593" s="110" t="n"/>
      <c r="N1593" s="54" t="n"/>
      <c r="O1593" s="54" t="n"/>
      <c r="P1593" s="54" t="n"/>
      <c r="Q1593" s="110" t="n"/>
      <c r="R1593" s="110" t="n"/>
      <c r="S1593" s="54" t="n"/>
      <c r="T1593" s="111">
        <f>IF($G1593="","",IFERROR(INDEX(Taux_Devises,MATCH(IF($M1593="",Devise_Base,$M1593),Codes_Devises,0)),1))</f>
        <v/>
      </c>
      <c r="U1593" s="112">
        <f>IF($G1593="","",ROUND($G1593*$T1593,2))</f>
        <v/>
      </c>
      <c r="V1593" s="113">
        <f>IF($B1593="","",MONTH($B1593))</f>
        <v/>
      </c>
      <c r="W1593" s="113">
        <f>IF($B1593="","",YEAR($B1593))</f>
        <v/>
      </c>
    </row>
    <row r="1594">
      <c r="B1594" s="105" t="n"/>
      <c r="C1594" s="54" t="n"/>
      <c r="D1594" s="54" t="n"/>
      <c r="E1594" s="54" t="n"/>
      <c r="F1594" s="54" t="n"/>
      <c r="G1594" s="65" t="n"/>
      <c r="H1594" s="54" t="n"/>
      <c r="I1594" s="106">
        <f>IF($C1594="","",IFERROR(INDEX(Sens_Types,MATCH($C1594,Liste_Types,0)),""))</f>
        <v/>
      </c>
      <c r="J1594" s="107">
        <f>IF($I1594="▲ ENTRÉE",$U1594,"")</f>
        <v/>
      </c>
      <c r="K1594" s="108">
        <f>IF($I1594="▼ SORTIE",$U1594,"")</f>
        <v/>
      </c>
      <c r="L1594" s="109">
        <f>$L1593+N($J1594)-N($K1594)</f>
        <v/>
      </c>
      <c r="M1594" s="110" t="n"/>
      <c r="N1594" s="54" t="n"/>
      <c r="O1594" s="54" t="n"/>
      <c r="P1594" s="54" t="n"/>
      <c r="Q1594" s="110" t="n"/>
      <c r="R1594" s="110" t="n"/>
      <c r="S1594" s="54" t="n"/>
      <c r="T1594" s="111">
        <f>IF($G1594="","",IFERROR(INDEX(Taux_Devises,MATCH(IF($M1594="",Devise_Base,$M1594),Codes_Devises,0)),1))</f>
        <v/>
      </c>
      <c r="U1594" s="112">
        <f>IF($G1594="","",ROUND($G1594*$T1594,2))</f>
        <v/>
      </c>
      <c r="V1594" s="113">
        <f>IF($B1594="","",MONTH($B1594))</f>
        <v/>
      </c>
      <c r="W1594" s="113">
        <f>IF($B1594="","",YEAR($B1594))</f>
        <v/>
      </c>
    </row>
    <row r="1595">
      <c r="B1595" s="105" t="n"/>
      <c r="C1595" s="54" t="n"/>
      <c r="D1595" s="54" t="n"/>
      <c r="E1595" s="54" t="n"/>
      <c r="F1595" s="54" t="n"/>
      <c r="G1595" s="65" t="n"/>
      <c r="H1595" s="54" t="n"/>
      <c r="I1595" s="106">
        <f>IF($C1595="","",IFERROR(INDEX(Sens_Types,MATCH($C1595,Liste_Types,0)),""))</f>
        <v/>
      </c>
      <c r="J1595" s="107">
        <f>IF($I1595="▲ ENTRÉE",$U1595,"")</f>
        <v/>
      </c>
      <c r="K1595" s="108">
        <f>IF($I1595="▼ SORTIE",$U1595,"")</f>
        <v/>
      </c>
      <c r="L1595" s="109">
        <f>$L1594+N($J1595)-N($K1595)</f>
        <v/>
      </c>
      <c r="M1595" s="110" t="n"/>
      <c r="N1595" s="54" t="n"/>
      <c r="O1595" s="54" t="n"/>
      <c r="P1595" s="54" t="n"/>
      <c r="Q1595" s="110" t="n"/>
      <c r="R1595" s="110" t="n"/>
      <c r="S1595" s="54" t="n"/>
      <c r="T1595" s="111">
        <f>IF($G1595="","",IFERROR(INDEX(Taux_Devises,MATCH(IF($M1595="",Devise_Base,$M1595),Codes_Devises,0)),1))</f>
        <v/>
      </c>
      <c r="U1595" s="112">
        <f>IF($G1595="","",ROUND($G1595*$T1595,2))</f>
        <v/>
      </c>
      <c r="V1595" s="113">
        <f>IF($B1595="","",MONTH($B1595))</f>
        <v/>
      </c>
      <c r="W1595" s="113">
        <f>IF($B1595="","",YEAR($B1595))</f>
        <v/>
      </c>
    </row>
    <row r="1596">
      <c r="B1596" s="105" t="n"/>
      <c r="C1596" s="54" t="n"/>
      <c r="D1596" s="54" t="n"/>
      <c r="E1596" s="54" t="n"/>
      <c r="F1596" s="54" t="n"/>
      <c r="G1596" s="65" t="n"/>
      <c r="H1596" s="54" t="n"/>
      <c r="I1596" s="106">
        <f>IF($C1596="","",IFERROR(INDEX(Sens_Types,MATCH($C1596,Liste_Types,0)),""))</f>
        <v/>
      </c>
      <c r="J1596" s="107">
        <f>IF($I1596="▲ ENTRÉE",$U1596,"")</f>
        <v/>
      </c>
      <c r="K1596" s="108">
        <f>IF($I1596="▼ SORTIE",$U1596,"")</f>
        <v/>
      </c>
      <c r="L1596" s="109">
        <f>$L1595+N($J1596)-N($K1596)</f>
        <v/>
      </c>
      <c r="M1596" s="110" t="n"/>
      <c r="N1596" s="54" t="n"/>
      <c r="O1596" s="54" t="n"/>
      <c r="P1596" s="54" t="n"/>
      <c r="Q1596" s="110" t="n"/>
      <c r="R1596" s="110" t="n"/>
      <c r="S1596" s="54" t="n"/>
      <c r="T1596" s="111">
        <f>IF($G1596="","",IFERROR(INDEX(Taux_Devises,MATCH(IF($M1596="",Devise_Base,$M1596),Codes_Devises,0)),1))</f>
        <v/>
      </c>
      <c r="U1596" s="112">
        <f>IF($G1596="","",ROUND($G1596*$T1596,2))</f>
        <v/>
      </c>
      <c r="V1596" s="113">
        <f>IF($B1596="","",MONTH($B1596))</f>
        <v/>
      </c>
      <c r="W1596" s="113">
        <f>IF($B1596="","",YEAR($B1596))</f>
        <v/>
      </c>
    </row>
    <row r="1597">
      <c r="B1597" s="105" t="n"/>
      <c r="C1597" s="54" t="n"/>
      <c r="D1597" s="54" t="n"/>
      <c r="E1597" s="54" t="n"/>
      <c r="F1597" s="54" t="n"/>
      <c r="G1597" s="65" t="n"/>
      <c r="H1597" s="54" t="n"/>
      <c r="I1597" s="106">
        <f>IF($C1597="","",IFERROR(INDEX(Sens_Types,MATCH($C1597,Liste_Types,0)),""))</f>
        <v/>
      </c>
      <c r="J1597" s="107">
        <f>IF($I1597="▲ ENTRÉE",$U1597,"")</f>
        <v/>
      </c>
      <c r="K1597" s="108">
        <f>IF($I1597="▼ SORTIE",$U1597,"")</f>
        <v/>
      </c>
      <c r="L1597" s="109">
        <f>$L1596+N($J1597)-N($K1597)</f>
        <v/>
      </c>
      <c r="M1597" s="110" t="n"/>
      <c r="N1597" s="54" t="n"/>
      <c r="O1597" s="54" t="n"/>
      <c r="P1597" s="54" t="n"/>
      <c r="Q1597" s="110" t="n"/>
      <c r="R1597" s="110" t="n"/>
      <c r="S1597" s="54" t="n"/>
      <c r="T1597" s="111">
        <f>IF($G1597="","",IFERROR(INDEX(Taux_Devises,MATCH(IF($M1597="",Devise_Base,$M1597),Codes_Devises,0)),1))</f>
        <v/>
      </c>
      <c r="U1597" s="112">
        <f>IF($G1597="","",ROUND($G1597*$T1597,2))</f>
        <v/>
      </c>
      <c r="V1597" s="113">
        <f>IF($B1597="","",MONTH($B1597))</f>
        <v/>
      </c>
      <c r="W1597" s="113">
        <f>IF($B1597="","",YEAR($B1597))</f>
        <v/>
      </c>
    </row>
    <row r="1598">
      <c r="B1598" s="105" t="n"/>
      <c r="C1598" s="54" t="n"/>
      <c r="D1598" s="54" t="n"/>
      <c r="E1598" s="54" t="n"/>
      <c r="F1598" s="54" t="n"/>
      <c r="G1598" s="65" t="n"/>
      <c r="H1598" s="54" t="n"/>
      <c r="I1598" s="106">
        <f>IF($C1598="","",IFERROR(INDEX(Sens_Types,MATCH($C1598,Liste_Types,0)),""))</f>
        <v/>
      </c>
      <c r="J1598" s="107">
        <f>IF($I1598="▲ ENTRÉE",$U1598,"")</f>
        <v/>
      </c>
      <c r="K1598" s="108">
        <f>IF($I1598="▼ SORTIE",$U1598,"")</f>
        <v/>
      </c>
      <c r="L1598" s="109">
        <f>$L1597+N($J1598)-N($K1598)</f>
        <v/>
      </c>
      <c r="M1598" s="110" t="n"/>
      <c r="N1598" s="54" t="n"/>
      <c r="O1598" s="54" t="n"/>
      <c r="P1598" s="54" t="n"/>
      <c r="Q1598" s="110" t="n"/>
      <c r="R1598" s="110" t="n"/>
      <c r="S1598" s="54" t="n"/>
      <c r="T1598" s="111">
        <f>IF($G1598="","",IFERROR(INDEX(Taux_Devises,MATCH(IF($M1598="",Devise_Base,$M1598),Codes_Devises,0)),1))</f>
        <v/>
      </c>
      <c r="U1598" s="112">
        <f>IF($G1598="","",ROUND($G1598*$T1598,2))</f>
        <v/>
      </c>
      <c r="V1598" s="113">
        <f>IF($B1598="","",MONTH($B1598))</f>
        <v/>
      </c>
      <c r="W1598" s="113">
        <f>IF($B1598="","",YEAR($B1598))</f>
        <v/>
      </c>
    </row>
    <row r="1599">
      <c r="B1599" s="105" t="n"/>
      <c r="C1599" s="54" t="n"/>
      <c r="D1599" s="54" t="n"/>
      <c r="E1599" s="54" t="n"/>
      <c r="F1599" s="54" t="n"/>
      <c r="G1599" s="65" t="n"/>
      <c r="H1599" s="54" t="n"/>
      <c r="I1599" s="106">
        <f>IF($C1599="","",IFERROR(INDEX(Sens_Types,MATCH($C1599,Liste_Types,0)),""))</f>
        <v/>
      </c>
      <c r="J1599" s="107">
        <f>IF($I1599="▲ ENTRÉE",$U1599,"")</f>
        <v/>
      </c>
      <c r="K1599" s="108">
        <f>IF($I1599="▼ SORTIE",$U1599,"")</f>
        <v/>
      </c>
      <c r="L1599" s="109">
        <f>$L1598+N($J1599)-N($K1599)</f>
        <v/>
      </c>
      <c r="M1599" s="110" t="n"/>
      <c r="N1599" s="54" t="n"/>
      <c r="O1599" s="54" t="n"/>
      <c r="P1599" s="54" t="n"/>
      <c r="Q1599" s="110" t="n"/>
      <c r="R1599" s="110" t="n"/>
      <c r="S1599" s="54" t="n"/>
      <c r="T1599" s="111">
        <f>IF($G1599="","",IFERROR(INDEX(Taux_Devises,MATCH(IF($M1599="",Devise_Base,$M1599),Codes_Devises,0)),1))</f>
        <v/>
      </c>
      <c r="U1599" s="112">
        <f>IF($G1599="","",ROUND($G1599*$T1599,2))</f>
        <v/>
      </c>
      <c r="V1599" s="113">
        <f>IF($B1599="","",MONTH($B1599))</f>
        <v/>
      </c>
      <c r="W1599" s="113">
        <f>IF($B1599="","",YEAR($B1599))</f>
        <v/>
      </c>
    </row>
    <row r="1600">
      <c r="B1600" s="105" t="n"/>
      <c r="C1600" s="54" t="n"/>
      <c r="D1600" s="54" t="n"/>
      <c r="E1600" s="54" t="n"/>
      <c r="F1600" s="54" t="n"/>
      <c r="G1600" s="65" t="n"/>
      <c r="H1600" s="54" t="n"/>
      <c r="I1600" s="106">
        <f>IF($C1600="","",IFERROR(INDEX(Sens_Types,MATCH($C1600,Liste_Types,0)),""))</f>
        <v/>
      </c>
      <c r="J1600" s="107">
        <f>IF($I1600="▲ ENTRÉE",$U1600,"")</f>
        <v/>
      </c>
      <c r="K1600" s="108">
        <f>IF($I1600="▼ SORTIE",$U1600,"")</f>
        <v/>
      </c>
      <c r="L1600" s="109">
        <f>$L1599+N($J1600)-N($K1600)</f>
        <v/>
      </c>
      <c r="M1600" s="110" t="n"/>
      <c r="N1600" s="54" t="n"/>
      <c r="O1600" s="54" t="n"/>
      <c r="P1600" s="54" t="n"/>
      <c r="Q1600" s="110" t="n"/>
      <c r="R1600" s="110" t="n"/>
      <c r="S1600" s="54" t="n"/>
      <c r="T1600" s="111">
        <f>IF($G1600="","",IFERROR(INDEX(Taux_Devises,MATCH(IF($M1600="",Devise_Base,$M1600),Codes_Devises,0)),1))</f>
        <v/>
      </c>
      <c r="U1600" s="112">
        <f>IF($G1600="","",ROUND($G1600*$T1600,2))</f>
        <v/>
      </c>
      <c r="V1600" s="113">
        <f>IF($B1600="","",MONTH($B1600))</f>
        <v/>
      </c>
      <c r="W1600" s="113">
        <f>IF($B1600="","",YEAR($B1600))</f>
        <v/>
      </c>
    </row>
    <row r="1601">
      <c r="B1601" s="105" t="n"/>
      <c r="C1601" s="54" t="n"/>
      <c r="D1601" s="54" t="n"/>
      <c r="E1601" s="54" t="n"/>
      <c r="F1601" s="54" t="n"/>
      <c r="G1601" s="65" t="n"/>
      <c r="H1601" s="54" t="n"/>
      <c r="I1601" s="106">
        <f>IF($C1601="","",IFERROR(INDEX(Sens_Types,MATCH($C1601,Liste_Types,0)),""))</f>
        <v/>
      </c>
      <c r="J1601" s="107">
        <f>IF($I1601="▲ ENTRÉE",$U1601,"")</f>
        <v/>
      </c>
      <c r="K1601" s="108">
        <f>IF($I1601="▼ SORTIE",$U1601,"")</f>
        <v/>
      </c>
      <c r="L1601" s="109">
        <f>$L1600+N($J1601)-N($K1601)</f>
        <v/>
      </c>
      <c r="M1601" s="110" t="n"/>
      <c r="N1601" s="54" t="n"/>
      <c r="O1601" s="54" t="n"/>
      <c r="P1601" s="54" t="n"/>
      <c r="Q1601" s="110" t="n"/>
      <c r="R1601" s="110" t="n"/>
      <c r="S1601" s="54" t="n"/>
      <c r="T1601" s="111">
        <f>IF($G1601="","",IFERROR(INDEX(Taux_Devises,MATCH(IF($M1601="",Devise_Base,$M1601),Codes_Devises,0)),1))</f>
        <v/>
      </c>
      <c r="U1601" s="112">
        <f>IF($G1601="","",ROUND($G1601*$T1601,2))</f>
        <v/>
      </c>
      <c r="V1601" s="113">
        <f>IF($B1601="","",MONTH($B1601))</f>
        <v/>
      </c>
      <c r="W1601" s="113">
        <f>IF($B1601="","",YEAR($B1601))</f>
        <v/>
      </c>
    </row>
    <row r="1602">
      <c r="B1602" s="105" t="n"/>
      <c r="C1602" s="54" t="n"/>
      <c r="D1602" s="54" t="n"/>
      <c r="E1602" s="54" t="n"/>
      <c r="F1602" s="54" t="n"/>
      <c r="G1602" s="65" t="n"/>
      <c r="H1602" s="54" t="n"/>
      <c r="I1602" s="106">
        <f>IF($C1602="","",IFERROR(INDEX(Sens_Types,MATCH($C1602,Liste_Types,0)),""))</f>
        <v/>
      </c>
      <c r="J1602" s="107">
        <f>IF($I1602="▲ ENTRÉE",$U1602,"")</f>
        <v/>
      </c>
      <c r="K1602" s="108">
        <f>IF($I1602="▼ SORTIE",$U1602,"")</f>
        <v/>
      </c>
      <c r="L1602" s="109">
        <f>$L1601+N($J1602)-N($K1602)</f>
        <v/>
      </c>
      <c r="M1602" s="110" t="n"/>
      <c r="N1602" s="54" t="n"/>
      <c r="O1602" s="54" t="n"/>
      <c r="P1602" s="54" t="n"/>
      <c r="Q1602" s="110" t="n"/>
      <c r="R1602" s="110" t="n"/>
      <c r="S1602" s="54" t="n"/>
      <c r="T1602" s="111">
        <f>IF($G1602="","",IFERROR(INDEX(Taux_Devises,MATCH(IF($M1602="",Devise_Base,$M1602),Codes_Devises,0)),1))</f>
        <v/>
      </c>
      <c r="U1602" s="112">
        <f>IF($G1602="","",ROUND($G1602*$T1602,2))</f>
        <v/>
      </c>
      <c r="V1602" s="113">
        <f>IF($B1602="","",MONTH($B1602))</f>
        <v/>
      </c>
      <c r="W1602" s="113">
        <f>IF($B1602="","",YEAR($B1602))</f>
        <v/>
      </c>
    </row>
    <row r="1603">
      <c r="B1603" s="105" t="n"/>
      <c r="C1603" s="54" t="n"/>
      <c r="D1603" s="54" t="n"/>
      <c r="E1603" s="54" t="n"/>
      <c r="F1603" s="54" t="n"/>
      <c r="G1603" s="65" t="n"/>
      <c r="H1603" s="54" t="n"/>
      <c r="I1603" s="106">
        <f>IF($C1603="","",IFERROR(INDEX(Sens_Types,MATCH($C1603,Liste_Types,0)),""))</f>
        <v/>
      </c>
      <c r="J1603" s="107">
        <f>IF($I1603="▲ ENTRÉE",$U1603,"")</f>
        <v/>
      </c>
      <c r="K1603" s="108">
        <f>IF($I1603="▼ SORTIE",$U1603,"")</f>
        <v/>
      </c>
      <c r="L1603" s="109">
        <f>$L1602+N($J1603)-N($K1603)</f>
        <v/>
      </c>
      <c r="M1603" s="110" t="n"/>
      <c r="N1603" s="54" t="n"/>
      <c r="O1603" s="54" t="n"/>
      <c r="P1603" s="54" t="n"/>
      <c r="Q1603" s="110" t="n"/>
      <c r="R1603" s="110" t="n"/>
      <c r="S1603" s="54" t="n"/>
      <c r="T1603" s="111">
        <f>IF($G1603="","",IFERROR(INDEX(Taux_Devises,MATCH(IF($M1603="",Devise_Base,$M1603),Codes_Devises,0)),1))</f>
        <v/>
      </c>
      <c r="U1603" s="112">
        <f>IF($G1603="","",ROUND($G1603*$T1603,2))</f>
        <v/>
      </c>
      <c r="V1603" s="113">
        <f>IF($B1603="","",MONTH($B1603))</f>
        <v/>
      </c>
      <c r="W1603" s="113">
        <f>IF($B1603="","",YEAR($B1603))</f>
        <v/>
      </c>
    </row>
    <row r="1604">
      <c r="B1604" s="105" t="n"/>
      <c r="C1604" s="54" t="n"/>
      <c r="D1604" s="54" t="n"/>
      <c r="E1604" s="54" t="n"/>
      <c r="F1604" s="54" t="n"/>
      <c r="G1604" s="65" t="n"/>
      <c r="H1604" s="54" t="n"/>
      <c r="I1604" s="106">
        <f>IF($C1604="","",IFERROR(INDEX(Sens_Types,MATCH($C1604,Liste_Types,0)),""))</f>
        <v/>
      </c>
      <c r="J1604" s="107">
        <f>IF($I1604="▲ ENTRÉE",$U1604,"")</f>
        <v/>
      </c>
      <c r="K1604" s="108">
        <f>IF($I1604="▼ SORTIE",$U1604,"")</f>
        <v/>
      </c>
      <c r="L1604" s="109">
        <f>$L1603+N($J1604)-N($K1604)</f>
        <v/>
      </c>
      <c r="M1604" s="110" t="n"/>
      <c r="N1604" s="54" t="n"/>
      <c r="O1604" s="54" t="n"/>
      <c r="P1604" s="54" t="n"/>
      <c r="Q1604" s="110" t="n"/>
      <c r="R1604" s="110" t="n"/>
      <c r="S1604" s="54" t="n"/>
      <c r="T1604" s="111">
        <f>IF($G1604="","",IFERROR(INDEX(Taux_Devises,MATCH(IF($M1604="",Devise_Base,$M1604),Codes_Devises,0)),1))</f>
        <v/>
      </c>
      <c r="U1604" s="112">
        <f>IF($G1604="","",ROUND($G1604*$T1604,2))</f>
        <v/>
      </c>
      <c r="V1604" s="113">
        <f>IF($B1604="","",MONTH($B1604))</f>
        <v/>
      </c>
      <c r="W1604" s="113">
        <f>IF($B1604="","",YEAR($B1604))</f>
        <v/>
      </c>
    </row>
    <row r="1605">
      <c r="B1605" s="105" t="n"/>
      <c r="C1605" s="54" t="n"/>
      <c r="D1605" s="54" t="n"/>
      <c r="E1605" s="54" t="n"/>
      <c r="F1605" s="54" t="n"/>
      <c r="G1605" s="65" t="n"/>
      <c r="H1605" s="54" t="n"/>
      <c r="I1605" s="106">
        <f>IF($C1605="","",IFERROR(INDEX(Sens_Types,MATCH($C1605,Liste_Types,0)),""))</f>
        <v/>
      </c>
      <c r="J1605" s="107">
        <f>IF($I1605="▲ ENTRÉE",$U1605,"")</f>
        <v/>
      </c>
      <c r="K1605" s="108">
        <f>IF($I1605="▼ SORTIE",$U1605,"")</f>
        <v/>
      </c>
      <c r="L1605" s="109">
        <f>$L1604+N($J1605)-N($K1605)</f>
        <v/>
      </c>
      <c r="M1605" s="110" t="n"/>
      <c r="N1605" s="54" t="n"/>
      <c r="O1605" s="54" t="n"/>
      <c r="P1605" s="54" t="n"/>
      <c r="Q1605" s="110" t="n"/>
      <c r="R1605" s="110" t="n"/>
      <c r="S1605" s="54" t="n"/>
      <c r="T1605" s="111">
        <f>IF($G1605="","",IFERROR(INDEX(Taux_Devises,MATCH(IF($M1605="",Devise_Base,$M1605),Codes_Devises,0)),1))</f>
        <v/>
      </c>
      <c r="U1605" s="112">
        <f>IF($G1605="","",ROUND($G1605*$T1605,2))</f>
        <v/>
      </c>
      <c r="V1605" s="113">
        <f>IF($B1605="","",MONTH($B1605))</f>
        <v/>
      </c>
      <c r="W1605" s="113">
        <f>IF($B1605="","",YEAR($B1605))</f>
        <v/>
      </c>
    </row>
    <row r="1606">
      <c r="B1606" s="105" t="n"/>
      <c r="C1606" s="54" t="n"/>
      <c r="D1606" s="54" t="n"/>
      <c r="E1606" s="54" t="n"/>
      <c r="F1606" s="54" t="n"/>
      <c r="G1606" s="65" t="n"/>
      <c r="H1606" s="54" t="n"/>
      <c r="I1606" s="106">
        <f>IF($C1606="","",IFERROR(INDEX(Sens_Types,MATCH($C1606,Liste_Types,0)),""))</f>
        <v/>
      </c>
      <c r="J1606" s="107">
        <f>IF($I1606="▲ ENTRÉE",$U1606,"")</f>
        <v/>
      </c>
      <c r="K1606" s="108">
        <f>IF($I1606="▼ SORTIE",$U1606,"")</f>
        <v/>
      </c>
      <c r="L1606" s="109">
        <f>$L1605+N($J1606)-N($K1606)</f>
        <v/>
      </c>
      <c r="M1606" s="110" t="n"/>
      <c r="N1606" s="54" t="n"/>
      <c r="O1606" s="54" t="n"/>
      <c r="P1606" s="54" t="n"/>
      <c r="Q1606" s="110" t="n"/>
      <c r="R1606" s="110" t="n"/>
      <c r="S1606" s="54" t="n"/>
      <c r="T1606" s="111">
        <f>IF($G1606="","",IFERROR(INDEX(Taux_Devises,MATCH(IF($M1606="",Devise_Base,$M1606),Codes_Devises,0)),1))</f>
        <v/>
      </c>
      <c r="U1606" s="112">
        <f>IF($G1606="","",ROUND($G1606*$T1606,2))</f>
        <v/>
      </c>
      <c r="V1606" s="113">
        <f>IF($B1606="","",MONTH($B1606))</f>
        <v/>
      </c>
      <c r="W1606" s="113">
        <f>IF($B1606="","",YEAR($B1606))</f>
        <v/>
      </c>
    </row>
    <row r="1607">
      <c r="B1607" s="105" t="n"/>
      <c r="C1607" s="54" t="n"/>
      <c r="D1607" s="54" t="n"/>
      <c r="E1607" s="54" t="n"/>
      <c r="F1607" s="54" t="n"/>
      <c r="G1607" s="65" t="n"/>
      <c r="H1607" s="54" t="n"/>
      <c r="I1607" s="106">
        <f>IF($C1607="","",IFERROR(INDEX(Sens_Types,MATCH($C1607,Liste_Types,0)),""))</f>
        <v/>
      </c>
      <c r="J1607" s="107">
        <f>IF($I1607="▲ ENTRÉE",$U1607,"")</f>
        <v/>
      </c>
      <c r="K1607" s="108">
        <f>IF($I1607="▼ SORTIE",$U1607,"")</f>
        <v/>
      </c>
      <c r="L1607" s="109">
        <f>$L1606+N($J1607)-N($K1607)</f>
        <v/>
      </c>
      <c r="M1607" s="110" t="n"/>
      <c r="N1607" s="54" t="n"/>
      <c r="O1607" s="54" t="n"/>
      <c r="P1607" s="54" t="n"/>
      <c r="Q1607" s="110" t="n"/>
      <c r="R1607" s="110" t="n"/>
      <c r="S1607" s="54" t="n"/>
      <c r="T1607" s="111">
        <f>IF($G1607="","",IFERROR(INDEX(Taux_Devises,MATCH(IF($M1607="",Devise_Base,$M1607),Codes_Devises,0)),1))</f>
        <v/>
      </c>
      <c r="U1607" s="112">
        <f>IF($G1607="","",ROUND($G1607*$T1607,2))</f>
        <v/>
      </c>
      <c r="V1607" s="113">
        <f>IF($B1607="","",MONTH($B1607))</f>
        <v/>
      </c>
      <c r="W1607" s="113">
        <f>IF($B1607="","",YEAR($B1607))</f>
        <v/>
      </c>
    </row>
    <row r="1608">
      <c r="B1608" s="105" t="n"/>
      <c r="C1608" s="54" t="n"/>
      <c r="D1608" s="54" t="n"/>
      <c r="E1608" s="54" t="n"/>
      <c r="F1608" s="54" t="n"/>
      <c r="G1608" s="65" t="n"/>
      <c r="H1608" s="54" t="n"/>
      <c r="I1608" s="106">
        <f>IF($C1608="","",IFERROR(INDEX(Sens_Types,MATCH($C1608,Liste_Types,0)),""))</f>
        <v/>
      </c>
      <c r="J1608" s="107">
        <f>IF($I1608="▲ ENTRÉE",$U1608,"")</f>
        <v/>
      </c>
      <c r="K1608" s="108">
        <f>IF($I1608="▼ SORTIE",$U1608,"")</f>
        <v/>
      </c>
      <c r="L1608" s="109">
        <f>$L1607+N($J1608)-N($K1608)</f>
        <v/>
      </c>
      <c r="M1608" s="110" t="n"/>
      <c r="N1608" s="54" t="n"/>
      <c r="O1608" s="54" t="n"/>
      <c r="P1608" s="54" t="n"/>
      <c r="Q1608" s="110" t="n"/>
      <c r="R1608" s="110" t="n"/>
      <c r="S1608" s="54" t="n"/>
      <c r="T1608" s="111">
        <f>IF($G1608="","",IFERROR(INDEX(Taux_Devises,MATCH(IF($M1608="",Devise_Base,$M1608),Codes_Devises,0)),1))</f>
        <v/>
      </c>
      <c r="U1608" s="112">
        <f>IF($G1608="","",ROUND($G1608*$T1608,2))</f>
        <v/>
      </c>
      <c r="V1608" s="113">
        <f>IF($B1608="","",MONTH($B1608))</f>
        <v/>
      </c>
      <c r="W1608" s="113">
        <f>IF($B1608="","",YEAR($B1608))</f>
        <v/>
      </c>
    </row>
    <row r="1609">
      <c r="B1609" s="105" t="n"/>
      <c r="C1609" s="54" t="n"/>
      <c r="D1609" s="54" t="n"/>
      <c r="E1609" s="54" t="n"/>
      <c r="F1609" s="54" t="n"/>
      <c r="G1609" s="65" t="n"/>
      <c r="H1609" s="54" t="n"/>
      <c r="I1609" s="106">
        <f>IF($C1609="","",IFERROR(INDEX(Sens_Types,MATCH($C1609,Liste_Types,0)),""))</f>
        <v/>
      </c>
      <c r="J1609" s="107">
        <f>IF($I1609="▲ ENTRÉE",$U1609,"")</f>
        <v/>
      </c>
      <c r="K1609" s="108">
        <f>IF($I1609="▼ SORTIE",$U1609,"")</f>
        <v/>
      </c>
      <c r="L1609" s="109">
        <f>$L1608+N($J1609)-N($K1609)</f>
        <v/>
      </c>
      <c r="M1609" s="110" t="n"/>
      <c r="N1609" s="54" t="n"/>
      <c r="O1609" s="54" t="n"/>
      <c r="P1609" s="54" t="n"/>
      <c r="Q1609" s="110" t="n"/>
      <c r="R1609" s="110" t="n"/>
      <c r="S1609" s="54" t="n"/>
      <c r="T1609" s="111">
        <f>IF($G1609="","",IFERROR(INDEX(Taux_Devises,MATCH(IF($M1609="",Devise_Base,$M1609),Codes_Devises,0)),1))</f>
        <v/>
      </c>
      <c r="U1609" s="112">
        <f>IF($G1609="","",ROUND($G1609*$T1609,2))</f>
        <v/>
      </c>
      <c r="V1609" s="113">
        <f>IF($B1609="","",MONTH($B1609))</f>
        <v/>
      </c>
      <c r="W1609" s="113">
        <f>IF($B1609="","",YEAR($B1609))</f>
        <v/>
      </c>
    </row>
    <row r="1610">
      <c r="B1610" s="105" t="n"/>
      <c r="C1610" s="54" t="n"/>
      <c r="D1610" s="54" t="n"/>
      <c r="E1610" s="54" t="n"/>
      <c r="F1610" s="54" t="n"/>
      <c r="G1610" s="65" t="n"/>
      <c r="H1610" s="54" t="n"/>
      <c r="I1610" s="106">
        <f>IF($C1610="","",IFERROR(INDEX(Sens_Types,MATCH($C1610,Liste_Types,0)),""))</f>
        <v/>
      </c>
      <c r="J1610" s="107">
        <f>IF($I1610="▲ ENTRÉE",$U1610,"")</f>
        <v/>
      </c>
      <c r="K1610" s="108">
        <f>IF($I1610="▼ SORTIE",$U1610,"")</f>
        <v/>
      </c>
      <c r="L1610" s="109">
        <f>$L1609+N($J1610)-N($K1610)</f>
        <v/>
      </c>
      <c r="M1610" s="110" t="n"/>
      <c r="N1610" s="54" t="n"/>
      <c r="O1610" s="54" t="n"/>
      <c r="P1610" s="54" t="n"/>
      <c r="Q1610" s="110" t="n"/>
      <c r="R1610" s="110" t="n"/>
      <c r="S1610" s="54" t="n"/>
      <c r="T1610" s="111">
        <f>IF($G1610="","",IFERROR(INDEX(Taux_Devises,MATCH(IF($M1610="",Devise_Base,$M1610),Codes_Devises,0)),1))</f>
        <v/>
      </c>
      <c r="U1610" s="112">
        <f>IF($G1610="","",ROUND($G1610*$T1610,2))</f>
        <v/>
      </c>
      <c r="V1610" s="113">
        <f>IF($B1610="","",MONTH($B1610))</f>
        <v/>
      </c>
      <c r="W1610" s="113">
        <f>IF($B1610="","",YEAR($B1610))</f>
        <v/>
      </c>
    </row>
    <row r="1611">
      <c r="B1611" s="105" t="n"/>
      <c r="C1611" s="54" t="n"/>
      <c r="D1611" s="54" t="n"/>
      <c r="E1611" s="54" t="n"/>
      <c r="F1611" s="54" t="n"/>
      <c r="G1611" s="65" t="n"/>
      <c r="H1611" s="54" t="n"/>
      <c r="I1611" s="106">
        <f>IF($C1611="","",IFERROR(INDEX(Sens_Types,MATCH($C1611,Liste_Types,0)),""))</f>
        <v/>
      </c>
      <c r="J1611" s="107">
        <f>IF($I1611="▲ ENTRÉE",$U1611,"")</f>
        <v/>
      </c>
      <c r="K1611" s="108">
        <f>IF($I1611="▼ SORTIE",$U1611,"")</f>
        <v/>
      </c>
      <c r="L1611" s="109">
        <f>$L1610+N($J1611)-N($K1611)</f>
        <v/>
      </c>
      <c r="M1611" s="110" t="n"/>
      <c r="N1611" s="54" t="n"/>
      <c r="O1611" s="54" t="n"/>
      <c r="P1611" s="54" t="n"/>
      <c r="Q1611" s="110" t="n"/>
      <c r="R1611" s="110" t="n"/>
      <c r="S1611" s="54" t="n"/>
      <c r="T1611" s="111">
        <f>IF($G1611="","",IFERROR(INDEX(Taux_Devises,MATCH(IF($M1611="",Devise_Base,$M1611),Codes_Devises,0)),1))</f>
        <v/>
      </c>
      <c r="U1611" s="112">
        <f>IF($G1611="","",ROUND($G1611*$T1611,2))</f>
        <v/>
      </c>
      <c r="V1611" s="113">
        <f>IF($B1611="","",MONTH($B1611))</f>
        <v/>
      </c>
      <c r="W1611" s="113">
        <f>IF($B1611="","",YEAR($B1611))</f>
        <v/>
      </c>
    </row>
    <row r="1612">
      <c r="B1612" s="105" t="n"/>
      <c r="C1612" s="54" t="n"/>
      <c r="D1612" s="54" t="n"/>
      <c r="E1612" s="54" t="n"/>
      <c r="F1612" s="54" t="n"/>
      <c r="G1612" s="65" t="n"/>
      <c r="H1612" s="54" t="n"/>
      <c r="I1612" s="106">
        <f>IF($C1612="","",IFERROR(INDEX(Sens_Types,MATCH($C1612,Liste_Types,0)),""))</f>
        <v/>
      </c>
      <c r="J1612" s="107">
        <f>IF($I1612="▲ ENTRÉE",$U1612,"")</f>
        <v/>
      </c>
      <c r="K1612" s="108">
        <f>IF($I1612="▼ SORTIE",$U1612,"")</f>
        <v/>
      </c>
      <c r="L1612" s="109">
        <f>$L1611+N($J1612)-N($K1612)</f>
        <v/>
      </c>
      <c r="M1612" s="110" t="n"/>
      <c r="N1612" s="54" t="n"/>
      <c r="O1612" s="54" t="n"/>
      <c r="P1612" s="54" t="n"/>
      <c r="Q1612" s="110" t="n"/>
      <c r="R1612" s="110" t="n"/>
      <c r="S1612" s="54" t="n"/>
      <c r="T1612" s="111">
        <f>IF($G1612="","",IFERROR(INDEX(Taux_Devises,MATCH(IF($M1612="",Devise_Base,$M1612),Codes_Devises,0)),1))</f>
        <v/>
      </c>
      <c r="U1612" s="112">
        <f>IF($G1612="","",ROUND($G1612*$T1612,2))</f>
        <v/>
      </c>
      <c r="V1612" s="113">
        <f>IF($B1612="","",MONTH($B1612))</f>
        <v/>
      </c>
      <c r="W1612" s="113">
        <f>IF($B1612="","",YEAR($B1612))</f>
        <v/>
      </c>
    </row>
    <row r="1613">
      <c r="B1613" s="105" t="n"/>
      <c r="C1613" s="54" t="n"/>
      <c r="D1613" s="54" t="n"/>
      <c r="E1613" s="54" t="n"/>
      <c r="F1613" s="54" t="n"/>
      <c r="G1613" s="65" t="n"/>
      <c r="H1613" s="54" t="n"/>
      <c r="I1613" s="106">
        <f>IF($C1613="","",IFERROR(INDEX(Sens_Types,MATCH($C1613,Liste_Types,0)),""))</f>
        <v/>
      </c>
      <c r="J1613" s="107">
        <f>IF($I1613="▲ ENTRÉE",$U1613,"")</f>
        <v/>
      </c>
      <c r="K1613" s="108">
        <f>IF($I1613="▼ SORTIE",$U1613,"")</f>
        <v/>
      </c>
      <c r="L1613" s="109">
        <f>$L1612+N($J1613)-N($K1613)</f>
        <v/>
      </c>
      <c r="M1613" s="110" t="n"/>
      <c r="N1613" s="54" t="n"/>
      <c r="O1613" s="54" t="n"/>
      <c r="P1613" s="54" t="n"/>
      <c r="Q1613" s="110" t="n"/>
      <c r="R1613" s="110" t="n"/>
      <c r="S1613" s="54" t="n"/>
      <c r="T1613" s="111">
        <f>IF($G1613="","",IFERROR(INDEX(Taux_Devises,MATCH(IF($M1613="",Devise_Base,$M1613),Codes_Devises,0)),1))</f>
        <v/>
      </c>
      <c r="U1613" s="112">
        <f>IF($G1613="","",ROUND($G1613*$T1613,2))</f>
        <v/>
      </c>
      <c r="V1613" s="113">
        <f>IF($B1613="","",MONTH($B1613))</f>
        <v/>
      </c>
      <c r="W1613" s="113">
        <f>IF($B1613="","",YEAR($B1613))</f>
        <v/>
      </c>
    </row>
    <row r="1614">
      <c r="B1614" s="105" t="n"/>
      <c r="C1614" s="54" t="n"/>
      <c r="D1614" s="54" t="n"/>
      <c r="E1614" s="54" t="n"/>
      <c r="F1614" s="54" t="n"/>
      <c r="G1614" s="65" t="n"/>
      <c r="H1614" s="54" t="n"/>
      <c r="I1614" s="106">
        <f>IF($C1614="","",IFERROR(INDEX(Sens_Types,MATCH($C1614,Liste_Types,0)),""))</f>
        <v/>
      </c>
      <c r="J1614" s="107">
        <f>IF($I1614="▲ ENTRÉE",$U1614,"")</f>
        <v/>
      </c>
      <c r="K1614" s="108">
        <f>IF($I1614="▼ SORTIE",$U1614,"")</f>
        <v/>
      </c>
      <c r="L1614" s="109">
        <f>$L1613+N($J1614)-N($K1614)</f>
        <v/>
      </c>
      <c r="M1614" s="110" t="n"/>
      <c r="N1614" s="54" t="n"/>
      <c r="O1614" s="54" t="n"/>
      <c r="P1614" s="54" t="n"/>
      <c r="Q1614" s="110" t="n"/>
      <c r="R1614" s="110" t="n"/>
      <c r="S1614" s="54" t="n"/>
      <c r="T1614" s="111">
        <f>IF($G1614="","",IFERROR(INDEX(Taux_Devises,MATCH(IF($M1614="",Devise_Base,$M1614),Codes_Devises,0)),1))</f>
        <v/>
      </c>
      <c r="U1614" s="112">
        <f>IF($G1614="","",ROUND($G1614*$T1614,2))</f>
        <v/>
      </c>
      <c r="V1614" s="113">
        <f>IF($B1614="","",MONTH($B1614))</f>
        <v/>
      </c>
      <c r="W1614" s="113">
        <f>IF($B1614="","",YEAR($B1614))</f>
        <v/>
      </c>
    </row>
    <row r="1615">
      <c r="B1615" s="105" t="n"/>
      <c r="C1615" s="54" t="n"/>
      <c r="D1615" s="54" t="n"/>
      <c r="E1615" s="54" t="n"/>
      <c r="F1615" s="54" t="n"/>
      <c r="G1615" s="65" t="n"/>
      <c r="H1615" s="54" t="n"/>
      <c r="I1615" s="106">
        <f>IF($C1615="","",IFERROR(INDEX(Sens_Types,MATCH($C1615,Liste_Types,0)),""))</f>
        <v/>
      </c>
      <c r="J1615" s="107">
        <f>IF($I1615="▲ ENTRÉE",$U1615,"")</f>
        <v/>
      </c>
      <c r="K1615" s="108">
        <f>IF($I1615="▼ SORTIE",$U1615,"")</f>
        <v/>
      </c>
      <c r="L1615" s="109">
        <f>$L1614+N($J1615)-N($K1615)</f>
        <v/>
      </c>
      <c r="M1615" s="110" t="n"/>
      <c r="N1615" s="54" t="n"/>
      <c r="O1615" s="54" t="n"/>
      <c r="P1615" s="54" t="n"/>
      <c r="Q1615" s="110" t="n"/>
      <c r="R1615" s="110" t="n"/>
      <c r="S1615" s="54" t="n"/>
      <c r="T1615" s="111">
        <f>IF($G1615="","",IFERROR(INDEX(Taux_Devises,MATCH(IF($M1615="",Devise_Base,$M1615),Codes_Devises,0)),1))</f>
        <v/>
      </c>
      <c r="U1615" s="112">
        <f>IF($G1615="","",ROUND($G1615*$T1615,2))</f>
        <v/>
      </c>
      <c r="V1615" s="113">
        <f>IF($B1615="","",MONTH($B1615))</f>
        <v/>
      </c>
      <c r="W1615" s="113">
        <f>IF($B1615="","",YEAR($B1615))</f>
        <v/>
      </c>
    </row>
    <row r="1616">
      <c r="B1616" s="105" t="n"/>
      <c r="C1616" s="54" t="n"/>
      <c r="D1616" s="54" t="n"/>
      <c r="E1616" s="54" t="n"/>
      <c r="F1616" s="54" t="n"/>
      <c r="G1616" s="65" t="n"/>
      <c r="H1616" s="54" t="n"/>
      <c r="I1616" s="106">
        <f>IF($C1616="","",IFERROR(INDEX(Sens_Types,MATCH($C1616,Liste_Types,0)),""))</f>
        <v/>
      </c>
      <c r="J1616" s="107">
        <f>IF($I1616="▲ ENTRÉE",$U1616,"")</f>
        <v/>
      </c>
      <c r="K1616" s="108">
        <f>IF($I1616="▼ SORTIE",$U1616,"")</f>
        <v/>
      </c>
      <c r="L1616" s="109">
        <f>$L1615+N($J1616)-N($K1616)</f>
        <v/>
      </c>
      <c r="M1616" s="110" t="n"/>
      <c r="N1616" s="54" t="n"/>
      <c r="O1616" s="54" t="n"/>
      <c r="P1616" s="54" t="n"/>
      <c r="Q1616" s="110" t="n"/>
      <c r="R1616" s="110" t="n"/>
      <c r="S1616" s="54" t="n"/>
      <c r="T1616" s="111">
        <f>IF($G1616="","",IFERROR(INDEX(Taux_Devises,MATCH(IF($M1616="",Devise_Base,$M1616),Codes_Devises,0)),1))</f>
        <v/>
      </c>
      <c r="U1616" s="112">
        <f>IF($G1616="","",ROUND($G1616*$T1616,2))</f>
        <v/>
      </c>
      <c r="V1616" s="113">
        <f>IF($B1616="","",MONTH($B1616))</f>
        <v/>
      </c>
      <c r="W1616" s="113">
        <f>IF($B1616="","",YEAR($B1616))</f>
        <v/>
      </c>
    </row>
    <row r="1617">
      <c r="B1617" s="105" t="n"/>
      <c r="C1617" s="54" t="n"/>
      <c r="D1617" s="54" t="n"/>
      <c r="E1617" s="54" t="n"/>
      <c r="F1617" s="54" t="n"/>
      <c r="G1617" s="65" t="n"/>
      <c r="H1617" s="54" t="n"/>
      <c r="I1617" s="106">
        <f>IF($C1617="","",IFERROR(INDEX(Sens_Types,MATCH($C1617,Liste_Types,0)),""))</f>
        <v/>
      </c>
      <c r="J1617" s="107">
        <f>IF($I1617="▲ ENTRÉE",$U1617,"")</f>
        <v/>
      </c>
      <c r="K1617" s="108">
        <f>IF($I1617="▼ SORTIE",$U1617,"")</f>
        <v/>
      </c>
      <c r="L1617" s="109">
        <f>$L1616+N($J1617)-N($K1617)</f>
        <v/>
      </c>
      <c r="M1617" s="110" t="n"/>
      <c r="N1617" s="54" t="n"/>
      <c r="O1617" s="54" t="n"/>
      <c r="P1617" s="54" t="n"/>
      <c r="Q1617" s="110" t="n"/>
      <c r="R1617" s="110" t="n"/>
      <c r="S1617" s="54" t="n"/>
      <c r="T1617" s="111">
        <f>IF($G1617="","",IFERROR(INDEX(Taux_Devises,MATCH(IF($M1617="",Devise_Base,$M1617),Codes_Devises,0)),1))</f>
        <v/>
      </c>
      <c r="U1617" s="112">
        <f>IF($G1617="","",ROUND($G1617*$T1617,2))</f>
        <v/>
      </c>
      <c r="V1617" s="113">
        <f>IF($B1617="","",MONTH($B1617))</f>
        <v/>
      </c>
      <c r="W1617" s="113">
        <f>IF($B1617="","",YEAR($B1617))</f>
        <v/>
      </c>
    </row>
    <row r="1618">
      <c r="B1618" s="105" t="n"/>
      <c r="C1618" s="54" t="n"/>
      <c r="D1618" s="54" t="n"/>
      <c r="E1618" s="54" t="n"/>
      <c r="F1618" s="54" t="n"/>
      <c r="G1618" s="65" t="n"/>
      <c r="H1618" s="54" t="n"/>
      <c r="I1618" s="106">
        <f>IF($C1618="","",IFERROR(INDEX(Sens_Types,MATCH($C1618,Liste_Types,0)),""))</f>
        <v/>
      </c>
      <c r="J1618" s="107">
        <f>IF($I1618="▲ ENTRÉE",$U1618,"")</f>
        <v/>
      </c>
      <c r="K1618" s="108">
        <f>IF($I1618="▼ SORTIE",$U1618,"")</f>
        <v/>
      </c>
      <c r="L1618" s="109">
        <f>$L1617+N($J1618)-N($K1618)</f>
        <v/>
      </c>
      <c r="M1618" s="110" t="n"/>
      <c r="N1618" s="54" t="n"/>
      <c r="O1618" s="54" t="n"/>
      <c r="P1618" s="54" t="n"/>
      <c r="Q1618" s="110" t="n"/>
      <c r="R1618" s="110" t="n"/>
      <c r="S1618" s="54" t="n"/>
      <c r="T1618" s="111">
        <f>IF($G1618="","",IFERROR(INDEX(Taux_Devises,MATCH(IF($M1618="",Devise_Base,$M1618),Codes_Devises,0)),1))</f>
        <v/>
      </c>
      <c r="U1618" s="112">
        <f>IF($G1618="","",ROUND($G1618*$T1618,2))</f>
        <v/>
      </c>
      <c r="V1618" s="113">
        <f>IF($B1618="","",MONTH($B1618))</f>
        <v/>
      </c>
      <c r="W1618" s="113">
        <f>IF($B1618="","",YEAR($B1618))</f>
        <v/>
      </c>
    </row>
    <row r="1619">
      <c r="B1619" s="105" t="n"/>
      <c r="C1619" s="54" t="n"/>
      <c r="D1619" s="54" t="n"/>
      <c r="E1619" s="54" t="n"/>
      <c r="F1619" s="54" t="n"/>
      <c r="G1619" s="65" t="n"/>
      <c r="H1619" s="54" t="n"/>
      <c r="I1619" s="106">
        <f>IF($C1619="","",IFERROR(INDEX(Sens_Types,MATCH($C1619,Liste_Types,0)),""))</f>
        <v/>
      </c>
      <c r="J1619" s="107">
        <f>IF($I1619="▲ ENTRÉE",$U1619,"")</f>
        <v/>
      </c>
      <c r="K1619" s="108">
        <f>IF($I1619="▼ SORTIE",$U1619,"")</f>
        <v/>
      </c>
      <c r="L1619" s="109">
        <f>$L1618+N($J1619)-N($K1619)</f>
        <v/>
      </c>
      <c r="M1619" s="110" t="n"/>
      <c r="N1619" s="54" t="n"/>
      <c r="O1619" s="54" t="n"/>
      <c r="P1619" s="54" t="n"/>
      <c r="Q1619" s="110" t="n"/>
      <c r="R1619" s="110" t="n"/>
      <c r="S1619" s="54" t="n"/>
      <c r="T1619" s="111">
        <f>IF($G1619="","",IFERROR(INDEX(Taux_Devises,MATCH(IF($M1619="",Devise_Base,$M1619),Codes_Devises,0)),1))</f>
        <v/>
      </c>
      <c r="U1619" s="112">
        <f>IF($G1619="","",ROUND($G1619*$T1619,2))</f>
        <v/>
      </c>
      <c r="V1619" s="113">
        <f>IF($B1619="","",MONTH($B1619))</f>
        <v/>
      </c>
      <c r="W1619" s="113">
        <f>IF($B1619="","",YEAR($B1619))</f>
        <v/>
      </c>
    </row>
    <row r="1620">
      <c r="B1620" s="105" t="n"/>
      <c r="C1620" s="54" t="n"/>
      <c r="D1620" s="54" t="n"/>
      <c r="E1620" s="54" t="n"/>
      <c r="F1620" s="54" t="n"/>
      <c r="G1620" s="65" t="n"/>
      <c r="H1620" s="54" t="n"/>
      <c r="I1620" s="106">
        <f>IF($C1620="","",IFERROR(INDEX(Sens_Types,MATCH($C1620,Liste_Types,0)),""))</f>
        <v/>
      </c>
      <c r="J1620" s="107">
        <f>IF($I1620="▲ ENTRÉE",$U1620,"")</f>
        <v/>
      </c>
      <c r="K1620" s="108">
        <f>IF($I1620="▼ SORTIE",$U1620,"")</f>
        <v/>
      </c>
      <c r="L1620" s="109">
        <f>$L1619+N($J1620)-N($K1620)</f>
        <v/>
      </c>
      <c r="M1620" s="110" t="n"/>
      <c r="N1620" s="54" t="n"/>
      <c r="O1620" s="54" t="n"/>
      <c r="P1620" s="54" t="n"/>
      <c r="Q1620" s="110" t="n"/>
      <c r="R1620" s="110" t="n"/>
      <c r="S1620" s="54" t="n"/>
      <c r="T1620" s="111">
        <f>IF($G1620="","",IFERROR(INDEX(Taux_Devises,MATCH(IF($M1620="",Devise_Base,$M1620),Codes_Devises,0)),1))</f>
        <v/>
      </c>
      <c r="U1620" s="112">
        <f>IF($G1620="","",ROUND($G1620*$T1620,2))</f>
        <v/>
      </c>
      <c r="V1620" s="113">
        <f>IF($B1620="","",MONTH($B1620))</f>
        <v/>
      </c>
      <c r="W1620" s="113">
        <f>IF($B1620="","",YEAR($B1620))</f>
        <v/>
      </c>
    </row>
    <row r="1621">
      <c r="B1621" s="105" t="n"/>
      <c r="C1621" s="54" t="n"/>
      <c r="D1621" s="54" t="n"/>
      <c r="E1621" s="54" t="n"/>
      <c r="F1621" s="54" t="n"/>
      <c r="G1621" s="65" t="n"/>
      <c r="H1621" s="54" t="n"/>
      <c r="I1621" s="106">
        <f>IF($C1621="","",IFERROR(INDEX(Sens_Types,MATCH($C1621,Liste_Types,0)),""))</f>
        <v/>
      </c>
      <c r="J1621" s="107">
        <f>IF($I1621="▲ ENTRÉE",$U1621,"")</f>
        <v/>
      </c>
      <c r="K1621" s="108">
        <f>IF($I1621="▼ SORTIE",$U1621,"")</f>
        <v/>
      </c>
      <c r="L1621" s="109">
        <f>$L1620+N($J1621)-N($K1621)</f>
        <v/>
      </c>
      <c r="M1621" s="110" t="n"/>
      <c r="N1621" s="54" t="n"/>
      <c r="O1621" s="54" t="n"/>
      <c r="P1621" s="54" t="n"/>
      <c r="Q1621" s="110" t="n"/>
      <c r="R1621" s="110" t="n"/>
      <c r="S1621" s="54" t="n"/>
      <c r="T1621" s="111">
        <f>IF($G1621="","",IFERROR(INDEX(Taux_Devises,MATCH(IF($M1621="",Devise_Base,$M1621),Codes_Devises,0)),1))</f>
        <v/>
      </c>
      <c r="U1621" s="112">
        <f>IF($G1621="","",ROUND($G1621*$T1621,2))</f>
        <v/>
      </c>
      <c r="V1621" s="113">
        <f>IF($B1621="","",MONTH($B1621))</f>
        <v/>
      </c>
      <c r="W1621" s="113">
        <f>IF($B1621="","",YEAR($B1621))</f>
        <v/>
      </c>
    </row>
    <row r="1622">
      <c r="B1622" s="105" t="n"/>
      <c r="C1622" s="54" t="n"/>
      <c r="D1622" s="54" t="n"/>
      <c r="E1622" s="54" t="n"/>
      <c r="F1622" s="54" t="n"/>
      <c r="G1622" s="65" t="n"/>
      <c r="H1622" s="54" t="n"/>
      <c r="I1622" s="106">
        <f>IF($C1622="","",IFERROR(INDEX(Sens_Types,MATCH($C1622,Liste_Types,0)),""))</f>
        <v/>
      </c>
      <c r="J1622" s="107">
        <f>IF($I1622="▲ ENTRÉE",$U1622,"")</f>
        <v/>
      </c>
      <c r="K1622" s="108">
        <f>IF($I1622="▼ SORTIE",$U1622,"")</f>
        <v/>
      </c>
      <c r="L1622" s="109">
        <f>$L1621+N($J1622)-N($K1622)</f>
        <v/>
      </c>
      <c r="M1622" s="110" t="n"/>
      <c r="N1622" s="54" t="n"/>
      <c r="O1622" s="54" t="n"/>
      <c r="P1622" s="54" t="n"/>
      <c r="Q1622" s="110" t="n"/>
      <c r="R1622" s="110" t="n"/>
      <c r="S1622" s="54" t="n"/>
      <c r="T1622" s="111">
        <f>IF($G1622="","",IFERROR(INDEX(Taux_Devises,MATCH(IF($M1622="",Devise_Base,$M1622),Codes_Devises,0)),1))</f>
        <v/>
      </c>
      <c r="U1622" s="112">
        <f>IF($G1622="","",ROUND($G1622*$T1622,2))</f>
        <v/>
      </c>
      <c r="V1622" s="113">
        <f>IF($B1622="","",MONTH($B1622))</f>
        <v/>
      </c>
      <c r="W1622" s="113">
        <f>IF($B1622="","",YEAR($B1622))</f>
        <v/>
      </c>
    </row>
    <row r="1623">
      <c r="B1623" s="105" t="n"/>
      <c r="C1623" s="54" t="n"/>
      <c r="D1623" s="54" t="n"/>
      <c r="E1623" s="54" t="n"/>
      <c r="F1623" s="54" t="n"/>
      <c r="G1623" s="65" t="n"/>
      <c r="H1623" s="54" t="n"/>
      <c r="I1623" s="106">
        <f>IF($C1623="","",IFERROR(INDEX(Sens_Types,MATCH($C1623,Liste_Types,0)),""))</f>
        <v/>
      </c>
      <c r="J1623" s="107">
        <f>IF($I1623="▲ ENTRÉE",$U1623,"")</f>
        <v/>
      </c>
      <c r="K1623" s="108">
        <f>IF($I1623="▼ SORTIE",$U1623,"")</f>
        <v/>
      </c>
      <c r="L1623" s="109">
        <f>$L1622+N($J1623)-N($K1623)</f>
        <v/>
      </c>
      <c r="M1623" s="110" t="n"/>
      <c r="N1623" s="54" t="n"/>
      <c r="O1623" s="54" t="n"/>
      <c r="P1623" s="54" t="n"/>
      <c r="Q1623" s="110" t="n"/>
      <c r="R1623" s="110" t="n"/>
      <c r="S1623" s="54" t="n"/>
      <c r="T1623" s="111">
        <f>IF($G1623="","",IFERROR(INDEX(Taux_Devises,MATCH(IF($M1623="",Devise_Base,$M1623),Codes_Devises,0)),1))</f>
        <v/>
      </c>
      <c r="U1623" s="112">
        <f>IF($G1623="","",ROUND($G1623*$T1623,2))</f>
        <v/>
      </c>
      <c r="V1623" s="113">
        <f>IF($B1623="","",MONTH($B1623))</f>
        <v/>
      </c>
      <c r="W1623" s="113">
        <f>IF($B1623="","",YEAR($B1623))</f>
        <v/>
      </c>
    </row>
    <row r="1624">
      <c r="B1624" s="105" t="n"/>
      <c r="C1624" s="54" t="n"/>
      <c r="D1624" s="54" t="n"/>
      <c r="E1624" s="54" t="n"/>
      <c r="F1624" s="54" t="n"/>
      <c r="G1624" s="65" t="n"/>
      <c r="H1624" s="54" t="n"/>
      <c r="I1624" s="106">
        <f>IF($C1624="","",IFERROR(INDEX(Sens_Types,MATCH($C1624,Liste_Types,0)),""))</f>
        <v/>
      </c>
      <c r="J1624" s="107">
        <f>IF($I1624="▲ ENTRÉE",$U1624,"")</f>
        <v/>
      </c>
      <c r="K1624" s="108">
        <f>IF($I1624="▼ SORTIE",$U1624,"")</f>
        <v/>
      </c>
      <c r="L1624" s="109">
        <f>$L1623+N($J1624)-N($K1624)</f>
        <v/>
      </c>
      <c r="M1624" s="110" t="n"/>
      <c r="N1624" s="54" t="n"/>
      <c r="O1624" s="54" t="n"/>
      <c r="P1624" s="54" t="n"/>
      <c r="Q1624" s="110" t="n"/>
      <c r="R1624" s="110" t="n"/>
      <c r="S1624" s="54" t="n"/>
      <c r="T1624" s="111">
        <f>IF($G1624="","",IFERROR(INDEX(Taux_Devises,MATCH(IF($M1624="",Devise_Base,$M1624),Codes_Devises,0)),1))</f>
        <v/>
      </c>
      <c r="U1624" s="112">
        <f>IF($G1624="","",ROUND($G1624*$T1624,2))</f>
        <v/>
      </c>
      <c r="V1624" s="113">
        <f>IF($B1624="","",MONTH($B1624))</f>
        <v/>
      </c>
      <c r="W1624" s="113">
        <f>IF($B1624="","",YEAR($B1624))</f>
        <v/>
      </c>
    </row>
    <row r="1625">
      <c r="B1625" s="105" t="n"/>
      <c r="C1625" s="54" t="n"/>
      <c r="D1625" s="54" t="n"/>
      <c r="E1625" s="54" t="n"/>
      <c r="F1625" s="54" t="n"/>
      <c r="G1625" s="65" t="n"/>
      <c r="H1625" s="54" t="n"/>
      <c r="I1625" s="106">
        <f>IF($C1625="","",IFERROR(INDEX(Sens_Types,MATCH($C1625,Liste_Types,0)),""))</f>
        <v/>
      </c>
      <c r="J1625" s="107">
        <f>IF($I1625="▲ ENTRÉE",$U1625,"")</f>
        <v/>
      </c>
      <c r="K1625" s="108">
        <f>IF($I1625="▼ SORTIE",$U1625,"")</f>
        <v/>
      </c>
      <c r="L1625" s="109">
        <f>$L1624+N($J1625)-N($K1625)</f>
        <v/>
      </c>
      <c r="M1625" s="110" t="n"/>
      <c r="N1625" s="54" t="n"/>
      <c r="O1625" s="54" t="n"/>
      <c r="P1625" s="54" t="n"/>
      <c r="Q1625" s="110" t="n"/>
      <c r="R1625" s="110" t="n"/>
      <c r="S1625" s="54" t="n"/>
      <c r="T1625" s="111">
        <f>IF($G1625="","",IFERROR(INDEX(Taux_Devises,MATCH(IF($M1625="",Devise_Base,$M1625),Codes_Devises,0)),1))</f>
        <v/>
      </c>
      <c r="U1625" s="112">
        <f>IF($G1625="","",ROUND($G1625*$T1625,2))</f>
        <v/>
      </c>
      <c r="V1625" s="113">
        <f>IF($B1625="","",MONTH($B1625))</f>
        <v/>
      </c>
      <c r="W1625" s="113">
        <f>IF($B1625="","",YEAR($B1625))</f>
        <v/>
      </c>
    </row>
    <row r="1626">
      <c r="B1626" s="105" t="n"/>
      <c r="C1626" s="54" t="n"/>
      <c r="D1626" s="54" t="n"/>
      <c r="E1626" s="54" t="n"/>
      <c r="F1626" s="54" t="n"/>
      <c r="G1626" s="65" t="n"/>
      <c r="H1626" s="54" t="n"/>
      <c r="I1626" s="106">
        <f>IF($C1626="","",IFERROR(INDEX(Sens_Types,MATCH($C1626,Liste_Types,0)),""))</f>
        <v/>
      </c>
      <c r="J1626" s="107">
        <f>IF($I1626="▲ ENTRÉE",$U1626,"")</f>
        <v/>
      </c>
      <c r="K1626" s="108">
        <f>IF($I1626="▼ SORTIE",$U1626,"")</f>
        <v/>
      </c>
      <c r="L1626" s="109">
        <f>$L1625+N($J1626)-N($K1626)</f>
        <v/>
      </c>
      <c r="M1626" s="110" t="n"/>
      <c r="N1626" s="54" t="n"/>
      <c r="O1626" s="54" t="n"/>
      <c r="P1626" s="54" t="n"/>
      <c r="Q1626" s="110" t="n"/>
      <c r="R1626" s="110" t="n"/>
      <c r="S1626" s="54" t="n"/>
      <c r="T1626" s="111">
        <f>IF($G1626="","",IFERROR(INDEX(Taux_Devises,MATCH(IF($M1626="",Devise_Base,$M1626),Codes_Devises,0)),1))</f>
        <v/>
      </c>
      <c r="U1626" s="112">
        <f>IF($G1626="","",ROUND($G1626*$T1626,2))</f>
        <v/>
      </c>
      <c r="V1626" s="113">
        <f>IF($B1626="","",MONTH($B1626))</f>
        <v/>
      </c>
      <c r="W1626" s="113">
        <f>IF($B1626="","",YEAR($B1626))</f>
        <v/>
      </c>
    </row>
    <row r="1627">
      <c r="B1627" s="105" t="n"/>
      <c r="C1627" s="54" t="n"/>
      <c r="D1627" s="54" t="n"/>
      <c r="E1627" s="54" t="n"/>
      <c r="F1627" s="54" t="n"/>
      <c r="G1627" s="65" t="n"/>
      <c r="H1627" s="54" t="n"/>
      <c r="I1627" s="106">
        <f>IF($C1627="","",IFERROR(INDEX(Sens_Types,MATCH($C1627,Liste_Types,0)),""))</f>
        <v/>
      </c>
      <c r="J1627" s="107">
        <f>IF($I1627="▲ ENTRÉE",$U1627,"")</f>
        <v/>
      </c>
      <c r="K1627" s="108">
        <f>IF($I1627="▼ SORTIE",$U1627,"")</f>
        <v/>
      </c>
      <c r="L1627" s="109">
        <f>$L1626+N($J1627)-N($K1627)</f>
        <v/>
      </c>
      <c r="M1627" s="110" t="n"/>
      <c r="N1627" s="54" t="n"/>
      <c r="O1627" s="54" t="n"/>
      <c r="P1627" s="54" t="n"/>
      <c r="Q1627" s="110" t="n"/>
      <c r="R1627" s="110" t="n"/>
      <c r="S1627" s="54" t="n"/>
      <c r="T1627" s="111">
        <f>IF($G1627="","",IFERROR(INDEX(Taux_Devises,MATCH(IF($M1627="",Devise_Base,$M1627),Codes_Devises,0)),1))</f>
        <v/>
      </c>
      <c r="U1627" s="112">
        <f>IF($G1627="","",ROUND($G1627*$T1627,2))</f>
        <v/>
      </c>
      <c r="V1627" s="113">
        <f>IF($B1627="","",MONTH($B1627))</f>
        <v/>
      </c>
      <c r="W1627" s="113">
        <f>IF($B1627="","",YEAR($B1627))</f>
        <v/>
      </c>
    </row>
    <row r="1628">
      <c r="B1628" s="105" t="n"/>
      <c r="C1628" s="54" t="n"/>
      <c r="D1628" s="54" t="n"/>
      <c r="E1628" s="54" t="n"/>
      <c r="F1628" s="54" t="n"/>
      <c r="G1628" s="65" t="n"/>
      <c r="H1628" s="54" t="n"/>
      <c r="I1628" s="106">
        <f>IF($C1628="","",IFERROR(INDEX(Sens_Types,MATCH($C1628,Liste_Types,0)),""))</f>
        <v/>
      </c>
      <c r="J1628" s="107">
        <f>IF($I1628="▲ ENTRÉE",$U1628,"")</f>
        <v/>
      </c>
      <c r="K1628" s="108">
        <f>IF($I1628="▼ SORTIE",$U1628,"")</f>
        <v/>
      </c>
      <c r="L1628" s="109">
        <f>$L1627+N($J1628)-N($K1628)</f>
        <v/>
      </c>
      <c r="M1628" s="110" t="n"/>
      <c r="N1628" s="54" t="n"/>
      <c r="O1628" s="54" t="n"/>
      <c r="P1628" s="54" t="n"/>
      <c r="Q1628" s="110" t="n"/>
      <c r="R1628" s="110" t="n"/>
      <c r="S1628" s="54" t="n"/>
      <c r="T1628" s="111">
        <f>IF($G1628="","",IFERROR(INDEX(Taux_Devises,MATCH(IF($M1628="",Devise_Base,$M1628),Codes_Devises,0)),1))</f>
        <v/>
      </c>
      <c r="U1628" s="112">
        <f>IF($G1628="","",ROUND($G1628*$T1628,2))</f>
        <v/>
      </c>
      <c r="V1628" s="113">
        <f>IF($B1628="","",MONTH($B1628))</f>
        <v/>
      </c>
      <c r="W1628" s="113">
        <f>IF($B1628="","",YEAR($B1628))</f>
        <v/>
      </c>
    </row>
    <row r="1629">
      <c r="B1629" s="105" t="n"/>
      <c r="C1629" s="54" t="n"/>
      <c r="D1629" s="54" t="n"/>
      <c r="E1629" s="54" t="n"/>
      <c r="F1629" s="54" t="n"/>
      <c r="G1629" s="65" t="n"/>
      <c r="H1629" s="54" t="n"/>
      <c r="I1629" s="106">
        <f>IF($C1629="","",IFERROR(INDEX(Sens_Types,MATCH($C1629,Liste_Types,0)),""))</f>
        <v/>
      </c>
      <c r="J1629" s="107">
        <f>IF($I1629="▲ ENTRÉE",$U1629,"")</f>
        <v/>
      </c>
      <c r="K1629" s="108">
        <f>IF($I1629="▼ SORTIE",$U1629,"")</f>
        <v/>
      </c>
      <c r="L1629" s="109">
        <f>$L1628+N($J1629)-N($K1629)</f>
        <v/>
      </c>
      <c r="M1629" s="110" t="n"/>
      <c r="N1629" s="54" t="n"/>
      <c r="O1629" s="54" t="n"/>
      <c r="P1629" s="54" t="n"/>
      <c r="Q1629" s="110" t="n"/>
      <c r="R1629" s="110" t="n"/>
      <c r="S1629" s="54" t="n"/>
      <c r="T1629" s="111">
        <f>IF($G1629="","",IFERROR(INDEX(Taux_Devises,MATCH(IF($M1629="",Devise_Base,$M1629),Codes_Devises,0)),1))</f>
        <v/>
      </c>
      <c r="U1629" s="112">
        <f>IF($G1629="","",ROUND($G1629*$T1629,2))</f>
        <v/>
      </c>
      <c r="V1629" s="113">
        <f>IF($B1629="","",MONTH($B1629))</f>
        <v/>
      </c>
      <c r="W1629" s="113">
        <f>IF($B1629="","",YEAR($B1629))</f>
        <v/>
      </c>
    </row>
    <row r="1630">
      <c r="B1630" s="105" t="n"/>
      <c r="C1630" s="54" t="n"/>
      <c r="D1630" s="54" t="n"/>
      <c r="E1630" s="54" t="n"/>
      <c r="F1630" s="54" t="n"/>
      <c r="G1630" s="65" t="n"/>
      <c r="H1630" s="54" t="n"/>
      <c r="I1630" s="106">
        <f>IF($C1630="","",IFERROR(INDEX(Sens_Types,MATCH($C1630,Liste_Types,0)),""))</f>
        <v/>
      </c>
      <c r="J1630" s="107">
        <f>IF($I1630="▲ ENTRÉE",$U1630,"")</f>
        <v/>
      </c>
      <c r="K1630" s="108">
        <f>IF($I1630="▼ SORTIE",$U1630,"")</f>
        <v/>
      </c>
      <c r="L1630" s="109">
        <f>$L1629+N($J1630)-N($K1630)</f>
        <v/>
      </c>
      <c r="M1630" s="110" t="n"/>
      <c r="N1630" s="54" t="n"/>
      <c r="O1630" s="54" t="n"/>
      <c r="P1630" s="54" t="n"/>
      <c r="Q1630" s="110" t="n"/>
      <c r="R1630" s="110" t="n"/>
      <c r="S1630" s="54" t="n"/>
      <c r="T1630" s="111">
        <f>IF($G1630="","",IFERROR(INDEX(Taux_Devises,MATCH(IF($M1630="",Devise_Base,$M1630),Codes_Devises,0)),1))</f>
        <v/>
      </c>
      <c r="U1630" s="112">
        <f>IF($G1630="","",ROUND($G1630*$T1630,2))</f>
        <v/>
      </c>
      <c r="V1630" s="113">
        <f>IF($B1630="","",MONTH($B1630))</f>
        <v/>
      </c>
      <c r="W1630" s="113">
        <f>IF($B1630="","",YEAR($B1630))</f>
        <v/>
      </c>
    </row>
    <row r="1631">
      <c r="B1631" s="105" t="n"/>
      <c r="C1631" s="54" t="n"/>
      <c r="D1631" s="54" t="n"/>
      <c r="E1631" s="54" t="n"/>
      <c r="F1631" s="54" t="n"/>
      <c r="G1631" s="65" t="n"/>
      <c r="H1631" s="54" t="n"/>
      <c r="I1631" s="106">
        <f>IF($C1631="","",IFERROR(INDEX(Sens_Types,MATCH($C1631,Liste_Types,0)),""))</f>
        <v/>
      </c>
      <c r="J1631" s="107">
        <f>IF($I1631="▲ ENTRÉE",$U1631,"")</f>
        <v/>
      </c>
      <c r="K1631" s="108">
        <f>IF($I1631="▼ SORTIE",$U1631,"")</f>
        <v/>
      </c>
      <c r="L1631" s="109">
        <f>$L1630+N($J1631)-N($K1631)</f>
        <v/>
      </c>
      <c r="M1631" s="110" t="n"/>
      <c r="N1631" s="54" t="n"/>
      <c r="O1631" s="54" t="n"/>
      <c r="P1631" s="54" t="n"/>
      <c r="Q1631" s="110" t="n"/>
      <c r="R1631" s="110" t="n"/>
      <c r="S1631" s="54" t="n"/>
      <c r="T1631" s="111">
        <f>IF($G1631="","",IFERROR(INDEX(Taux_Devises,MATCH(IF($M1631="",Devise_Base,$M1631),Codes_Devises,0)),1))</f>
        <v/>
      </c>
      <c r="U1631" s="112">
        <f>IF($G1631="","",ROUND($G1631*$T1631,2))</f>
        <v/>
      </c>
      <c r="V1631" s="113">
        <f>IF($B1631="","",MONTH($B1631))</f>
        <v/>
      </c>
      <c r="W1631" s="113">
        <f>IF($B1631="","",YEAR($B1631))</f>
        <v/>
      </c>
    </row>
    <row r="1632">
      <c r="B1632" s="105" t="n"/>
      <c r="C1632" s="54" t="n"/>
      <c r="D1632" s="54" t="n"/>
      <c r="E1632" s="54" t="n"/>
      <c r="F1632" s="54" t="n"/>
      <c r="G1632" s="65" t="n"/>
      <c r="H1632" s="54" t="n"/>
      <c r="I1632" s="106">
        <f>IF($C1632="","",IFERROR(INDEX(Sens_Types,MATCH($C1632,Liste_Types,0)),""))</f>
        <v/>
      </c>
      <c r="J1632" s="107">
        <f>IF($I1632="▲ ENTRÉE",$U1632,"")</f>
        <v/>
      </c>
      <c r="K1632" s="108">
        <f>IF($I1632="▼ SORTIE",$U1632,"")</f>
        <v/>
      </c>
      <c r="L1632" s="109">
        <f>$L1631+N($J1632)-N($K1632)</f>
        <v/>
      </c>
      <c r="M1632" s="110" t="n"/>
      <c r="N1632" s="54" t="n"/>
      <c r="O1632" s="54" t="n"/>
      <c r="P1632" s="54" t="n"/>
      <c r="Q1632" s="110" t="n"/>
      <c r="R1632" s="110" t="n"/>
      <c r="S1632" s="54" t="n"/>
      <c r="T1632" s="111">
        <f>IF($G1632="","",IFERROR(INDEX(Taux_Devises,MATCH(IF($M1632="",Devise_Base,$M1632),Codes_Devises,0)),1))</f>
        <v/>
      </c>
      <c r="U1632" s="112">
        <f>IF($G1632="","",ROUND($G1632*$T1632,2))</f>
        <v/>
      </c>
      <c r="V1632" s="113">
        <f>IF($B1632="","",MONTH($B1632))</f>
        <v/>
      </c>
      <c r="W1632" s="113">
        <f>IF($B1632="","",YEAR($B1632))</f>
        <v/>
      </c>
    </row>
    <row r="1633">
      <c r="B1633" s="105" t="n"/>
      <c r="C1633" s="54" t="n"/>
      <c r="D1633" s="54" t="n"/>
      <c r="E1633" s="54" t="n"/>
      <c r="F1633" s="54" t="n"/>
      <c r="G1633" s="65" t="n"/>
      <c r="H1633" s="54" t="n"/>
      <c r="I1633" s="106">
        <f>IF($C1633="","",IFERROR(INDEX(Sens_Types,MATCH($C1633,Liste_Types,0)),""))</f>
        <v/>
      </c>
      <c r="J1633" s="107">
        <f>IF($I1633="▲ ENTRÉE",$U1633,"")</f>
        <v/>
      </c>
      <c r="K1633" s="108">
        <f>IF($I1633="▼ SORTIE",$U1633,"")</f>
        <v/>
      </c>
      <c r="L1633" s="109">
        <f>$L1632+N($J1633)-N($K1633)</f>
        <v/>
      </c>
      <c r="M1633" s="110" t="n"/>
      <c r="N1633" s="54" t="n"/>
      <c r="O1633" s="54" t="n"/>
      <c r="P1633" s="54" t="n"/>
      <c r="Q1633" s="110" t="n"/>
      <c r="R1633" s="110" t="n"/>
      <c r="S1633" s="54" t="n"/>
      <c r="T1633" s="111">
        <f>IF($G1633="","",IFERROR(INDEX(Taux_Devises,MATCH(IF($M1633="",Devise_Base,$M1633),Codes_Devises,0)),1))</f>
        <v/>
      </c>
      <c r="U1633" s="112">
        <f>IF($G1633="","",ROUND($G1633*$T1633,2))</f>
        <v/>
      </c>
      <c r="V1633" s="113">
        <f>IF($B1633="","",MONTH($B1633))</f>
        <v/>
      </c>
      <c r="W1633" s="113">
        <f>IF($B1633="","",YEAR($B1633))</f>
        <v/>
      </c>
    </row>
    <row r="1634">
      <c r="B1634" s="105" t="n"/>
      <c r="C1634" s="54" t="n"/>
      <c r="D1634" s="54" t="n"/>
      <c r="E1634" s="54" t="n"/>
      <c r="F1634" s="54" t="n"/>
      <c r="G1634" s="65" t="n"/>
      <c r="H1634" s="54" t="n"/>
      <c r="I1634" s="106">
        <f>IF($C1634="","",IFERROR(INDEX(Sens_Types,MATCH($C1634,Liste_Types,0)),""))</f>
        <v/>
      </c>
      <c r="J1634" s="107">
        <f>IF($I1634="▲ ENTRÉE",$U1634,"")</f>
        <v/>
      </c>
      <c r="K1634" s="108">
        <f>IF($I1634="▼ SORTIE",$U1634,"")</f>
        <v/>
      </c>
      <c r="L1634" s="109">
        <f>$L1633+N($J1634)-N($K1634)</f>
        <v/>
      </c>
      <c r="M1634" s="110" t="n"/>
      <c r="N1634" s="54" t="n"/>
      <c r="O1634" s="54" t="n"/>
      <c r="P1634" s="54" t="n"/>
      <c r="Q1634" s="110" t="n"/>
      <c r="R1634" s="110" t="n"/>
      <c r="S1634" s="54" t="n"/>
      <c r="T1634" s="111">
        <f>IF($G1634="","",IFERROR(INDEX(Taux_Devises,MATCH(IF($M1634="",Devise_Base,$M1634),Codes_Devises,0)),1))</f>
        <v/>
      </c>
      <c r="U1634" s="112">
        <f>IF($G1634="","",ROUND($G1634*$T1634,2))</f>
        <v/>
      </c>
      <c r="V1634" s="113">
        <f>IF($B1634="","",MONTH($B1634))</f>
        <v/>
      </c>
      <c r="W1634" s="113">
        <f>IF($B1634="","",YEAR($B1634))</f>
        <v/>
      </c>
    </row>
    <row r="1635">
      <c r="B1635" s="105" t="n"/>
      <c r="C1635" s="54" t="n"/>
      <c r="D1635" s="54" t="n"/>
      <c r="E1635" s="54" t="n"/>
      <c r="F1635" s="54" t="n"/>
      <c r="G1635" s="65" t="n"/>
      <c r="H1635" s="54" t="n"/>
      <c r="I1635" s="106">
        <f>IF($C1635="","",IFERROR(INDEX(Sens_Types,MATCH($C1635,Liste_Types,0)),""))</f>
        <v/>
      </c>
      <c r="J1635" s="107">
        <f>IF($I1635="▲ ENTRÉE",$U1635,"")</f>
        <v/>
      </c>
      <c r="K1635" s="108">
        <f>IF($I1635="▼ SORTIE",$U1635,"")</f>
        <v/>
      </c>
      <c r="L1635" s="109">
        <f>$L1634+N($J1635)-N($K1635)</f>
        <v/>
      </c>
      <c r="M1635" s="110" t="n"/>
      <c r="N1635" s="54" t="n"/>
      <c r="O1635" s="54" t="n"/>
      <c r="P1635" s="54" t="n"/>
      <c r="Q1635" s="110" t="n"/>
      <c r="R1635" s="110" t="n"/>
      <c r="S1635" s="54" t="n"/>
      <c r="T1635" s="111">
        <f>IF($G1635="","",IFERROR(INDEX(Taux_Devises,MATCH(IF($M1635="",Devise_Base,$M1635),Codes_Devises,0)),1))</f>
        <v/>
      </c>
      <c r="U1635" s="112">
        <f>IF($G1635="","",ROUND($G1635*$T1635,2))</f>
        <v/>
      </c>
      <c r="V1635" s="113">
        <f>IF($B1635="","",MONTH($B1635))</f>
        <v/>
      </c>
      <c r="W1635" s="113">
        <f>IF($B1635="","",YEAR($B1635))</f>
        <v/>
      </c>
    </row>
    <row r="1636">
      <c r="B1636" s="105" t="n"/>
      <c r="C1636" s="54" t="n"/>
      <c r="D1636" s="54" t="n"/>
      <c r="E1636" s="54" t="n"/>
      <c r="F1636" s="54" t="n"/>
      <c r="G1636" s="65" t="n"/>
      <c r="H1636" s="54" t="n"/>
      <c r="I1636" s="106">
        <f>IF($C1636="","",IFERROR(INDEX(Sens_Types,MATCH($C1636,Liste_Types,0)),""))</f>
        <v/>
      </c>
      <c r="J1636" s="107">
        <f>IF($I1636="▲ ENTRÉE",$U1636,"")</f>
        <v/>
      </c>
      <c r="K1636" s="108">
        <f>IF($I1636="▼ SORTIE",$U1636,"")</f>
        <v/>
      </c>
      <c r="L1636" s="109">
        <f>$L1635+N($J1636)-N($K1636)</f>
        <v/>
      </c>
      <c r="M1636" s="110" t="n"/>
      <c r="N1636" s="54" t="n"/>
      <c r="O1636" s="54" t="n"/>
      <c r="P1636" s="54" t="n"/>
      <c r="Q1636" s="110" t="n"/>
      <c r="R1636" s="110" t="n"/>
      <c r="S1636" s="54" t="n"/>
      <c r="T1636" s="111">
        <f>IF($G1636="","",IFERROR(INDEX(Taux_Devises,MATCH(IF($M1636="",Devise_Base,$M1636),Codes_Devises,0)),1))</f>
        <v/>
      </c>
      <c r="U1636" s="112">
        <f>IF($G1636="","",ROUND($G1636*$T1636,2))</f>
        <v/>
      </c>
      <c r="V1636" s="113">
        <f>IF($B1636="","",MONTH($B1636))</f>
        <v/>
      </c>
      <c r="W1636" s="113">
        <f>IF($B1636="","",YEAR($B1636))</f>
        <v/>
      </c>
    </row>
    <row r="1637">
      <c r="B1637" s="105" t="n"/>
      <c r="C1637" s="54" t="n"/>
      <c r="D1637" s="54" t="n"/>
      <c r="E1637" s="54" t="n"/>
      <c r="F1637" s="54" t="n"/>
      <c r="G1637" s="65" t="n"/>
      <c r="H1637" s="54" t="n"/>
      <c r="I1637" s="106">
        <f>IF($C1637="","",IFERROR(INDEX(Sens_Types,MATCH($C1637,Liste_Types,0)),""))</f>
        <v/>
      </c>
      <c r="J1637" s="107">
        <f>IF($I1637="▲ ENTRÉE",$U1637,"")</f>
        <v/>
      </c>
      <c r="K1637" s="108">
        <f>IF($I1637="▼ SORTIE",$U1637,"")</f>
        <v/>
      </c>
      <c r="L1637" s="109">
        <f>$L1636+N($J1637)-N($K1637)</f>
        <v/>
      </c>
      <c r="M1637" s="110" t="n"/>
      <c r="N1637" s="54" t="n"/>
      <c r="O1637" s="54" t="n"/>
      <c r="P1637" s="54" t="n"/>
      <c r="Q1637" s="110" t="n"/>
      <c r="R1637" s="110" t="n"/>
      <c r="S1637" s="54" t="n"/>
      <c r="T1637" s="111">
        <f>IF($G1637="","",IFERROR(INDEX(Taux_Devises,MATCH(IF($M1637="",Devise_Base,$M1637),Codes_Devises,0)),1))</f>
        <v/>
      </c>
      <c r="U1637" s="112">
        <f>IF($G1637="","",ROUND($G1637*$T1637,2))</f>
        <v/>
      </c>
      <c r="V1637" s="113">
        <f>IF($B1637="","",MONTH($B1637))</f>
        <v/>
      </c>
      <c r="W1637" s="113">
        <f>IF($B1637="","",YEAR($B1637))</f>
        <v/>
      </c>
    </row>
    <row r="1638">
      <c r="B1638" s="105" t="n"/>
      <c r="C1638" s="54" t="n"/>
      <c r="D1638" s="54" t="n"/>
      <c r="E1638" s="54" t="n"/>
      <c r="F1638" s="54" t="n"/>
      <c r="G1638" s="65" t="n"/>
      <c r="H1638" s="54" t="n"/>
      <c r="I1638" s="106">
        <f>IF($C1638="","",IFERROR(INDEX(Sens_Types,MATCH($C1638,Liste_Types,0)),""))</f>
        <v/>
      </c>
      <c r="J1638" s="107">
        <f>IF($I1638="▲ ENTRÉE",$U1638,"")</f>
        <v/>
      </c>
      <c r="K1638" s="108">
        <f>IF($I1638="▼ SORTIE",$U1638,"")</f>
        <v/>
      </c>
      <c r="L1638" s="109">
        <f>$L1637+N($J1638)-N($K1638)</f>
        <v/>
      </c>
      <c r="M1638" s="110" t="n"/>
      <c r="N1638" s="54" t="n"/>
      <c r="O1638" s="54" t="n"/>
      <c r="P1638" s="54" t="n"/>
      <c r="Q1638" s="110" t="n"/>
      <c r="R1638" s="110" t="n"/>
      <c r="S1638" s="54" t="n"/>
      <c r="T1638" s="111">
        <f>IF($G1638="","",IFERROR(INDEX(Taux_Devises,MATCH(IF($M1638="",Devise_Base,$M1638),Codes_Devises,0)),1))</f>
        <v/>
      </c>
      <c r="U1638" s="112">
        <f>IF($G1638="","",ROUND($G1638*$T1638,2))</f>
        <v/>
      </c>
      <c r="V1638" s="113">
        <f>IF($B1638="","",MONTH($B1638))</f>
        <v/>
      </c>
      <c r="W1638" s="113">
        <f>IF($B1638="","",YEAR($B1638))</f>
        <v/>
      </c>
    </row>
    <row r="1639">
      <c r="B1639" s="105" t="n"/>
      <c r="C1639" s="54" t="n"/>
      <c r="D1639" s="54" t="n"/>
      <c r="E1639" s="54" t="n"/>
      <c r="F1639" s="54" t="n"/>
      <c r="G1639" s="65" t="n"/>
      <c r="H1639" s="54" t="n"/>
      <c r="I1639" s="106">
        <f>IF($C1639="","",IFERROR(INDEX(Sens_Types,MATCH($C1639,Liste_Types,0)),""))</f>
        <v/>
      </c>
      <c r="J1639" s="107">
        <f>IF($I1639="▲ ENTRÉE",$U1639,"")</f>
        <v/>
      </c>
      <c r="K1639" s="108">
        <f>IF($I1639="▼ SORTIE",$U1639,"")</f>
        <v/>
      </c>
      <c r="L1639" s="109">
        <f>$L1638+N($J1639)-N($K1639)</f>
        <v/>
      </c>
      <c r="M1639" s="110" t="n"/>
      <c r="N1639" s="54" t="n"/>
      <c r="O1639" s="54" t="n"/>
      <c r="P1639" s="54" t="n"/>
      <c r="Q1639" s="110" t="n"/>
      <c r="R1639" s="110" t="n"/>
      <c r="S1639" s="54" t="n"/>
      <c r="T1639" s="111">
        <f>IF($G1639="","",IFERROR(INDEX(Taux_Devises,MATCH(IF($M1639="",Devise_Base,$M1639),Codes_Devises,0)),1))</f>
        <v/>
      </c>
      <c r="U1639" s="112">
        <f>IF($G1639="","",ROUND($G1639*$T1639,2))</f>
        <v/>
      </c>
      <c r="V1639" s="113">
        <f>IF($B1639="","",MONTH($B1639))</f>
        <v/>
      </c>
      <c r="W1639" s="113">
        <f>IF($B1639="","",YEAR($B1639))</f>
        <v/>
      </c>
    </row>
    <row r="1640">
      <c r="B1640" s="105" t="n"/>
      <c r="C1640" s="54" t="n"/>
      <c r="D1640" s="54" t="n"/>
      <c r="E1640" s="54" t="n"/>
      <c r="F1640" s="54" t="n"/>
      <c r="G1640" s="65" t="n"/>
      <c r="H1640" s="54" t="n"/>
      <c r="I1640" s="106">
        <f>IF($C1640="","",IFERROR(INDEX(Sens_Types,MATCH($C1640,Liste_Types,0)),""))</f>
        <v/>
      </c>
      <c r="J1640" s="107">
        <f>IF($I1640="▲ ENTRÉE",$U1640,"")</f>
        <v/>
      </c>
      <c r="K1640" s="108">
        <f>IF($I1640="▼ SORTIE",$U1640,"")</f>
        <v/>
      </c>
      <c r="L1640" s="109">
        <f>$L1639+N($J1640)-N($K1640)</f>
        <v/>
      </c>
      <c r="M1640" s="110" t="n"/>
      <c r="N1640" s="54" t="n"/>
      <c r="O1640" s="54" t="n"/>
      <c r="P1640" s="54" t="n"/>
      <c r="Q1640" s="110" t="n"/>
      <c r="R1640" s="110" t="n"/>
      <c r="S1640" s="54" t="n"/>
      <c r="T1640" s="111">
        <f>IF($G1640="","",IFERROR(INDEX(Taux_Devises,MATCH(IF($M1640="",Devise_Base,$M1640),Codes_Devises,0)),1))</f>
        <v/>
      </c>
      <c r="U1640" s="112">
        <f>IF($G1640="","",ROUND($G1640*$T1640,2))</f>
        <v/>
      </c>
      <c r="V1640" s="113">
        <f>IF($B1640="","",MONTH($B1640))</f>
        <v/>
      </c>
      <c r="W1640" s="113">
        <f>IF($B1640="","",YEAR($B1640))</f>
        <v/>
      </c>
    </row>
    <row r="1641">
      <c r="B1641" s="105" t="n"/>
      <c r="C1641" s="54" t="n"/>
      <c r="D1641" s="54" t="n"/>
      <c r="E1641" s="54" t="n"/>
      <c r="F1641" s="54" t="n"/>
      <c r="G1641" s="65" t="n"/>
      <c r="H1641" s="54" t="n"/>
      <c r="I1641" s="106">
        <f>IF($C1641="","",IFERROR(INDEX(Sens_Types,MATCH($C1641,Liste_Types,0)),""))</f>
        <v/>
      </c>
      <c r="J1641" s="107">
        <f>IF($I1641="▲ ENTRÉE",$U1641,"")</f>
        <v/>
      </c>
      <c r="K1641" s="108">
        <f>IF($I1641="▼ SORTIE",$U1641,"")</f>
        <v/>
      </c>
      <c r="L1641" s="109">
        <f>$L1640+N($J1641)-N($K1641)</f>
        <v/>
      </c>
      <c r="M1641" s="110" t="n"/>
      <c r="N1641" s="54" t="n"/>
      <c r="O1641" s="54" t="n"/>
      <c r="P1641" s="54" t="n"/>
      <c r="Q1641" s="110" t="n"/>
      <c r="R1641" s="110" t="n"/>
      <c r="S1641" s="54" t="n"/>
      <c r="T1641" s="111">
        <f>IF($G1641="","",IFERROR(INDEX(Taux_Devises,MATCH(IF($M1641="",Devise_Base,$M1641),Codes_Devises,0)),1))</f>
        <v/>
      </c>
      <c r="U1641" s="112">
        <f>IF($G1641="","",ROUND($G1641*$T1641,2))</f>
        <v/>
      </c>
      <c r="V1641" s="113">
        <f>IF($B1641="","",MONTH($B1641))</f>
        <v/>
      </c>
      <c r="W1641" s="113">
        <f>IF($B1641="","",YEAR($B1641))</f>
        <v/>
      </c>
    </row>
    <row r="1642">
      <c r="B1642" s="105" t="n"/>
      <c r="C1642" s="54" t="n"/>
      <c r="D1642" s="54" t="n"/>
      <c r="E1642" s="54" t="n"/>
      <c r="F1642" s="54" t="n"/>
      <c r="G1642" s="65" t="n"/>
      <c r="H1642" s="54" t="n"/>
      <c r="I1642" s="106">
        <f>IF($C1642="","",IFERROR(INDEX(Sens_Types,MATCH($C1642,Liste_Types,0)),""))</f>
        <v/>
      </c>
      <c r="J1642" s="107">
        <f>IF($I1642="▲ ENTRÉE",$U1642,"")</f>
        <v/>
      </c>
      <c r="K1642" s="108">
        <f>IF($I1642="▼ SORTIE",$U1642,"")</f>
        <v/>
      </c>
      <c r="L1642" s="109">
        <f>$L1641+N($J1642)-N($K1642)</f>
        <v/>
      </c>
      <c r="M1642" s="110" t="n"/>
      <c r="N1642" s="54" t="n"/>
      <c r="O1642" s="54" t="n"/>
      <c r="P1642" s="54" t="n"/>
      <c r="Q1642" s="110" t="n"/>
      <c r="R1642" s="110" t="n"/>
      <c r="S1642" s="54" t="n"/>
      <c r="T1642" s="111">
        <f>IF($G1642="","",IFERROR(INDEX(Taux_Devises,MATCH(IF($M1642="",Devise_Base,$M1642),Codes_Devises,0)),1))</f>
        <v/>
      </c>
      <c r="U1642" s="112">
        <f>IF($G1642="","",ROUND($G1642*$T1642,2))</f>
        <v/>
      </c>
      <c r="V1642" s="113">
        <f>IF($B1642="","",MONTH($B1642))</f>
        <v/>
      </c>
      <c r="W1642" s="113">
        <f>IF($B1642="","",YEAR($B1642))</f>
        <v/>
      </c>
    </row>
    <row r="1643">
      <c r="B1643" s="105" t="n"/>
      <c r="C1643" s="54" t="n"/>
      <c r="D1643" s="54" t="n"/>
      <c r="E1643" s="54" t="n"/>
      <c r="F1643" s="54" t="n"/>
      <c r="G1643" s="65" t="n"/>
      <c r="H1643" s="54" t="n"/>
      <c r="I1643" s="106">
        <f>IF($C1643="","",IFERROR(INDEX(Sens_Types,MATCH($C1643,Liste_Types,0)),""))</f>
        <v/>
      </c>
      <c r="J1643" s="107">
        <f>IF($I1643="▲ ENTRÉE",$U1643,"")</f>
        <v/>
      </c>
      <c r="K1643" s="108">
        <f>IF($I1643="▼ SORTIE",$U1643,"")</f>
        <v/>
      </c>
      <c r="L1643" s="109">
        <f>$L1642+N($J1643)-N($K1643)</f>
        <v/>
      </c>
      <c r="M1643" s="110" t="n"/>
      <c r="N1643" s="54" t="n"/>
      <c r="O1643" s="54" t="n"/>
      <c r="P1643" s="54" t="n"/>
      <c r="Q1643" s="110" t="n"/>
      <c r="R1643" s="110" t="n"/>
      <c r="S1643" s="54" t="n"/>
      <c r="T1643" s="111">
        <f>IF($G1643="","",IFERROR(INDEX(Taux_Devises,MATCH(IF($M1643="",Devise_Base,$M1643),Codes_Devises,0)),1))</f>
        <v/>
      </c>
      <c r="U1643" s="112">
        <f>IF($G1643="","",ROUND($G1643*$T1643,2))</f>
        <v/>
      </c>
      <c r="V1643" s="113">
        <f>IF($B1643="","",MONTH($B1643))</f>
        <v/>
      </c>
      <c r="W1643" s="113">
        <f>IF($B1643="","",YEAR($B1643))</f>
        <v/>
      </c>
    </row>
    <row r="1644">
      <c r="B1644" s="105" t="n"/>
      <c r="C1644" s="54" t="n"/>
      <c r="D1644" s="54" t="n"/>
      <c r="E1644" s="54" t="n"/>
      <c r="F1644" s="54" t="n"/>
      <c r="G1644" s="65" t="n"/>
      <c r="H1644" s="54" t="n"/>
      <c r="I1644" s="106">
        <f>IF($C1644="","",IFERROR(INDEX(Sens_Types,MATCH($C1644,Liste_Types,0)),""))</f>
        <v/>
      </c>
      <c r="J1644" s="107">
        <f>IF($I1644="▲ ENTRÉE",$U1644,"")</f>
        <v/>
      </c>
      <c r="K1644" s="108">
        <f>IF($I1644="▼ SORTIE",$U1644,"")</f>
        <v/>
      </c>
      <c r="L1644" s="109">
        <f>$L1643+N($J1644)-N($K1644)</f>
        <v/>
      </c>
      <c r="M1644" s="110" t="n"/>
      <c r="N1644" s="54" t="n"/>
      <c r="O1644" s="54" t="n"/>
      <c r="P1644" s="54" t="n"/>
      <c r="Q1644" s="110" t="n"/>
      <c r="R1644" s="110" t="n"/>
      <c r="S1644" s="54" t="n"/>
      <c r="T1644" s="111">
        <f>IF($G1644="","",IFERROR(INDEX(Taux_Devises,MATCH(IF($M1644="",Devise_Base,$M1644),Codes_Devises,0)),1))</f>
        <v/>
      </c>
      <c r="U1644" s="112">
        <f>IF($G1644="","",ROUND($G1644*$T1644,2))</f>
        <v/>
      </c>
      <c r="V1644" s="113">
        <f>IF($B1644="","",MONTH($B1644))</f>
        <v/>
      </c>
      <c r="W1644" s="113">
        <f>IF($B1644="","",YEAR($B1644))</f>
        <v/>
      </c>
    </row>
    <row r="1645">
      <c r="B1645" s="105" t="n"/>
      <c r="C1645" s="54" t="n"/>
      <c r="D1645" s="54" t="n"/>
      <c r="E1645" s="54" t="n"/>
      <c r="F1645" s="54" t="n"/>
      <c r="G1645" s="65" t="n"/>
      <c r="H1645" s="54" t="n"/>
      <c r="I1645" s="106">
        <f>IF($C1645="","",IFERROR(INDEX(Sens_Types,MATCH($C1645,Liste_Types,0)),""))</f>
        <v/>
      </c>
      <c r="J1645" s="107">
        <f>IF($I1645="▲ ENTRÉE",$U1645,"")</f>
        <v/>
      </c>
      <c r="K1645" s="108">
        <f>IF($I1645="▼ SORTIE",$U1645,"")</f>
        <v/>
      </c>
      <c r="L1645" s="109">
        <f>$L1644+N($J1645)-N($K1645)</f>
        <v/>
      </c>
      <c r="M1645" s="110" t="n"/>
      <c r="N1645" s="54" t="n"/>
      <c r="O1645" s="54" t="n"/>
      <c r="P1645" s="54" t="n"/>
      <c r="Q1645" s="110" t="n"/>
      <c r="R1645" s="110" t="n"/>
      <c r="S1645" s="54" t="n"/>
      <c r="T1645" s="111">
        <f>IF($G1645="","",IFERROR(INDEX(Taux_Devises,MATCH(IF($M1645="",Devise_Base,$M1645),Codes_Devises,0)),1))</f>
        <v/>
      </c>
      <c r="U1645" s="112">
        <f>IF($G1645="","",ROUND($G1645*$T1645,2))</f>
        <v/>
      </c>
      <c r="V1645" s="113">
        <f>IF($B1645="","",MONTH($B1645))</f>
        <v/>
      </c>
      <c r="W1645" s="113">
        <f>IF($B1645="","",YEAR($B1645))</f>
        <v/>
      </c>
    </row>
    <row r="1646">
      <c r="B1646" s="105" t="n"/>
      <c r="C1646" s="54" t="n"/>
      <c r="D1646" s="54" t="n"/>
      <c r="E1646" s="54" t="n"/>
      <c r="F1646" s="54" t="n"/>
      <c r="G1646" s="65" t="n"/>
      <c r="H1646" s="54" t="n"/>
      <c r="I1646" s="106">
        <f>IF($C1646="","",IFERROR(INDEX(Sens_Types,MATCH($C1646,Liste_Types,0)),""))</f>
        <v/>
      </c>
      <c r="J1646" s="107">
        <f>IF($I1646="▲ ENTRÉE",$U1646,"")</f>
        <v/>
      </c>
      <c r="K1646" s="108">
        <f>IF($I1646="▼ SORTIE",$U1646,"")</f>
        <v/>
      </c>
      <c r="L1646" s="109">
        <f>$L1645+N($J1646)-N($K1646)</f>
        <v/>
      </c>
      <c r="M1646" s="110" t="n"/>
      <c r="N1646" s="54" t="n"/>
      <c r="O1646" s="54" t="n"/>
      <c r="P1646" s="54" t="n"/>
      <c r="Q1646" s="110" t="n"/>
      <c r="R1646" s="110" t="n"/>
      <c r="S1646" s="54" t="n"/>
      <c r="T1646" s="111">
        <f>IF($G1646="","",IFERROR(INDEX(Taux_Devises,MATCH(IF($M1646="",Devise_Base,$M1646),Codes_Devises,0)),1))</f>
        <v/>
      </c>
      <c r="U1646" s="112">
        <f>IF($G1646="","",ROUND($G1646*$T1646,2))</f>
        <v/>
      </c>
      <c r="V1646" s="113">
        <f>IF($B1646="","",MONTH($B1646))</f>
        <v/>
      </c>
      <c r="W1646" s="113">
        <f>IF($B1646="","",YEAR($B1646))</f>
        <v/>
      </c>
    </row>
    <row r="1647">
      <c r="B1647" s="105" t="n"/>
      <c r="C1647" s="54" t="n"/>
      <c r="D1647" s="54" t="n"/>
      <c r="E1647" s="54" t="n"/>
      <c r="F1647" s="54" t="n"/>
      <c r="G1647" s="65" t="n"/>
      <c r="H1647" s="54" t="n"/>
      <c r="I1647" s="106">
        <f>IF($C1647="","",IFERROR(INDEX(Sens_Types,MATCH($C1647,Liste_Types,0)),""))</f>
        <v/>
      </c>
      <c r="J1647" s="107">
        <f>IF($I1647="▲ ENTRÉE",$U1647,"")</f>
        <v/>
      </c>
      <c r="K1647" s="108">
        <f>IF($I1647="▼ SORTIE",$U1647,"")</f>
        <v/>
      </c>
      <c r="L1647" s="109">
        <f>$L1646+N($J1647)-N($K1647)</f>
        <v/>
      </c>
      <c r="M1647" s="110" t="n"/>
      <c r="N1647" s="54" t="n"/>
      <c r="O1647" s="54" t="n"/>
      <c r="P1647" s="54" t="n"/>
      <c r="Q1647" s="110" t="n"/>
      <c r="R1647" s="110" t="n"/>
      <c r="S1647" s="54" t="n"/>
      <c r="T1647" s="111">
        <f>IF($G1647="","",IFERROR(INDEX(Taux_Devises,MATCH(IF($M1647="",Devise_Base,$M1647),Codes_Devises,0)),1))</f>
        <v/>
      </c>
      <c r="U1647" s="112">
        <f>IF($G1647="","",ROUND($G1647*$T1647,2))</f>
        <v/>
      </c>
      <c r="V1647" s="113">
        <f>IF($B1647="","",MONTH($B1647))</f>
        <v/>
      </c>
      <c r="W1647" s="113">
        <f>IF($B1647="","",YEAR($B1647))</f>
        <v/>
      </c>
    </row>
    <row r="1648">
      <c r="B1648" s="105" t="n"/>
      <c r="C1648" s="54" t="n"/>
      <c r="D1648" s="54" t="n"/>
      <c r="E1648" s="54" t="n"/>
      <c r="F1648" s="54" t="n"/>
      <c r="G1648" s="65" t="n"/>
      <c r="H1648" s="54" t="n"/>
      <c r="I1648" s="106">
        <f>IF($C1648="","",IFERROR(INDEX(Sens_Types,MATCH($C1648,Liste_Types,0)),""))</f>
        <v/>
      </c>
      <c r="J1648" s="107">
        <f>IF($I1648="▲ ENTRÉE",$U1648,"")</f>
        <v/>
      </c>
      <c r="K1648" s="108">
        <f>IF($I1648="▼ SORTIE",$U1648,"")</f>
        <v/>
      </c>
      <c r="L1648" s="109">
        <f>$L1647+N($J1648)-N($K1648)</f>
        <v/>
      </c>
      <c r="M1648" s="110" t="n"/>
      <c r="N1648" s="54" t="n"/>
      <c r="O1648" s="54" t="n"/>
      <c r="P1648" s="54" t="n"/>
      <c r="Q1648" s="110" t="n"/>
      <c r="R1648" s="110" t="n"/>
      <c r="S1648" s="54" t="n"/>
      <c r="T1648" s="111">
        <f>IF($G1648="","",IFERROR(INDEX(Taux_Devises,MATCH(IF($M1648="",Devise_Base,$M1648),Codes_Devises,0)),1))</f>
        <v/>
      </c>
      <c r="U1648" s="112">
        <f>IF($G1648="","",ROUND($G1648*$T1648,2))</f>
        <v/>
      </c>
      <c r="V1648" s="113">
        <f>IF($B1648="","",MONTH($B1648))</f>
        <v/>
      </c>
      <c r="W1648" s="113">
        <f>IF($B1648="","",YEAR($B1648))</f>
        <v/>
      </c>
    </row>
    <row r="1649">
      <c r="B1649" s="105" t="n"/>
      <c r="C1649" s="54" t="n"/>
      <c r="D1649" s="54" t="n"/>
      <c r="E1649" s="54" t="n"/>
      <c r="F1649" s="54" t="n"/>
      <c r="G1649" s="65" t="n"/>
      <c r="H1649" s="54" t="n"/>
      <c r="I1649" s="106">
        <f>IF($C1649="","",IFERROR(INDEX(Sens_Types,MATCH($C1649,Liste_Types,0)),""))</f>
        <v/>
      </c>
      <c r="J1649" s="107">
        <f>IF($I1649="▲ ENTRÉE",$U1649,"")</f>
        <v/>
      </c>
      <c r="K1649" s="108">
        <f>IF($I1649="▼ SORTIE",$U1649,"")</f>
        <v/>
      </c>
      <c r="L1649" s="109">
        <f>$L1648+N($J1649)-N($K1649)</f>
        <v/>
      </c>
      <c r="M1649" s="110" t="n"/>
      <c r="N1649" s="54" t="n"/>
      <c r="O1649" s="54" t="n"/>
      <c r="P1649" s="54" t="n"/>
      <c r="Q1649" s="110" t="n"/>
      <c r="R1649" s="110" t="n"/>
      <c r="S1649" s="54" t="n"/>
      <c r="T1649" s="111">
        <f>IF($G1649="","",IFERROR(INDEX(Taux_Devises,MATCH(IF($M1649="",Devise_Base,$M1649),Codes_Devises,0)),1))</f>
        <v/>
      </c>
      <c r="U1649" s="112">
        <f>IF($G1649="","",ROUND($G1649*$T1649,2))</f>
        <v/>
      </c>
      <c r="V1649" s="113">
        <f>IF($B1649="","",MONTH($B1649))</f>
        <v/>
      </c>
      <c r="W1649" s="113">
        <f>IF($B1649="","",YEAR($B1649))</f>
        <v/>
      </c>
    </row>
    <row r="1650">
      <c r="B1650" s="105" t="n"/>
      <c r="C1650" s="54" t="n"/>
      <c r="D1650" s="54" t="n"/>
      <c r="E1650" s="54" t="n"/>
      <c r="F1650" s="54" t="n"/>
      <c r="G1650" s="65" t="n"/>
      <c r="H1650" s="54" t="n"/>
      <c r="I1650" s="106">
        <f>IF($C1650="","",IFERROR(INDEX(Sens_Types,MATCH($C1650,Liste_Types,0)),""))</f>
        <v/>
      </c>
      <c r="J1650" s="107">
        <f>IF($I1650="▲ ENTRÉE",$U1650,"")</f>
        <v/>
      </c>
      <c r="K1650" s="108">
        <f>IF($I1650="▼ SORTIE",$U1650,"")</f>
        <v/>
      </c>
      <c r="L1650" s="109">
        <f>$L1649+N($J1650)-N($K1650)</f>
        <v/>
      </c>
      <c r="M1650" s="110" t="n"/>
      <c r="N1650" s="54" t="n"/>
      <c r="O1650" s="54" t="n"/>
      <c r="P1650" s="54" t="n"/>
      <c r="Q1650" s="110" t="n"/>
      <c r="R1650" s="110" t="n"/>
      <c r="S1650" s="54" t="n"/>
      <c r="T1650" s="111">
        <f>IF($G1650="","",IFERROR(INDEX(Taux_Devises,MATCH(IF($M1650="",Devise_Base,$M1650),Codes_Devises,0)),1))</f>
        <v/>
      </c>
      <c r="U1650" s="112">
        <f>IF($G1650="","",ROUND($G1650*$T1650,2))</f>
        <v/>
      </c>
      <c r="V1650" s="113">
        <f>IF($B1650="","",MONTH($B1650))</f>
        <v/>
      </c>
      <c r="W1650" s="113">
        <f>IF($B1650="","",YEAR($B1650))</f>
        <v/>
      </c>
    </row>
    <row r="1651">
      <c r="B1651" s="105" t="n"/>
      <c r="C1651" s="54" t="n"/>
      <c r="D1651" s="54" t="n"/>
      <c r="E1651" s="54" t="n"/>
      <c r="F1651" s="54" t="n"/>
      <c r="G1651" s="65" t="n"/>
      <c r="H1651" s="54" t="n"/>
      <c r="I1651" s="106">
        <f>IF($C1651="","",IFERROR(INDEX(Sens_Types,MATCH($C1651,Liste_Types,0)),""))</f>
        <v/>
      </c>
      <c r="J1651" s="107">
        <f>IF($I1651="▲ ENTRÉE",$U1651,"")</f>
        <v/>
      </c>
      <c r="K1651" s="108">
        <f>IF($I1651="▼ SORTIE",$U1651,"")</f>
        <v/>
      </c>
      <c r="L1651" s="109">
        <f>$L1650+N($J1651)-N($K1651)</f>
        <v/>
      </c>
      <c r="M1651" s="110" t="n"/>
      <c r="N1651" s="54" t="n"/>
      <c r="O1651" s="54" t="n"/>
      <c r="P1651" s="54" t="n"/>
      <c r="Q1651" s="110" t="n"/>
      <c r="R1651" s="110" t="n"/>
      <c r="S1651" s="54" t="n"/>
      <c r="T1651" s="111">
        <f>IF($G1651="","",IFERROR(INDEX(Taux_Devises,MATCH(IF($M1651="",Devise_Base,$M1651),Codes_Devises,0)),1))</f>
        <v/>
      </c>
      <c r="U1651" s="112">
        <f>IF($G1651="","",ROUND($G1651*$T1651,2))</f>
        <v/>
      </c>
      <c r="V1651" s="113">
        <f>IF($B1651="","",MONTH($B1651))</f>
        <v/>
      </c>
      <c r="W1651" s="113">
        <f>IF($B1651="","",YEAR($B1651))</f>
        <v/>
      </c>
    </row>
    <row r="1652">
      <c r="B1652" s="105" t="n"/>
      <c r="C1652" s="54" t="n"/>
      <c r="D1652" s="54" t="n"/>
      <c r="E1652" s="54" t="n"/>
      <c r="F1652" s="54" t="n"/>
      <c r="G1652" s="65" t="n"/>
      <c r="H1652" s="54" t="n"/>
      <c r="I1652" s="106">
        <f>IF($C1652="","",IFERROR(INDEX(Sens_Types,MATCH($C1652,Liste_Types,0)),""))</f>
        <v/>
      </c>
      <c r="J1652" s="107">
        <f>IF($I1652="▲ ENTRÉE",$U1652,"")</f>
        <v/>
      </c>
      <c r="K1652" s="108">
        <f>IF($I1652="▼ SORTIE",$U1652,"")</f>
        <v/>
      </c>
      <c r="L1652" s="109">
        <f>$L1651+N($J1652)-N($K1652)</f>
        <v/>
      </c>
      <c r="M1652" s="110" t="n"/>
      <c r="N1652" s="54" t="n"/>
      <c r="O1652" s="54" t="n"/>
      <c r="P1652" s="54" t="n"/>
      <c r="Q1652" s="110" t="n"/>
      <c r="R1652" s="110" t="n"/>
      <c r="S1652" s="54" t="n"/>
      <c r="T1652" s="111">
        <f>IF($G1652="","",IFERROR(INDEX(Taux_Devises,MATCH(IF($M1652="",Devise_Base,$M1652),Codes_Devises,0)),1))</f>
        <v/>
      </c>
      <c r="U1652" s="112">
        <f>IF($G1652="","",ROUND($G1652*$T1652,2))</f>
        <v/>
      </c>
      <c r="V1652" s="113">
        <f>IF($B1652="","",MONTH($B1652))</f>
        <v/>
      </c>
      <c r="W1652" s="113">
        <f>IF($B1652="","",YEAR($B1652))</f>
        <v/>
      </c>
    </row>
    <row r="1653">
      <c r="B1653" s="105" t="n"/>
      <c r="C1653" s="54" t="n"/>
      <c r="D1653" s="54" t="n"/>
      <c r="E1653" s="54" t="n"/>
      <c r="F1653" s="54" t="n"/>
      <c r="G1653" s="65" t="n"/>
      <c r="H1653" s="54" t="n"/>
      <c r="I1653" s="106">
        <f>IF($C1653="","",IFERROR(INDEX(Sens_Types,MATCH($C1653,Liste_Types,0)),""))</f>
        <v/>
      </c>
      <c r="J1653" s="107">
        <f>IF($I1653="▲ ENTRÉE",$U1653,"")</f>
        <v/>
      </c>
      <c r="K1653" s="108">
        <f>IF($I1653="▼ SORTIE",$U1653,"")</f>
        <v/>
      </c>
      <c r="L1653" s="109">
        <f>$L1652+N($J1653)-N($K1653)</f>
        <v/>
      </c>
      <c r="M1653" s="110" t="n"/>
      <c r="N1653" s="54" t="n"/>
      <c r="O1653" s="54" t="n"/>
      <c r="P1653" s="54" t="n"/>
      <c r="Q1653" s="110" t="n"/>
      <c r="R1653" s="110" t="n"/>
      <c r="S1653" s="54" t="n"/>
      <c r="T1653" s="111">
        <f>IF($G1653="","",IFERROR(INDEX(Taux_Devises,MATCH(IF($M1653="",Devise_Base,$M1653),Codes_Devises,0)),1))</f>
        <v/>
      </c>
      <c r="U1653" s="112">
        <f>IF($G1653="","",ROUND($G1653*$T1653,2))</f>
        <v/>
      </c>
      <c r="V1653" s="113">
        <f>IF($B1653="","",MONTH($B1653))</f>
        <v/>
      </c>
      <c r="W1653" s="113">
        <f>IF($B1653="","",YEAR($B1653))</f>
        <v/>
      </c>
    </row>
    <row r="1654">
      <c r="B1654" s="105" t="n"/>
      <c r="C1654" s="54" t="n"/>
      <c r="D1654" s="54" t="n"/>
      <c r="E1654" s="54" t="n"/>
      <c r="F1654" s="54" t="n"/>
      <c r="G1654" s="65" t="n"/>
      <c r="H1654" s="54" t="n"/>
      <c r="I1654" s="106">
        <f>IF($C1654="","",IFERROR(INDEX(Sens_Types,MATCH($C1654,Liste_Types,0)),""))</f>
        <v/>
      </c>
      <c r="J1654" s="107">
        <f>IF($I1654="▲ ENTRÉE",$U1654,"")</f>
        <v/>
      </c>
      <c r="K1654" s="108">
        <f>IF($I1654="▼ SORTIE",$U1654,"")</f>
        <v/>
      </c>
      <c r="L1654" s="109">
        <f>$L1653+N($J1654)-N($K1654)</f>
        <v/>
      </c>
      <c r="M1654" s="110" t="n"/>
      <c r="N1654" s="54" t="n"/>
      <c r="O1654" s="54" t="n"/>
      <c r="P1654" s="54" t="n"/>
      <c r="Q1654" s="110" t="n"/>
      <c r="R1654" s="110" t="n"/>
      <c r="S1654" s="54" t="n"/>
      <c r="T1654" s="111">
        <f>IF($G1654="","",IFERROR(INDEX(Taux_Devises,MATCH(IF($M1654="",Devise_Base,$M1654),Codes_Devises,0)),1))</f>
        <v/>
      </c>
      <c r="U1654" s="112">
        <f>IF($G1654="","",ROUND($G1654*$T1654,2))</f>
        <v/>
      </c>
      <c r="V1654" s="113">
        <f>IF($B1654="","",MONTH($B1654))</f>
        <v/>
      </c>
      <c r="W1654" s="113">
        <f>IF($B1654="","",YEAR($B1654))</f>
        <v/>
      </c>
    </row>
    <row r="1655">
      <c r="B1655" s="105" t="n"/>
      <c r="C1655" s="54" t="n"/>
      <c r="D1655" s="54" t="n"/>
      <c r="E1655" s="54" t="n"/>
      <c r="F1655" s="54" t="n"/>
      <c r="G1655" s="65" t="n"/>
      <c r="H1655" s="54" t="n"/>
      <c r="I1655" s="106">
        <f>IF($C1655="","",IFERROR(INDEX(Sens_Types,MATCH($C1655,Liste_Types,0)),""))</f>
        <v/>
      </c>
      <c r="J1655" s="107">
        <f>IF($I1655="▲ ENTRÉE",$U1655,"")</f>
        <v/>
      </c>
      <c r="K1655" s="108">
        <f>IF($I1655="▼ SORTIE",$U1655,"")</f>
        <v/>
      </c>
      <c r="L1655" s="109">
        <f>$L1654+N($J1655)-N($K1655)</f>
        <v/>
      </c>
      <c r="M1655" s="110" t="n"/>
      <c r="N1655" s="54" t="n"/>
      <c r="O1655" s="54" t="n"/>
      <c r="P1655" s="54" t="n"/>
      <c r="Q1655" s="110" t="n"/>
      <c r="R1655" s="110" t="n"/>
      <c r="S1655" s="54" t="n"/>
      <c r="T1655" s="111">
        <f>IF($G1655="","",IFERROR(INDEX(Taux_Devises,MATCH(IF($M1655="",Devise_Base,$M1655),Codes_Devises,0)),1))</f>
        <v/>
      </c>
      <c r="U1655" s="112">
        <f>IF($G1655="","",ROUND($G1655*$T1655,2))</f>
        <v/>
      </c>
      <c r="V1655" s="113">
        <f>IF($B1655="","",MONTH($B1655))</f>
        <v/>
      </c>
      <c r="W1655" s="113">
        <f>IF($B1655="","",YEAR($B1655))</f>
        <v/>
      </c>
    </row>
    <row r="1656">
      <c r="B1656" s="105" t="n"/>
      <c r="C1656" s="54" t="n"/>
      <c r="D1656" s="54" t="n"/>
      <c r="E1656" s="54" t="n"/>
      <c r="F1656" s="54" t="n"/>
      <c r="G1656" s="65" t="n"/>
      <c r="H1656" s="54" t="n"/>
      <c r="I1656" s="106">
        <f>IF($C1656="","",IFERROR(INDEX(Sens_Types,MATCH($C1656,Liste_Types,0)),""))</f>
        <v/>
      </c>
      <c r="J1656" s="107">
        <f>IF($I1656="▲ ENTRÉE",$U1656,"")</f>
        <v/>
      </c>
      <c r="K1656" s="108">
        <f>IF($I1656="▼ SORTIE",$U1656,"")</f>
        <v/>
      </c>
      <c r="L1656" s="109">
        <f>$L1655+N($J1656)-N($K1656)</f>
        <v/>
      </c>
      <c r="M1656" s="110" t="n"/>
      <c r="N1656" s="54" t="n"/>
      <c r="O1656" s="54" t="n"/>
      <c r="P1656" s="54" t="n"/>
      <c r="Q1656" s="110" t="n"/>
      <c r="R1656" s="110" t="n"/>
      <c r="S1656" s="54" t="n"/>
      <c r="T1656" s="111">
        <f>IF($G1656="","",IFERROR(INDEX(Taux_Devises,MATCH(IF($M1656="",Devise_Base,$M1656),Codes_Devises,0)),1))</f>
        <v/>
      </c>
      <c r="U1656" s="112">
        <f>IF($G1656="","",ROUND($G1656*$T1656,2))</f>
        <v/>
      </c>
      <c r="V1656" s="113">
        <f>IF($B1656="","",MONTH($B1656))</f>
        <v/>
      </c>
      <c r="W1656" s="113">
        <f>IF($B1656="","",YEAR($B1656))</f>
        <v/>
      </c>
    </row>
    <row r="1657">
      <c r="B1657" s="105" t="n"/>
      <c r="C1657" s="54" t="n"/>
      <c r="D1657" s="54" t="n"/>
      <c r="E1657" s="54" t="n"/>
      <c r="F1657" s="54" t="n"/>
      <c r="G1657" s="65" t="n"/>
      <c r="H1657" s="54" t="n"/>
      <c r="I1657" s="106">
        <f>IF($C1657="","",IFERROR(INDEX(Sens_Types,MATCH($C1657,Liste_Types,0)),""))</f>
        <v/>
      </c>
      <c r="J1657" s="107">
        <f>IF($I1657="▲ ENTRÉE",$U1657,"")</f>
        <v/>
      </c>
      <c r="K1657" s="108">
        <f>IF($I1657="▼ SORTIE",$U1657,"")</f>
        <v/>
      </c>
      <c r="L1657" s="109">
        <f>$L1656+N($J1657)-N($K1657)</f>
        <v/>
      </c>
      <c r="M1657" s="110" t="n"/>
      <c r="N1657" s="54" t="n"/>
      <c r="O1657" s="54" t="n"/>
      <c r="P1657" s="54" t="n"/>
      <c r="Q1657" s="110" t="n"/>
      <c r="R1657" s="110" t="n"/>
      <c r="S1657" s="54" t="n"/>
      <c r="T1657" s="111">
        <f>IF($G1657="","",IFERROR(INDEX(Taux_Devises,MATCH(IF($M1657="",Devise_Base,$M1657),Codes_Devises,0)),1))</f>
        <v/>
      </c>
      <c r="U1657" s="112">
        <f>IF($G1657="","",ROUND($G1657*$T1657,2))</f>
        <v/>
      </c>
      <c r="V1657" s="113">
        <f>IF($B1657="","",MONTH($B1657))</f>
        <v/>
      </c>
      <c r="W1657" s="113">
        <f>IF($B1657="","",YEAR($B1657))</f>
        <v/>
      </c>
    </row>
    <row r="1658">
      <c r="B1658" s="105" t="n"/>
      <c r="C1658" s="54" t="n"/>
      <c r="D1658" s="54" t="n"/>
      <c r="E1658" s="54" t="n"/>
      <c r="F1658" s="54" t="n"/>
      <c r="G1658" s="65" t="n"/>
      <c r="H1658" s="54" t="n"/>
      <c r="I1658" s="106">
        <f>IF($C1658="","",IFERROR(INDEX(Sens_Types,MATCH($C1658,Liste_Types,0)),""))</f>
        <v/>
      </c>
      <c r="J1658" s="107">
        <f>IF($I1658="▲ ENTRÉE",$U1658,"")</f>
        <v/>
      </c>
      <c r="K1658" s="108">
        <f>IF($I1658="▼ SORTIE",$U1658,"")</f>
        <v/>
      </c>
      <c r="L1658" s="109">
        <f>$L1657+N($J1658)-N($K1658)</f>
        <v/>
      </c>
      <c r="M1658" s="110" t="n"/>
      <c r="N1658" s="54" t="n"/>
      <c r="O1658" s="54" t="n"/>
      <c r="P1658" s="54" t="n"/>
      <c r="Q1658" s="110" t="n"/>
      <c r="R1658" s="110" t="n"/>
      <c r="S1658" s="54" t="n"/>
      <c r="T1658" s="111">
        <f>IF($G1658="","",IFERROR(INDEX(Taux_Devises,MATCH(IF($M1658="",Devise_Base,$M1658),Codes_Devises,0)),1))</f>
        <v/>
      </c>
      <c r="U1658" s="112">
        <f>IF($G1658="","",ROUND($G1658*$T1658,2))</f>
        <v/>
      </c>
      <c r="V1658" s="113">
        <f>IF($B1658="","",MONTH($B1658))</f>
        <v/>
      </c>
      <c r="W1658" s="113">
        <f>IF($B1658="","",YEAR($B1658))</f>
        <v/>
      </c>
    </row>
    <row r="1659">
      <c r="B1659" s="105" t="n"/>
      <c r="C1659" s="54" t="n"/>
      <c r="D1659" s="54" t="n"/>
      <c r="E1659" s="54" t="n"/>
      <c r="F1659" s="54" t="n"/>
      <c r="G1659" s="65" t="n"/>
      <c r="H1659" s="54" t="n"/>
      <c r="I1659" s="106">
        <f>IF($C1659="","",IFERROR(INDEX(Sens_Types,MATCH($C1659,Liste_Types,0)),""))</f>
        <v/>
      </c>
      <c r="J1659" s="107">
        <f>IF($I1659="▲ ENTRÉE",$U1659,"")</f>
        <v/>
      </c>
      <c r="K1659" s="108">
        <f>IF($I1659="▼ SORTIE",$U1659,"")</f>
        <v/>
      </c>
      <c r="L1659" s="109">
        <f>$L1658+N($J1659)-N($K1659)</f>
        <v/>
      </c>
      <c r="M1659" s="110" t="n"/>
      <c r="N1659" s="54" t="n"/>
      <c r="O1659" s="54" t="n"/>
      <c r="P1659" s="54" t="n"/>
      <c r="Q1659" s="110" t="n"/>
      <c r="R1659" s="110" t="n"/>
      <c r="S1659" s="54" t="n"/>
      <c r="T1659" s="111">
        <f>IF($G1659="","",IFERROR(INDEX(Taux_Devises,MATCH(IF($M1659="",Devise_Base,$M1659),Codes_Devises,0)),1))</f>
        <v/>
      </c>
      <c r="U1659" s="112">
        <f>IF($G1659="","",ROUND($G1659*$T1659,2))</f>
        <v/>
      </c>
      <c r="V1659" s="113">
        <f>IF($B1659="","",MONTH($B1659))</f>
        <v/>
      </c>
      <c r="W1659" s="113">
        <f>IF($B1659="","",YEAR($B1659))</f>
        <v/>
      </c>
    </row>
    <row r="1660">
      <c r="B1660" s="105" t="n"/>
      <c r="C1660" s="54" t="n"/>
      <c r="D1660" s="54" t="n"/>
      <c r="E1660" s="54" t="n"/>
      <c r="F1660" s="54" t="n"/>
      <c r="G1660" s="65" t="n"/>
      <c r="H1660" s="54" t="n"/>
      <c r="I1660" s="106">
        <f>IF($C1660="","",IFERROR(INDEX(Sens_Types,MATCH($C1660,Liste_Types,0)),""))</f>
        <v/>
      </c>
      <c r="J1660" s="107">
        <f>IF($I1660="▲ ENTRÉE",$U1660,"")</f>
        <v/>
      </c>
      <c r="K1660" s="108">
        <f>IF($I1660="▼ SORTIE",$U1660,"")</f>
        <v/>
      </c>
      <c r="L1660" s="109">
        <f>$L1659+N($J1660)-N($K1660)</f>
        <v/>
      </c>
      <c r="M1660" s="110" t="n"/>
      <c r="N1660" s="54" t="n"/>
      <c r="O1660" s="54" t="n"/>
      <c r="P1660" s="54" t="n"/>
      <c r="Q1660" s="110" t="n"/>
      <c r="R1660" s="110" t="n"/>
      <c r="S1660" s="54" t="n"/>
      <c r="T1660" s="111">
        <f>IF($G1660="","",IFERROR(INDEX(Taux_Devises,MATCH(IF($M1660="",Devise_Base,$M1660),Codes_Devises,0)),1))</f>
        <v/>
      </c>
      <c r="U1660" s="112">
        <f>IF($G1660="","",ROUND($G1660*$T1660,2))</f>
        <v/>
      </c>
      <c r="V1660" s="113">
        <f>IF($B1660="","",MONTH($B1660))</f>
        <v/>
      </c>
      <c r="W1660" s="113">
        <f>IF($B1660="","",YEAR($B1660))</f>
        <v/>
      </c>
    </row>
    <row r="1661">
      <c r="B1661" s="105" t="n"/>
      <c r="C1661" s="54" t="n"/>
      <c r="D1661" s="54" t="n"/>
      <c r="E1661" s="54" t="n"/>
      <c r="F1661" s="54" t="n"/>
      <c r="G1661" s="65" t="n"/>
      <c r="H1661" s="54" t="n"/>
      <c r="I1661" s="106">
        <f>IF($C1661="","",IFERROR(INDEX(Sens_Types,MATCH($C1661,Liste_Types,0)),""))</f>
        <v/>
      </c>
      <c r="J1661" s="107">
        <f>IF($I1661="▲ ENTRÉE",$U1661,"")</f>
        <v/>
      </c>
      <c r="K1661" s="108">
        <f>IF($I1661="▼ SORTIE",$U1661,"")</f>
        <v/>
      </c>
      <c r="L1661" s="109">
        <f>$L1660+N($J1661)-N($K1661)</f>
        <v/>
      </c>
      <c r="M1661" s="110" t="n"/>
      <c r="N1661" s="54" t="n"/>
      <c r="O1661" s="54" t="n"/>
      <c r="P1661" s="54" t="n"/>
      <c r="Q1661" s="110" t="n"/>
      <c r="R1661" s="110" t="n"/>
      <c r="S1661" s="54" t="n"/>
      <c r="T1661" s="111">
        <f>IF($G1661="","",IFERROR(INDEX(Taux_Devises,MATCH(IF($M1661="",Devise_Base,$M1661),Codes_Devises,0)),1))</f>
        <v/>
      </c>
      <c r="U1661" s="112">
        <f>IF($G1661="","",ROUND($G1661*$T1661,2))</f>
        <v/>
      </c>
      <c r="V1661" s="113">
        <f>IF($B1661="","",MONTH($B1661))</f>
        <v/>
      </c>
      <c r="W1661" s="113">
        <f>IF($B1661="","",YEAR($B1661))</f>
        <v/>
      </c>
    </row>
    <row r="1662">
      <c r="B1662" s="105" t="n"/>
      <c r="C1662" s="54" t="n"/>
      <c r="D1662" s="54" t="n"/>
      <c r="E1662" s="54" t="n"/>
      <c r="F1662" s="54" t="n"/>
      <c r="G1662" s="65" t="n"/>
      <c r="H1662" s="54" t="n"/>
      <c r="I1662" s="106">
        <f>IF($C1662="","",IFERROR(INDEX(Sens_Types,MATCH($C1662,Liste_Types,0)),""))</f>
        <v/>
      </c>
      <c r="J1662" s="107">
        <f>IF($I1662="▲ ENTRÉE",$U1662,"")</f>
        <v/>
      </c>
      <c r="K1662" s="108">
        <f>IF($I1662="▼ SORTIE",$U1662,"")</f>
        <v/>
      </c>
      <c r="L1662" s="109">
        <f>$L1661+N($J1662)-N($K1662)</f>
        <v/>
      </c>
      <c r="M1662" s="110" t="n"/>
      <c r="N1662" s="54" t="n"/>
      <c r="O1662" s="54" t="n"/>
      <c r="P1662" s="54" t="n"/>
      <c r="Q1662" s="110" t="n"/>
      <c r="R1662" s="110" t="n"/>
      <c r="S1662" s="54" t="n"/>
      <c r="T1662" s="111">
        <f>IF($G1662="","",IFERROR(INDEX(Taux_Devises,MATCH(IF($M1662="",Devise_Base,$M1662),Codes_Devises,0)),1))</f>
        <v/>
      </c>
      <c r="U1662" s="112">
        <f>IF($G1662="","",ROUND($G1662*$T1662,2))</f>
        <v/>
      </c>
      <c r="V1662" s="113">
        <f>IF($B1662="","",MONTH($B1662))</f>
        <v/>
      </c>
      <c r="W1662" s="113">
        <f>IF($B1662="","",YEAR($B1662))</f>
        <v/>
      </c>
    </row>
    <row r="1663">
      <c r="B1663" s="105" t="n"/>
      <c r="C1663" s="54" t="n"/>
      <c r="D1663" s="54" t="n"/>
      <c r="E1663" s="54" t="n"/>
      <c r="F1663" s="54" t="n"/>
      <c r="G1663" s="65" t="n"/>
      <c r="H1663" s="54" t="n"/>
      <c r="I1663" s="106">
        <f>IF($C1663="","",IFERROR(INDEX(Sens_Types,MATCH($C1663,Liste_Types,0)),""))</f>
        <v/>
      </c>
      <c r="J1663" s="107">
        <f>IF($I1663="▲ ENTRÉE",$U1663,"")</f>
        <v/>
      </c>
      <c r="K1663" s="108">
        <f>IF($I1663="▼ SORTIE",$U1663,"")</f>
        <v/>
      </c>
      <c r="L1663" s="109">
        <f>$L1662+N($J1663)-N($K1663)</f>
        <v/>
      </c>
      <c r="M1663" s="110" t="n"/>
      <c r="N1663" s="54" t="n"/>
      <c r="O1663" s="54" t="n"/>
      <c r="P1663" s="54" t="n"/>
      <c r="Q1663" s="110" t="n"/>
      <c r="R1663" s="110" t="n"/>
      <c r="S1663" s="54" t="n"/>
      <c r="T1663" s="111">
        <f>IF($G1663="","",IFERROR(INDEX(Taux_Devises,MATCH(IF($M1663="",Devise_Base,$M1663),Codes_Devises,0)),1))</f>
        <v/>
      </c>
      <c r="U1663" s="112">
        <f>IF($G1663="","",ROUND($G1663*$T1663,2))</f>
        <v/>
      </c>
      <c r="V1663" s="113">
        <f>IF($B1663="","",MONTH($B1663))</f>
        <v/>
      </c>
      <c r="W1663" s="113">
        <f>IF($B1663="","",YEAR($B1663))</f>
        <v/>
      </c>
    </row>
    <row r="1664">
      <c r="B1664" s="105" t="n"/>
      <c r="C1664" s="54" t="n"/>
      <c r="D1664" s="54" t="n"/>
      <c r="E1664" s="54" t="n"/>
      <c r="F1664" s="54" t="n"/>
      <c r="G1664" s="65" t="n"/>
      <c r="H1664" s="54" t="n"/>
      <c r="I1664" s="106">
        <f>IF($C1664="","",IFERROR(INDEX(Sens_Types,MATCH($C1664,Liste_Types,0)),""))</f>
        <v/>
      </c>
      <c r="J1664" s="107">
        <f>IF($I1664="▲ ENTRÉE",$U1664,"")</f>
        <v/>
      </c>
      <c r="K1664" s="108">
        <f>IF($I1664="▼ SORTIE",$U1664,"")</f>
        <v/>
      </c>
      <c r="L1664" s="109">
        <f>$L1663+N($J1664)-N($K1664)</f>
        <v/>
      </c>
      <c r="M1664" s="110" t="n"/>
      <c r="N1664" s="54" t="n"/>
      <c r="O1664" s="54" t="n"/>
      <c r="P1664" s="54" t="n"/>
      <c r="Q1664" s="110" t="n"/>
      <c r="R1664" s="110" t="n"/>
      <c r="S1664" s="54" t="n"/>
      <c r="T1664" s="111">
        <f>IF($G1664="","",IFERROR(INDEX(Taux_Devises,MATCH(IF($M1664="",Devise_Base,$M1664),Codes_Devises,0)),1))</f>
        <v/>
      </c>
      <c r="U1664" s="112">
        <f>IF($G1664="","",ROUND($G1664*$T1664,2))</f>
        <v/>
      </c>
      <c r="V1664" s="113">
        <f>IF($B1664="","",MONTH($B1664))</f>
        <v/>
      </c>
      <c r="W1664" s="113">
        <f>IF($B1664="","",YEAR($B1664))</f>
        <v/>
      </c>
    </row>
    <row r="1665">
      <c r="B1665" s="105" t="n"/>
      <c r="C1665" s="54" t="n"/>
      <c r="D1665" s="54" t="n"/>
      <c r="E1665" s="54" t="n"/>
      <c r="F1665" s="54" t="n"/>
      <c r="G1665" s="65" t="n"/>
      <c r="H1665" s="54" t="n"/>
      <c r="I1665" s="106">
        <f>IF($C1665="","",IFERROR(INDEX(Sens_Types,MATCH($C1665,Liste_Types,0)),""))</f>
        <v/>
      </c>
      <c r="J1665" s="107">
        <f>IF($I1665="▲ ENTRÉE",$U1665,"")</f>
        <v/>
      </c>
      <c r="K1665" s="108">
        <f>IF($I1665="▼ SORTIE",$U1665,"")</f>
        <v/>
      </c>
      <c r="L1665" s="109">
        <f>$L1664+N($J1665)-N($K1665)</f>
        <v/>
      </c>
      <c r="M1665" s="110" t="n"/>
      <c r="N1665" s="54" t="n"/>
      <c r="O1665" s="54" t="n"/>
      <c r="P1665" s="54" t="n"/>
      <c r="Q1665" s="110" t="n"/>
      <c r="R1665" s="110" t="n"/>
      <c r="S1665" s="54" t="n"/>
      <c r="T1665" s="111">
        <f>IF($G1665="","",IFERROR(INDEX(Taux_Devises,MATCH(IF($M1665="",Devise_Base,$M1665),Codes_Devises,0)),1))</f>
        <v/>
      </c>
      <c r="U1665" s="112">
        <f>IF($G1665="","",ROUND($G1665*$T1665,2))</f>
        <v/>
      </c>
      <c r="V1665" s="113">
        <f>IF($B1665="","",MONTH($B1665))</f>
        <v/>
      </c>
      <c r="W1665" s="113">
        <f>IF($B1665="","",YEAR($B1665))</f>
        <v/>
      </c>
    </row>
    <row r="1666">
      <c r="B1666" s="105" t="n"/>
      <c r="C1666" s="54" t="n"/>
      <c r="D1666" s="54" t="n"/>
      <c r="E1666" s="54" t="n"/>
      <c r="F1666" s="54" t="n"/>
      <c r="G1666" s="65" t="n"/>
      <c r="H1666" s="54" t="n"/>
      <c r="I1666" s="106">
        <f>IF($C1666="","",IFERROR(INDEX(Sens_Types,MATCH($C1666,Liste_Types,0)),""))</f>
        <v/>
      </c>
      <c r="J1666" s="107">
        <f>IF($I1666="▲ ENTRÉE",$U1666,"")</f>
        <v/>
      </c>
      <c r="K1666" s="108">
        <f>IF($I1666="▼ SORTIE",$U1666,"")</f>
        <v/>
      </c>
      <c r="L1666" s="109">
        <f>$L1665+N($J1666)-N($K1666)</f>
        <v/>
      </c>
      <c r="M1666" s="110" t="n"/>
      <c r="N1666" s="54" t="n"/>
      <c r="O1666" s="54" t="n"/>
      <c r="P1666" s="54" t="n"/>
      <c r="Q1666" s="110" t="n"/>
      <c r="R1666" s="110" t="n"/>
      <c r="S1666" s="54" t="n"/>
      <c r="T1666" s="111">
        <f>IF($G1666="","",IFERROR(INDEX(Taux_Devises,MATCH(IF($M1666="",Devise_Base,$M1666),Codes_Devises,0)),1))</f>
        <v/>
      </c>
      <c r="U1666" s="112">
        <f>IF($G1666="","",ROUND($G1666*$T1666,2))</f>
        <v/>
      </c>
      <c r="V1666" s="113">
        <f>IF($B1666="","",MONTH($B1666))</f>
        <v/>
      </c>
      <c r="W1666" s="113">
        <f>IF($B1666="","",YEAR($B1666))</f>
        <v/>
      </c>
    </row>
    <row r="1667">
      <c r="B1667" s="105" t="n"/>
      <c r="C1667" s="54" t="n"/>
      <c r="D1667" s="54" t="n"/>
      <c r="E1667" s="54" t="n"/>
      <c r="F1667" s="54" t="n"/>
      <c r="G1667" s="65" t="n"/>
      <c r="H1667" s="54" t="n"/>
      <c r="I1667" s="106">
        <f>IF($C1667="","",IFERROR(INDEX(Sens_Types,MATCH($C1667,Liste_Types,0)),""))</f>
        <v/>
      </c>
      <c r="J1667" s="107">
        <f>IF($I1667="▲ ENTRÉE",$U1667,"")</f>
        <v/>
      </c>
      <c r="K1667" s="108">
        <f>IF($I1667="▼ SORTIE",$U1667,"")</f>
        <v/>
      </c>
      <c r="L1667" s="109">
        <f>$L1666+N($J1667)-N($K1667)</f>
        <v/>
      </c>
      <c r="M1667" s="110" t="n"/>
      <c r="N1667" s="54" t="n"/>
      <c r="O1667" s="54" t="n"/>
      <c r="P1667" s="54" t="n"/>
      <c r="Q1667" s="110" t="n"/>
      <c r="R1667" s="110" t="n"/>
      <c r="S1667" s="54" t="n"/>
      <c r="T1667" s="111">
        <f>IF($G1667="","",IFERROR(INDEX(Taux_Devises,MATCH(IF($M1667="",Devise_Base,$M1667),Codes_Devises,0)),1))</f>
        <v/>
      </c>
      <c r="U1667" s="112">
        <f>IF($G1667="","",ROUND($G1667*$T1667,2))</f>
        <v/>
      </c>
      <c r="V1667" s="113">
        <f>IF($B1667="","",MONTH($B1667))</f>
        <v/>
      </c>
      <c r="W1667" s="113">
        <f>IF($B1667="","",YEAR($B1667))</f>
        <v/>
      </c>
    </row>
    <row r="1668">
      <c r="B1668" s="105" t="n"/>
      <c r="C1668" s="54" t="n"/>
      <c r="D1668" s="54" t="n"/>
      <c r="E1668" s="54" t="n"/>
      <c r="F1668" s="54" t="n"/>
      <c r="G1668" s="65" t="n"/>
      <c r="H1668" s="54" t="n"/>
      <c r="I1668" s="106">
        <f>IF($C1668="","",IFERROR(INDEX(Sens_Types,MATCH($C1668,Liste_Types,0)),""))</f>
        <v/>
      </c>
      <c r="J1668" s="107">
        <f>IF($I1668="▲ ENTRÉE",$U1668,"")</f>
        <v/>
      </c>
      <c r="K1668" s="108">
        <f>IF($I1668="▼ SORTIE",$U1668,"")</f>
        <v/>
      </c>
      <c r="L1668" s="109">
        <f>$L1667+N($J1668)-N($K1668)</f>
        <v/>
      </c>
      <c r="M1668" s="110" t="n"/>
      <c r="N1668" s="54" t="n"/>
      <c r="O1668" s="54" t="n"/>
      <c r="P1668" s="54" t="n"/>
      <c r="Q1668" s="110" t="n"/>
      <c r="R1668" s="110" t="n"/>
      <c r="S1668" s="54" t="n"/>
      <c r="T1668" s="111">
        <f>IF($G1668="","",IFERROR(INDEX(Taux_Devises,MATCH(IF($M1668="",Devise_Base,$M1668),Codes_Devises,0)),1))</f>
        <v/>
      </c>
      <c r="U1668" s="112">
        <f>IF($G1668="","",ROUND($G1668*$T1668,2))</f>
        <v/>
      </c>
      <c r="V1668" s="113">
        <f>IF($B1668="","",MONTH($B1668))</f>
        <v/>
      </c>
      <c r="W1668" s="113">
        <f>IF($B1668="","",YEAR($B1668))</f>
        <v/>
      </c>
    </row>
    <row r="1669">
      <c r="B1669" s="105" t="n"/>
      <c r="C1669" s="54" t="n"/>
      <c r="D1669" s="54" t="n"/>
      <c r="E1669" s="54" t="n"/>
      <c r="F1669" s="54" t="n"/>
      <c r="G1669" s="65" t="n"/>
      <c r="H1669" s="54" t="n"/>
      <c r="I1669" s="106">
        <f>IF($C1669="","",IFERROR(INDEX(Sens_Types,MATCH($C1669,Liste_Types,0)),""))</f>
        <v/>
      </c>
      <c r="J1669" s="107">
        <f>IF($I1669="▲ ENTRÉE",$U1669,"")</f>
        <v/>
      </c>
      <c r="K1669" s="108">
        <f>IF($I1669="▼ SORTIE",$U1669,"")</f>
        <v/>
      </c>
      <c r="L1669" s="109">
        <f>$L1668+N($J1669)-N($K1669)</f>
        <v/>
      </c>
      <c r="M1669" s="110" t="n"/>
      <c r="N1669" s="54" t="n"/>
      <c r="O1669" s="54" t="n"/>
      <c r="P1669" s="54" t="n"/>
      <c r="Q1669" s="110" t="n"/>
      <c r="R1669" s="110" t="n"/>
      <c r="S1669" s="54" t="n"/>
      <c r="T1669" s="111">
        <f>IF($G1669="","",IFERROR(INDEX(Taux_Devises,MATCH(IF($M1669="",Devise_Base,$M1669),Codes_Devises,0)),1))</f>
        <v/>
      </c>
      <c r="U1669" s="112">
        <f>IF($G1669="","",ROUND($G1669*$T1669,2))</f>
        <v/>
      </c>
      <c r="V1669" s="113">
        <f>IF($B1669="","",MONTH($B1669))</f>
        <v/>
      </c>
      <c r="W1669" s="113">
        <f>IF($B1669="","",YEAR($B1669))</f>
        <v/>
      </c>
    </row>
    <row r="1670">
      <c r="B1670" s="105" t="n"/>
      <c r="C1670" s="54" t="n"/>
      <c r="D1670" s="54" t="n"/>
      <c r="E1670" s="54" t="n"/>
      <c r="F1670" s="54" t="n"/>
      <c r="G1670" s="65" t="n"/>
      <c r="H1670" s="54" t="n"/>
      <c r="I1670" s="106">
        <f>IF($C1670="","",IFERROR(INDEX(Sens_Types,MATCH($C1670,Liste_Types,0)),""))</f>
        <v/>
      </c>
      <c r="J1670" s="107">
        <f>IF($I1670="▲ ENTRÉE",$U1670,"")</f>
        <v/>
      </c>
      <c r="K1670" s="108">
        <f>IF($I1670="▼ SORTIE",$U1670,"")</f>
        <v/>
      </c>
      <c r="L1670" s="109">
        <f>$L1669+N($J1670)-N($K1670)</f>
        <v/>
      </c>
      <c r="M1670" s="110" t="n"/>
      <c r="N1670" s="54" t="n"/>
      <c r="O1670" s="54" t="n"/>
      <c r="P1670" s="54" t="n"/>
      <c r="Q1670" s="110" t="n"/>
      <c r="R1670" s="110" t="n"/>
      <c r="S1670" s="54" t="n"/>
      <c r="T1670" s="111">
        <f>IF($G1670="","",IFERROR(INDEX(Taux_Devises,MATCH(IF($M1670="",Devise_Base,$M1670),Codes_Devises,0)),1))</f>
        <v/>
      </c>
      <c r="U1670" s="112">
        <f>IF($G1670="","",ROUND($G1670*$T1670,2))</f>
        <v/>
      </c>
      <c r="V1670" s="113">
        <f>IF($B1670="","",MONTH($B1670))</f>
        <v/>
      </c>
      <c r="W1670" s="113">
        <f>IF($B1670="","",YEAR($B1670))</f>
        <v/>
      </c>
    </row>
    <row r="1671">
      <c r="B1671" s="105" t="n"/>
      <c r="C1671" s="54" t="n"/>
      <c r="D1671" s="54" t="n"/>
      <c r="E1671" s="54" t="n"/>
      <c r="F1671" s="54" t="n"/>
      <c r="G1671" s="65" t="n"/>
      <c r="H1671" s="54" t="n"/>
      <c r="I1671" s="106">
        <f>IF($C1671="","",IFERROR(INDEX(Sens_Types,MATCH($C1671,Liste_Types,0)),""))</f>
        <v/>
      </c>
      <c r="J1671" s="107">
        <f>IF($I1671="▲ ENTRÉE",$U1671,"")</f>
        <v/>
      </c>
      <c r="K1671" s="108">
        <f>IF($I1671="▼ SORTIE",$U1671,"")</f>
        <v/>
      </c>
      <c r="L1671" s="109">
        <f>$L1670+N($J1671)-N($K1671)</f>
        <v/>
      </c>
      <c r="M1671" s="110" t="n"/>
      <c r="N1671" s="54" t="n"/>
      <c r="O1671" s="54" t="n"/>
      <c r="P1671" s="54" t="n"/>
      <c r="Q1671" s="110" t="n"/>
      <c r="R1671" s="110" t="n"/>
      <c r="S1671" s="54" t="n"/>
      <c r="T1671" s="111">
        <f>IF($G1671="","",IFERROR(INDEX(Taux_Devises,MATCH(IF($M1671="",Devise_Base,$M1671),Codes_Devises,0)),1))</f>
        <v/>
      </c>
      <c r="U1671" s="112">
        <f>IF($G1671="","",ROUND($G1671*$T1671,2))</f>
        <v/>
      </c>
      <c r="V1671" s="113">
        <f>IF($B1671="","",MONTH($B1671))</f>
        <v/>
      </c>
      <c r="W1671" s="113">
        <f>IF($B1671="","",YEAR($B1671))</f>
        <v/>
      </c>
    </row>
    <row r="1672">
      <c r="B1672" s="105" t="n"/>
      <c r="C1672" s="54" t="n"/>
      <c r="D1672" s="54" t="n"/>
      <c r="E1672" s="54" t="n"/>
      <c r="F1672" s="54" t="n"/>
      <c r="G1672" s="65" t="n"/>
      <c r="H1672" s="54" t="n"/>
      <c r="I1672" s="106">
        <f>IF($C1672="","",IFERROR(INDEX(Sens_Types,MATCH($C1672,Liste_Types,0)),""))</f>
        <v/>
      </c>
      <c r="J1672" s="107">
        <f>IF($I1672="▲ ENTRÉE",$U1672,"")</f>
        <v/>
      </c>
      <c r="K1672" s="108">
        <f>IF($I1672="▼ SORTIE",$U1672,"")</f>
        <v/>
      </c>
      <c r="L1672" s="109">
        <f>$L1671+N($J1672)-N($K1672)</f>
        <v/>
      </c>
      <c r="M1672" s="110" t="n"/>
      <c r="N1672" s="54" t="n"/>
      <c r="O1672" s="54" t="n"/>
      <c r="P1672" s="54" t="n"/>
      <c r="Q1672" s="110" t="n"/>
      <c r="R1672" s="110" t="n"/>
      <c r="S1672" s="54" t="n"/>
      <c r="T1672" s="111">
        <f>IF($G1672="","",IFERROR(INDEX(Taux_Devises,MATCH(IF($M1672="",Devise_Base,$M1672),Codes_Devises,0)),1))</f>
        <v/>
      </c>
      <c r="U1672" s="112">
        <f>IF($G1672="","",ROUND($G1672*$T1672,2))</f>
        <v/>
      </c>
      <c r="V1672" s="113">
        <f>IF($B1672="","",MONTH($B1672))</f>
        <v/>
      </c>
      <c r="W1672" s="113">
        <f>IF($B1672="","",YEAR($B1672))</f>
        <v/>
      </c>
    </row>
    <row r="1673">
      <c r="B1673" s="105" t="n"/>
      <c r="C1673" s="54" t="n"/>
      <c r="D1673" s="54" t="n"/>
      <c r="E1673" s="54" t="n"/>
      <c r="F1673" s="54" t="n"/>
      <c r="G1673" s="65" t="n"/>
      <c r="H1673" s="54" t="n"/>
      <c r="I1673" s="106">
        <f>IF($C1673="","",IFERROR(INDEX(Sens_Types,MATCH($C1673,Liste_Types,0)),""))</f>
        <v/>
      </c>
      <c r="J1673" s="107">
        <f>IF($I1673="▲ ENTRÉE",$U1673,"")</f>
        <v/>
      </c>
      <c r="K1673" s="108">
        <f>IF($I1673="▼ SORTIE",$U1673,"")</f>
        <v/>
      </c>
      <c r="L1673" s="109">
        <f>$L1672+N($J1673)-N($K1673)</f>
        <v/>
      </c>
      <c r="M1673" s="110" t="n"/>
      <c r="N1673" s="54" t="n"/>
      <c r="O1673" s="54" t="n"/>
      <c r="P1673" s="54" t="n"/>
      <c r="Q1673" s="110" t="n"/>
      <c r="R1673" s="110" t="n"/>
      <c r="S1673" s="54" t="n"/>
      <c r="T1673" s="111">
        <f>IF($G1673="","",IFERROR(INDEX(Taux_Devises,MATCH(IF($M1673="",Devise_Base,$M1673),Codes_Devises,0)),1))</f>
        <v/>
      </c>
      <c r="U1673" s="112">
        <f>IF($G1673="","",ROUND($G1673*$T1673,2))</f>
        <v/>
      </c>
      <c r="V1673" s="113">
        <f>IF($B1673="","",MONTH($B1673))</f>
        <v/>
      </c>
      <c r="W1673" s="113">
        <f>IF($B1673="","",YEAR($B1673))</f>
        <v/>
      </c>
    </row>
    <row r="1674">
      <c r="B1674" s="105" t="n"/>
      <c r="C1674" s="54" t="n"/>
      <c r="D1674" s="54" t="n"/>
      <c r="E1674" s="54" t="n"/>
      <c r="F1674" s="54" t="n"/>
      <c r="G1674" s="65" t="n"/>
      <c r="H1674" s="54" t="n"/>
      <c r="I1674" s="106">
        <f>IF($C1674="","",IFERROR(INDEX(Sens_Types,MATCH($C1674,Liste_Types,0)),""))</f>
        <v/>
      </c>
      <c r="J1674" s="107">
        <f>IF($I1674="▲ ENTRÉE",$U1674,"")</f>
        <v/>
      </c>
      <c r="K1674" s="108">
        <f>IF($I1674="▼ SORTIE",$U1674,"")</f>
        <v/>
      </c>
      <c r="L1674" s="109">
        <f>$L1673+N($J1674)-N($K1674)</f>
        <v/>
      </c>
      <c r="M1674" s="110" t="n"/>
      <c r="N1674" s="54" t="n"/>
      <c r="O1674" s="54" t="n"/>
      <c r="P1674" s="54" t="n"/>
      <c r="Q1674" s="110" t="n"/>
      <c r="R1674" s="110" t="n"/>
      <c r="S1674" s="54" t="n"/>
      <c r="T1674" s="111">
        <f>IF($G1674="","",IFERROR(INDEX(Taux_Devises,MATCH(IF($M1674="",Devise_Base,$M1674),Codes_Devises,0)),1))</f>
        <v/>
      </c>
      <c r="U1674" s="112">
        <f>IF($G1674="","",ROUND($G1674*$T1674,2))</f>
        <v/>
      </c>
      <c r="V1674" s="113">
        <f>IF($B1674="","",MONTH($B1674))</f>
        <v/>
      </c>
      <c r="W1674" s="113">
        <f>IF($B1674="","",YEAR($B1674))</f>
        <v/>
      </c>
    </row>
    <row r="1675">
      <c r="B1675" s="105" t="n"/>
      <c r="C1675" s="54" t="n"/>
      <c r="D1675" s="54" t="n"/>
      <c r="E1675" s="54" t="n"/>
      <c r="F1675" s="54" t="n"/>
      <c r="G1675" s="65" t="n"/>
      <c r="H1675" s="54" t="n"/>
      <c r="I1675" s="106">
        <f>IF($C1675="","",IFERROR(INDEX(Sens_Types,MATCH($C1675,Liste_Types,0)),""))</f>
        <v/>
      </c>
      <c r="J1675" s="107">
        <f>IF($I1675="▲ ENTRÉE",$U1675,"")</f>
        <v/>
      </c>
      <c r="K1675" s="108">
        <f>IF($I1675="▼ SORTIE",$U1675,"")</f>
        <v/>
      </c>
      <c r="L1675" s="109">
        <f>$L1674+N($J1675)-N($K1675)</f>
        <v/>
      </c>
      <c r="M1675" s="110" t="n"/>
      <c r="N1675" s="54" t="n"/>
      <c r="O1675" s="54" t="n"/>
      <c r="P1675" s="54" t="n"/>
      <c r="Q1675" s="110" t="n"/>
      <c r="R1675" s="110" t="n"/>
      <c r="S1675" s="54" t="n"/>
      <c r="T1675" s="111">
        <f>IF($G1675="","",IFERROR(INDEX(Taux_Devises,MATCH(IF($M1675="",Devise_Base,$M1675),Codes_Devises,0)),1))</f>
        <v/>
      </c>
      <c r="U1675" s="112">
        <f>IF($G1675="","",ROUND($G1675*$T1675,2))</f>
        <v/>
      </c>
      <c r="V1675" s="113">
        <f>IF($B1675="","",MONTH($B1675))</f>
        <v/>
      </c>
      <c r="W1675" s="113">
        <f>IF($B1675="","",YEAR($B1675))</f>
        <v/>
      </c>
    </row>
    <row r="1676">
      <c r="B1676" s="105" t="n"/>
      <c r="C1676" s="54" t="n"/>
      <c r="D1676" s="54" t="n"/>
      <c r="E1676" s="54" t="n"/>
      <c r="F1676" s="54" t="n"/>
      <c r="G1676" s="65" t="n"/>
      <c r="H1676" s="54" t="n"/>
      <c r="I1676" s="106">
        <f>IF($C1676="","",IFERROR(INDEX(Sens_Types,MATCH($C1676,Liste_Types,0)),""))</f>
        <v/>
      </c>
      <c r="J1676" s="107">
        <f>IF($I1676="▲ ENTRÉE",$U1676,"")</f>
        <v/>
      </c>
      <c r="K1676" s="108">
        <f>IF($I1676="▼ SORTIE",$U1676,"")</f>
        <v/>
      </c>
      <c r="L1676" s="109">
        <f>$L1675+N($J1676)-N($K1676)</f>
        <v/>
      </c>
      <c r="M1676" s="110" t="n"/>
      <c r="N1676" s="54" t="n"/>
      <c r="O1676" s="54" t="n"/>
      <c r="P1676" s="54" t="n"/>
      <c r="Q1676" s="110" t="n"/>
      <c r="R1676" s="110" t="n"/>
      <c r="S1676" s="54" t="n"/>
      <c r="T1676" s="111">
        <f>IF($G1676="","",IFERROR(INDEX(Taux_Devises,MATCH(IF($M1676="",Devise_Base,$M1676),Codes_Devises,0)),1))</f>
        <v/>
      </c>
      <c r="U1676" s="112">
        <f>IF($G1676="","",ROUND($G1676*$T1676,2))</f>
        <v/>
      </c>
      <c r="V1676" s="113">
        <f>IF($B1676="","",MONTH($B1676))</f>
        <v/>
      </c>
      <c r="W1676" s="113">
        <f>IF($B1676="","",YEAR($B1676))</f>
        <v/>
      </c>
    </row>
    <row r="1677">
      <c r="B1677" s="105" t="n"/>
      <c r="C1677" s="54" t="n"/>
      <c r="D1677" s="54" t="n"/>
      <c r="E1677" s="54" t="n"/>
      <c r="F1677" s="54" t="n"/>
      <c r="G1677" s="65" t="n"/>
      <c r="H1677" s="54" t="n"/>
      <c r="I1677" s="106">
        <f>IF($C1677="","",IFERROR(INDEX(Sens_Types,MATCH($C1677,Liste_Types,0)),""))</f>
        <v/>
      </c>
      <c r="J1677" s="107">
        <f>IF($I1677="▲ ENTRÉE",$U1677,"")</f>
        <v/>
      </c>
      <c r="K1677" s="108">
        <f>IF($I1677="▼ SORTIE",$U1677,"")</f>
        <v/>
      </c>
      <c r="L1677" s="109">
        <f>$L1676+N($J1677)-N($K1677)</f>
        <v/>
      </c>
      <c r="M1677" s="110" t="n"/>
      <c r="N1677" s="54" t="n"/>
      <c r="O1677" s="54" t="n"/>
      <c r="P1677" s="54" t="n"/>
      <c r="Q1677" s="110" t="n"/>
      <c r="R1677" s="110" t="n"/>
      <c r="S1677" s="54" t="n"/>
      <c r="T1677" s="111">
        <f>IF($G1677="","",IFERROR(INDEX(Taux_Devises,MATCH(IF($M1677="",Devise_Base,$M1677),Codes_Devises,0)),1))</f>
        <v/>
      </c>
      <c r="U1677" s="112">
        <f>IF($G1677="","",ROUND($G1677*$T1677,2))</f>
        <v/>
      </c>
      <c r="V1677" s="113">
        <f>IF($B1677="","",MONTH($B1677))</f>
        <v/>
      </c>
      <c r="W1677" s="113">
        <f>IF($B1677="","",YEAR($B1677))</f>
        <v/>
      </c>
    </row>
    <row r="1678">
      <c r="B1678" s="105" t="n"/>
      <c r="C1678" s="54" t="n"/>
      <c r="D1678" s="54" t="n"/>
      <c r="E1678" s="54" t="n"/>
      <c r="F1678" s="54" t="n"/>
      <c r="G1678" s="65" t="n"/>
      <c r="H1678" s="54" t="n"/>
      <c r="I1678" s="106">
        <f>IF($C1678="","",IFERROR(INDEX(Sens_Types,MATCH($C1678,Liste_Types,0)),""))</f>
        <v/>
      </c>
      <c r="J1678" s="107">
        <f>IF($I1678="▲ ENTRÉE",$U1678,"")</f>
        <v/>
      </c>
      <c r="K1678" s="108">
        <f>IF($I1678="▼ SORTIE",$U1678,"")</f>
        <v/>
      </c>
      <c r="L1678" s="109">
        <f>$L1677+N($J1678)-N($K1678)</f>
        <v/>
      </c>
      <c r="M1678" s="110" t="n"/>
      <c r="N1678" s="54" t="n"/>
      <c r="O1678" s="54" t="n"/>
      <c r="P1678" s="54" t="n"/>
      <c r="Q1678" s="110" t="n"/>
      <c r="R1678" s="110" t="n"/>
      <c r="S1678" s="54" t="n"/>
      <c r="T1678" s="111">
        <f>IF($G1678="","",IFERROR(INDEX(Taux_Devises,MATCH(IF($M1678="",Devise_Base,$M1678),Codes_Devises,0)),1))</f>
        <v/>
      </c>
      <c r="U1678" s="112">
        <f>IF($G1678="","",ROUND($G1678*$T1678,2))</f>
        <v/>
      </c>
      <c r="V1678" s="113">
        <f>IF($B1678="","",MONTH($B1678))</f>
        <v/>
      </c>
      <c r="W1678" s="113">
        <f>IF($B1678="","",YEAR($B1678))</f>
        <v/>
      </c>
    </row>
    <row r="1679">
      <c r="B1679" s="105" t="n"/>
      <c r="C1679" s="54" t="n"/>
      <c r="D1679" s="54" t="n"/>
      <c r="E1679" s="54" t="n"/>
      <c r="F1679" s="54" t="n"/>
      <c r="G1679" s="65" t="n"/>
      <c r="H1679" s="54" t="n"/>
      <c r="I1679" s="106">
        <f>IF($C1679="","",IFERROR(INDEX(Sens_Types,MATCH($C1679,Liste_Types,0)),""))</f>
        <v/>
      </c>
      <c r="J1679" s="107">
        <f>IF($I1679="▲ ENTRÉE",$U1679,"")</f>
        <v/>
      </c>
      <c r="K1679" s="108">
        <f>IF($I1679="▼ SORTIE",$U1679,"")</f>
        <v/>
      </c>
      <c r="L1679" s="109">
        <f>$L1678+N($J1679)-N($K1679)</f>
        <v/>
      </c>
      <c r="M1679" s="110" t="n"/>
      <c r="N1679" s="54" t="n"/>
      <c r="O1679" s="54" t="n"/>
      <c r="P1679" s="54" t="n"/>
      <c r="Q1679" s="110" t="n"/>
      <c r="R1679" s="110" t="n"/>
      <c r="S1679" s="54" t="n"/>
      <c r="T1679" s="111">
        <f>IF($G1679="","",IFERROR(INDEX(Taux_Devises,MATCH(IF($M1679="",Devise_Base,$M1679),Codes_Devises,0)),1))</f>
        <v/>
      </c>
      <c r="U1679" s="112">
        <f>IF($G1679="","",ROUND($G1679*$T1679,2))</f>
        <v/>
      </c>
      <c r="V1679" s="113">
        <f>IF($B1679="","",MONTH($B1679))</f>
        <v/>
      </c>
      <c r="W1679" s="113">
        <f>IF($B1679="","",YEAR($B1679))</f>
        <v/>
      </c>
    </row>
    <row r="1680">
      <c r="B1680" s="105" t="n"/>
      <c r="C1680" s="54" t="n"/>
      <c r="D1680" s="54" t="n"/>
      <c r="E1680" s="54" t="n"/>
      <c r="F1680" s="54" t="n"/>
      <c r="G1680" s="65" t="n"/>
      <c r="H1680" s="54" t="n"/>
      <c r="I1680" s="106">
        <f>IF($C1680="","",IFERROR(INDEX(Sens_Types,MATCH($C1680,Liste_Types,0)),""))</f>
        <v/>
      </c>
      <c r="J1680" s="107">
        <f>IF($I1680="▲ ENTRÉE",$U1680,"")</f>
        <v/>
      </c>
      <c r="K1680" s="108">
        <f>IF($I1680="▼ SORTIE",$U1680,"")</f>
        <v/>
      </c>
      <c r="L1680" s="109">
        <f>$L1679+N($J1680)-N($K1680)</f>
        <v/>
      </c>
      <c r="M1680" s="110" t="n"/>
      <c r="N1680" s="54" t="n"/>
      <c r="O1680" s="54" t="n"/>
      <c r="P1680" s="54" t="n"/>
      <c r="Q1680" s="110" t="n"/>
      <c r="R1680" s="110" t="n"/>
      <c r="S1680" s="54" t="n"/>
      <c r="T1680" s="111">
        <f>IF($G1680="","",IFERROR(INDEX(Taux_Devises,MATCH(IF($M1680="",Devise_Base,$M1680),Codes_Devises,0)),1))</f>
        <v/>
      </c>
      <c r="U1680" s="112">
        <f>IF($G1680="","",ROUND($G1680*$T1680,2))</f>
        <v/>
      </c>
      <c r="V1680" s="113">
        <f>IF($B1680="","",MONTH($B1680))</f>
        <v/>
      </c>
      <c r="W1680" s="113">
        <f>IF($B1680="","",YEAR($B1680))</f>
        <v/>
      </c>
    </row>
    <row r="1681">
      <c r="B1681" s="105" t="n"/>
      <c r="C1681" s="54" t="n"/>
      <c r="D1681" s="54" t="n"/>
      <c r="E1681" s="54" t="n"/>
      <c r="F1681" s="54" t="n"/>
      <c r="G1681" s="65" t="n"/>
      <c r="H1681" s="54" t="n"/>
      <c r="I1681" s="106">
        <f>IF($C1681="","",IFERROR(INDEX(Sens_Types,MATCH($C1681,Liste_Types,0)),""))</f>
        <v/>
      </c>
      <c r="J1681" s="107">
        <f>IF($I1681="▲ ENTRÉE",$U1681,"")</f>
        <v/>
      </c>
      <c r="K1681" s="108">
        <f>IF($I1681="▼ SORTIE",$U1681,"")</f>
        <v/>
      </c>
      <c r="L1681" s="109">
        <f>$L1680+N($J1681)-N($K1681)</f>
        <v/>
      </c>
      <c r="M1681" s="110" t="n"/>
      <c r="N1681" s="54" t="n"/>
      <c r="O1681" s="54" t="n"/>
      <c r="P1681" s="54" t="n"/>
      <c r="Q1681" s="110" t="n"/>
      <c r="R1681" s="110" t="n"/>
      <c r="S1681" s="54" t="n"/>
      <c r="T1681" s="111">
        <f>IF($G1681="","",IFERROR(INDEX(Taux_Devises,MATCH(IF($M1681="",Devise_Base,$M1681),Codes_Devises,0)),1))</f>
        <v/>
      </c>
      <c r="U1681" s="112">
        <f>IF($G1681="","",ROUND($G1681*$T1681,2))</f>
        <v/>
      </c>
      <c r="V1681" s="113">
        <f>IF($B1681="","",MONTH($B1681))</f>
        <v/>
      </c>
      <c r="W1681" s="113">
        <f>IF($B1681="","",YEAR($B1681))</f>
        <v/>
      </c>
    </row>
    <row r="1682">
      <c r="B1682" s="105" t="n"/>
      <c r="C1682" s="54" t="n"/>
      <c r="D1682" s="54" t="n"/>
      <c r="E1682" s="54" t="n"/>
      <c r="F1682" s="54" t="n"/>
      <c r="G1682" s="65" t="n"/>
      <c r="H1682" s="54" t="n"/>
      <c r="I1682" s="106">
        <f>IF($C1682="","",IFERROR(INDEX(Sens_Types,MATCH($C1682,Liste_Types,0)),""))</f>
        <v/>
      </c>
      <c r="J1682" s="107">
        <f>IF($I1682="▲ ENTRÉE",$U1682,"")</f>
        <v/>
      </c>
      <c r="K1682" s="108">
        <f>IF($I1682="▼ SORTIE",$U1682,"")</f>
        <v/>
      </c>
      <c r="L1682" s="109">
        <f>$L1681+N($J1682)-N($K1682)</f>
        <v/>
      </c>
      <c r="M1682" s="110" t="n"/>
      <c r="N1682" s="54" t="n"/>
      <c r="O1682" s="54" t="n"/>
      <c r="P1682" s="54" t="n"/>
      <c r="Q1682" s="110" t="n"/>
      <c r="R1682" s="110" t="n"/>
      <c r="S1682" s="54" t="n"/>
      <c r="T1682" s="111">
        <f>IF($G1682="","",IFERROR(INDEX(Taux_Devises,MATCH(IF($M1682="",Devise_Base,$M1682),Codes_Devises,0)),1))</f>
        <v/>
      </c>
      <c r="U1682" s="112">
        <f>IF($G1682="","",ROUND($G1682*$T1682,2))</f>
        <v/>
      </c>
      <c r="V1682" s="113">
        <f>IF($B1682="","",MONTH($B1682))</f>
        <v/>
      </c>
      <c r="W1682" s="113">
        <f>IF($B1682="","",YEAR($B1682))</f>
        <v/>
      </c>
    </row>
    <row r="1683">
      <c r="B1683" s="105" t="n"/>
      <c r="C1683" s="54" t="n"/>
      <c r="D1683" s="54" t="n"/>
      <c r="E1683" s="54" t="n"/>
      <c r="F1683" s="54" t="n"/>
      <c r="G1683" s="65" t="n"/>
      <c r="H1683" s="54" t="n"/>
      <c r="I1683" s="106">
        <f>IF($C1683="","",IFERROR(INDEX(Sens_Types,MATCH($C1683,Liste_Types,0)),""))</f>
        <v/>
      </c>
      <c r="J1683" s="107">
        <f>IF($I1683="▲ ENTRÉE",$U1683,"")</f>
        <v/>
      </c>
      <c r="K1683" s="108">
        <f>IF($I1683="▼ SORTIE",$U1683,"")</f>
        <v/>
      </c>
      <c r="L1683" s="109">
        <f>$L1682+N($J1683)-N($K1683)</f>
        <v/>
      </c>
      <c r="M1683" s="110" t="n"/>
      <c r="N1683" s="54" t="n"/>
      <c r="O1683" s="54" t="n"/>
      <c r="P1683" s="54" t="n"/>
      <c r="Q1683" s="110" t="n"/>
      <c r="R1683" s="110" t="n"/>
      <c r="S1683" s="54" t="n"/>
      <c r="T1683" s="111">
        <f>IF($G1683="","",IFERROR(INDEX(Taux_Devises,MATCH(IF($M1683="",Devise_Base,$M1683),Codes_Devises,0)),1))</f>
        <v/>
      </c>
      <c r="U1683" s="112">
        <f>IF($G1683="","",ROUND($G1683*$T1683,2))</f>
        <v/>
      </c>
      <c r="V1683" s="113">
        <f>IF($B1683="","",MONTH($B1683))</f>
        <v/>
      </c>
      <c r="W1683" s="113">
        <f>IF($B1683="","",YEAR($B1683))</f>
        <v/>
      </c>
    </row>
    <row r="1684">
      <c r="B1684" s="105" t="n"/>
      <c r="C1684" s="54" t="n"/>
      <c r="D1684" s="54" t="n"/>
      <c r="E1684" s="54" t="n"/>
      <c r="F1684" s="54" t="n"/>
      <c r="G1684" s="65" t="n"/>
      <c r="H1684" s="54" t="n"/>
      <c r="I1684" s="106">
        <f>IF($C1684="","",IFERROR(INDEX(Sens_Types,MATCH($C1684,Liste_Types,0)),""))</f>
        <v/>
      </c>
      <c r="J1684" s="107">
        <f>IF($I1684="▲ ENTRÉE",$U1684,"")</f>
        <v/>
      </c>
      <c r="K1684" s="108">
        <f>IF($I1684="▼ SORTIE",$U1684,"")</f>
        <v/>
      </c>
      <c r="L1684" s="109">
        <f>$L1683+N($J1684)-N($K1684)</f>
        <v/>
      </c>
      <c r="M1684" s="110" t="n"/>
      <c r="N1684" s="54" t="n"/>
      <c r="O1684" s="54" t="n"/>
      <c r="P1684" s="54" t="n"/>
      <c r="Q1684" s="110" t="n"/>
      <c r="R1684" s="110" t="n"/>
      <c r="S1684" s="54" t="n"/>
      <c r="T1684" s="111">
        <f>IF($G1684="","",IFERROR(INDEX(Taux_Devises,MATCH(IF($M1684="",Devise_Base,$M1684),Codes_Devises,0)),1))</f>
        <v/>
      </c>
      <c r="U1684" s="112">
        <f>IF($G1684="","",ROUND($G1684*$T1684,2))</f>
        <v/>
      </c>
      <c r="V1684" s="113">
        <f>IF($B1684="","",MONTH($B1684))</f>
        <v/>
      </c>
      <c r="W1684" s="113">
        <f>IF($B1684="","",YEAR($B1684))</f>
        <v/>
      </c>
    </row>
    <row r="1685">
      <c r="B1685" s="105" t="n"/>
      <c r="C1685" s="54" t="n"/>
      <c r="D1685" s="54" t="n"/>
      <c r="E1685" s="54" t="n"/>
      <c r="F1685" s="54" t="n"/>
      <c r="G1685" s="65" t="n"/>
      <c r="H1685" s="54" t="n"/>
      <c r="I1685" s="106">
        <f>IF($C1685="","",IFERROR(INDEX(Sens_Types,MATCH($C1685,Liste_Types,0)),""))</f>
        <v/>
      </c>
      <c r="J1685" s="107">
        <f>IF($I1685="▲ ENTRÉE",$U1685,"")</f>
        <v/>
      </c>
      <c r="K1685" s="108">
        <f>IF($I1685="▼ SORTIE",$U1685,"")</f>
        <v/>
      </c>
      <c r="L1685" s="109">
        <f>$L1684+N($J1685)-N($K1685)</f>
        <v/>
      </c>
      <c r="M1685" s="110" t="n"/>
      <c r="N1685" s="54" t="n"/>
      <c r="O1685" s="54" t="n"/>
      <c r="P1685" s="54" t="n"/>
      <c r="Q1685" s="110" t="n"/>
      <c r="R1685" s="110" t="n"/>
      <c r="S1685" s="54" t="n"/>
      <c r="T1685" s="111">
        <f>IF($G1685="","",IFERROR(INDEX(Taux_Devises,MATCH(IF($M1685="",Devise_Base,$M1685),Codes_Devises,0)),1))</f>
        <v/>
      </c>
      <c r="U1685" s="112">
        <f>IF($G1685="","",ROUND($G1685*$T1685,2))</f>
        <v/>
      </c>
      <c r="V1685" s="113">
        <f>IF($B1685="","",MONTH($B1685))</f>
        <v/>
      </c>
      <c r="W1685" s="113">
        <f>IF($B1685="","",YEAR($B1685))</f>
        <v/>
      </c>
    </row>
    <row r="1686">
      <c r="B1686" s="105" t="n"/>
      <c r="C1686" s="54" t="n"/>
      <c r="D1686" s="54" t="n"/>
      <c r="E1686" s="54" t="n"/>
      <c r="F1686" s="54" t="n"/>
      <c r="G1686" s="65" t="n"/>
      <c r="H1686" s="54" t="n"/>
      <c r="I1686" s="106">
        <f>IF($C1686="","",IFERROR(INDEX(Sens_Types,MATCH($C1686,Liste_Types,0)),""))</f>
        <v/>
      </c>
      <c r="J1686" s="107">
        <f>IF($I1686="▲ ENTRÉE",$U1686,"")</f>
        <v/>
      </c>
      <c r="K1686" s="108">
        <f>IF($I1686="▼ SORTIE",$U1686,"")</f>
        <v/>
      </c>
      <c r="L1686" s="109">
        <f>$L1685+N($J1686)-N($K1686)</f>
        <v/>
      </c>
      <c r="M1686" s="110" t="n"/>
      <c r="N1686" s="54" t="n"/>
      <c r="O1686" s="54" t="n"/>
      <c r="P1686" s="54" t="n"/>
      <c r="Q1686" s="110" t="n"/>
      <c r="R1686" s="110" t="n"/>
      <c r="S1686" s="54" t="n"/>
      <c r="T1686" s="111">
        <f>IF($G1686="","",IFERROR(INDEX(Taux_Devises,MATCH(IF($M1686="",Devise_Base,$M1686),Codes_Devises,0)),1))</f>
        <v/>
      </c>
      <c r="U1686" s="112">
        <f>IF($G1686="","",ROUND($G1686*$T1686,2))</f>
        <v/>
      </c>
      <c r="V1686" s="113">
        <f>IF($B1686="","",MONTH($B1686))</f>
        <v/>
      </c>
      <c r="W1686" s="113">
        <f>IF($B1686="","",YEAR($B1686))</f>
        <v/>
      </c>
    </row>
    <row r="1687">
      <c r="B1687" s="105" t="n"/>
      <c r="C1687" s="54" t="n"/>
      <c r="D1687" s="54" t="n"/>
      <c r="E1687" s="54" t="n"/>
      <c r="F1687" s="54" t="n"/>
      <c r="G1687" s="65" t="n"/>
      <c r="H1687" s="54" t="n"/>
      <c r="I1687" s="106">
        <f>IF($C1687="","",IFERROR(INDEX(Sens_Types,MATCH($C1687,Liste_Types,0)),""))</f>
        <v/>
      </c>
      <c r="J1687" s="107">
        <f>IF($I1687="▲ ENTRÉE",$U1687,"")</f>
        <v/>
      </c>
      <c r="K1687" s="108">
        <f>IF($I1687="▼ SORTIE",$U1687,"")</f>
        <v/>
      </c>
      <c r="L1687" s="109">
        <f>$L1686+N($J1687)-N($K1687)</f>
        <v/>
      </c>
      <c r="M1687" s="110" t="n"/>
      <c r="N1687" s="54" t="n"/>
      <c r="O1687" s="54" t="n"/>
      <c r="P1687" s="54" t="n"/>
      <c r="Q1687" s="110" t="n"/>
      <c r="R1687" s="110" t="n"/>
      <c r="S1687" s="54" t="n"/>
      <c r="T1687" s="111">
        <f>IF($G1687="","",IFERROR(INDEX(Taux_Devises,MATCH(IF($M1687="",Devise_Base,$M1687),Codes_Devises,0)),1))</f>
        <v/>
      </c>
      <c r="U1687" s="112">
        <f>IF($G1687="","",ROUND($G1687*$T1687,2))</f>
        <v/>
      </c>
      <c r="V1687" s="113">
        <f>IF($B1687="","",MONTH($B1687))</f>
        <v/>
      </c>
      <c r="W1687" s="113">
        <f>IF($B1687="","",YEAR($B1687))</f>
        <v/>
      </c>
    </row>
    <row r="1688">
      <c r="B1688" s="105" t="n"/>
      <c r="C1688" s="54" t="n"/>
      <c r="D1688" s="54" t="n"/>
      <c r="E1688" s="54" t="n"/>
      <c r="F1688" s="54" t="n"/>
      <c r="G1688" s="65" t="n"/>
      <c r="H1688" s="54" t="n"/>
      <c r="I1688" s="106">
        <f>IF($C1688="","",IFERROR(INDEX(Sens_Types,MATCH($C1688,Liste_Types,0)),""))</f>
        <v/>
      </c>
      <c r="J1688" s="107">
        <f>IF($I1688="▲ ENTRÉE",$U1688,"")</f>
        <v/>
      </c>
      <c r="K1688" s="108">
        <f>IF($I1688="▼ SORTIE",$U1688,"")</f>
        <v/>
      </c>
      <c r="L1688" s="109">
        <f>$L1687+N($J1688)-N($K1688)</f>
        <v/>
      </c>
      <c r="M1688" s="110" t="n"/>
      <c r="N1688" s="54" t="n"/>
      <c r="O1688" s="54" t="n"/>
      <c r="P1688" s="54" t="n"/>
      <c r="Q1688" s="110" t="n"/>
      <c r="R1688" s="110" t="n"/>
      <c r="S1688" s="54" t="n"/>
      <c r="T1688" s="111">
        <f>IF($G1688="","",IFERROR(INDEX(Taux_Devises,MATCH(IF($M1688="",Devise_Base,$M1688),Codes_Devises,0)),1))</f>
        <v/>
      </c>
      <c r="U1688" s="112">
        <f>IF($G1688="","",ROUND($G1688*$T1688,2))</f>
        <v/>
      </c>
      <c r="V1688" s="113">
        <f>IF($B1688="","",MONTH($B1688))</f>
        <v/>
      </c>
      <c r="W1688" s="113">
        <f>IF($B1688="","",YEAR($B1688))</f>
        <v/>
      </c>
    </row>
    <row r="1689">
      <c r="B1689" s="105" t="n"/>
      <c r="C1689" s="54" t="n"/>
      <c r="D1689" s="54" t="n"/>
      <c r="E1689" s="54" t="n"/>
      <c r="F1689" s="54" t="n"/>
      <c r="G1689" s="65" t="n"/>
      <c r="H1689" s="54" t="n"/>
      <c r="I1689" s="106">
        <f>IF($C1689="","",IFERROR(INDEX(Sens_Types,MATCH($C1689,Liste_Types,0)),""))</f>
        <v/>
      </c>
      <c r="J1689" s="107">
        <f>IF($I1689="▲ ENTRÉE",$U1689,"")</f>
        <v/>
      </c>
      <c r="K1689" s="108">
        <f>IF($I1689="▼ SORTIE",$U1689,"")</f>
        <v/>
      </c>
      <c r="L1689" s="109">
        <f>$L1688+N($J1689)-N($K1689)</f>
        <v/>
      </c>
      <c r="M1689" s="110" t="n"/>
      <c r="N1689" s="54" t="n"/>
      <c r="O1689" s="54" t="n"/>
      <c r="P1689" s="54" t="n"/>
      <c r="Q1689" s="110" t="n"/>
      <c r="R1689" s="110" t="n"/>
      <c r="S1689" s="54" t="n"/>
      <c r="T1689" s="111">
        <f>IF($G1689="","",IFERROR(INDEX(Taux_Devises,MATCH(IF($M1689="",Devise_Base,$M1689),Codes_Devises,0)),1))</f>
        <v/>
      </c>
      <c r="U1689" s="112">
        <f>IF($G1689="","",ROUND($G1689*$T1689,2))</f>
        <v/>
      </c>
      <c r="V1689" s="113">
        <f>IF($B1689="","",MONTH($B1689))</f>
        <v/>
      </c>
      <c r="W1689" s="113">
        <f>IF($B1689="","",YEAR($B1689))</f>
        <v/>
      </c>
    </row>
    <row r="1690">
      <c r="B1690" s="105" t="n"/>
      <c r="C1690" s="54" t="n"/>
      <c r="D1690" s="54" t="n"/>
      <c r="E1690" s="54" t="n"/>
      <c r="F1690" s="54" t="n"/>
      <c r="G1690" s="65" t="n"/>
      <c r="H1690" s="54" t="n"/>
      <c r="I1690" s="106">
        <f>IF($C1690="","",IFERROR(INDEX(Sens_Types,MATCH($C1690,Liste_Types,0)),""))</f>
        <v/>
      </c>
      <c r="J1690" s="107">
        <f>IF($I1690="▲ ENTRÉE",$U1690,"")</f>
        <v/>
      </c>
      <c r="K1690" s="108">
        <f>IF($I1690="▼ SORTIE",$U1690,"")</f>
        <v/>
      </c>
      <c r="L1690" s="109">
        <f>$L1689+N($J1690)-N($K1690)</f>
        <v/>
      </c>
      <c r="M1690" s="110" t="n"/>
      <c r="N1690" s="54" t="n"/>
      <c r="O1690" s="54" t="n"/>
      <c r="P1690" s="54" t="n"/>
      <c r="Q1690" s="110" t="n"/>
      <c r="R1690" s="110" t="n"/>
      <c r="S1690" s="54" t="n"/>
      <c r="T1690" s="111">
        <f>IF($G1690="","",IFERROR(INDEX(Taux_Devises,MATCH(IF($M1690="",Devise_Base,$M1690),Codes_Devises,0)),1))</f>
        <v/>
      </c>
      <c r="U1690" s="112">
        <f>IF($G1690="","",ROUND($G1690*$T1690,2))</f>
        <v/>
      </c>
      <c r="V1690" s="113">
        <f>IF($B1690="","",MONTH($B1690))</f>
        <v/>
      </c>
      <c r="W1690" s="113">
        <f>IF($B1690="","",YEAR($B1690))</f>
        <v/>
      </c>
    </row>
    <row r="1691">
      <c r="B1691" s="105" t="n"/>
      <c r="C1691" s="54" t="n"/>
      <c r="D1691" s="54" t="n"/>
      <c r="E1691" s="54" t="n"/>
      <c r="F1691" s="54" t="n"/>
      <c r="G1691" s="65" t="n"/>
      <c r="H1691" s="54" t="n"/>
      <c r="I1691" s="106">
        <f>IF($C1691="","",IFERROR(INDEX(Sens_Types,MATCH($C1691,Liste_Types,0)),""))</f>
        <v/>
      </c>
      <c r="J1691" s="107">
        <f>IF($I1691="▲ ENTRÉE",$U1691,"")</f>
        <v/>
      </c>
      <c r="K1691" s="108">
        <f>IF($I1691="▼ SORTIE",$U1691,"")</f>
        <v/>
      </c>
      <c r="L1691" s="109">
        <f>$L1690+N($J1691)-N($K1691)</f>
        <v/>
      </c>
      <c r="M1691" s="110" t="n"/>
      <c r="N1691" s="54" t="n"/>
      <c r="O1691" s="54" t="n"/>
      <c r="P1691" s="54" t="n"/>
      <c r="Q1691" s="110" t="n"/>
      <c r="R1691" s="110" t="n"/>
      <c r="S1691" s="54" t="n"/>
      <c r="T1691" s="111">
        <f>IF($G1691="","",IFERROR(INDEX(Taux_Devises,MATCH(IF($M1691="",Devise_Base,$M1691),Codes_Devises,0)),1))</f>
        <v/>
      </c>
      <c r="U1691" s="112">
        <f>IF($G1691="","",ROUND($G1691*$T1691,2))</f>
        <v/>
      </c>
      <c r="V1691" s="113">
        <f>IF($B1691="","",MONTH($B1691))</f>
        <v/>
      </c>
      <c r="W1691" s="113">
        <f>IF($B1691="","",YEAR($B1691))</f>
        <v/>
      </c>
    </row>
    <row r="1692">
      <c r="B1692" s="105" t="n"/>
      <c r="C1692" s="54" t="n"/>
      <c r="D1692" s="54" t="n"/>
      <c r="E1692" s="54" t="n"/>
      <c r="F1692" s="54" t="n"/>
      <c r="G1692" s="65" t="n"/>
      <c r="H1692" s="54" t="n"/>
      <c r="I1692" s="106">
        <f>IF($C1692="","",IFERROR(INDEX(Sens_Types,MATCH($C1692,Liste_Types,0)),""))</f>
        <v/>
      </c>
      <c r="J1692" s="107">
        <f>IF($I1692="▲ ENTRÉE",$U1692,"")</f>
        <v/>
      </c>
      <c r="K1692" s="108">
        <f>IF($I1692="▼ SORTIE",$U1692,"")</f>
        <v/>
      </c>
      <c r="L1692" s="109">
        <f>$L1691+N($J1692)-N($K1692)</f>
        <v/>
      </c>
      <c r="M1692" s="110" t="n"/>
      <c r="N1692" s="54" t="n"/>
      <c r="O1692" s="54" t="n"/>
      <c r="P1692" s="54" t="n"/>
      <c r="Q1692" s="110" t="n"/>
      <c r="R1692" s="110" t="n"/>
      <c r="S1692" s="54" t="n"/>
      <c r="T1692" s="111">
        <f>IF($G1692="","",IFERROR(INDEX(Taux_Devises,MATCH(IF($M1692="",Devise_Base,$M1692),Codes_Devises,0)),1))</f>
        <v/>
      </c>
      <c r="U1692" s="112">
        <f>IF($G1692="","",ROUND($G1692*$T1692,2))</f>
        <v/>
      </c>
      <c r="V1692" s="113">
        <f>IF($B1692="","",MONTH($B1692))</f>
        <v/>
      </c>
      <c r="W1692" s="113">
        <f>IF($B1692="","",YEAR($B1692))</f>
        <v/>
      </c>
    </row>
    <row r="1693">
      <c r="B1693" s="105" t="n"/>
      <c r="C1693" s="54" t="n"/>
      <c r="D1693" s="54" t="n"/>
      <c r="E1693" s="54" t="n"/>
      <c r="F1693" s="54" t="n"/>
      <c r="G1693" s="65" t="n"/>
      <c r="H1693" s="54" t="n"/>
      <c r="I1693" s="106">
        <f>IF($C1693="","",IFERROR(INDEX(Sens_Types,MATCH($C1693,Liste_Types,0)),""))</f>
        <v/>
      </c>
      <c r="J1693" s="107">
        <f>IF($I1693="▲ ENTRÉE",$U1693,"")</f>
        <v/>
      </c>
      <c r="K1693" s="108">
        <f>IF($I1693="▼ SORTIE",$U1693,"")</f>
        <v/>
      </c>
      <c r="L1693" s="109">
        <f>$L1692+N($J1693)-N($K1693)</f>
        <v/>
      </c>
      <c r="M1693" s="110" t="n"/>
      <c r="N1693" s="54" t="n"/>
      <c r="O1693" s="54" t="n"/>
      <c r="P1693" s="54" t="n"/>
      <c r="Q1693" s="110" t="n"/>
      <c r="R1693" s="110" t="n"/>
      <c r="S1693" s="54" t="n"/>
      <c r="T1693" s="111">
        <f>IF($G1693="","",IFERROR(INDEX(Taux_Devises,MATCH(IF($M1693="",Devise_Base,$M1693),Codes_Devises,0)),1))</f>
        <v/>
      </c>
      <c r="U1693" s="112">
        <f>IF($G1693="","",ROUND($G1693*$T1693,2))</f>
        <v/>
      </c>
      <c r="V1693" s="113">
        <f>IF($B1693="","",MONTH($B1693))</f>
        <v/>
      </c>
      <c r="W1693" s="113">
        <f>IF($B1693="","",YEAR($B1693))</f>
        <v/>
      </c>
    </row>
    <row r="1694">
      <c r="B1694" s="105" t="n"/>
      <c r="C1694" s="54" t="n"/>
      <c r="D1694" s="54" t="n"/>
      <c r="E1694" s="54" t="n"/>
      <c r="F1694" s="54" t="n"/>
      <c r="G1694" s="65" t="n"/>
      <c r="H1694" s="54" t="n"/>
      <c r="I1694" s="106">
        <f>IF($C1694="","",IFERROR(INDEX(Sens_Types,MATCH($C1694,Liste_Types,0)),""))</f>
        <v/>
      </c>
      <c r="J1694" s="107">
        <f>IF($I1694="▲ ENTRÉE",$U1694,"")</f>
        <v/>
      </c>
      <c r="K1694" s="108">
        <f>IF($I1694="▼ SORTIE",$U1694,"")</f>
        <v/>
      </c>
      <c r="L1694" s="109">
        <f>$L1693+N($J1694)-N($K1694)</f>
        <v/>
      </c>
      <c r="M1694" s="110" t="n"/>
      <c r="N1694" s="54" t="n"/>
      <c r="O1694" s="54" t="n"/>
      <c r="P1694" s="54" t="n"/>
      <c r="Q1694" s="110" t="n"/>
      <c r="R1694" s="110" t="n"/>
      <c r="S1694" s="54" t="n"/>
      <c r="T1694" s="111">
        <f>IF($G1694="","",IFERROR(INDEX(Taux_Devises,MATCH(IF($M1694="",Devise_Base,$M1694),Codes_Devises,0)),1))</f>
        <v/>
      </c>
      <c r="U1694" s="112">
        <f>IF($G1694="","",ROUND($G1694*$T1694,2))</f>
        <v/>
      </c>
      <c r="V1694" s="113">
        <f>IF($B1694="","",MONTH($B1694))</f>
        <v/>
      </c>
      <c r="W1694" s="113">
        <f>IF($B1694="","",YEAR($B1694))</f>
        <v/>
      </c>
    </row>
    <row r="1695">
      <c r="B1695" s="105" t="n"/>
      <c r="C1695" s="54" t="n"/>
      <c r="D1695" s="54" t="n"/>
      <c r="E1695" s="54" t="n"/>
      <c r="F1695" s="54" t="n"/>
      <c r="G1695" s="65" t="n"/>
      <c r="H1695" s="54" t="n"/>
      <c r="I1695" s="106">
        <f>IF($C1695="","",IFERROR(INDEX(Sens_Types,MATCH($C1695,Liste_Types,0)),""))</f>
        <v/>
      </c>
      <c r="J1695" s="107">
        <f>IF($I1695="▲ ENTRÉE",$U1695,"")</f>
        <v/>
      </c>
      <c r="K1695" s="108">
        <f>IF($I1695="▼ SORTIE",$U1695,"")</f>
        <v/>
      </c>
      <c r="L1695" s="109">
        <f>$L1694+N($J1695)-N($K1695)</f>
        <v/>
      </c>
      <c r="M1695" s="110" t="n"/>
      <c r="N1695" s="54" t="n"/>
      <c r="O1695" s="54" t="n"/>
      <c r="P1695" s="54" t="n"/>
      <c r="Q1695" s="110" t="n"/>
      <c r="R1695" s="110" t="n"/>
      <c r="S1695" s="54" t="n"/>
      <c r="T1695" s="111">
        <f>IF($G1695="","",IFERROR(INDEX(Taux_Devises,MATCH(IF($M1695="",Devise_Base,$M1695),Codes_Devises,0)),1))</f>
        <v/>
      </c>
      <c r="U1695" s="112">
        <f>IF($G1695="","",ROUND($G1695*$T1695,2))</f>
        <v/>
      </c>
      <c r="V1695" s="113">
        <f>IF($B1695="","",MONTH($B1695))</f>
        <v/>
      </c>
      <c r="W1695" s="113">
        <f>IF($B1695="","",YEAR($B1695))</f>
        <v/>
      </c>
    </row>
    <row r="1696">
      <c r="B1696" s="105" t="n"/>
      <c r="C1696" s="54" t="n"/>
      <c r="D1696" s="54" t="n"/>
      <c r="E1696" s="54" t="n"/>
      <c r="F1696" s="54" t="n"/>
      <c r="G1696" s="65" t="n"/>
      <c r="H1696" s="54" t="n"/>
      <c r="I1696" s="106">
        <f>IF($C1696="","",IFERROR(INDEX(Sens_Types,MATCH($C1696,Liste_Types,0)),""))</f>
        <v/>
      </c>
      <c r="J1696" s="107">
        <f>IF($I1696="▲ ENTRÉE",$U1696,"")</f>
        <v/>
      </c>
      <c r="K1696" s="108">
        <f>IF($I1696="▼ SORTIE",$U1696,"")</f>
        <v/>
      </c>
      <c r="L1696" s="109">
        <f>$L1695+N($J1696)-N($K1696)</f>
        <v/>
      </c>
      <c r="M1696" s="110" t="n"/>
      <c r="N1696" s="54" t="n"/>
      <c r="O1696" s="54" t="n"/>
      <c r="P1696" s="54" t="n"/>
      <c r="Q1696" s="110" t="n"/>
      <c r="R1696" s="110" t="n"/>
      <c r="S1696" s="54" t="n"/>
      <c r="T1696" s="111">
        <f>IF($G1696="","",IFERROR(INDEX(Taux_Devises,MATCH(IF($M1696="",Devise_Base,$M1696),Codes_Devises,0)),1))</f>
        <v/>
      </c>
      <c r="U1696" s="112">
        <f>IF($G1696="","",ROUND($G1696*$T1696,2))</f>
        <v/>
      </c>
      <c r="V1696" s="113">
        <f>IF($B1696="","",MONTH($B1696))</f>
        <v/>
      </c>
      <c r="W1696" s="113">
        <f>IF($B1696="","",YEAR($B1696))</f>
        <v/>
      </c>
    </row>
    <row r="1697">
      <c r="B1697" s="105" t="n"/>
      <c r="C1697" s="54" t="n"/>
      <c r="D1697" s="54" t="n"/>
      <c r="E1697" s="54" t="n"/>
      <c r="F1697" s="54" t="n"/>
      <c r="G1697" s="65" t="n"/>
      <c r="H1697" s="54" t="n"/>
      <c r="I1697" s="106">
        <f>IF($C1697="","",IFERROR(INDEX(Sens_Types,MATCH($C1697,Liste_Types,0)),""))</f>
        <v/>
      </c>
      <c r="J1697" s="107">
        <f>IF($I1697="▲ ENTRÉE",$U1697,"")</f>
        <v/>
      </c>
      <c r="K1697" s="108">
        <f>IF($I1697="▼ SORTIE",$U1697,"")</f>
        <v/>
      </c>
      <c r="L1697" s="109">
        <f>$L1696+N($J1697)-N($K1697)</f>
        <v/>
      </c>
      <c r="M1697" s="110" t="n"/>
      <c r="N1697" s="54" t="n"/>
      <c r="O1697" s="54" t="n"/>
      <c r="P1697" s="54" t="n"/>
      <c r="Q1697" s="110" t="n"/>
      <c r="R1697" s="110" t="n"/>
      <c r="S1697" s="54" t="n"/>
      <c r="T1697" s="111">
        <f>IF($G1697="","",IFERROR(INDEX(Taux_Devises,MATCH(IF($M1697="",Devise_Base,$M1697),Codes_Devises,0)),1))</f>
        <v/>
      </c>
      <c r="U1697" s="112">
        <f>IF($G1697="","",ROUND($G1697*$T1697,2))</f>
        <v/>
      </c>
      <c r="V1697" s="113">
        <f>IF($B1697="","",MONTH($B1697))</f>
        <v/>
      </c>
      <c r="W1697" s="113">
        <f>IF($B1697="","",YEAR($B1697))</f>
        <v/>
      </c>
    </row>
    <row r="1698">
      <c r="B1698" s="105" t="n"/>
      <c r="C1698" s="54" t="n"/>
      <c r="D1698" s="54" t="n"/>
      <c r="E1698" s="54" t="n"/>
      <c r="F1698" s="54" t="n"/>
      <c r="G1698" s="65" t="n"/>
      <c r="H1698" s="54" t="n"/>
      <c r="I1698" s="106">
        <f>IF($C1698="","",IFERROR(INDEX(Sens_Types,MATCH($C1698,Liste_Types,0)),""))</f>
        <v/>
      </c>
      <c r="J1698" s="107">
        <f>IF($I1698="▲ ENTRÉE",$U1698,"")</f>
        <v/>
      </c>
      <c r="K1698" s="108">
        <f>IF($I1698="▼ SORTIE",$U1698,"")</f>
        <v/>
      </c>
      <c r="L1698" s="109">
        <f>$L1697+N($J1698)-N($K1698)</f>
        <v/>
      </c>
      <c r="M1698" s="110" t="n"/>
      <c r="N1698" s="54" t="n"/>
      <c r="O1698" s="54" t="n"/>
      <c r="P1698" s="54" t="n"/>
      <c r="Q1698" s="110" t="n"/>
      <c r="R1698" s="110" t="n"/>
      <c r="S1698" s="54" t="n"/>
      <c r="T1698" s="111">
        <f>IF($G1698="","",IFERROR(INDEX(Taux_Devises,MATCH(IF($M1698="",Devise_Base,$M1698),Codes_Devises,0)),1))</f>
        <v/>
      </c>
      <c r="U1698" s="112">
        <f>IF($G1698="","",ROUND($G1698*$T1698,2))</f>
        <v/>
      </c>
      <c r="V1698" s="113">
        <f>IF($B1698="","",MONTH($B1698))</f>
        <v/>
      </c>
      <c r="W1698" s="113">
        <f>IF($B1698="","",YEAR($B1698))</f>
        <v/>
      </c>
    </row>
    <row r="1699">
      <c r="B1699" s="105" t="n"/>
      <c r="C1699" s="54" t="n"/>
      <c r="D1699" s="54" t="n"/>
      <c r="E1699" s="54" t="n"/>
      <c r="F1699" s="54" t="n"/>
      <c r="G1699" s="65" t="n"/>
      <c r="H1699" s="54" t="n"/>
      <c r="I1699" s="106">
        <f>IF($C1699="","",IFERROR(INDEX(Sens_Types,MATCH($C1699,Liste_Types,0)),""))</f>
        <v/>
      </c>
      <c r="J1699" s="107">
        <f>IF($I1699="▲ ENTRÉE",$U1699,"")</f>
        <v/>
      </c>
      <c r="K1699" s="108">
        <f>IF($I1699="▼ SORTIE",$U1699,"")</f>
        <v/>
      </c>
      <c r="L1699" s="109">
        <f>$L1698+N($J1699)-N($K1699)</f>
        <v/>
      </c>
      <c r="M1699" s="110" t="n"/>
      <c r="N1699" s="54" t="n"/>
      <c r="O1699" s="54" t="n"/>
      <c r="P1699" s="54" t="n"/>
      <c r="Q1699" s="110" t="n"/>
      <c r="R1699" s="110" t="n"/>
      <c r="S1699" s="54" t="n"/>
      <c r="T1699" s="111">
        <f>IF($G1699="","",IFERROR(INDEX(Taux_Devises,MATCH(IF($M1699="",Devise_Base,$M1699),Codes_Devises,0)),1))</f>
        <v/>
      </c>
      <c r="U1699" s="112">
        <f>IF($G1699="","",ROUND($G1699*$T1699,2))</f>
        <v/>
      </c>
      <c r="V1699" s="113">
        <f>IF($B1699="","",MONTH($B1699))</f>
        <v/>
      </c>
      <c r="W1699" s="113">
        <f>IF($B1699="","",YEAR($B1699))</f>
        <v/>
      </c>
    </row>
    <row r="1700">
      <c r="B1700" s="105" t="n"/>
      <c r="C1700" s="54" t="n"/>
      <c r="D1700" s="54" t="n"/>
      <c r="E1700" s="54" t="n"/>
      <c r="F1700" s="54" t="n"/>
      <c r="G1700" s="65" t="n"/>
      <c r="H1700" s="54" t="n"/>
      <c r="I1700" s="106">
        <f>IF($C1700="","",IFERROR(INDEX(Sens_Types,MATCH($C1700,Liste_Types,0)),""))</f>
        <v/>
      </c>
      <c r="J1700" s="107">
        <f>IF($I1700="▲ ENTRÉE",$U1700,"")</f>
        <v/>
      </c>
      <c r="K1700" s="108">
        <f>IF($I1700="▼ SORTIE",$U1700,"")</f>
        <v/>
      </c>
      <c r="L1700" s="109">
        <f>$L1699+N($J1700)-N($K1700)</f>
        <v/>
      </c>
      <c r="M1700" s="110" t="n"/>
      <c r="N1700" s="54" t="n"/>
      <c r="O1700" s="54" t="n"/>
      <c r="P1700" s="54" t="n"/>
      <c r="Q1700" s="110" t="n"/>
      <c r="R1700" s="110" t="n"/>
      <c r="S1700" s="54" t="n"/>
      <c r="T1700" s="111">
        <f>IF($G1700="","",IFERROR(INDEX(Taux_Devises,MATCH(IF($M1700="",Devise_Base,$M1700),Codes_Devises,0)),1))</f>
        <v/>
      </c>
      <c r="U1700" s="112">
        <f>IF($G1700="","",ROUND($G1700*$T1700,2))</f>
        <v/>
      </c>
      <c r="V1700" s="113">
        <f>IF($B1700="","",MONTH($B1700))</f>
        <v/>
      </c>
      <c r="W1700" s="113">
        <f>IF($B1700="","",YEAR($B1700))</f>
        <v/>
      </c>
    </row>
    <row r="1701">
      <c r="B1701" s="105" t="n"/>
      <c r="C1701" s="54" t="n"/>
      <c r="D1701" s="54" t="n"/>
      <c r="E1701" s="54" t="n"/>
      <c r="F1701" s="54" t="n"/>
      <c r="G1701" s="65" t="n"/>
      <c r="H1701" s="54" t="n"/>
      <c r="I1701" s="106">
        <f>IF($C1701="","",IFERROR(INDEX(Sens_Types,MATCH($C1701,Liste_Types,0)),""))</f>
        <v/>
      </c>
      <c r="J1701" s="107">
        <f>IF($I1701="▲ ENTRÉE",$U1701,"")</f>
        <v/>
      </c>
      <c r="K1701" s="108">
        <f>IF($I1701="▼ SORTIE",$U1701,"")</f>
        <v/>
      </c>
      <c r="L1701" s="109">
        <f>$L1700+N($J1701)-N($K1701)</f>
        <v/>
      </c>
      <c r="M1701" s="110" t="n"/>
      <c r="N1701" s="54" t="n"/>
      <c r="O1701" s="54" t="n"/>
      <c r="P1701" s="54" t="n"/>
      <c r="Q1701" s="110" t="n"/>
      <c r="R1701" s="110" t="n"/>
      <c r="S1701" s="54" t="n"/>
      <c r="T1701" s="111">
        <f>IF($G1701="","",IFERROR(INDEX(Taux_Devises,MATCH(IF($M1701="",Devise_Base,$M1701),Codes_Devises,0)),1))</f>
        <v/>
      </c>
      <c r="U1701" s="112">
        <f>IF($G1701="","",ROUND($G1701*$T1701,2))</f>
        <v/>
      </c>
      <c r="V1701" s="113">
        <f>IF($B1701="","",MONTH($B1701))</f>
        <v/>
      </c>
      <c r="W1701" s="113">
        <f>IF($B1701="","",YEAR($B1701))</f>
        <v/>
      </c>
    </row>
    <row r="1702">
      <c r="B1702" s="105" t="n"/>
      <c r="C1702" s="54" t="n"/>
      <c r="D1702" s="54" t="n"/>
      <c r="E1702" s="54" t="n"/>
      <c r="F1702" s="54" t="n"/>
      <c r="G1702" s="65" t="n"/>
      <c r="H1702" s="54" t="n"/>
      <c r="I1702" s="106">
        <f>IF($C1702="","",IFERROR(INDEX(Sens_Types,MATCH($C1702,Liste_Types,0)),""))</f>
        <v/>
      </c>
      <c r="J1702" s="107">
        <f>IF($I1702="▲ ENTRÉE",$U1702,"")</f>
        <v/>
      </c>
      <c r="K1702" s="108">
        <f>IF($I1702="▼ SORTIE",$U1702,"")</f>
        <v/>
      </c>
      <c r="L1702" s="109">
        <f>$L1701+N($J1702)-N($K1702)</f>
        <v/>
      </c>
      <c r="M1702" s="110" t="n"/>
      <c r="N1702" s="54" t="n"/>
      <c r="O1702" s="54" t="n"/>
      <c r="P1702" s="54" t="n"/>
      <c r="Q1702" s="110" t="n"/>
      <c r="R1702" s="110" t="n"/>
      <c r="S1702" s="54" t="n"/>
      <c r="T1702" s="111">
        <f>IF($G1702="","",IFERROR(INDEX(Taux_Devises,MATCH(IF($M1702="",Devise_Base,$M1702),Codes_Devises,0)),1))</f>
        <v/>
      </c>
      <c r="U1702" s="112">
        <f>IF($G1702="","",ROUND($G1702*$T1702,2))</f>
        <v/>
      </c>
      <c r="V1702" s="113">
        <f>IF($B1702="","",MONTH($B1702))</f>
        <v/>
      </c>
      <c r="W1702" s="113">
        <f>IF($B1702="","",YEAR($B1702))</f>
        <v/>
      </c>
    </row>
    <row r="1703">
      <c r="B1703" s="105" t="n"/>
      <c r="C1703" s="54" t="n"/>
      <c r="D1703" s="54" t="n"/>
      <c r="E1703" s="54" t="n"/>
      <c r="F1703" s="54" t="n"/>
      <c r="G1703" s="65" t="n"/>
      <c r="H1703" s="54" t="n"/>
      <c r="I1703" s="106">
        <f>IF($C1703="","",IFERROR(INDEX(Sens_Types,MATCH($C1703,Liste_Types,0)),""))</f>
        <v/>
      </c>
      <c r="J1703" s="107">
        <f>IF($I1703="▲ ENTRÉE",$U1703,"")</f>
        <v/>
      </c>
      <c r="K1703" s="108">
        <f>IF($I1703="▼ SORTIE",$U1703,"")</f>
        <v/>
      </c>
      <c r="L1703" s="109">
        <f>$L1702+N($J1703)-N($K1703)</f>
        <v/>
      </c>
      <c r="M1703" s="110" t="n"/>
      <c r="N1703" s="54" t="n"/>
      <c r="O1703" s="54" t="n"/>
      <c r="P1703" s="54" t="n"/>
      <c r="Q1703" s="110" t="n"/>
      <c r="R1703" s="110" t="n"/>
      <c r="S1703" s="54" t="n"/>
      <c r="T1703" s="111">
        <f>IF($G1703="","",IFERROR(INDEX(Taux_Devises,MATCH(IF($M1703="",Devise_Base,$M1703),Codes_Devises,0)),1))</f>
        <v/>
      </c>
      <c r="U1703" s="112">
        <f>IF($G1703="","",ROUND($G1703*$T1703,2))</f>
        <v/>
      </c>
      <c r="V1703" s="113">
        <f>IF($B1703="","",MONTH($B1703))</f>
        <v/>
      </c>
      <c r="W1703" s="113">
        <f>IF($B1703="","",YEAR($B1703))</f>
        <v/>
      </c>
    </row>
    <row r="1704">
      <c r="B1704" s="105" t="n"/>
      <c r="C1704" s="54" t="n"/>
      <c r="D1704" s="54" t="n"/>
      <c r="E1704" s="54" t="n"/>
      <c r="F1704" s="54" t="n"/>
      <c r="G1704" s="65" t="n"/>
      <c r="H1704" s="54" t="n"/>
      <c r="I1704" s="106">
        <f>IF($C1704="","",IFERROR(INDEX(Sens_Types,MATCH($C1704,Liste_Types,0)),""))</f>
        <v/>
      </c>
      <c r="J1704" s="107">
        <f>IF($I1704="▲ ENTRÉE",$U1704,"")</f>
        <v/>
      </c>
      <c r="K1704" s="108">
        <f>IF($I1704="▼ SORTIE",$U1704,"")</f>
        <v/>
      </c>
      <c r="L1704" s="109">
        <f>$L1703+N($J1704)-N($K1704)</f>
        <v/>
      </c>
      <c r="M1704" s="110" t="n"/>
      <c r="N1704" s="54" t="n"/>
      <c r="O1704" s="54" t="n"/>
      <c r="P1704" s="54" t="n"/>
      <c r="Q1704" s="110" t="n"/>
      <c r="R1704" s="110" t="n"/>
      <c r="S1704" s="54" t="n"/>
      <c r="T1704" s="111">
        <f>IF($G1704="","",IFERROR(INDEX(Taux_Devises,MATCH(IF($M1704="",Devise_Base,$M1704),Codes_Devises,0)),1))</f>
        <v/>
      </c>
      <c r="U1704" s="112">
        <f>IF($G1704="","",ROUND($G1704*$T1704,2))</f>
        <v/>
      </c>
      <c r="V1704" s="113">
        <f>IF($B1704="","",MONTH($B1704))</f>
        <v/>
      </c>
      <c r="W1704" s="113">
        <f>IF($B1704="","",YEAR($B1704))</f>
        <v/>
      </c>
    </row>
    <row r="1705">
      <c r="B1705" s="105" t="n"/>
      <c r="C1705" s="54" t="n"/>
      <c r="D1705" s="54" t="n"/>
      <c r="E1705" s="54" t="n"/>
      <c r="F1705" s="54" t="n"/>
      <c r="G1705" s="65" t="n"/>
      <c r="H1705" s="54" t="n"/>
      <c r="I1705" s="106">
        <f>IF($C1705="","",IFERROR(INDEX(Sens_Types,MATCH($C1705,Liste_Types,0)),""))</f>
        <v/>
      </c>
      <c r="J1705" s="107">
        <f>IF($I1705="▲ ENTRÉE",$U1705,"")</f>
        <v/>
      </c>
      <c r="K1705" s="108">
        <f>IF($I1705="▼ SORTIE",$U1705,"")</f>
        <v/>
      </c>
      <c r="L1705" s="109">
        <f>$L1704+N($J1705)-N($K1705)</f>
        <v/>
      </c>
      <c r="M1705" s="110" t="n"/>
      <c r="N1705" s="54" t="n"/>
      <c r="O1705" s="54" t="n"/>
      <c r="P1705" s="54" t="n"/>
      <c r="Q1705" s="110" t="n"/>
      <c r="R1705" s="110" t="n"/>
      <c r="S1705" s="54" t="n"/>
      <c r="T1705" s="111">
        <f>IF($G1705="","",IFERROR(INDEX(Taux_Devises,MATCH(IF($M1705="",Devise_Base,$M1705),Codes_Devises,0)),1))</f>
        <v/>
      </c>
      <c r="U1705" s="112">
        <f>IF($G1705="","",ROUND($G1705*$T1705,2))</f>
        <v/>
      </c>
      <c r="V1705" s="113">
        <f>IF($B1705="","",MONTH($B1705))</f>
        <v/>
      </c>
      <c r="W1705" s="113">
        <f>IF($B1705="","",YEAR($B1705))</f>
        <v/>
      </c>
    </row>
    <row r="1706">
      <c r="B1706" s="105" t="n"/>
      <c r="C1706" s="54" t="n"/>
      <c r="D1706" s="54" t="n"/>
      <c r="E1706" s="54" t="n"/>
      <c r="F1706" s="54" t="n"/>
      <c r="G1706" s="65" t="n"/>
      <c r="H1706" s="54" t="n"/>
      <c r="I1706" s="106">
        <f>IF($C1706="","",IFERROR(INDEX(Sens_Types,MATCH($C1706,Liste_Types,0)),""))</f>
        <v/>
      </c>
      <c r="J1706" s="107">
        <f>IF($I1706="▲ ENTRÉE",$U1706,"")</f>
        <v/>
      </c>
      <c r="K1706" s="108">
        <f>IF($I1706="▼ SORTIE",$U1706,"")</f>
        <v/>
      </c>
      <c r="L1706" s="109">
        <f>$L1705+N($J1706)-N($K1706)</f>
        <v/>
      </c>
      <c r="M1706" s="110" t="n"/>
      <c r="N1706" s="54" t="n"/>
      <c r="O1706" s="54" t="n"/>
      <c r="P1706" s="54" t="n"/>
      <c r="Q1706" s="110" t="n"/>
      <c r="R1706" s="110" t="n"/>
      <c r="S1706" s="54" t="n"/>
      <c r="T1706" s="111">
        <f>IF($G1706="","",IFERROR(INDEX(Taux_Devises,MATCH(IF($M1706="",Devise_Base,$M1706),Codes_Devises,0)),1))</f>
        <v/>
      </c>
      <c r="U1706" s="112">
        <f>IF($G1706="","",ROUND($G1706*$T1706,2))</f>
        <v/>
      </c>
      <c r="V1706" s="113">
        <f>IF($B1706="","",MONTH($B1706))</f>
        <v/>
      </c>
      <c r="W1706" s="113">
        <f>IF($B1706="","",YEAR($B1706))</f>
        <v/>
      </c>
    </row>
    <row r="1707">
      <c r="B1707" s="105" t="n"/>
      <c r="C1707" s="54" t="n"/>
      <c r="D1707" s="54" t="n"/>
      <c r="E1707" s="54" t="n"/>
      <c r="F1707" s="54" t="n"/>
      <c r="G1707" s="65" t="n"/>
      <c r="H1707" s="54" t="n"/>
      <c r="I1707" s="106">
        <f>IF($C1707="","",IFERROR(INDEX(Sens_Types,MATCH($C1707,Liste_Types,0)),""))</f>
        <v/>
      </c>
      <c r="J1707" s="107">
        <f>IF($I1707="▲ ENTRÉE",$U1707,"")</f>
        <v/>
      </c>
      <c r="K1707" s="108">
        <f>IF($I1707="▼ SORTIE",$U1707,"")</f>
        <v/>
      </c>
      <c r="L1707" s="109">
        <f>$L1706+N($J1707)-N($K1707)</f>
        <v/>
      </c>
      <c r="M1707" s="110" t="n"/>
      <c r="N1707" s="54" t="n"/>
      <c r="O1707" s="54" t="n"/>
      <c r="P1707" s="54" t="n"/>
      <c r="Q1707" s="110" t="n"/>
      <c r="R1707" s="110" t="n"/>
      <c r="S1707" s="54" t="n"/>
      <c r="T1707" s="111">
        <f>IF($G1707="","",IFERROR(INDEX(Taux_Devises,MATCH(IF($M1707="",Devise_Base,$M1707),Codes_Devises,0)),1))</f>
        <v/>
      </c>
      <c r="U1707" s="112">
        <f>IF($G1707="","",ROUND($G1707*$T1707,2))</f>
        <v/>
      </c>
      <c r="V1707" s="113">
        <f>IF($B1707="","",MONTH($B1707))</f>
        <v/>
      </c>
      <c r="W1707" s="113">
        <f>IF($B1707="","",YEAR($B1707))</f>
        <v/>
      </c>
    </row>
    <row r="1708">
      <c r="B1708" s="105" t="n"/>
      <c r="C1708" s="54" t="n"/>
      <c r="D1708" s="54" t="n"/>
      <c r="E1708" s="54" t="n"/>
      <c r="F1708" s="54" t="n"/>
      <c r="G1708" s="65" t="n"/>
      <c r="H1708" s="54" t="n"/>
      <c r="I1708" s="106">
        <f>IF($C1708="","",IFERROR(INDEX(Sens_Types,MATCH($C1708,Liste_Types,0)),""))</f>
        <v/>
      </c>
      <c r="J1708" s="107">
        <f>IF($I1708="▲ ENTRÉE",$U1708,"")</f>
        <v/>
      </c>
      <c r="K1708" s="108">
        <f>IF($I1708="▼ SORTIE",$U1708,"")</f>
        <v/>
      </c>
      <c r="L1708" s="109">
        <f>$L1707+N($J1708)-N($K1708)</f>
        <v/>
      </c>
      <c r="M1708" s="110" t="n"/>
      <c r="N1708" s="54" t="n"/>
      <c r="O1708" s="54" t="n"/>
      <c r="P1708" s="54" t="n"/>
      <c r="Q1708" s="110" t="n"/>
      <c r="R1708" s="110" t="n"/>
      <c r="S1708" s="54" t="n"/>
      <c r="T1708" s="111">
        <f>IF($G1708="","",IFERROR(INDEX(Taux_Devises,MATCH(IF($M1708="",Devise_Base,$M1708),Codes_Devises,0)),1))</f>
        <v/>
      </c>
      <c r="U1708" s="112">
        <f>IF($G1708="","",ROUND($G1708*$T1708,2))</f>
        <v/>
      </c>
      <c r="V1708" s="113">
        <f>IF($B1708="","",MONTH($B1708))</f>
        <v/>
      </c>
      <c r="W1708" s="113">
        <f>IF($B1708="","",YEAR($B1708))</f>
        <v/>
      </c>
    </row>
    <row r="1709">
      <c r="B1709" s="105" t="n"/>
      <c r="C1709" s="54" t="n"/>
      <c r="D1709" s="54" t="n"/>
      <c r="E1709" s="54" t="n"/>
      <c r="F1709" s="54" t="n"/>
      <c r="G1709" s="65" t="n"/>
      <c r="H1709" s="54" t="n"/>
      <c r="I1709" s="106">
        <f>IF($C1709="","",IFERROR(INDEX(Sens_Types,MATCH($C1709,Liste_Types,0)),""))</f>
        <v/>
      </c>
      <c r="J1709" s="107">
        <f>IF($I1709="▲ ENTRÉE",$U1709,"")</f>
        <v/>
      </c>
      <c r="K1709" s="108">
        <f>IF($I1709="▼ SORTIE",$U1709,"")</f>
        <v/>
      </c>
      <c r="L1709" s="109">
        <f>$L1708+N($J1709)-N($K1709)</f>
        <v/>
      </c>
      <c r="M1709" s="110" t="n"/>
      <c r="N1709" s="54" t="n"/>
      <c r="O1709" s="54" t="n"/>
      <c r="P1709" s="54" t="n"/>
      <c r="Q1709" s="110" t="n"/>
      <c r="R1709" s="110" t="n"/>
      <c r="S1709" s="54" t="n"/>
      <c r="T1709" s="111">
        <f>IF($G1709="","",IFERROR(INDEX(Taux_Devises,MATCH(IF($M1709="",Devise_Base,$M1709),Codes_Devises,0)),1))</f>
        <v/>
      </c>
      <c r="U1709" s="112">
        <f>IF($G1709="","",ROUND($G1709*$T1709,2))</f>
        <v/>
      </c>
      <c r="V1709" s="113">
        <f>IF($B1709="","",MONTH($B1709))</f>
        <v/>
      </c>
      <c r="W1709" s="113">
        <f>IF($B1709="","",YEAR($B1709))</f>
        <v/>
      </c>
    </row>
    <row r="1710">
      <c r="B1710" s="105" t="n"/>
      <c r="C1710" s="54" t="n"/>
      <c r="D1710" s="54" t="n"/>
      <c r="E1710" s="54" t="n"/>
      <c r="F1710" s="54" t="n"/>
      <c r="G1710" s="65" t="n"/>
      <c r="H1710" s="54" t="n"/>
      <c r="I1710" s="106">
        <f>IF($C1710="","",IFERROR(INDEX(Sens_Types,MATCH($C1710,Liste_Types,0)),""))</f>
        <v/>
      </c>
      <c r="J1710" s="107">
        <f>IF($I1710="▲ ENTRÉE",$U1710,"")</f>
        <v/>
      </c>
      <c r="K1710" s="108">
        <f>IF($I1710="▼ SORTIE",$U1710,"")</f>
        <v/>
      </c>
      <c r="L1710" s="109">
        <f>$L1709+N($J1710)-N($K1710)</f>
        <v/>
      </c>
      <c r="M1710" s="110" t="n"/>
      <c r="N1710" s="54" t="n"/>
      <c r="O1710" s="54" t="n"/>
      <c r="P1710" s="54" t="n"/>
      <c r="Q1710" s="110" t="n"/>
      <c r="R1710" s="110" t="n"/>
      <c r="S1710" s="54" t="n"/>
      <c r="T1710" s="111">
        <f>IF($G1710="","",IFERROR(INDEX(Taux_Devises,MATCH(IF($M1710="",Devise_Base,$M1710),Codes_Devises,0)),1))</f>
        <v/>
      </c>
      <c r="U1710" s="112">
        <f>IF($G1710="","",ROUND($G1710*$T1710,2))</f>
        <v/>
      </c>
      <c r="V1710" s="113">
        <f>IF($B1710="","",MONTH($B1710))</f>
        <v/>
      </c>
      <c r="W1710" s="113">
        <f>IF($B1710="","",YEAR($B1710))</f>
        <v/>
      </c>
    </row>
    <row r="1711">
      <c r="B1711" s="105" t="n"/>
      <c r="C1711" s="54" t="n"/>
      <c r="D1711" s="54" t="n"/>
      <c r="E1711" s="54" t="n"/>
      <c r="F1711" s="54" t="n"/>
      <c r="G1711" s="65" t="n"/>
      <c r="H1711" s="54" t="n"/>
      <c r="I1711" s="106">
        <f>IF($C1711="","",IFERROR(INDEX(Sens_Types,MATCH($C1711,Liste_Types,0)),""))</f>
        <v/>
      </c>
      <c r="J1711" s="107">
        <f>IF($I1711="▲ ENTRÉE",$U1711,"")</f>
        <v/>
      </c>
      <c r="K1711" s="108">
        <f>IF($I1711="▼ SORTIE",$U1711,"")</f>
        <v/>
      </c>
      <c r="L1711" s="109">
        <f>$L1710+N($J1711)-N($K1711)</f>
        <v/>
      </c>
      <c r="M1711" s="110" t="n"/>
      <c r="N1711" s="54" t="n"/>
      <c r="O1711" s="54" t="n"/>
      <c r="P1711" s="54" t="n"/>
      <c r="Q1711" s="110" t="n"/>
      <c r="R1711" s="110" t="n"/>
      <c r="S1711" s="54" t="n"/>
      <c r="T1711" s="111">
        <f>IF($G1711="","",IFERROR(INDEX(Taux_Devises,MATCH(IF($M1711="",Devise_Base,$M1711),Codes_Devises,0)),1))</f>
        <v/>
      </c>
      <c r="U1711" s="112">
        <f>IF($G1711="","",ROUND($G1711*$T1711,2))</f>
        <v/>
      </c>
      <c r="V1711" s="113">
        <f>IF($B1711="","",MONTH($B1711))</f>
        <v/>
      </c>
      <c r="W1711" s="113">
        <f>IF($B1711="","",YEAR($B1711))</f>
        <v/>
      </c>
    </row>
    <row r="1712">
      <c r="B1712" s="105" t="n"/>
      <c r="C1712" s="54" t="n"/>
      <c r="D1712" s="54" t="n"/>
      <c r="E1712" s="54" t="n"/>
      <c r="F1712" s="54" t="n"/>
      <c r="G1712" s="65" t="n"/>
      <c r="H1712" s="54" t="n"/>
      <c r="I1712" s="106">
        <f>IF($C1712="","",IFERROR(INDEX(Sens_Types,MATCH($C1712,Liste_Types,0)),""))</f>
        <v/>
      </c>
      <c r="J1712" s="107">
        <f>IF($I1712="▲ ENTRÉE",$U1712,"")</f>
        <v/>
      </c>
      <c r="K1712" s="108">
        <f>IF($I1712="▼ SORTIE",$U1712,"")</f>
        <v/>
      </c>
      <c r="L1712" s="109">
        <f>$L1711+N($J1712)-N($K1712)</f>
        <v/>
      </c>
      <c r="M1712" s="110" t="n"/>
      <c r="N1712" s="54" t="n"/>
      <c r="O1712" s="54" t="n"/>
      <c r="P1712" s="54" t="n"/>
      <c r="Q1712" s="110" t="n"/>
      <c r="R1712" s="110" t="n"/>
      <c r="S1712" s="54" t="n"/>
      <c r="T1712" s="111">
        <f>IF($G1712="","",IFERROR(INDEX(Taux_Devises,MATCH(IF($M1712="",Devise_Base,$M1712),Codes_Devises,0)),1))</f>
        <v/>
      </c>
      <c r="U1712" s="112">
        <f>IF($G1712="","",ROUND($G1712*$T1712,2))</f>
        <v/>
      </c>
      <c r="V1712" s="113">
        <f>IF($B1712="","",MONTH($B1712))</f>
        <v/>
      </c>
      <c r="W1712" s="113">
        <f>IF($B1712="","",YEAR($B1712))</f>
        <v/>
      </c>
    </row>
    <row r="1713">
      <c r="B1713" s="105" t="n"/>
      <c r="C1713" s="54" t="n"/>
      <c r="D1713" s="54" t="n"/>
      <c r="E1713" s="54" t="n"/>
      <c r="F1713" s="54" t="n"/>
      <c r="G1713" s="65" t="n"/>
      <c r="H1713" s="54" t="n"/>
      <c r="I1713" s="106">
        <f>IF($C1713="","",IFERROR(INDEX(Sens_Types,MATCH($C1713,Liste_Types,0)),""))</f>
        <v/>
      </c>
      <c r="J1713" s="107">
        <f>IF($I1713="▲ ENTRÉE",$U1713,"")</f>
        <v/>
      </c>
      <c r="K1713" s="108">
        <f>IF($I1713="▼ SORTIE",$U1713,"")</f>
        <v/>
      </c>
      <c r="L1713" s="109">
        <f>$L1712+N($J1713)-N($K1713)</f>
        <v/>
      </c>
      <c r="M1713" s="110" t="n"/>
      <c r="N1713" s="54" t="n"/>
      <c r="O1713" s="54" t="n"/>
      <c r="P1713" s="54" t="n"/>
      <c r="Q1713" s="110" t="n"/>
      <c r="R1713" s="110" t="n"/>
      <c r="S1713" s="54" t="n"/>
      <c r="T1713" s="111">
        <f>IF($G1713="","",IFERROR(INDEX(Taux_Devises,MATCH(IF($M1713="",Devise_Base,$M1713),Codes_Devises,0)),1))</f>
        <v/>
      </c>
      <c r="U1713" s="112">
        <f>IF($G1713="","",ROUND($G1713*$T1713,2))</f>
        <v/>
      </c>
      <c r="V1713" s="113">
        <f>IF($B1713="","",MONTH($B1713))</f>
        <v/>
      </c>
      <c r="W1713" s="113">
        <f>IF($B1713="","",YEAR($B1713))</f>
        <v/>
      </c>
    </row>
    <row r="1714">
      <c r="B1714" s="105" t="n"/>
      <c r="C1714" s="54" t="n"/>
      <c r="D1714" s="54" t="n"/>
      <c r="E1714" s="54" t="n"/>
      <c r="F1714" s="54" t="n"/>
      <c r="G1714" s="65" t="n"/>
      <c r="H1714" s="54" t="n"/>
      <c r="I1714" s="106">
        <f>IF($C1714="","",IFERROR(INDEX(Sens_Types,MATCH($C1714,Liste_Types,0)),""))</f>
        <v/>
      </c>
      <c r="J1714" s="107">
        <f>IF($I1714="▲ ENTRÉE",$U1714,"")</f>
        <v/>
      </c>
      <c r="K1714" s="108">
        <f>IF($I1714="▼ SORTIE",$U1714,"")</f>
        <v/>
      </c>
      <c r="L1714" s="109">
        <f>$L1713+N($J1714)-N($K1714)</f>
        <v/>
      </c>
      <c r="M1714" s="110" t="n"/>
      <c r="N1714" s="54" t="n"/>
      <c r="O1714" s="54" t="n"/>
      <c r="P1714" s="54" t="n"/>
      <c r="Q1714" s="110" t="n"/>
      <c r="R1714" s="110" t="n"/>
      <c r="S1714" s="54" t="n"/>
      <c r="T1714" s="111">
        <f>IF($G1714="","",IFERROR(INDEX(Taux_Devises,MATCH(IF($M1714="",Devise_Base,$M1714),Codes_Devises,0)),1))</f>
        <v/>
      </c>
      <c r="U1714" s="112">
        <f>IF($G1714="","",ROUND($G1714*$T1714,2))</f>
        <v/>
      </c>
      <c r="V1714" s="113">
        <f>IF($B1714="","",MONTH($B1714))</f>
        <v/>
      </c>
      <c r="W1714" s="113">
        <f>IF($B1714="","",YEAR($B1714))</f>
        <v/>
      </c>
    </row>
    <row r="1715">
      <c r="B1715" s="105" t="n"/>
      <c r="C1715" s="54" t="n"/>
      <c r="D1715" s="54" t="n"/>
      <c r="E1715" s="54" t="n"/>
      <c r="F1715" s="54" t="n"/>
      <c r="G1715" s="65" t="n"/>
      <c r="H1715" s="54" t="n"/>
      <c r="I1715" s="106">
        <f>IF($C1715="","",IFERROR(INDEX(Sens_Types,MATCH($C1715,Liste_Types,0)),""))</f>
        <v/>
      </c>
      <c r="J1715" s="107">
        <f>IF($I1715="▲ ENTRÉE",$U1715,"")</f>
        <v/>
      </c>
      <c r="K1715" s="108">
        <f>IF($I1715="▼ SORTIE",$U1715,"")</f>
        <v/>
      </c>
      <c r="L1715" s="109">
        <f>$L1714+N($J1715)-N($K1715)</f>
        <v/>
      </c>
      <c r="M1715" s="110" t="n"/>
      <c r="N1715" s="54" t="n"/>
      <c r="O1715" s="54" t="n"/>
      <c r="P1715" s="54" t="n"/>
      <c r="Q1715" s="110" t="n"/>
      <c r="R1715" s="110" t="n"/>
      <c r="S1715" s="54" t="n"/>
      <c r="T1715" s="111">
        <f>IF($G1715="","",IFERROR(INDEX(Taux_Devises,MATCH(IF($M1715="",Devise_Base,$M1715),Codes_Devises,0)),1))</f>
        <v/>
      </c>
      <c r="U1715" s="112">
        <f>IF($G1715="","",ROUND($G1715*$T1715,2))</f>
        <v/>
      </c>
      <c r="V1715" s="113">
        <f>IF($B1715="","",MONTH($B1715))</f>
        <v/>
      </c>
      <c r="W1715" s="113">
        <f>IF($B1715="","",YEAR($B1715))</f>
        <v/>
      </c>
    </row>
    <row r="1716">
      <c r="B1716" s="105" t="n"/>
      <c r="C1716" s="54" t="n"/>
      <c r="D1716" s="54" t="n"/>
      <c r="E1716" s="54" t="n"/>
      <c r="F1716" s="54" t="n"/>
      <c r="G1716" s="65" t="n"/>
      <c r="H1716" s="54" t="n"/>
      <c r="I1716" s="106">
        <f>IF($C1716="","",IFERROR(INDEX(Sens_Types,MATCH($C1716,Liste_Types,0)),""))</f>
        <v/>
      </c>
      <c r="J1716" s="107">
        <f>IF($I1716="▲ ENTRÉE",$U1716,"")</f>
        <v/>
      </c>
      <c r="K1716" s="108">
        <f>IF($I1716="▼ SORTIE",$U1716,"")</f>
        <v/>
      </c>
      <c r="L1716" s="109">
        <f>$L1715+N($J1716)-N($K1716)</f>
        <v/>
      </c>
      <c r="M1716" s="110" t="n"/>
      <c r="N1716" s="54" t="n"/>
      <c r="O1716" s="54" t="n"/>
      <c r="P1716" s="54" t="n"/>
      <c r="Q1716" s="110" t="n"/>
      <c r="R1716" s="110" t="n"/>
      <c r="S1716" s="54" t="n"/>
      <c r="T1716" s="111">
        <f>IF($G1716="","",IFERROR(INDEX(Taux_Devises,MATCH(IF($M1716="",Devise_Base,$M1716),Codes_Devises,0)),1))</f>
        <v/>
      </c>
      <c r="U1716" s="112">
        <f>IF($G1716="","",ROUND($G1716*$T1716,2))</f>
        <v/>
      </c>
      <c r="V1716" s="113">
        <f>IF($B1716="","",MONTH($B1716))</f>
        <v/>
      </c>
      <c r="W1716" s="113">
        <f>IF($B1716="","",YEAR($B1716))</f>
        <v/>
      </c>
    </row>
    <row r="1717">
      <c r="B1717" s="105" t="n"/>
      <c r="C1717" s="54" t="n"/>
      <c r="D1717" s="54" t="n"/>
      <c r="E1717" s="54" t="n"/>
      <c r="F1717" s="54" t="n"/>
      <c r="G1717" s="65" t="n"/>
      <c r="H1717" s="54" t="n"/>
      <c r="I1717" s="106">
        <f>IF($C1717="","",IFERROR(INDEX(Sens_Types,MATCH($C1717,Liste_Types,0)),""))</f>
        <v/>
      </c>
      <c r="J1717" s="107">
        <f>IF($I1717="▲ ENTRÉE",$U1717,"")</f>
        <v/>
      </c>
      <c r="K1717" s="108">
        <f>IF($I1717="▼ SORTIE",$U1717,"")</f>
        <v/>
      </c>
      <c r="L1717" s="109">
        <f>$L1716+N($J1717)-N($K1717)</f>
        <v/>
      </c>
      <c r="M1717" s="110" t="n"/>
      <c r="N1717" s="54" t="n"/>
      <c r="O1717" s="54" t="n"/>
      <c r="P1717" s="54" t="n"/>
      <c r="Q1717" s="110" t="n"/>
      <c r="R1717" s="110" t="n"/>
      <c r="S1717" s="54" t="n"/>
      <c r="T1717" s="111">
        <f>IF($G1717="","",IFERROR(INDEX(Taux_Devises,MATCH(IF($M1717="",Devise_Base,$M1717),Codes_Devises,0)),1))</f>
        <v/>
      </c>
      <c r="U1717" s="112">
        <f>IF($G1717="","",ROUND($G1717*$T1717,2))</f>
        <v/>
      </c>
      <c r="V1717" s="113">
        <f>IF($B1717="","",MONTH($B1717))</f>
        <v/>
      </c>
      <c r="W1717" s="113">
        <f>IF($B1717="","",YEAR($B1717))</f>
        <v/>
      </c>
    </row>
    <row r="1718">
      <c r="B1718" s="105" t="n"/>
      <c r="C1718" s="54" t="n"/>
      <c r="D1718" s="54" t="n"/>
      <c r="E1718" s="54" t="n"/>
      <c r="F1718" s="54" t="n"/>
      <c r="G1718" s="65" t="n"/>
      <c r="H1718" s="54" t="n"/>
      <c r="I1718" s="106">
        <f>IF($C1718="","",IFERROR(INDEX(Sens_Types,MATCH($C1718,Liste_Types,0)),""))</f>
        <v/>
      </c>
      <c r="J1718" s="107">
        <f>IF($I1718="▲ ENTRÉE",$U1718,"")</f>
        <v/>
      </c>
      <c r="K1718" s="108">
        <f>IF($I1718="▼ SORTIE",$U1718,"")</f>
        <v/>
      </c>
      <c r="L1718" s="109">
        <f>$L1717+N($J1718)-N($K1718)</f>
        <v/>
      </c>
      <c r="M1718" s="110" t="n"/>
      <c r="N1718" s="54" t="n"/>
      <c r="O1718" s="54" t="n"/>
      <c r="P1718" s="54" t="n"/>
      <c r="Q1718" s="110" t="n"/>
      <c r="R1718" s="110" t="n"/>
      <c r="S1718" s="54" t="n"/>
      <c r="T1718" s="111">
        <f>IF($G1718="","",IFERROR(INDEX(Taux_Devises,MATCH(IF($M1718="",Devise_Base,$M1718),Codes_Devises,0)),1))</f>
        <v/>
      </c>
      <c r="U1718" s="112">
        <f>IF($G1718="","",ROUND($G1718*$T1718,2))</f>
        <v/>
      </c>
      <c r="V1718" s="113">
        <f>IF($B1718="","",MONTH($B1718))</f>
        <v/>
      </c>
      <c r="W1718" s="113">
        <f>IF($B1718="","",YEAR($B1718))</f>
        <v/>
      </c>
    </row>
    <row r="1719">
      <c r="B1719" s="105" t="n"/>
      <c r="C1719" s="54" t="n"/>
      <c r="D1719" s="54" t="n"/>
      <c r="E1719" s="54" t="n"/>
      <c r="F1719" s="54" t="n"/>
      <c r="G1719" s="65" t="n"/>
      <c r="H1719" s="54" t="n"/>
      <c r="I1719" s="106">
        <f>IF($C1719="","",IFERROR(INDEX(Sens_Types,MATCH($C1719,Liste_Types,0)),""))</f>
        <v/>
      </c>
      <c r="J1719" s="107">
        <f>IF($I1719="▲ ENTRÉE",$U1719,"")</f>
        <v/>
      </c>
      <c r="K1719" s="108">
        <f>IF($I1719="▼ SORTIE",$U1719,"")</f>
        <v/>
      </c>
      <c r="L1719" s="109">
        <f>$L1718+N($J1719)-N($K1719)</f>
        <v/>
      </c>
      <c r="M1719" s="110" t="n"/>
      <c r="N1719" s="54" t="n"/>
      <c r="O1719" s="54" t="n"/>
      <c r="P1719" s="54" t="n"/>
      <c r="Q1719" s="110" t="n"/>
      <c r="R1719" s="110" t="n"/>
      <c r="S1719" s="54" t="n"/>
      <c r="T1719" s="111">
        <f>IF($G1719="","",IFERROR(INDEX(Taux_Devises,MATCH(IF($M1719="",Devise_Base,$M1719),Codes_Devises,0)),1))</f>
        <v/>
      </c>
      <c r="U1719" s="112">
        <f>IF($G1719="","",ROUND($G1719*$T1719,2))</f>
        <v/>
      </c>
      <c r="V1719" s="113">
        <f>IF($B1719="","",MONTH($B1719))</f>
        <v/>
      </c>
      <c r="W1719" s="113">
        <f>IF($B1719="","",YEAR($B1719))</f>
        <v/>
      </c>
    </row>
    <row r="1720">
      <c r="B1720" s="105" t="n"/>
      <c r="C1720" s="54" t="n"/>
      <c r="D1720" s="54" t="n"/>
      <c r="E1720" s="54" t="n"/>
      <c r="F1720" s="54" t="n"/>
      <c r="G1720" s="65" t="n"/>
      <c r="H1720" s="54" t="n"/>
      <c r="I1720" s="106">
        <f>IF($C1720="","",IFERROR(INDEX(Sens_Types,MATCH($C1720,Liste_Types,0)),""))</f>
        <v/>
      </c>
      <c r="J1720" s="107">
        <f>IF($I1720="▲ ENTRÉE",$U1720,"")</f>
        <v/>
      </c>
      <c r="K1720" s="108">
        <f>IF($I1720="▼ SORTIE",$U1720,"")</f>
        <v/>
      </c>
      <c r="L1720" s="109">
        <f>$L1719+N($J1720)-N($K1720)</f>
        <v/>
      </c>
      <c r="M1720" s="110" t="n"/>
      <c r="N1720" s="54" t="n"/>
      <c r="O1720" s="54" t="n"/>
      <c r="P1720" s="54" t="n"/>
      <c r="Q1720" s="110" t="n"/>
      <c r="R1720" s="110" t="n"/>
      <c r="S1720" s="54" t="n"/>
      <c r="T1720" s="111">
        <f>IF($G1720="","",IFERROR(INDEX(Taux_Devises,MATCH(IF($M1720="",Devise_Base,$M1720),Codes_Devises,0)),1))</f>
        <v/>
      </c>
      <c r="U1720" s="112">
        <f>IF($G1720="","",ROUND($G1720*$T1720,2))</f>
        <v/>
      </c>
      <c r="V1720" s="113">
        <f>IF($B1720="","",MONTH($B1720))</f>
        <v/>
      </c>
      <c r="W1720" s="113">
        <f>IF($B1720="","",YEAR($B1720))</f>
        <v/>
      </c>
    </row>
    <row r="1721">
      <c r="B1721" s="105" t="n"/>
      <c r="C1721" s="54" t="n"/>
      <c r="D1721" s="54" t="n"/>
      <c r="E1721" s="54" t="n"/>
      <c r="F1721" s="54" t="n"/>
      <c r="G1721" s="65" t="n"/>
      <c r="H1721" s="54" t="n"/>
      <c r="I1721" s="106">
        <f>IF($C1721="","",IFERROR(INDEX(Sens_Types,MATCH($C1721,Liste_Types,0)),""))</f>
        <v/>
      </c>
      <c r="J1721" s="107">
        <f>IF($I1721="▲ ENTRÉE",$U1721,"")</f>
        <v/>
      </c>
      <c r="K1721" s="108">
        <f>IF($I1721="▼ SORTIE",$U1721,"")</f>
        <v/>
      </c>
      <c r="L1721" s="109">
        <f>$L1720+N($J1721)-N($K1721)</f>
        <v/>
      </c>
      <c r="M1721" s="110" t="n"/>
      <c r="N1721" s="54" t="n"/>
      <c r="O1721" s="54" t="n"/>
      <c r="P1721" s="54" t="n"/>
      <c r="Q1721" s="110" t="n"/>
      <c r="R1721" s="110" t="n"/>
      <c r="S1721" s="54" t="n"/>
      <c r="T1721" s="111">
        <f>IF($G1721="","",IFERROR(INDEX(Taux_Devises,MATCH(IF($M1721="",Devise_Base,$M1721),Codes_Devises,0)),1))</f>
        <v/>
      </c>
      <c r="U1721" s="112">
        <f>IF($G1721="","",ROUND($G1721*$T1721,2))</f>
        <v/>
      </c>
      <c r="V1721" s="113">
        <f>IF($B1721="","",MONTH($B1721))</f>
        <v/>
      </c>
      <c r="W1721" s="113">
        <f>IF($B1721="","",YEAR($B1721))</f>
        <v/>
      </c>
    </row>
    <row r="1722">
      <c r="B1722" s="105" t="n"/>
      <c r="C1722" s="54" t="n"/>
      <c r="D1722" s="54" t="n"/>
      <c r="E1722" s="54" t="n"/>
      <c r="F1722" s="54" t="n"/>
      <c r="G1722" s="65" t="n"/>
      <c r="H1722" s="54" t="n"/>
      <c r="I1722" s="106">
        <f>IF($C1722="","",IFERROR(INDEX(Sens_Types,MATCH($C1722,Liste_Types,0)),""))</f>
        <v/>
      </c>
      <c r="J1722" s="107">
        <f>IF($I1722="▲ ENTRÉE",$U1722,"")</f>
        <v/>
      </c>
      <c r="K1722" s="108">
        <f>IF($I1722="▼ SORTIE",$U1722,"")</f>
        <v/>
      </c>
      <c r="L1722" s="109">
        <f>$L1721+N($J1722)-N($K1722)</f>
        <v/>
      </c>
      <c r="M1722" s="110" t="n"/>
      <c r="N1722" s="54" t="n"/>
      <c r="O1722" s="54" t="n"/>
      <c r="P1722" s="54" t="n"/>
      <c r="Q1722" s="110" t="n"/>
      <c r="R1722" s="110" t="n"/>
      <c r="S1722" s="54" t="n"/>
      <c r="T1722" s="111">
        <f>IF($G1722="","",IFERROR(INDEX(Taux_Devises,MATCH(IF($M1722="",Devise_Base,$M1722),Codes_Devises,0)),1))</f>
        <v/>
      </c>
      <c r="U1722" s="112">
        <f>IF($G1722="","",ROUND($G1722*$T1722,2))</f>
        <v/>
      </c>
      <c r="V1722" s="113">
        <f>IF($B1722="","",MONTH($B1722))</f>
        <v/>
      </c>
      <c r="W1722" s="113">
        <f>IF($B1722="","",YEAR($B1722))</f>
        <v/>
      </c>
    </row>
    <row r="1723">
      <c r="B1723" s="105" t="n"/>
      <c r="C1723" s="54" t="n"/>
      <c r="D1723" s="54" t="n"/>
      <c r="E1723" s="54" t="n"/>
      <c r="F1723" s="54" t="n"/>
      <c r="G1723" s="65" t="n"/>
      <c r="H1723" s="54" t="n"/>
      <c r="I1723" s="106">
        <f>IF($C1723="","",IFERROR(INDEX(Sens_Types,MATCH($C1723,Liste_Types,0)),""))</f>
        <v/>
      </c>
      <c r="J1723" s="107">
        <f>IF($I1723="▲ ENTRÉE",$U1723,"")</f>
        <v/>
      </c>
      <c r="K1723" s="108">
        <f>IF($I1723="▼ SORTIE",$U1723,"")</f>
        <v/>
      </c>
      <c r="L1723" s="109">
        <f>$L1722+N($J1723)-N($K1723)</f>
        <v/>
      </c>
      <c r="M1723" s="110" t="n"/>
      <c r="N1723" s="54" t="n"/>
      <c r="O1723" s="54" t="n"/>
      <c r="P1723" s="54" t="n"/>
      <c r="Q1723" s="110" t="n"/>
      <c r="R1723" s="110" t="n"/>
      <c r="S1723" s="54" t="n"/>
      <c r="T1723" s="111">
        <f>IF($G1723="","",IFERROR(INDEX(Taux_Devises,MATCH(IF($M1723="",Devise_Base,$M1723),Codes_Devises,0)),1))</f>
        <v/>
      </c>
      <c r="U1723" s="112">
        <f>IF($G1723="","",ROUND($G1723*$T1723,2))</f>
        <v/>
      </c>
      <c r="V1723" s="113">
        <f>IF($B1723="","",MONTH($B1723))</f>
        <v/>
      </c>
      <c r="W1723" s="113">
        <f>IF($B1723="","",YEAR($B1723))</f>
        <v/>
      </c>
    </row>
    <row r="1724">
      <c r="B1724" s="105" t="n"/>
      <c r="C1724" s="54" t="n"/>
      <c r="D1724" s="54" t="n"/>
      <c r="E1724" s="54" t="n"/>
      <c r="F1724" s="54" t="n"/>
      <c r="G1724" s="65" t="n"/>
      <c r="H1724" s="54" t="n"/>
      <c r="I1724" s="106">
        <f>IF($C1724="","",IFERROR(INDEX(Sens_Types,MATCH($C1724,Liste_Types,0)),""))</f>
        <v/>
      </c>
      <c r="J1724" s="107">
        <f>IF($I1724="▲ ENTRÉE",$U1724,"")</f>
        <v/>
      </c>
      <c r="K1724" s="108">
        <f>IF($I1724="▼ SORTIE",$U1724,"")</f>
        <v/>
      </c>
      <c r="L1724" s="109">
        <f>$L1723+N($J1724)-N($K1724)</f>
        <v/>
      </c>
      <c r="M1724" s="110" t="n"/>
      <c r="N1724" s="54" t="n"/>
      <c r="O1724" s="54" t="n"/>
      <c r="P1724" s="54" t="n"/>
      <c r="Q1724" s="110" t="n"/>
      <c r="R1724" s="110" t="n"/>
      <c r="S1724" s="54" t="n"/>
      <c r="T1724" s="111">
        <f>IF($G1724="","",IFERROR(INDEX(Taux_Devises,MATCH(IF($M1724="",Devise_Base,$M1724),Codes_Devises,0)),1))</f>
        <v/>
      </c>
      <c r="U1724" s="112">
        <f>IF($G1724="","",ROUND($G1724*$T1724,2))</f>
        <v/>
      </c>
      <c r="V1724" s="113">
        <f>IF($B1724="","",MONTH($B1724))</f>
        <v/>
      </c>
      <c r="W1724" s="113">
        <f>IF($B1724="","",YEAR($B1724))</f>
        <v/>
      </c>
    </row>
    <row r="1725">
      <c r="B1725" s="105" t="n"/>
      <c r="C1725" s="54" t="n"/>
      <c r="D1725" s="54" t="n"/>
      <c r="E1725" s="54" t="n"/>
      <c r="F1725" s="54" t="n"/>
      <c r="G1725" s="65" t="n"/>
      <c r="H1725" s="54" t="n"/>
      <c r="I1725" s="106">
        <f>IF($C1725="","",IFERROR(INDEX(Sens_Types,MATCH($C1725,Liste_Types,0)),""))</f>
        <v/>
      </c>
      <c r="J1725" s="107">
        <f>IF($I1725="▲ ENTRÉE",$U1725,"")</f>
        <v/>
      </c>
      <c r="K1725" s="108">
        <f>IF($I1725="▼ SORTIE",$U1725,"")</f>
        <v/>
      </c>
      <c r="L1725" s="109">
        <f>$L1724+N($J1725)-N($K1725)</f>
        <v/>
      </c>
      <c r="M1725" s="110" t="n"/>
      <c r="N1725" s="54" t="n"/>
      <c r="O1725" s="54" t="n"/>
      <c r="P1725" s="54" t="n"/>
      <c r="Q1725" s="110" t="n"/>
      <c r="R1725" s="110" t="n"/>
      <c r="S1725" s="54" t="n"/>
      <c r="T1725" s="111">
        <f>IF($G1725="","",IFERROR(INDEX(Taux_Devises,MATCH(IF($M1725="",Devise_Base,$M1725),Codes_Devises,0)),1))</f>
        <v/>
      </c>
      <c r="U1725" s="112">
        <f>IF($G1725="","",ROUND($G1725*$T1725,2))</f>
        <v/>
      </c>
      <c r="V1725" s="113">
        <f>IF($B1725="","",MONTH($B1725))</f>
        <v/>
      </c>
      <c r="W1725" s="113">
        <f>IF($B1725="","",YEAR($B1725))</f>
        <v/>
      </c>
    </row>
    <row r="1726">
      <c r="B1726" s="105" t="n"/>
      <c r="C1726" s="54" t="n"/>
      <c r="D1726" s="54" t="n"/>
      <c r="E1726" s="54" t="n"/>
      <c r="F1726" s="54" t="n"/>
      <c r="G1726" s="65" t="n"/>
      <c r="H1726" s="54" t="n"/>
      <c r="I1726" s="106">
        <f>IF($C1726="","",IFERROR(INDEX(Sens_Types,MATCH($C1726,Liste_Types,0)),""))</f>
        <v/>
      </c>
      <c r="J1726" s="107">
        <f>IF($I1726="▲ ENTRÉE",$U1726,"")</f>
        <v/>
      </c>
      <c r="K1726" s="108">
        <f>IF($I1726="▼ SORTIE",$U1726,"")</f>
        <v/>
      </c>
      <c r="L1726" s="109">
        <f>$L1725+N($J1726)-N($K1726)</f>
        <v/>
      </c>
      <c r="M1726" s="110" t="n"/>
      <c r="N1726" s="54" t="n"/>
      <c r="O1726" s="54" t="n"/>
      <c r="P1726" s="54" t="n"/>
      <c r="Q1726" s="110" t="n"/>
      <c r="R1726" s="110" t="n"/>
      <c r="S1726" s="54" t="n"/>
      <c r="T1726" s="111">
        <f>IF($G1726="","",IFERROR(INDEX(Taux_Devises,MATCH(IF($M1726="",Devise_Base,$M1726),Codes_Devises,0)),1))</f>
        <v/>
      </c>
      <c r="U1726" s="112">
        <f>IF($G1726="","",ROUND($G1726*$T1726,2))</f>
        <v/>
      </c>
      <c r="V1726" s="113">
        <f>IF($B1726="","",MONTH($B1726))</f>
        <v/>
      </c>
      <c r="W1726" s="113">
        <f>IF($B1726="","",YEAR($B1726))</f>
        <v/>
      </c>
    </row>
    <row r="1727">
      <c r="B1727" s="105" t="n"/>
      <c r="C1727" s="54" t="n"/>
      <c r="D1727" s="54" t="n"/>
      <c r="E1727" s="54" t="n"/>
      <c r="F1727" s="54" t="n"/>
      <c r="G1727" s="65" t="n"/>
      <c r="H1727" s="54" t="n"/>
      <c r="I1727" s="106">
        <f>IF($C1727="","",IFERROR(INDEX(Sens_Types,MATCH($C1727,Liste_Types,0)),""))</f>
        <v/>
      </c>
      <c r="J1727" s="107">
        <f>IF($I1727="▲ ENTRÉE",$U1727,"")</f>
        <v/>
      </c>
      <c r="K1727" s="108">
        <f>IF($I1727="▼ SORTIE",$U1727,"")</f>
        <v/>
      </c>
      <c r="L1727" s="109">
        <f>$L1726+N($J1727)-N($K1727)</f>
        <v/>
      </c>
      <c r="M1727" s="110" t="n"/>
      <c r="N1727" s="54" t="n"/>
      <c r="O1727" s="54" t="n"/>
      <c r="P1727" s="54" t="n"/>
      <c r="Q1727" s="110" t="n"/>
      <c r="R1727" s="110" t="n"/>
      <c r="S1727" s="54" t="n"/>
      <c r="T1727" s="111">
        <f>IF($G1727="","",IFERROR(INDEX(Taux_Devises,MATCH(IF($M1727="",Devise_Base,$M1727),Codes_Devises,0)),1))</f>
        <v/>
      </c>
      <c r="U1727" s="112">
        <f>IF($G1727="","",ROUND($G1727*$T1727,2))</f>
        <v/>
      </c>
      <c r="V1727" s="113">
        <f>IF($B1727="","",MONTH($B1727))</f>
        <v/>
      </c>
      <c r="W1727" s="113">
        <f>IF($B1727="","",YEAR($B1727))</f>
        <v/>
      </c>
    </row>
    <row r="1728">
      <c r="B1728" s="105" t="n"/>
      <c r="C1728" s="54" t="n"/>
      <c r="D1728" s="54" t="n"/>
      <c r="E1728" s="54" t="n"/>
      <c r="F1728" s="54" t="n"/>
      <c r="G1728" s="65" t="n"/>
      <c r="H1728" s="54" t="n"/>
      <c r="I1728" s="106">
        <f>IF($C1728="","",IFERROR(INDEX(Sens_Types,MATCH($C1728,Liste_Types,0)),""))</f>
        <v/>
      </c>
      <c r="J1728" s="107">
        <f>IF($I1728="▲ ENTRÉE",$U1728,"")</f>
        <v/>
      </c>
      <c r="K1728" s="108">
        <f>IF($I1728="▼ SORTIE",$U1728,"")</f>
        <v/>
      </c>
      <c r="L1728" s="109">
        <f>$L1727+N($J1728)-N($K1728)</f>
        <v/>
      </c>
      <c r="M1728" s="110" t="n"/>
      <c r="N1728" s="54" t="n"/>
      <c r="O1728" s="54" t="n"/>
      <c r="P1728" s="54" t="n"/>
      <c r="Q1728" s="110" t="n"/>
      <c r="R1728" s="110" t="n"/>
      <c r="S1728" s="54" t="n"/>
      <c r="T1728" s="111">
        <f>IF($G1728="","",IFERROR(INDEX(Taux_Devises,MATCH(IF($M1728="",Devise_Base,$M1728),Codes_Devises,0)),1))</f>
        <v/>
      </c>
      <c r="U1728" s="112">
        <f>IF($G1728="","",ROUND($G1728*$T1728,2))</f>
        <v/>
      </c>
      <c r="V1728" s="113">
        <f>IF($B1728="","",MONTH($B1728))</f>
        <v/>
      </c>
      <c r="W1728" s="113">
        <f>IF($B1728="","",YEAR($B1728))</f>
        <v/>
      </c>
    </row>
    <row r="1729">
      <c r="B1729" s="105" t="n"/>
      <c r="C1729" s="54" t="n"/>
      <c r="D1729" s="54" t="n"/>
      <c r="E1729" s="54" t="n"/>
      <c r="F1729" s="54" t="n"/>
      <c r="G1729" s="65" t="n"/>
      <c r="H1729" s="54" t="n"/>
      <c r="I1729" s="106">
        <f>IF($C1729="","",IFERROR(INDEX(Sens_Types,MATCH($C1729,Liste_Types,0)),""))</f>
        <v/>
      </c>
      <c r="J1729" s="107">
        <f>IF($I1729="▲ ENTRÉE",$U1729,"")</f>
        <v/>
      </c>
      <c r="K1729" s="108">
        <f>IF($I1729="▼ SORTIE",$U1729,"")</f>
        <v/>
      </c>
      <c r="L1729" s="109">
        <f>$L1728+N($J1729)-N($K1729)</f>
        <v/>
      </c>
      <c r="M1729" s="110" t="n"/>
      <c r="N1729" s="54" t="n"/>
      <c r="O1729" s="54" t="n"/>
      <c r="P1729" s="54" t="n"/>
      <c r="Q1729" s="110" t="n"/>
      <c r="R1729" s="110" t="n"/>
      <c r="S1729" s="54" t="n"/>
      <c r="T1729" s="111">
        <f>IF($G1729="","",IFERROR(INDEX(Taux_Devises,MATCH(IF($M1729="",Devise_Base,$M1729),Codes_Devises,0)),1))</f>
        <v/>
      </c>
      <c r="U1729" s="112">
        <f>IF($G1729="","",ROUND($G1729*$T1729,2))</f>
        <v/>
      </c>
      <c r="V1729" s="113">
        <f>IF($B1729="","",MONTH($B1729))</f>
        <v/>
      </c>
      <c r="W1729" s="113">
        <f>IF($B1729="","",YEAR($B1729))</f>
        <v/>
      </c>
    </row>
    <row r="1730">
      <c r="B1730" s="105" t="n"/>
      <c r="C1730" s="54" t="n"/>
      <c r="D1730" s="54" t="n"/>
      <c r="E1730" s="54" t="n"/>
      <c r="F1730" s="54" t="n"/>
      <c r="G1730" s="65" t="n"/>
      <c r="H1730" s="54" t="n"/>
      <c r="I1730" s="106">
        <f>IF($C1730="","",IFERROR(INDEX(Sens_Types,MATCH($C1730,Liste_Types,0)),""))</f>
        <v/>
      </c>
      <c r="J1730" s="107">
        <f>IF($I1730="▲ ENTRÉE",$U1730,"")</f>
        <v/>
      </c>
      <c r="K1730" s="108">
        <f>IF($I1730="▼ SORTIE",$U1730,"")</f>
        <v/>
      </c>
      <c r="L1730" s="109">
        <f>$L1729+N($J1730)-N($K1730)</f>
        <v/>
      </c>
      <c r="M1730" s="110" t="n"/>
      <c r="N1730" s="54" t="n"/>
      <c r="O1730" s="54" t="n"/>
      <c r="P1730" s="54" t="n"/>
      <c r="Q1730" s="110" t="n"/>
      <c r="R1730" s="110" t="n"/>
      <c r="S1730" s="54" t="n"/>
      <c r="T1730" s="111">
        <f>IF($G1730="","",IFERROR(INDEX(Taux_Devises,MATCH(IF($M1730="",Devise_Base,$M1730),Codes_Devises,0)),1))</f>
        <v/>
      </c>
      <c r="U1730" s="112">
        <f>IF($G1730="","",ROUND($G1730*$T1730,2))</f>
        <v/>
      </c>
      <c r="V1730" s="113">
        <f>IF($B1730="","",MONTH($B1730))</f>
        <v/>
      </c>
      <c r="W1730" s="113">
        <f>IF($B1730="","",YEAR($B1730))</f>
        <v/>
      </c>
    </row>
    <row r="1731">
      <c r="B1731" s="105" t="n"/>
      <c r="C1731" s="54" t="n"/>
      <c r="D1731" s="54" t="n"/>
      <c r="E1731" s="54" t="n"/>
      <c r="F1731" s="54" t="n"/>
      <c r="G1731" s="65" t="n"/>
      <c r="H1731" s="54" t="n"/>
      <c r="I1731" s="106">
        <f>IF($C1731="","",IFERROR(INDEX(Sens_Types,MATCH($C1731,Liste_Types,0)),""))</f>
        <v/>
      </c>
      <c r="J1731" s="107">
        <f>IF($I1731="▲ ENTRÉE",$U1731,"")</f>
        <v/>
      </c>
      <c r="K1731" s="108">
        <f>IF($I1731="▼ SORTIE",$U1731,"")</f>
        <v/>
      </c>
      <c r="L1731" s="109">
        <f>$L1730+N($J1731)-N($K1731)</f>
        <v/>
      </c>
      <c r="M1731" s="110" t="n"/>
      <c r="N1731" s="54" t="n"/>
      <c r="O1731" s="54" t="n"/>
      <c r="P1731" s="54" t="n"/>
      <c r="Q1731" s="110" t="n"/>
      <c r="R1731" s="110" t="n"/>
      <c r="S1731" s="54" t="n"/>
      <c r="T1731" s="111">
        <f>IF($G1731="","",IFERROR(INDEX(Taux_Devises,MATCH(IF($M1731="",Devise_Base,$M1731),Codes_Devises,0)),1))</f>
        <v/>
      </c>
      <c r="U1731" s="112">
        <f>IF($G1731="","",ROUND($G1731*$T1731,2))</f>
        <v/>
      </c>
      <c r="V1731" s="113">
        <f>IF($B1731="","",MONTH($B1731))</f>
        <v/>
      </c>
      <c r="W1731" s="113">
        <f>IF($B1731="","",YEAR($B1731))</f>
        <v/>
      </c>
    </row>
    <row r="1732">
      <c r="B1732" s="105" t="n"/>
      <c r="C1732" s="54" t="n"/>
      <c r="D1732" s="54" t="n"/>
      <c r="E1732" s="54" t="n"/>
      <c r="F1732" s="54" t="n"/>
      <c r="G1732" s="65" t="n"/>
      <c r="H1732" s="54" t="n"/>
      <c r="I1732" s="106">
        <f>IF($C1732="","",IFERROR(INDEX(Sens_Types,MATCH($C1732,Liste_Types,0)),""))</f>
        <v/>
      </c>
      <c r="J1732" s="107">
        <f>IF($I1732="▲ ENTRÉE",$U1732,"")</f>
        <v/>
      </c>
      <c r="K1732" s="108">
        <f>IF($I1732="▼ SORTIE",$U1732,"")</f>
        <v/>
      </c>
      <c r="L1732" s="109">
        <f>$L1731+N($J1732)-N($K1732)</f>
        <v/>
      </c>
      <c r="M1732" s="110" t="n"/>
      <c r="N1732" s="54" t="n"/>
      <c r="O1732" s="54" t="n"/>
      <c r="P1732" s="54" t="n"/>
      <c r="Q1732" s="110" t="n"/>
      <c r="R1732" s="110" t="n"/>
      <c r="S1732" s="54" t="n"/>
      <c r="T1732" s="111">
        <f>IF($G1732="","",IFERROR(INDEX(Taux_Devises,MATCH(IF($M1732="",Devise_Base,$M1732),Codes_Devises,0)),1))</f>
        <v/>
      </c>
      <c r="U1732" s="112">
        <f>IF($G1732="","",ROUND($G1732*$T1732,2))</f>
        <v/>
      </c>
      <c r="V1732" s="113">
        <f>IF($B1732="","",MONTH($B1732))</f>
        <v/>
      </c>
      <c r="W1732" s="113">
        <f>IF($B1732="","",YEAR($B1732))</f>
        <v/>
      </c>
    </row>
    <row r="1733">
      <c r="B1733" s="105" t="n"/>
      <c r="C1733" s="54" t="n"/>
      <c r="D1733" s="54" t="n"/>
      <c r="E1733" s="54" t="n"/>
      <c r="F1733" s="54" t="n"/>
      <c r="G1733" s="65" t="n"/>
      <c r="H1733" s="54" t="n"/>
      <c r="I1733" s="106">
        <f>IF($C1733="","",IFERROR(INDEX(Sens_Types,MATCH($C1733,Liste_Types,0)),""))</f>
        <v/>
      </c>
      <c r="J1733" s="107">
        <f>IF($I1733="▲ ENTRÉE",$U1733,"")</f>
        <v/>
      </c>
      <c r="K1733" s="108">
        <f>IF($I1733="▼ SORTIE",$U1733,"")</f>
        <v/>
      </c>
      <c r="L1733" s="109">
        <f>$L1732+N($J1733)-N($K1733)</f>
        <v/>
      </c>
      <c r="M1733" s="110" t="n"/>
      <c r="N1733" s="54" t="n"/>
      <c r="O1733" s="54" t="n"/>
      <c r="P1733" s="54" t="n"/>
      <c r="Q1733" s="110" t="n"/>
      <c r="R1733" s="110" t="n"/>
      <c r="S1733" s="54" t="n"/>
      <c r="T1733" s="111">
        <f>IF($G1733="","",IFERROR(INDEX(Taux_Devises,MATCH(IF($M1733="",Devise_Base,$M1733),Codes_Devises,0)),1))</f>
        <v/>
      </c>
      <c r="U1733" s="112">
        <f>IF($G1733="","",ROUND($G1733*$T1733,2))</f>
        <v/>
      </c>
      <c r="V1733" s="113">
        <f>IF($B1733="","",MONTH($B1733))</f>
        <v/>
      </c>
      <c r="W1733" s="113">
        <f>IF($B1733="","",YEAR($B1733))</f>
        <v/>
      </c>
    </row>
    <row r="1734">
      <c r="B1734" s="105" t="n"/>
      <c r="C1734" s="54" t="n"/>
      <c r="D1734" s="54" t="n"/>
      <c r="E1734" s="54" t="n"/>
      <c r="F1734" s="54" t="n"/>
      <c r="G1734" s="65" t="n"/>
      <c r="H1734" s="54" t="n"/>
      <c r="I1734" s="106">
        <f>IF($C1734="","",IFERROR(INDEX(Sens_Types,MATCH($C1734,Liste_Types,0)),""))</f>
        <v/>
      </c>
      <c r="J1734" s="107">
        <f>IF($I1734="▲ ENTRÉE",$U1734,"")</f>
        <v/>
      </c>
      <c r="K1734" s="108">
        <f>IF($I1734="▼ SORTIE",$U1734,"")</f>
        <v/>
      </c>
      <c r="L1734" s="109">
        <f>$L1733+N($J1734)-N($K1734)</f>
        <v/>
      </c>
      <c r="M1734" s="110" t="n"/>
      <c r="N1734" s="54" t="n"/>
      <c r="O1734" s="54" t="n"/>
      <c r="P1734" s="54" t="n"/>
      <c r="Q1734" s="110" t="n"/>
      <c r="R1734" s="110" t="n"/>
      <c r="S1734" s="54" t="n"/>
      <c r="T1734" s="111">
        <f>IF($G1734="","",IFERROR(INDEX(Taux_Devises,MATCH(IF($M1734="",Devise_Base,$M1734),Codes_Devises,0)),1))</f>
        <v/>
      </c>
      <c r="U1734" s="112">
        <f>IF($G1734="","",ROUND($G1734*$T1734,2))</f>
        <v/>
      </c>
      <c r="V1734" s="113">
        <f>IF($B1734="","",MONTH($B1734))</f>
        <v/>
      </c>
      <c r="W1734" s="113">
        <f>IF($B1734="","",YEAR($B1734))</f>
        <v/>
      </c>
    </row>
    <row r="1735">
      <c r="B1735" s="105" t="n"/>
      <c r="C1735" s="54" t="n"/>
      <c r="D1735" s="54" t="n"/>
      <c r="E1735" s="54" t="n"/>
      <c r="F1735" s="54" t="n"/>
      <c r="G1735" s="65" t="n"/>
      <c r="H1735" s="54" t="n"/>
      <c r="I1735" s="106">
        <f>IF($C1735="","",IFERROR(INDEX(Sens_Types,MATCH($C1735,Liste_Types,0)),""))</f>
        <v/>
      </c>
      <c r="J1735" s="107">
        <f>IF($I1735="▲ ENTRÉE",$U1735,"")</f>
        <v/>
      </c>
      <c r="K1735" s="108">
        <f>IF($I1735="▼ SORTIE",$U1735,"")</f>
        <v/>
      </c>
      <c r="L1735" s="109">
        <f>$L1734+N($J1735)-N($K1735)</f>
        <v/>
      </c>
      <c r="M1735" s="110" t="n"/>
      <c r="N1735" s="54" t="n"/>
      <c r="O1735" s="54" t="n"/>
      <c r="P1735" s="54" t="n"/>
      <c r="Q1735" s="110" t="n"/>
      <c r="R1735" s="110" t="n"/>
      <c r="S1735" s="54" t="n"/>
      <c r="T1735" s="111">
        <f>IF($G1735="","",IFERROR(INDEX(Taux_Devises,MATCH(IF($M1735="",Devise_Base,$M1735),Codes_Devises,0)),1))</f>
        <v/>
      </c>
      <c r="U1735" s="112">
        <f>IF($G1735="","",ROUND($G1735*$T1735,2))</f>
        <v/>
      </c>
      <c r="V1735" s="113">
        <f>IF($B1735="","",MONTH($B1735))</f>
        <v/>
      </c>
      <c r="W1735" s="113">
        <f>IF($B1735="","",YEAR($B1735))</f>
        <v/>
      </c>
    </row>
    <row r="1736">
      <c r="B1736" s="105" t="n"/>
      <c r="C1736" s="54" t="n"/>
      <c r="D1736" s="54" t="n"/>
      <c r="E1736" s="54" t="n"/>
      <c r="F1736" s="54" t="n"/>
      <c r="G1736" s="65" t="n"/>
      <c r="H1736" s="54" t="n"/>
      <c r="I1736" s="106">
        <f>IF($C1736="","",IFERROR(INDEX(Sens_Types,MATCH($C1736,Liste_Types,0)),""))</f>
        <v/>
      </c>
      <c r="J1736" s="107">
        <f>IF($I1736="▲ ENTRÉE",$U1736,"")</f>
        <v/>
      </c>
      <c r="K1736" s="108">
        <f>IF($I1736="▼ SORTIE",$U1736,"")</f>
        <v/>
      </c>
      <c r="L1736" s="109">
        <f>$L1735+N($J1736)-N($K1736)</f>
        <v/>
      </c>
      <c r="M1736" s="110" t="n"/>
      <c r="N1736" s="54" t="n"/>
      <c r="O1736" s="54" t="n"/>
      <c r="P1736" s="54" t="n"/>
      <c r="Q1736" s="110" t="n"/>
      <c r="R1736" s="110" t="n"/>
      <c r="S1736" s="54" t="n"/>
      <c r="T1736" s="111">
        <f>IF($G1736="","",IFERROR(INDEX(Taux_Devises,MATCH(IF($M1736="",Devise_Base,$M1736),Codes_Devises,0)),1))</f>
        <v/>
      </c>
      <c r="U1736" s="112">
        <f>IF($G1736="","",ROUND($G1736*$T1736,2))</f>
        <v/>
      </c>
      <c r="V1736" s="113">
        <f>IF($B1736="","",MONTH($B1736))</f>
        <v/>
      </c>
      <c r="W1736" s="113">
        <f>IF($B1736="","",YEAR($B1736))</f>
        <v/>
      </c>
    </row>
    <row r="1737">
      <c r="B1737" s="105" t="n"/>
      <c r="C1737" s="54" t="n"/>
      <c r="D1737" s="54" t="n"/>
      <c r="E1737" s="54" t="n"/>
      <c r="F1737" s="54" t="n"/>
      <c r="G1737" s="65" t="n"/>
      <c r="H1737" s="54" t="n"/>
      <c r="I1737" s="106">
        <f>IF($C1737="","",IFERROR(INDEX(Sens_Types,MATCH($C1737,Liste_Types,0)),""))</f>
        <v/>
      </c>
      <c r="J1737" s="107">
        <f>IF($I1737="▲ ENTRÉE",$U1737,"")</f>
        <v/>
      </c>
      <c r="K1737" s="108">
        <f>IF($I1737="▼ SORTIE",$U1737,"")</f>
        <v/>
      </c>
      <c r="L1737" s="109">
        <f>$L1736+N($J1737)-N($K1737)</f>
        <v/>
      </c>
      <c r="M1737" s="110" t="n"/>
      <c r="N1737" s="54" t="n"/>
      <c r="O1737" s="54" t="n"/>
      <c r="P1737" s="54" t="n"/>
      <c r="Q1737" s="110" t="n"/>
      <c r="R1737" s="110" t="n"/>
      <c r="S1737" s="54" t="n"/>
      <c r="T1737" s="111">
        <f>IF($G1737="","",IFERROR(INDEX(Taux_Devises,MATCH(IF($M1737="",Devise_Base,$M1737),Codes_Devises,0)),1))</f>
        <v/>
      </c>
      <c r="U1737" s="112">
        <f>IF($G1737="","",ROUND($G1737*$T1737,2))</f>
        <v/>
      </c>
      <c r="V1737" s="113">
        <f>IF($B1737="","",MONTH($B1737))</f>
        <v/>
      </c>
      <c r="W1737" s="113">
        <f>IF($B1737="","",YEAR($B1737))</f>
        <v/>
      </c>
    </row>
    <row r="1738">
      <c r="B1738" s="105" t="n"/>
      <c r="C1738" s="54" t="n"/>
      <c r="D1738" s="54" t="n"/>
      <c r="E1738" s="54" t="n"/>
      <c r="F1738" s="54" t="n"/>
      <c r="G1738" s="65" t="n"/>
      <c r="H1738" s="54" t="n"/>
      <c r="I1738" s="106">
        <f>IF($C1738="","",IFERROR(INDEX(Sens_Types,MATCH($C1738,Liste_Types,0)),""))</f>
        <v/>
      </c>
      <c r="J1738" s="107">
        <f>IF($I1738="▲ ENTRÉE",$U1738,"")</f>
        <v/>
      </c>
      <c r="K1738" s="108">
        <f>IF($I1738="▼ SORTIE",$U1738,"")</f>
        <v/>
      </c>
      <c r="L1738" s="109">
        <f>$L1737+N($J1738)-N($K1738)</f>
        <v/>
      </c>
      <c r="M1738" s="110" t="n"/>
      <c r="N1738" s="54" t="n"/>
      <c r="O1738" s="54" t="n"/>
      <c r="P1738" s="54" t="n"/>
      <c r="Q1738" s="110" t="n"/>
      <c r="R1738" s="110" t="n"/>
      <c r="S1738" s="54" t="n"/>
      <c r="T1738" s="111">
        <f>IF($G1738="","",IFERROR(INDEX(Taux_Devises,MATCH(IF($M1738="",Devise_Base,$M1738),Codes_Devises,0)),1))</f>
        <v/>
      </c>
      <c r="U1738" s="112">
        <f>IF($G1738="","",ROUND($G1738*$T1738,2))</f>
        <v/>
      </c>
      <c r="V1738" s="113">
        <f>IF($B1738="","",MONTH($B1738))</f>
        <v/>
      </c>
      <c r="W1738" s="113">
        <f>IF($B1738="","",YEAR($B1738))</f>
        <v/>
      </c>
    </row>
    <row r="1739">
      <c r="B1739" s="105" t="n"/>
      <c r="C1739" s="54" t="n"/>
      <c r="D1739" s="54" t="n"/>
      <c r="E1739" s="54" t="n"/>
      <c r="F1739" s="54" t="n"/>
      <c r="G1739" s="65" t="n"/>
      <c r="H1739" s="54" t="n"/>
      <c r="I1739" s="106">
        <f>IF($C1739="","",IFERROR(INDEX(Sens_Types,MATCH($C1739,Liste_Types,0)),""))</f>
        <v/>
      </c>
      <c r="J1739" s="107">
        <f>IF($I1739="▲ ENTRÉE",$U1739,"")</f>
        <v/>
      </c>
      <c r="K1739" s="108">
        <f>IF($I1739="▼ SORTIE",$U1739,"")</f>
        <v/>
      </c>
      <c r="L1739" s="109">
        <f>$L1738+N($J1739)-N($K1739)</f>
        <v/>
      </c>
      <c r="M1739" s="110" t="n"/>
      <c r="N1739" s="54" t="n"/>
      <c r="O1739" s="54" t="n"/>
      <c r="P1739" s="54" t="n"/>
      <c r="Q1739" s="110" t="n"/>
      <c r="R1739" s="110" t="n"/>
      <c r="S1739" s="54" t="n"/>
      <c r="T1739" s="111">
        <f>IF($G1739="","",IFERROR(INDEX(Taux_Devises,MATCH(IF($M1739="",Devise_Base,$M1739),Codes_Devises,0)),1))</f>
        <v/>
      </c>
      <c r="U1739" s="112">
        <f>IF($G1739="","",ROUND($G1739*$T1739,2))</f>
        <v/>
      </c>
      <c r="V1739" s="113">
        <f>IF($B1739="","",MONTH($B1739))</f>
        <v/>
      </c>
      <c r="W1739" s="113">
        <f>IF($B1739="","",YEAR($B1739))</f>
        <v/>
      </c>
    </row>
    <row r="1740">
      <c r="B1740" s="105" t="n"/>
      <c r="C1740" s="54" t="n"/>
      <c r="D1740" s="54" t="n"/>
      <c r="E1740" s="54" t="n"/>
      <c r="F1740" s="54" t="n"/>
      <c r="G1740" s="65" t="n"/>
      <c r="H1740" s="54" t="n"/>
      <c r="I1740" s="106">
        <f>IF($C1740="","",IFERROR(INDEX(Sens_Types,MATCH($C1740,Liste_Types,0)),""))</f>
        <v/>
      </c>
      <c r="J1740" s="107">
        <f>IF($I1740="▲ ENTRÉE",$U1740,"")</f>
        <v/>
      </c>
      <c r="K1740" s="108">
        <f>IF($I1740="▼ SORTIE",$U1740,"")</f>
        <v/>
      </c>
      <c r="L1740" s="109">
        <f>$L1739+N($J1740)-N($K1740)</f>
        <v/>
      </c>
      <c r="M1740" s="110" t="n"/>
      <c r="N1740" s="54" t="n"/>
      <c r="O1740" s="54" t="n"/>
      <c r="P1740" s="54" t="n"/>
      <c r="Q1740" s="110" t="n"/>
      <c r="R1740" s="110" t="n"/>
      <c r="S1740" s="54" t="n"/>
      <c r="T1740" s="111">
        <f>IF($G1740="","",IFERROR(INDEX(Taux_Devises,MATCH(IF($M1740="",Devise_Base,$M1740),Codes_Devises,0)),1))</f>
        <v/>
      </c>
      <c r="U1740" s="112">
        <f>IF($G1740="","",ROUND($G1740*$T1740,2))</f>
        <v/>
      </c>
      <c r="V1740" s="113">
        <f>IF($B1740="","",MONTH($B1740))</f>
        <v/>
      </c>
      <c r="W1740" s="113">
        <f>IF($B1740="","",YEAR($B1740))</f>
        <v/>
      </c>
    </row>
    <row r="1741">
      <c r="B1741" s="105" t="n"/>
      <c r="C1741" s="54" t="n"/>
      <c r="D1741" s="54" t="n"/>
      <c r="E1741" s="54" t="n"/>
      <c r="F1741" s="54" t="n"/>
      <c r="G1741" s="65" t="n"/>
      <c r="H1741" s="54" t="n"/>
      <c r="I1741" s="106">
        <f>IF($C1741="","",IFERROR(INDEX(Sens_Types,MATCH($C1741,Liste_Types,0)),""))</f>
        <v/>
      </c>
      <c r="J1741" s="107">
        <f>IF($I1741="▲ ENTRÉE",$U1741,"")</f>
        <v/>
      </c>
      <c r="K1741" s="108">
        <f>IF($I1741="▼ SORTIE",$U1741,"")</f>
        <v/>
      </c>
      <c r="L1741" s="109">
        <f>$L1740+N($J1741)-N($K1741)</f>
        <v/>
      </c>
      <c r="M1741" s="110" t="n"/>
      <c r="N1741" s="54" t="n"/>
      <c r="O1741" s="54" t="n"/>
      <c r="P1741" s="54" t="n"/>
      <c r="Q1741" s="110" t="n"/>
      <c r="R1741" s="110" t="n"/>
      <c r="S1741" s="54" t="n"/>
      <c r="T1741" s="111">
        <f>IF($G1741="","",IFERROR(INDEX(Taux_Devises,MATCH(IF($M1741="",Devise_Base,$M1741),Codes_Devises,0)),1))</f>
        <v/>
      </c>
      <c r="U1741" s="112">
        <f>IF($G1741="","",ROUND($G1741*$T1741,2))</f>
        <v/>
      </c>
      <c r="V1741" s="113">
        <f>IF($B1741="","",MONTH($B1741))</f>
        <v/>
      </c>
      <c r="W1741" s="113">
        <f>IF($B1741="","",YEAR($B1741))</f>
        <v/>
      </c>
    </row>
    <row r="1742">
      <c r="B1742" s="105" t="n"/>
      <c r="C1742" s="54" t="n"/>
      <c r="D1742" s="54" t="n"/>
      <c r="E1742" s="54" t="n"/>
      <c r="F1742" s="54" t="n"/>
      <c r="G1742" s="65" t="n"/>
      <c r="H1742" s="54" t="n"/>
      <c r="I1742" s="106">
        <f>IF($C1742="","",IFERROR(INDEX(Sens_Types,MATCH($C1742,Liste_Types,0)),""))</f>
        <v/>
      </c>
      <c r="J1742" s="107">
        <f>IF($I1742="▲ ENTRÉE",$U1742,"")</f>
        <v/>
      </c>
      <c r="K1742" s="108">
        <f>IF($I1742="▼ SORTIE",$U1742,"")</f>
        <v/>
      </c>
      <c r="L1742" s="109">
        <f>$L1741+N($J1742)-N($K1742)</f>
        <v/>
      </c>
      <c r="M1742" s="110" t="n"/>
      <c r="N1742" s="54" t="n"/>
      <c r="O1742" s="54" t="n"/>
      <c r="P1742" s="54" t="n"/>
      <c r="Q1742" s="110" t="n"/>
      <c r="R1742" s="110" t="n"/>
      <c r="S1742" s="54" t="n"/>
      <c r="T1742" s="111">
        <f>IF($G1742="","",IFERROR(INDEX(Taux_Devises,MATCH(IF($M1742="",Devise_Base,$M1742),Codes_Devises,0)),1))</f>
        <v/>
      </c>
      <c r="U1742" s="112">
        <f>IF($G1742="","",ROUND($G1742*$T1742,2))</f>
        <v/>
      </c>
      <c r="V1742" s="113">
        <f>IF($B1742="","",MONTH($B1742))</f>
        <v/>
      </c>
      <c r="W1742" s="113">
        <f>IF($B1742="","",YEAR($B1742))</f>
        <v/>
      </c>
    </row>
    <row r="1743">
      <c r="B1743" s="105" t="n"/>
      <c r="C1743" s="54" t="n"/>
      <c r="D1743" s="54" t="n"/>
      <c r="E1743" s="54" t="n"/>
      <c r="F1743" s="54" t="n"/>
      <c r="G1743" s="65" t="n"/>
      <c r="H1743" s="54" t="n"/>
      <c r="I1743" s="106">
        <f>IF($C1743="","",IFERROR(INDEX(Sens_Types,MATCH($C1743,Liste_Types,0)),""))</f>
        <v/>
      </c>
      <c r="J1743" s="107">
        <f>IF($I1743="▲ ENTRÉE",$U1743,"")</f>
        <v/>
      </c>
      <c r="K1743" s="108">
        <f>IF($I1743="▼ SORTIE",$U1743,"")</f>
        <v/>
      </c>
      <c r="L1743" s="109">
        <f>$L1742+N($J1743)-N($K1743)</f>
        <v/>
      </c>
      <c r="M1743" s="110" t="n"/>
      <c r="N1743" s="54" t="n"/>
      <c r="O1743" s="54" t="n"/>
      <c r="P1743" s="54" t="n"/>
      <c r="Q1743" s="110" t="n"/>
      <c r="R1743" s="110" t="n"/>
      <c r="S1743" s="54" t="n"/>
      <c r="T1743" s="111">
        <f>IF($G1743="","",IFERROR(INDEX(Taux_Devises,MATCH(IF($M1743="",Devise_Base,$M1743),Codes_Devises,0)),1))</f>
        <v/>
      </c>
      <c r="U1743" s="112">
        <f>IF($G1743="","",ROUND($G1743*$T1743,2))</f>
        <v/>
      </c>
      <c r="V1743" s="113">
        <f>IF($B1743="","",MONTH($B1743))</f>
        <v/>
      </c>
      <c r="W1743" s="113">
        <f>IF($B1743="","",YEAR($B1743))</f>
        <v/>
      </c>
    </row>
    <row r="1744">
      <c r="B1744" s="105" t="n"/>
      <c r="C1744" s="54" t="n"/>
      <c r="D1744" s="54" t="n"/>
      <c r="E1744" s="54" t="n"/>
      <c r="F1744" s="54" t="n"/>
      <c r="G1744" s="65" t="n"/>
      <c r="H1744" s="54" t="n"/>
      <c r="I1744" s="106">
        <f>IF($C1744="","",IFERROR(INDEX(Sens_Types,MATCH($C1744,Liste_Types,0)),""))</f>
        <v/>
      </c>
      <c r="J1744" s="107">
        <f>IF($I1744="▲ ENTRÉE",$U1744,"")</f>
        <v/>
      </c>
      <c r="K1744" s="108">
        <f>IF($I1744="▼ SORTIE",$U1744,"")</f>
        <v/>
      </c>
      <c r="L1744" s="109">
        <f>$L1743+N($J1744)-N($K1744)</f>
        <v/>
      </c>
      <c r="M1744" s="110" t="n"/>
      <c r="N1744" s="54" t="n"/>
      <c r="O1744" s="54" t="n"/>
      <c r="P1744" s="54" t="n"/>
      <c r="Q1744" s="110" t="n"/>
      <c r="R1744" s="110" t="n"/>
      <c r="S1744" s="54" t="n"/>
      <c r="T1744" s="111">
        <f>IF($G1744="","",IFERROR(INDEX(Taux_Devises,MATCH(IF($M1744="",Devise_Base,$M1744),Codes_Devises,0)),1))</f>
        <v/>
      </c>
      <c r="U1744" s="112">
        <f>IF($G1744="","",ROUND($G1744*$T1744,2))</f>
        <v/>
      </c>
      <c r="V1744" s="113">
        <f>IF($B1744="","",MONTH($B1744))</f>
        <v/>
      </c>
      <c r="W1744" s="113">
        <f>IF($B1744="","",YEAR($B1744))</f>
        <v/>
      </c>
    </row>
    <row r="1745">
      <c r="B1745" s="105" t="n"/>
      <c r="C1745" s="54" t="n"/>
      <c r="D1745" s="54" t="n"/>
      <c r="E1745" s="54" t="n"/>
      <c r="F1745" s="54" t="n"/>
      <c r="G1745" s="65" t="n"/>
      <c r="H1745" s="54" t="n"/>
      <c r="I1745" s="106">
        <f>IF($C1745="","",IFERROR(INDEX(Sens_Types,MATCH($C1745,Liste_Types,0)),""))</f>
        <v/>
      </c>
      <c r="J1745" s="107">
        <f>IF($I1745="▲ ENTRÉE",$U1745,"")</f>
        <v/>
      </c>
      <c r="K1745" s="108">
        <f>IF($I1745="▼ SORTIE",$U1745,"")</f>
        <v/>
      </c>
      <c r="L1745" s="109">
        <f>$L1744+N($J1745)-N($K1745)</f>
        <v/>
      </c>
      <c r="M1745" s="110" t="n"/>
      <c r="N1745" s="54" t="n"/>
      <c r="O1745" s="54" t="n"/>
      <c r="P1745" s="54" t="n"/>
      <c r="Q1745" s="110" t="n"/>
      <c r="R1745" s="110" t="n"/>
      <c r="S1745" s="54" t="n"/>
      <c r="T1745" s="111">
        <f>IF($G1745="","",IFERROR(INDEX(Taux_Devises,MATCH(IF($M1745="",Devise_Base,$M1745),Codes_Devises,0)),1))</f>
        <v/>
      </c>
      <c r="U1745" s="112">
        <f>IF($G1745="","",ROUND($G1745*$T1745,2))</f>
        <v/>
      </c>
      <c r="V1745" s="113">
        <f>IF($B1745="","",MONTH($B1745))</f>
        <v/>
      </c>
      <c r="W1745" s="113">
        <f>IF($B1745="","",YEAR($B1745))</f>
        <v/>
      </c>
    </row>
    <row r="1746">
      <c r="B1746" s="105" t="n"/>
      <c r="C1746" s="54" t="n"/>
      <c r="D1746" s="54" t="n"/>
      <c r="E1746" s="54" t="n"/>
      <c r="F1746" s="54" t="n"/>
      <c r="G1746" s="65" t="n"/>
      <c r="H1746" s="54" t="n"/>
      <c r="I1746" s="106">
        <f>IF($C1746="","",IFERROR(INDEX(Sens_Types,MATCH($C1746,Liste_Types,0)),""))</f>
        <v/>
      </c>
      <c r="J1746" s="107">
        <f>IF($I1746="▲ ENTRÉE",$U1746,"")</f>
        <v/>
      </c>
      <c r="K1746" s="108">
        <f>IF($I1746="▼ SORTIE",$U1746,"")</f>
        <v/>
      </c>
      <c r="L1746" s="109">
        <f>$L1745+N($J1746)-N($K1746)</f>
        <v/>
      </c>
      <c r="M1746" s="110" t="n"/>
      <c r="N1746" s="54" t="n"/>
      <c r="O1746" s="54" t="n"/>
      <c r="P1746" s="54" t="n"/>
      <c r="Q1746" s="110" t="n"/>
      <c r="R1746" s="110" t="n"/>
      <c r="S1746" s="54" t="n"/>
      <c r="T1746" s="111">
        <f>IF($G1746="","",IFERROR(INDEX(Taux_Devises,MATCH(IF($M1746="",Devise_Base,$M1746),Codes_Devises,0)),1))</f>
        <v/>
      </c>
      <c r="U1746" s="112">
        <f>IF($G1746="","",ROUND($G1746*$T1746,2))</f>
        <v/>
      </c>
      <c r="V1746" s="113">
        <f>IF($B1746="","",MONTH($B1746))</f>
        <v/>
      </c>
      <c r="W1746" s="113">
        <f>IF($B1746="","",YEAR($B1746))</f>
        <v/>
      </c>
    </row>
    <row r="1747">
      <c r="B1747" s="105" t="n"/>
      <c r="C1747" s="54" t="n"/>
      <c r="D1747" s="54" t="n"/>
      <c r="E1747" s="54" t="n"/>
      <c r="F1747" s="54" t="n"/>
      <c r="G1747" s="65" t="n"/>
      <c r="H1747" s="54" t="n"/>
      <c r="I1747" s="106">
        <f>IF($C1747="","",IFERROR(INDEX(Sens_Types,MATCH($C1747,Liste_Types,0)),""))</f>
        <v/>
      </c>
      <c r="J1747" s="107">
        <f>IF($I1747="▲ ENTRÉE",$U1747,"")</f>
        <v/>
      </c>
      <c r="K1747" s="108">
        <f>IF($I1747="▼ SORTIE",$U1747,"")</f>
        <v/>
      </c>
      <c r="L1747" s="109">
        <f>$L1746+N($J1747)-N($K1747)</f>
        <v/>
      </c>
      <c r="M1747" s="110" t="n"/>
      <c r="N1747" s="54" t="n"/>
      <c r="O1747" s="54" t="n"/>
      <c r="P1747" s="54" t="n"/>
      <c r="Q1747" s="110" t="n"/>
      <c r="R1747" s="110" t="n"/>
      <c r="S1747" s="54" t="n"/>
      <c r="T1747" s="111">
        <f>IF($G1747="","",IFERROR(INDEX(Taux_Devises,MATCH(IF($M1747="",Devise_Base,$M1747),Codes_Devises,0)),1))</f>
        <v/>
      </c>
      <c r="U1747" s="112">
        <f>IF($G1747="","",ROUND($G1747*$T1747,2))</f>
        <v/>
      </c>
      <c r="V1747" s="113">
        <f>IF($B1747="","",MONTH($B1747))</f>
        <v/>
      </c>
      <c r="W1747" s="113">
        <f>IF($B1747="","",YEAR($B1747))</f>
        <v/>
      </c>
    </row>
    <row r="1748">
      <c r="B1748" s="105" t="n"/>
      <c r="C1748" s="54" t="n"/>
      <c r="D1748" s="54" t="n"/>
      <c r="E1748" s="54" t="n"/>
      <c r="F1748" s="54" t="n"/>
      <c r="G1748" s="65" t="n"/>
      <c r="H1748" s="54" t="n"/>
      <c r="I1748" s="106">
        <f>IF($C1748="","",IFERROR(INDEX(Sens_Types,MATCH($C1748,Liste_Types,0)),""))</f>
        <v/>
      </c>
      <c r="J1748" s="107">
        <f>IF($I1748="▲ ENTRÉE",$U1748,"")</f>
        <v/>
      </c>
      <c r="K1748" s="108">
        <f>IF($I1748="▼ SORTIE",$U1748,"")</f>
        <v/>
      </c>
      <c r="L1748" s="109">
        <f>$L1747+N($J1748)-N($K1748)</f>
        <v/>
      </c>
      <c r="M1748" s="110" t="n"/>
      <c r="N1748" s="54" t="n"/>
      <c r="O1748" s="54" t="n"/>
      <c r="P1748" s="54" t="n"/>
      <c r="Q1748" s="110" t="n"/>
      <c r="R1748" s="110" t="n"/>
      <c r="S1748" s="54" t="n"/>
      <c r="T1748" s="111">
        <f>IF($G1748="","",IFERROR(INDEX(Taux_Devises,MATCH(IF($M1748="",Devise_Base,$M1748),Codes_Devises,0)),1))</f>
        <v/>
      </c>
      <c r="U1748" s="112">
        <f>IF($G1748="","",ROUND($G1748*$T1748,2))</f>
        <v/>
      </c>
      <c r="V1748" s="113">
        <f>IF($B1748="","",MONTH($B1748))</f>
        <v/>
      </c>
      <c r="W1748" s="113">
        <f>IF($B1748="","",YEAR($B1748))</f>
        <v/>
      </c>
    </row>
    <row r="1749">
      <c r="B1749" s="105" t="n"/>
      <c r="C1749" s="54" t="n"/>
      <c r="D1749" s="54" t="n"/>
      <c r="E1749" s="54" t="n"/>
      <c r="F1749" s="54" t="n"/>
      <c r="G1749" s="65" t="n"/>
      <c r="H1749" s="54" t="n"/>
      <c r="I1749" s="106">
        <f>IF($C1749="","",IFERROR(INDEX(Sens_Types,MATCH($C1749,Liste_Types,0)),""))</f>
        <v/>
      </c>
      <c r="J1749" s="107">
        <f>IF($I1749="▲ ENTRÉE",$U1749,"")</f>
        <v/>
      </c>
      <c r="K1749" s="108">
        <f>IF($I1749="▼ SORTIE",$U1749,"")</f>
        <v/>
      </c>
      <c r="L1749" s="109">
        <f>$L1748+N($J1749)-N($K1749)</f>
        <v/>
      </c>
      <c r="M1749" s="110" t="n"/>
      <c r="N1749" s="54" t="n"/>
      <c r="O1749" s="54" t="n"/>
      <c r="P1749" s="54" t="n"/>
      <c r="Q1749" s="110" t="n"/>
      <c r="R1749" s="110" t="n"/>
      <c r="S1749" s="54" t="n"/>
      <c r="T1749" s="111">
        <f>IF($G1749="","",IFERROR(INDEX(Taux_Devises,MATCH(IF($M1749="",Devise_Base,$M1749),Codes_Devises,0)),1))</f>
        <v/>
      </c>
      <c r="U1749" s="112">
        <f>IF($G1749="","",ROUND($G1749*$T1749,2))</f>
        <v/>
      </c>
      <c r="V1749" s="113">
        <f>IF($B1749="","",MONTH($B1749))</f>
        <v/>
      </c>
      <c r="W1749" s="113">
        <f>IF($B1749="","",YEAR($B1749))</f>
        <v/>
      </c>
    </row>
    <row r="1750">
      <c r="B1750" s="105" t="n"/>
      <c r="C1750" s="54" t="n"/>
      <c r="D1750" s="54" t="n"/>
      <c r="E1750" s="54" t="n"/>
      <c r="F1750" s="54" t="n"/>
      <c r="G1750" s="65" t="n"/>
      <c r="H1750" s="54" t="n"/>
      <c r="I1750" s="106">
        <f>IF($C1750="","",IFERROR(INDEX(Sens_Types,MATCH($C1750,Liste_Types,0)),""))</f>
        <v/>
      </c>
      <c r="J1750" s="107">
        <f>IF($I1750="▲ ENTRÉE",$U1750,"")</f>
        <v/>
      </c>
      <c r="K1750" s="108">
        <f>IF($I1750="▼ SORTIE",$U1750,"")</f>
        <v/>
      </c>
      <c r="L1750" s="109">
        <f>$L1749+N($J1750)-N($K1750)</f>
        <v/>
      </c>
      <c r="M1750" s="110" t="n"/>
      <c r="N1750" s="54" t="n"/>
      <c r="O1750" s="54" t="n"/>
      <c r="P1750" s="54" t="n"/>
      <c r="Q1750" s="110" t="n"/>
      <c r="R1750" s="110" t="n"/>
      <c r="S1750" s="54" t="n"/>
      <c r="T1750" s="111">
        <f>IF($G1750="","",IFERROR(INDEX(Taux_Devises,MATCH(IF($M1750="",Devise_Base,$M1750),Codes_Devises,0)),1))</f>
        <v/>
      </c>
      <c r="U1750" s="112">
        <f>IF($G1750="","",ROUND($G1750*$T1750,2))</f>
        <v/>
      </c>
      <c r="V1750" s="113">
        <f>IF($B1750="","",MONTH($B1750))</f>
        <v/>
      </c>
      <c r="W1750" s="113">
        <f>IF($B1750="","",YEAR($B1750))</f>
        <v/>
      </c>
    </row>
    <row r="1751">
      <c r="B1751" s="105" t="n"/>
      <c r="C1751" s="54" t="n"/>
      <c r="D1751" s="54" t="n"/>
      <c r="E1751" s="54" t="n"/>
      <c r="F1751" s="54" t="n"/>
      <c r="G1751" s="65" t="n"/>
      <c r="H1751" s="54" t="n"/>
      <c r="I1751" s="106">
        <f>IF($C1751="","",IFERROR(INDEX(Sens_Types,MATCH($C1751,Liste_Types,0)),""))</f>
        <v/>
      </c>
      <c r="J1751" s="107">
        <f>IF($I1751="▲ ENTRÉE",$U1751,"")</f>
        <v/>
      </c>
      <c r="K1751" s="108">
        <f>IF($I1751="▼ SORTIE",$U1751,"")</f>
        <v/>
      </c>
      <c r="L1751" s="109">
        <f>$L1750+N($J1751)-N($K1751)</f>
        <v/>
      </c>
      <c r="M1751" s="110" t="n"/>
      <c r="N1751" s="54" t="n"/>
      <c r="O1751" s="54" t="n"/>
      <c r="P1751" s="54" t="n"/>
      <c r="Q1751" s="110" t="n"/>
      <c r="R1751" s="110" t="n"/>
      <c r="S1751" s="54" t="n"/>
      <c r="T1751" s="111">
        <f>IF($G1751="","",IFERROR(INDEX(Taux_Devises,MATCH(IF($M1751="",Devise_Base,$M1751),Codes_Devises,0)),1))</f>
        <v/>
      </c>
      <c r="U1751" s="112">
        <f>IF($G1751="","",ROUND($G1751*$T1751,2))</f>
        <v/>
      </c>
      <c r="V1751" s="113">
        <f>IF($B1751="","",MONTH($B1751))</f>
        <v/>
      </c>
      <c r="W1751" s="113">
        <f>IF($B1751="","",YEAR($B1751))</f>
        <v/>
      </c>
    </row>
    <row r="1752">
      <c r="B1752" s="105" t="n"/>
      <c r="C1752" s="54" t="n"/>
      <c r="D1752" s="54" t="n"/>
      <c r="E1752" s="54" t="n"/>
      <c r="F1752" s="54" t="n"/>
      <c r="G1752" s="65" t="n"/>
      <c r="H1752" s="54" t="n"/>
      <c r="I1752" s="106">
        <f>IF($C1752="","",IFERROR(INDEX(Sens_Types,MATCH($C1752,Liste_Types,0)),""))</f>
        <v/>
      </c>
      <c r="J1752" s="107">
        <f>IF($I1752="▲ ENTRÉE",$U1752,"")</f>
        <v/>
      </c>
      <c r="K1752" s="108">
        <f>IF($I1752="▼ SORTIE",$U1752,"")</f>
        <v/>
      </c>
      <c r="L1752" s="109">
        <f>$L1751+N($J1752)-N($K1752)</f>
        <v/>
      </c>
      <c r="M1752" s="110" t="n"/>
      <c r="N1752" s="54" t="n"/>
      <c r="O1752" s="54" t="n"/>
      <c r="P1752" s="54" t="n"/>
      <c r="Q1752" s="110" t="n"/>
      <c r="R1752" s="110" t="n"/>
      <c r="S1752" s="54" t="n"/>
      <c r="T1752" s="111">
        <f>IF($G1752="","",IFERROR(INDEX(Taux_Devises,MATCH(IF($M1752="",Devise_Base,$M1752),Codes_Devises,0)),1))</f>
        <v/>
      </c>
      <c r="U1752" s="112">
        <f>IF($G1752="","",ROUND($G1752*$T1752,2))</f>
        <v/>
      </c>
      <c r="V1752" s="113">
        <f>IF($B1752="","",MONTH($B1752))</f>
        <v/>
      </c>
      <c r="W1752" s="113">
        <f>IF($B1752="","",YEAR($B1752))</f>
        <v/>
      </c>
    </row>
    <row r="1753">
      <c r="B1753" s="105" t="n"/>
      <c r="C1753" s="54" t="n"/>
      <c r="D1753" s="54" t="n"/>
      <c r="E1753" s="54" t="n"/>
      <c r="F1753" s="54" t="n"/>
      <c r="G1753" s="65" t="n"/>
      <c r="H1753" s="54" t="n"/>
      <c r="I1753" s="106">
        <f>IF($C1753="","",IFERROR(INDEX(Sens_Types,MATCH($C1753,Liste_Types,0)),""))</f>
        <v/>
      </c>
      <c r="J1753" s="107">
        <f>IF($I1753="▲ ENTRÉE",$U1753,"")</f>
        <v/>
      </c>
      <c r="K1753" s="108">
        <f>IF($I1753="▼ SORTIE",$U1753,"")</f>
        <v/>
      </c>
      <c r="L1753" s="109">
        <f>$L1752+N($J1753)-N($K1753)</f>
        <v/>
      </c>
      <c r="M1753" s="110" t="n"/>
      <c r="N1753" s="54" t="n"/>
      <c r="O1753" s="54" t="n"/>
      <c r="P1753" s="54" t="n"/>
      <c r="Q1753" s="110" t="n"/>
      <c r="R1753" s="110" t="n"/>
      <c r="S1753" s="54" t="n"/>
      <c r="T1753" s="111">
        <f>IF($G1753="","",IFERROR(INDEX(Taux_Devises,MATCH(IF($M1753="",Devise_Base,$M1753),Codes_Devises,0)),1))</f>
        <v/>
      </c>
      <c r="U1753" s="112">
        <f>IF($G1753="","",ROUND($G1753*$T1753,2))</f>
        <v/>
      </c>
      <c r="V1753" s="113">
        <f>IF($B1753="","",MONTH($B1753))</f>
        <v/>
      </c>
      <c r="W1753" s="113">
        <f>IF($B1753="","",YEAR($B1753))</f>
        <v/>
      </c>
    </row>
    <row r="1754">
      <c r="B1754" s="105" t="n"/>
      <c r="C1754" s="54" t="n"/>
      <c r="D1754" s="54" t="n"/>
      <c r="E1754" s="54" t="n"/>
      <c r="F1754" s="54" t="n"/>
      <c r="G1754" s="65" t="n"/>
      <c r="H1754" s="54" t="n"/>
      <c r="I1754" s="106">
        <f>IF($C1754="","",IFERROR(INDEX(Sens_Types,MATCH($C1754,Liste_Types,0)),""))</f>
        <v/>
      </c>
      <c r="J1754" s="107">
        <f>IF($I1754="▲ ENTRÉE",$U1754,"")</f>
        <v/>
      </c>
      <c r="K1754" s="108">
        <f>IF($I1754="▼ SORTIE",$U1754,"")</f>
        <v/>
      </c>
      <c r="L1754" s="109">
        <f>$L1753+N($J1754)-N($K1754)</f>
        <v/>
      </c>
      <c r="M1754" s="110" t="n"/>
      <c r="N1754" s="54" t="n"/>
      <c r="O1754" s="54" t="n"/>
      <c r="P1754" s="54" t="n"/>
      <c r="Q1754" s="110" t="n"/>
      <c r="R1754" s="110" t="n"/>
      <c r="S1754" s="54" t="n"/>
      <c r="T1754" s="111">
        <f>IF($G1754="","",IFERROR(INDEX(Taux_Devises,MATCH(IF($M1754="",Devise_Base,$M1754),Codes_Devises,0)),1))</f>
        <v/>
      </c>
      <c r="U1754" s="112">
        <f>IF($G1754="","",ROUND($G1754*$T1754,2))</f>
        <v/>
      </c>
      <c r="V1754" s="113">
        <f>IF($B1754="","",MONTH($B1754))</f>
        <v/>
      </c>
      <c r="W1754" s="113">
        <f>IF($B1754="","",YEAR($B1754))</f>
        <v/>
      </c>
    </row>
    <row r="1755">
      <c r="B1755" s="105" t="n"/>
      <c r="C1755" s="54" t="n"/>
      <c r="D1755" s="54" t="n"/>
      <c r="E1755" s="54" t="n"/>
      <c r="F1755" s="54" t="n"/>
      <c r="G1755" s="65" t="n"/>
      <c r="H1755" s="54" t="n"/>
      <c r="I1755" s="106">
        <f>IF($C1755="","",IFERROR(INDEX(Sens_Types,MATCH($C1755,Liste_Types,0)),""))</f>
        <v/>
      </c>
      <c r="J1755" s="107">
        <f>IF($I1755="▲ ENTRÉE",$U1755,"")</f>
        <v/>
      </c>
      <c r="K1755" s="108">
        <f>IF($I1755="▼ SORTIE",$U1755,"")</f>
        <v/>
      </c>
      <c r="L1755" s="109">
        <f>$L1754+N($J1755)-N($K1755)</f>
        <v/>
      </c>
      <c r="M1755" s="110" t="n"/>
      <c r="N1755" s="54" t="n"/>
      <c r="O1755" s="54" t="n"/>
      <c r="P1755" s="54" t="n"/>
      <c r="Q1755" s="110" t="n"/>
      <c r="R1755" s="110" t="n"/>
      <c r="S1755" s="54" t="n"/>
      <c r="T1755" s="111">
        <f>IF($G1755="","",IFERROR(INDEX(Taux_Devises,MATCH(IF($M1755="",Devise_Base,$M1755),Codes_Devises,0)),1))</f>
        <v/>
      </c>
      <c r="U1755" s="112">
        <f>IF($G1755="","",ROUND($G1755*$T1755,2))</f>
        <v/>
      </c>
      <c r="V1755" s="113">
        <f>IF($B1755="","",MONTH($B1755))</f>
        <v/>
      </c>
      <c r="W1755" s="113">
        <f>IF($B1755="","",YEAR($B1755))</f>
        <v/>
      </c>
    </row>
    <row r="1756">
      <c r="B1756" s="105" t="n"/>
      <c r="C1756" s="54" t="n"/>
      <c r="D1756" s="54" t="n"/>
      <c r="E1756" s="54" t="n"/>
      <c r="F1756" s="54" t="n"/>
      <c r="G1756" s="65" t="n"/>
      <c r="H1756" s="54" t="n"/>
      <c r="I1756" s="106">
        <f>IF($C1756="","",IFERROR(INDEX(Sens_Types,MATCH($C1756,Liste_Types,0)),""))</f>
        <v/>
      </c>
      <c r="J1756" s="107">
        <f>IF($I1756="▲ ENTRÉE",$U1756,"")</f>
        <v/>
      </c>
      <c r="K1756" s="108">
        <f>IF($I1756="▼ SORTIE",$U1756,"")</f>
        <v/>
      </c>
      <c r="L1756" s="109">
        <f>$L1755+N($J1756)-N($K1756)</f>
        <v/>
      </c>
      <c r="M1756" s="110" t="n"/>
      <c r="N1756" s="54" t="n"/>
      <c r="O1756" s="54" t="n"/>
      <c r="P1756" s="54" t="n"/>
      <c r="Q1756" s="110" t="n"/>
      <c r="R1756" s="110" t="n"/>
      <c r="S1756" s="54" t="n"/>
      <c r="T1756" s="111">
        <f>IF($G1756="","",IFERROR(INDEX(Taux_Devises,MATCH(IF($M1756="",Devise_Base,$M1756),Codes_Devises,0)),1))</f>
        <v/>
      </c>
      <c r="U1756" s="112">
        <f>IF($G1756="","",ROUND($G1756*$T1756,2))</f>
        <v/>
      </c>
      <c r="V1756" s="113">
        <f>IF($B1756="","",MONTH($B1756))</f>
        <v/>
      </c>
      <c r="W1756" s="113">
        <f>IF($B1756="","",YEAR($B1756))</f>
        <v/>
      </c>
    </row>
    <row r="1757">
      <c r="B1757" s="105" t="n"/>
      <c r="C1757" s="54" t="n"/>
      <c r="D1757" s="54" t="n"/>
      <c r="E1757" s="54" t="n"/>
      <c r="F1757" s="54" t="n"/>
      <c r="G1757" s="65" t="n"/>
      <c r="H1757" s="54" t="n"/>
      <c r="I1757" s="106">
        <f>IF($C1757="","",IFERROR(INDEX(Sens_Types,MATCH($C1757,Liste_Types,0)),""))</f>
        <v/>
      </c>
      <c r="J1757" s="107">
        <f>IF($I1757="▲ ENTRÉE",$U1757,"")</f>
        <v/>
      </c>
      <c r="K1757" s="108">
        <f>IF($I1757="▼ SORTIE",$U1757,"")</f>
        <v/>
      </c>
      <c r="L1757" s="109">
        <f>$L1756+N($J1757)-N($K1757)</f>
        <v/>
      </c>
      <c r="M1757" s="110" t="n"/>
      <c r="N1757" s="54" t="n"/>
      <c r="O1757" s="54" t="n"/>
      <c r="P1757" s="54" t="n"/>
      <c r="Q1757" s="110" t="n"/>
      <c r="R1757" s="110" t="n"/>
      <c r="S1757" s="54" t="n"/>
      <c r="T1757" s="111">
        <f>IF($G1757="","",IFERROR(INDEX(Taux_Devises,MATCH(IF($M1757="",Devise_Base,$M1757),Codes_Devises,0)),1))</f>
        <v/>
      </c>
      <c r="U1757" s="112">
        <f>IF($G1757="","",ROUND($G1757*$T1757,2))</f>
        <v/>
      </c>
      <c r="V1757" s="113">
        <f>IF($B1757="","",MONTH($B1757))</f>
        <v/>
      </c>
      <c r="W1757" s="113">
        <f>IF($B1757="","",YEAR($B1757))</f>
        <v/>
      </c>
    </row>
    <row r="1758">
      <c r="B1758" s="105" t="n"/>
      <c r="C1758" s="54" t="n"/>
      <c r="D1758" s="54" t="n"/>
      <c r="E1758" s="54" t="n"/>
      <c r="F1758" s="54" t="n"/>
      <c r="G1758" s="65" t="n"/>
      <c r="H1758" s="54" t="n"/>
      <c r="I1758" s="106">
        <f>IF($C1758="","",IFERROR(INDEX(Sens_Types,MATCH($C1758,Liste_Types,0)),""))</f>
        <v/>
      </c>
      <c r="J1758" s="107">
        <f>IF($I1758="▲ ENTRÉE",$U1758,"")</f>
        <v/>
      </c>
      <c r="K1758" s="108">
        <f>IF($I1758="▼ SORTIE",$U1758,"")</f>
        <v/>
      </c>
      <c r="L1758" s="109">
        <f>$L1757+N($J1758)-N($K1758)</f>
        <v/>
      </c>
      <c r="M1758" s="110" t="n"/>
      <c r="N1758" s="54" t="n"/>
      <c r="O1758" s="54" t="n"/>
      <c r="P1758" s="54" t="n"/>
      <c r="Q1758" s="110" t="n"/>
      <c r="R1758" s="110" t="n"/>
      <c r="S1758" s="54" t="n"/>
      <c r="T1758" s="111">
        <f>IF($G1758="","",IFERROR(INDEX(Taux_Devises,MATCH(IF($M1758="",Devise_Base,$M1758),Codes_Devises,0)),1))</f>
        <v/>
      </c>
      <c r="U1758" s="112">
        <f>IF($G1758="","",ROUND($G1758*$T1758,2))</f>
        <v/>
      </c>
      <c r="V1758" s="113">
        <f>IF($B1758="","",MONTH($B1758))</f>
        <v/>
      </c>
      <c r="W1758" s="113">
        <f>IF($B1758="","",YEAR($B1758))</f>
        <v/>
      </c>
    </row>
    <row r="1759">
      <c r="B1759" s="105" t="n"/>
      <c r="C1759" s="54" t="n"/>
      <c r="D1759" s="54" t="n"/>
      <c r="E1759" s="54" t="n"/>
      <c r="F1759" s="54" t="n"/>
      <c r="G1759" s="65" t="n"/>
      <c r="H1759" s="54" t="n"/>
      <c r="I1759" s="106">
        <f>IF($C1759="","",IFERROR(INDEX(Sens_Types,MATCH($C1759,Liste_Types,0)),""))</f>
        <v/>
      </c>
      <c r="J1759" s="107">
        <f>IF($I1759="▲ ENTRÉE",$U1759,"")</f>
        <v/>
      </c>
      <c r="K1759" s="108">
        <f>IF($I1759="▼ SORTIE",$U1759,"")</f>
        <v/>
      </c>
      <c r="L1759" s="109">
        <f>$L1758+N($J1759)-N($K1759)</f>
        <v/>
      </c>
      <c r="M1759" s="110" t="n"/>
      <c r="N1759" s="54" t="n"/>
      <c r="O1759" s="54" t="n"/>
      <c r="P1759" s="54" t="n"/>
      <c r="Q1759" s="110" t="n"/>
      <c r="R1759" s="110" t="n"/>
      <c r="S1759" s="54" t="n"/>
      <c r="T1759" s="111">
        <f>IF($G1759="","",IFERROR(INDEX(Taux_Devises,MATCH(IF($M1759="",Devise_Base,$M1759),Codes_Devises,0)),1))</f>
        <v/>
      </c>
      <c r="U1759" s="112">
        <f>IF($G1759="","",ROUND($G1759*$T1759,2))</f>
        <v/>
      </c>
      <c r="V1759" s="113">
        <f>IF($B1759="","",MONTH($B1759))</f>
        <v/>
      </c>
      <c r="W1759" s="113">
        <f>IF($B1759="","",YEAR($B1759))</f>
        <v/>
      </c>
    </row>
    <row r="1760">
      <c r="B1760" s="105" t="n"/>
      <c r="C1760" s="54" t="n"/>
      <c r="D1760" s="54" t="n"/>
      <c r="E1760" s="54" t="n"/>
      <c r="F1760" s="54" t="n"/>
      <c r="G1760" s="65" t="n"/>
      <c r="H1760" s="54" t="n"/>
      <c r="I1760" s="106">
        <f>IF($C1760="","",IFERROR(INDEX(Sens_Types,MATCH($C1760,Liste_Types,0)),""))</f>
        <v/>
      </c>
      <c r="J1760" s="107">
        <f>IF($I1760="▲ ENTRÉE",$U1760,"")</f>
        <v/>
      </c>
      <c r="K1760" s="108">
        <f>IF($I1760="▼ SORTIE",$U1760,"")</f>
        <v/>
      </c>
      <c r="L1760" s="109">
        <f>$L1759+N($J1760)-N($K1760)</f>
        <v/>
      </c>
      <c r="M1760" s="110" t="n"/>
      <c r="N1760" s="54" t="n"/>
      <c r="O1760" s="54" t="n"/>
      <c r="P1760" s="54" t="n"/>
      <c r="Q1760" s="110" t="n"/>
      <c r="R1760" s="110" t="n"/>
      <c r="S1760" s="54" t="n"/>
      <c r="T1760" s="111">
        <f>IF($G1760="","",IFERROR(INDEX(Taux_Devises,MATCH(IF($M1760="",Devise_Base,$M1760),Codes_Devises,0)),1))</f>
        <v/>
      </c>
      <c r="U1760" s="112">
        <f>IF($G1760="","",ROUND($G1760*$T1760,2))</f>
        <v/>
      </c>
      <c r="V1760" s="113">
        <f>IF($B1760="","",MONTH($B1760))</f>
        <v/>
      </c>
      <c r="W1760" s="113">
        <f>IF($B1760="","",YEAR($B1760))</f>
        <v/>
      </c>
    </row>
    <row r="1761">
      <c r="B1761" s="105" t="n"/>
      <c r="C1761" s="54" t="n"/>
      <c r="D1761" s="54" t="n"/>
      <c r="E1761" s="54" t="n"/>
      <c r="F1761" s="54" t="n"/>
      <c r="G1761" s="65" t="n"/>
      <c r="H1761" s="54" t="n"/>
      <c r="I1761" s="106">
        <f>IF($C1761="","",IFERROR(INDEX(Sens_Types,MATCH($C1761,Liste_Types,0)),""))</f>
        <v/>
      </c>
      <c r="J1761" s="107">
        <f>IF($I1761="▲ ENTRÉE",$U1761,"")</f>
        <v/>
      </c>
      <c r="K1761" s="108">
        <f>IF($I1761="▼ SORTIE",$U1761,"")</f>
        <v/>
      </c>
      <c r="L1761" s="109">
        <f>$L1760+N($J1761)-N($K1761)</f>
        <v/>
      </c>
      <c r="M1761" s="110" t="n"/>
      <c r="N1761" s="54" t="n"/>
      <c r="O1761" s="54" t="n"/>
      <c r="P1761" s="54" t="n"/>
      <c r="Q1761" s="110" t="n"/>
      <c r="R1761" s="110" t="n"/>
      <c r="S1761" s="54" t="n"/>
      <c r="T1761" s="111">
        <f>IF($G1761="","",IFERROR(INDEX(Taux_Devises,MATCH(IF($M1761="",Devise_Base,$M1761),Codes_Devises,0)),1))</f>
        <v/>
      </c>
      <c r="U1761" s="112">
        <f>IF($G1761="","",ROUND($G1761*$T1761,2))</f>
        <v/>
      </c>
      <c r="V1761" s="113">
        <f>IF($B1761="","",MONTH($B1761))</f>
        <v/>
      </c>
      <c r="W1761" s="113">
        <f>IF($B1761="","",YEAR($B1761))</f>
        <v/>
      </c>
    </row>
    <row r="1762">
      <c r="B1762" s="105" t="n"/>
      <c r="C1762" s="54" t="n"/>
      <c r="D1762" s="54" t="n"/>
      <c r="E1762" s="54" t="n"/>
      <c r="F1762" s="54" t="n"/>
      <c r="G1762" s="65" t="n"/>
      <c r="H1762" s="54" t="n"/>
      <c r="I1762" s="106">
        <f>IF($C1762="","",IFERROR(INDEX(Sens_Types,MATCH($C1762,Liste_Types,0)),""))</f>
        <v/>
      </c>
      <c r="J1762" s="107">
        <f>IF($I1762="▲ ENTRÉE",$U1762,"")</f>
        <v/>
      </c>
      <c r="K1762" s="108">
        <f>IF($I1762="▼ SORTIE",$U1762,"")</f>
        <v/>
      </c>
      <c r="L1762" s="109">
        <f>$L1761+N($J1762)-N($K1762)</f>
        <v/>
      </c>
      <c r="M1762" s="110" t="n"/>
      <c r="N1762" s="54" t="n"/>
      <c r="O1762" s="54" t="n"/>
      <c r="P1762" s="54" t="n"/>
      <c r="Q1762" s="110" t="n"/>
      <c r="R1762" s="110" t="n"/>
      <c r="S1762" s="54" t="n"/>
      <c r="T1762" s="111">
        <f>IF($G1762="","",IFERROR(INDEX(Taux_Devises,MATCH(IF($M1762="",Devise_Base,$M1762),Codes_Devises,0)),1))</f>
        <v/>
      </c>
      <c r="U1762" s="112">
        <f>IF($G1762="","",ROUND($G1762*$T1762,2))</f>
        <v/>
      </c>
      <c r="V1762" s="113">
        <f>IF($B1762="","",MONTH($B1762))</f>
        <v/>
      </c>
      <c r="W1762" s="113">
        <f>IF($B1762="","",YEAR($B1762))</f>
        <v/>
      </c>
    </row>
    <row r="1763">
      <c r="B1763" s="105" t="n"/>
      <c r="C1763" s="54" t="n"/>
      <c r="D1763" s="54" t="n"/>
      <c r="E1763" s="54" t="n"/>
      <c r="F1763" s="54" t="n"/>
      <c r="G1763" s="65" t="n"/>
      <c r="H1763" s="54" t="n"/>
      <c r="I1763" s="106">
        <f>IF($C1763="","",IFERROR(INDEX(Sens_Types,MATCH($C1763,Liste_Types,0)),""))</f>
        <v/>
      </c>
      <c r="J1763" s="107">
        <f>IF($I1763="▲ ENTRÉE",$U1763,"")</f>
        <v/>
      </c>
      <c r="K1763" s="108">
        <f>IF($I1763="▼ SORTIE",$U1763,"")</f>
        <v/>
      </c>
      <c r="L1763" s="109">
        <f>$L1762+N($J1763)-N($K1763)</f>
        <v/>
      </c>
      <c r="M1763" s="110" t="n"/>
      <c r="N1763" s="54" t="n"/>
      <c r="O1763" s="54" t="n"/>
      <c r="P1763" s="54" t="n"/>
      <c r="Q1763" s="110" t="n"/>
      <c r="R1763" s="110" t="n"/>
      <c r="S1763" s="54" t="n"/>
      <c r="T1763" s="111">
        <f>IF($G1763="","",IFERROR(INDEX(Taux_Devises,MATCH(IF($M1763="",Devise_Base,$M1763),Codes_Devises,0)),1))</f>
        <v/>
      </c>
      <c r="U1763" s="112">
        <f>IF($G1763="","",ROUND($G1763*$T1763,2))</f>
        <v/>
      </c>
      <c r="V1763" s="113">
        <f>IF($B1763="","",MONTH($B1763))</f>
        <v/>
      </c>
      <c r="W1763" s="113">
        <f>IF($B1763="","",YEAR($B1763))</f>
        <v/>
      </c>
    </row>
    <row r="1764">
      <c r="B1764" s="105" t="n"/>
      <c r="C1764" s="54" t="n"/>
      <c r="D1764" s="54" t="n"/>
      <c r="E1764" s="54" t="n"/>
      <c r="F1764" s="54" t="n"/>
      <c r="G1764" s="65" t="n"/>
      <c r="H1764" s="54" t="n"/>
      <c r="I1764" s="106">
        <f>IF($C1764="","",IFERROR(INDEX(Sens_Types,MATCH($C1764,Liste_Types,0)),""))</f>
        <v/>
      </c>
      <c r="J1764" s="107">
        <f>IF($I1764="▲ ENTRÉE",$U1764,"")</f>
        <v/>
      </c>
      <c r="K1764" s="108">
        <f>IF($I1764="▼ SORTIE",$U1764,"")</f>
        <v/>
      </c>
      <c r="L1764" s="109">
        <f>$L1763+N($J1764)-N($K1764)</f>
        <v/>
      </c>
      <c r="M1764" s="110" t="n"/>
      <c r="N1764" s="54" t="n"/>
      <c r="O1764" s="54" t="n"/>
      <c r="P1764" s="54" t="n"/>
      <c r="Q1764" s="110" t="n"/>
      <c r="R1764" s="110" t="n"/>
      <c r="S1764" s="54" t="n"/>
      <c r="T1764" s="111">
        <f>IF($G1764="","",IFERROR(INDEX(Taux_Devises,MATCH(IF($M1764="",Devise_Base,$M1764),Codes_Devises,0)),1))</f>
        <v/>
      </c>
      <c r="U1764" s="112">
        <f>IF($G1764="","",ROUND($G1764*$T1764,2))</f>
        <v/>
      </c>
      <c r="V1764" s="113">
        <f>IF($B1764="","",MONTH($B1764))</f>
        <v/>
      </c>
      <c r="W1764" s="113">
        <f>IF($B1764="","",YEAR($B1764))</f>
        <v/>
      </c>
    </row>
    <row r="1765">
      <c r="B1765" s="105" t="n"/>
      <c r="C1765" s="54" t="n"/>
      <c r="D1765" s="54" t="n"/>
      <c r="E1765" s="54" t="n"/>
      <c r="F1765" s="54" t="n"/>
      <c r="G1765" s="65" t="n"/>
      <c r="H1765" s="54" t="n"/>
      <c r="I1765" s="106">
        <f>IF($C1765="","",IFERROR(INDEX(Sens_Types,MATCH($C1765,Liste_Types,0)),""))</f>
        <v/>
      </c>
      <c r="J1765" s="107">
        <f>IF($I1765="▲ ENTRÉE",$U1765,"")</f>
        <v/>
      </c>
      <c r="K1765" s="108">
        <f>IF($I1765="▼ SORTIE",$U1765,"")</f>
        <v/>
      </c>
      <c r="L1765" s="109">
        <f>$L1764+N($J1765)-N($K1765)</f>
        <v/>
      </c>
      <c r="M1765" s="110" t="n"/>
      <c r="N1765" s="54" t="n"/>
      <c r="O1765" s="54" t="n"/>
      <c r="P1765" s="54" t="n"/>
      <c r="Q1765" s="110" t="n"/>
      <c r="R1765" s="110" t="n"/>
      <c r="S1765" s="54" t="n"/>
      <c r="T1765" s="111">
        <f>IF($G1765="","",IFERROR(INDEX(Taux_Devises,MATCH(IF($M1765="",Devise_Base,$M1765),Codes_Devises,0)),1))</f>
        <v/>
      </c>
      <c r="U1765" s="112">
        <f>IF($G1765="","",ROUND($G1765*$T1765,2))</f>
        <v/>
      </c>
      <c r="V1765" s="113">
        <f>IF($B1765="","",MONTH($B1765))</f>
        <v/>
      </c>
      <c r="W1765" s="113">
        <f>IF($B1765="","",YEAR($B1765))</f>
        <v/>
      </c>
    </row>
    <row r="1766">
      <c r="B1766" s="105" t="n"/>
      <c r="C1766" s="54" t="n"/>
      <c r="D1766" s="54" t="n"/>
      <c r="E1766" s="54" t="n"/>
      <c r="F1766" s="54" t="n"/>
      <c r="G1766" s="65" t="n"/>
      <c r="H1766" s="54" t="n"/>
      <c r="I1766" s="106">
        <f>IF($C1766="","",IFERROR(INDEX(Sens_Types,MATCH($C1766,Liste_Types,0)),""))</f>
        <v/>
      </c>
      <c r="J1766" s="107">
        <f>IF($I1766="▲ ENTRÉE",$U1766,"")</f>
        <v/>
      </c>
      <c r="K1766" s="108">
        <f>IF($I1766="▼ SORTIE",$U1766,"")</f>
        <v/>
      </c>
      <c r="L1766" s="109">
        <f>$L1765+N($J1766)-N($K1766)</f>
        <v/>
      </c>
      <c r="M1766" s="110" t="n"/>
      <c r="N1766" s="54" t="n"/>
      <c r="O1766" s="54" t="n"/>
      <c r="P1766" s="54" t="n"/>
      <c r="Q1766" s="110" t="n"/>
      <c r="R1766" s="110" t="n"/>
      <c r="S1766" s="54" t="n"/>
      <c r="T1766" s="111">
        <f>IF($G1766="","",IFERROR(INDEX(Taux_Devises,MATCH(IF($M1766="",Devise_Base,$M1766),Codes_Devises,0)),1))</f>
        <v/>
      </c>
      <c r="U1766" s="112">
        <f>IF($G1766="","",ROUND($G1766*$T1766,2))</f>
        <v/>
      </c>
      <c r="V1766" s="113">
        <f>IF($B1766="","",MONTH($B1766))</f>
        <v/>
      </c>
      <c r="W1766" s="113">
        <f>IF($B1766="","",YEAR($B1766))</f>
        <v/>
      </c>
    </row>
    <row r="1767">
      <c r="B1767" s="105" t="n"/>
      <c r="C1767" s="54" t="n"/>
      <c r="D1767" s="54" t="n"/>
      <c r="E1767" s="54" t="n"/>
      <c r="F1767" s="54" t="n"/>
      <c r="G1767" s="65" t="n"/>
      <c r="H1767" s="54" t="n"/>
      <c r="I1767" s="106">
        <f>IF($C1767="","",IFERROR(INDEX(Sens_Types,MATCH($C1767,Liste_Types,0)),""))</f>
        <v/>
      </c>
      <c r="J1767" s="107">
        <f>IF($I1767="▲ ENTRÉE",$U1767,"")</f>
        <v/>
      </c>
      <c r="K1767" s="108">
        <f>IF($I1767="▼ SORTIE",$U1767,"")</f>
        <v/>
      </c>
      <c r="L1767" s="109">
        <f>$L1766+N($J1767)-N($K1767)</f>
        <v/>
      </c>
      <c r="M1767" s="110" t="n"/>
      <c r="N1767" s="54" t="n"/>
      <c r="O1767" s="54" t="n"/>
      <c r="P1767" s="54" t="n"/>
      <c r="Q1767" s="110" t="n"/>
      <c r="R1767" s="110" t="n"/>
      <c r="S1767" s="54" t="n"/>
      <c r="T1767" s="111">
        <f>IF($G1767="","",IFERROR(INDEX(Taux_Devises,MATCH(IF($M1767="",Devise_Base,$M1767),Codes_Devises,0)),1))</f>
        <v/>
      </c>
      <c r="U1767" s="112">
        <f>IF($G1767="","",ROUND($G1767*$T1767,2))</f>
        <v/>
      </c>
      <c r="V1767" s="113">
        <f>IF($B1767="","",MONTH($B1767))</f>
        <v/>
      </c>
      <c r="W1767" s="113">
        <f>IF($B1767="","",YEAR($B1767))</f>
        <v/>
      </c>
    </row>
    <row r="1768">
      <c r="B1768" s="105" t="n"/>
      <c r="C1768" s="54" t="n"/>
      <c r="D1768" s="54" t="n"/>
      <c r="E1768" s="54" t="n"/>
      <c r="F1768" s="54" t="n"/>
      <c r="G1768" s="65" t="n"/>
      <c r="H1768" s="54" t="n"/>
      <c r="I1768" s="106">
        <f>IF($C1768="","",IFERROR(INDEX(Sens_Types,MATCH($C1768,Liste_Types,0)),""))</f>
        <v/>
      </c>
      <c r="J1768" s="107">
        <f>IF($I1768="▲ ENTRÉE",$U1768,"")</f>
        <v/>
      </c>
      <c r="K1768" s="108">
        <f>IF($I1768="▼ SORTIE",$U1768,"")</f>
        <v/>
      </c>
      <c r="L1768" s="109">
        <f>$L1767+N($J1768)-N($K1768)</f>
        <v/>
      </c>
      <c r="M1768" s="110" t="n"/>
      <c r="N1768" s="54" t="n"/>
      <c r="O1768" s="54" t="n"/>
      <c r="P1768" s="54" t="n"/>
      <c r="Q1768" s="110" t="n"/>
      <c r="R1768" s="110" t="n"/>
      <c r="S1768" s="54" t="n"/>
      <c r="T1768" s="111">
        <f>IF($G1768="","",IFERROR(INDEX(Taux_Devises,MATCH(IF($M1768="",Devise_Base,$M1768),Codes_Devises,0)),1))</f>
        <v/>
      </c>
      <c r="U1768" s="112">
        <f>IF($G1768="","",ROUND($G1768*$T1768,2))</f>
        <v/>
      </c>
      <c r="V1768" s="113">
        <f>IF($B1768="","",MONTH($B1768))</f>
        <v/>
      </c>
      <c r="W1768" s="113">
        <f>IF($B1768="","",YEAR($B1768))</f>
        <v/>
      </c>
    </row>
    <row r="1769">
      <c r="B1769" s="105" t="n"/>
      <c r="C1769" s="54" t="n"/>
      <c r="D1769" s="54" t="n"/>
      <c r="E1769" s="54" t="n"/>
      <c r="F1769" s="54" t="n"/>
      <c r="G1769" s="65" t="n"/>
      <c r="H1769" s="54" t="n"/>
      <c r="I1769" s="106">
        <f>IF($C1769="","",IFERROR(INDEX(Sens_Types,MATCH($C1769,Liste_Types,0)),""))</f>
        <v/>
      </c>
      <c r="J1769" s="107">
        <f>IF($I1769="▲ ENTRÉE",$U1769,"")</f>
        <v/>
      </c>
      <c r="K1769" s="108">
        <f>IF($I1769="▼ SORTIE",$U1769,"")</f>
        <v/>
      </c>
      <c r="L1769" s="109">
        <f>$L1768+N($J1769)-N($K1769)</f>
        <v/>
      </c>
      <c r="M1769" s="110" t="n"/>
      <c r="N1769" s="54" t="n"/>
      <c r="O1769" s="54" t="n"/>
      <c r="P1769" s="54" t="n"/>
      <c r="Q1769" s="110" t="n"/>
      <c r="R1769" s="110" t="n"/>
      <c r="S1769" s="54" t="n"/>
      <c r="T1769" s="111">
        <f>IF($G1769="","",IFERROR(INDEX(Taux_Devises,MATCH(IF($M1769="",Devise_Base,$M1769),Codes_Devises,0)),1))</f>
        <v/>
      </c>
      <c r="U1769" s="112">
        <f>IF($G1769="","",ROUND($G1769*$T1769,2))</f>
        <v/>
      </c>
      <c r="V1769" s="113">
        <f>IF($B1769="","",MONTH($B1769))</f>
        <v/>
      </c>
      <c r="W1769" s="113">
        <f>IF($B1769="","",YEAR($B1769))</f>
        <v/>
      </c>
    </row>
    <row r="1770">
      <c r="B1770" s="105" t="n"/>
      <c r="C1770" s="54" t="n"/>
      <c r="D1770" s="54" t="n"/>
      <c r="E1770" s="54" t="n"/>
      <c r="F1770" s="54" t="n"/>
      <c r="G1770" s="65" t="n"/>
      <c r="H1770" s="54" t="n"/>
      <c r="I1770" s="106">
        <f>IF($C1770="","",IFERROR(INDEX(Sens_Types,MATCH($C1770,Liste_Types,0)),""))</f>
        <v/>
      </c>
      <c r="J1770" s="107">
        <f>IF($I1770="▲ ENTRÉE",$U1770,"")</f>
        <v/>
      </c>
      <c r="K1770" s="108">
        <f>IF($I1770="▼ SORTIE",$U1770,"")</f>
        <v/>
      </c>
      <c r="L1770" s="109">
        <f>$L1769+N($J1770)-N($K1770)</f>
        <v/>
      </c>
      <c r="M1770" s="110" t="n"/>
      <c r="N1770" s="54" t="n"/>
      <c r="O1770" s="54" t="n"/>
      <c r="P1770" s="54" t="n"/>
      <c r="Q1770" s="110" t="n"/>
      <c r="R1770" s="110" t="n"/>
      <c r="S1770" s="54" t="n"/>
      <c r="T1770" s="111">
        <f>IF($G1770="","",IFERROR(INDEX(Taux_Devises,MATCH(IF($M1770="",Devise_Base,$M1770),Codes_Devises,0)),1))</f>
        <v/>
      </c>
      <c r="U1770" s="112">
        <f>IF($G1770="","",ROUND($G1770*$T1770,2))</f>
        <v/>
      </c>
      <c r="V1770" s="113">
        <f>IF($B1770="","",MONTH($B1770))</f>
        <v/>
      </c>
      <c r="W1770" s="113">
        <f>IF($B1770="","",YEAR($B1770))</f>
        <v/>
      </c>
    </row>
    <row r="1771">
      <c r="B1771" s="105" t="n"/>
      <c r="C1771" s="54" t="n"/>
      <c r="D1771" s="54" t="n"/>
      <c r="E1771" s="54" t="n"/>
      <c r="F1771" s="54" t="n"/>
      <c r="G1771" s="65" t="n"/>
      <c r="H1771" s="54" t="n"/>
      <c r="I1771" s="106">
        <f>IF($C1771="","",IFERROR(INDEX(Sens_Types,MATCH($C1771,Liste_Types,0)),""))</f>
        <v/>
      </c>
      <c r="J1771" s="107">
        <f>IF($I1771="▲ ENTRÉE",$U1771,"")</f>
        <v/>
      </c>
      <c r="K1771" s="108">
        <f>IF($I1771="▼ SORTIE",$U1771,"")</f>
        <v/>
      </c>
      <c r="L1771" s="109">
        <f>$L1770+N($J1771)-N($K1771)</f>
        <v/>
      </c>
      <c r="M1771" s="110" t="n"/>
      <c r="N1771" s="54" t="n"/>
      <c r="O1771" s="54" t="n"/>
      <c r="P1771" s="54" t="n"/>
      <c r="Q1771" s="110" t="n"/>
      <c r="R1771" s="110" t="n"/>
      <c r="S1771" s="54" t="n"/>
      <c r="T1771" s="111">
        <f>IF($G1771="","",IFERROR(INDEX(Taux_Devises,MATCH(IF($M1771="",Devise_Base,$M1771),Codes_Devises,0)),1))</f>
        <v/>
      </c>
      <c r="U1771" s="112">
        <f>IF($G1771="","",ROUND($G1771*$T1771,2))</f>
        <v/>
      </c>
      <c r="V1771" s="113">
        <f>IF($B1771="","",MONTH($B1771))</f>
        <v/>
      </c>
      <c r="W1771" s="113">
        <f>IF($B1771="","",YEAR($B1771))</f>
        <v/>
      </c>
    </row>
    <row r="1772">
      <c r="B1772" s="105" t="n"/>
      <c r="C1772" s="54" t="n"/>
      <c r="D1772" s="54" t="n"/>
      <c r="E1772" s="54" t="n"/>
      <c r="F1772" s="54" t="n"/>
      <c r="G1772" s="65" t="n"/>
      <c r="H1772" s="54" t="n"/>
      <c r="I1772" s="106">
        <f>IF($C1772="","",IFERROR(INDEX(Sens_Types,MATCH($C1772,Liste_Types,0)),""))</f>
        <v/>
      </c>
      <c r="J1772" s="107">
        <f>IF($I1772="▲ ENTRÉE",$U1772,"")</f>
        <v/>
      </c>
      <c r="K1772" s="108">
        <f>IF($I1772="▼ SORTIE",$U1772,"")</f>
        <v/>
      </c>
      <c r="L1772" s="109">
        <f>$L1771+N($J1772)-N($K1772)</f>
        <v/>
      </c>
      <c r="M1772" s="110" t="n"/>
      <c r="N1772" s="54" t="n"/>
      <c r="O1772" s="54" t="n"/>
      <c r="P1772" s="54" t="n"/>
      <c r="Q1772" s="110" t="n"/>
      <c r="R1772" s="110" t="n"/>
      <c r="S1772" s="54" t="n"/>
      <c r="T1772" s="111">
        <f>IF($G1772="","",IFERROR(INDEX(Taux_Devises,MATCH(IF($M1772="",Devise_Base,$M1772),Codes_Devises,0)),1))</f>
        <v/>
      </c>
      <c r="U1772" s="112">
        <f>IF($G1772="","",ROUND($G1772*$T1772,2))</f>
        <v/>
      </c>
      <c r="V1772" s="113">
        <f>IF($B1772="","",MONTH($B1772))</f>
        <v/>
      </c>
      <c r="W1772" s="113">
        <f>IF($B1772="","",YEAR($B1772))</f>
        <v/>
      </c>
    </row>
    <row r="1773">
      <c r="B1773" s="105" t="n"/>
      <c r="C1773" s="54" t="n"/>
      <c r="D1773" s="54" t="n"/>
      <c r="E1773" s="54" t="n"/>
      <c r="F1773" s="54" t="n"/>
      <c r="G1773" s="65" t="n"/>
      <c r="H1773" s="54" t="n"/>
      <c r="I1773" s="106">
        <f>IF($C1773="","",IFERROR(INDEX(Sens_Types,MATCH($C1773,Liste_Types,0)),""))</f>
        <v/>
      </c>
      <c r="J1773" s="107">
        <f>IF($I1773="▲ ENTRÉE",$U1773,"")</f>
        <v/>
      </c>
      <c r="K1773" s="108">
        <f>IF($I1773="▼ SORTIE",$U1773,"")</f>
        <v/>
      </c>
      <c r="L1773" s="109">
        <f>$L1772+N($J1773)-N($K1773)</f>
        <v/>
      </c>
      <c r="M1773" s="110" t="n"/>
      <c r="N1773" s="54" t="n"/>
      <c r="O1773" s="54" t="n"/>
      <c r="P1773" s="54" t="n"/>
      <c r="Q1773" s="110" t="n"/>
      <c r="R1773" s="110" t="n"/>
      <c r="S1773" s="54" t="n"/>
      <c r="T1773" s="111">
        <f>IF($G1773="","",IFERROR(INDEX(Taux_Devises,MATCH(IF($M1773="",Devise_Base,$M1773),Codes_Devises,0)),1))</f>
        <v/>
      </c>
      <c r="U1773" s="112">
        <f>IF($G1773="","",ROUND($G1773*$T1773,2))</f>
        <v/>
      </c>
      <c r="V1773" s="113">
        <f>IF($B1773="","",MONTH($B1773))</f>
        <v/>
      </c>
      <c r="W1773" s="113">
        <f>IF($B1773="","",YEAR($B1773))</f>
        <v/>
      </c>
    </row>
    <row r="1774">
      <c r="B1774" s="105" t="n"/>
      <c r="C1774" s="54" t="n"/>
      <c r="D1774" s="54" t="n"/>
      <c r="E1774" s="54" t="n"/>
      <c r="F1774" s="54" t="n"/>
      <c r="G1774" s="65" t="n"/>
      <c r="H1774" s="54" t="n"/>
      <c r="I1774" s="106">
        <f>IF($C1774="","",IFERROR(INDEX(Sens_Types,MATCH($C1774,Liste_Types,0)),""))</f>
        <v/>
      </c>
      <c r="J1774" s="107">
        <f>IF($I1774="▲ ENTRÉE",$U1774,"")</f>
        <v/>
      </c>
      <c r="K1774" s="108">
        <f>IF($I1774="▼ SORTIE",$U1774,"")</f>
        <v/>
      </c>
      <c r="L1774" s="109">
        <f>$L1773+N($J1774)-N($K1774)</f>
        <v/>
      </c>
      <c r="M1774" s="110" t="n"/>
      <c r="N1774" s="54" t="n"/>
      <c r="O1774" s="54" t="n"/>
      <c r="P1774" s="54" t="n"/>
      <c r="Q1774" s="110" t="n"/>
      <c r="R1774" s="110" t="n"/>
      <c r="S1774" s="54" t="n"/>
      <c r="T1774" s="111">
        <f>IF($G1774="","",IFERROR(INDEX(Taux_Devises,MATCH(IF($M1774="",Devise_Base,$M1774),Codes_Devises,0)),1))</f>
        <v/>
      </c>
      <c r="U1774" s="112">
        <f>IF($G1774="","",ROUND($G1774*$T1774,2))</f>
        <v/>
      </c>
      <c r="V1774" s="113">
        <f>IF($B1774="","",MONTH($B1774))</f>
        <v/>
      </c>
      <c r="W1774" s="113">
        <f>IF($B1774="","",YEAR($B1774))</f>
        <v/>
      </c>
    </row>
    <row r="1775">
      <c r="B1775" s="105" t="n"/>
      <c r="C1775" s="54" t="n"/>
      <c r="D1775" s="54" t="n"/>
      <c r="E1775" s="54" t="n"/>
      <c r="F1775" s="54" t="n"/>
      <c r="G1775" s="65" t="n"/>
      <c r="H1775" s="54" t="n"/>
      <c r="I1775" s="106">
        <f>IF($C1775="","",IFERROR(INDEX(Sens_Types,MATCH($C1775,Liste_Types,0)),""))</f>
        <v/>
      </c>
      <c r="J1775" s="107">
        <f>IF($I1775="▲ ENTRÉE",$U1775,"")</f>
        <v/>
      </c>
      <c r="K1775" s="108">
        <f>IF($I1775="▼ SORTIE",$U1775,"")</f>
        <v/>
      </c>
      <c r="L1775" s="109">
        <f>$L1774+N($J1775)-N($K1775)</f>
        <v/>
      </c>
      <c r="M1775" s="110" t="n"/>
      <c r="N1775" s="54" t="n"/>
      <c r="O1775" s="54" t="n"/>
      <c r="P1775" s="54" t="n"/>
      <c r="Q1775" s="110" t="n"/>
      <c r="R1775" s="110" t="n"/>
      <c r="S1775" s="54" t="n"/>
      <c r="T1775" s="111">
        <f>IF($G1775="","",IFERROR(INDEX(Taux_Devises,MATCH(IF($M1775="",Devise_Base,$M1775),Codes_Devises,0)),1))</f>
        <v/>
      </c>
      <c r="U1775" s="112">
        <f>IF($G1775="","",ROUND($G1775*$T1775,2))</f>
        <v/>
      </c>
      <c r="V1775" s="113">
        <f>IF($B1775="","",MONTH($B1775))</f>
        <v/>
      </c>
      <c r="W1775" s="113">
        <f>IF($B1775="","",YEAR($B1775))</f>
        <v/>
      </c>
    </row>
    <row r="1776">
      <c r="B1776" s="105" t="n"/>
      <c r="C1776" s="54" t="n"/>
      <c r="D1776" s="54" t="n"/>
      <c r="E1776" s="54" t="n"/>
      <c r="F1776" s="54" t="n"/>
      <c r="G1776" s="65" t="n"/>
      <c r="H1776" s="54" t="n"/>
      <c r="I1776" s="106">
        <f>IF($C1776="","",IFERROR(INDEX(Sens_Types,MATCH($C1776,Liste_Types,0)),""))</f>
        <v/>
      </c>
      <c r="J1776" s="107">
        <f>IF($I1776="▲ ENTRÉE",$U1776,"")</f>
        <v/>
      </c>
      <c r="K1776" s="108">
        <f>IF($I1776="▼ SORTIE",$U1776,"")</f>
        <v/>
      </c>
      <c r="L1776" s="109">
        <f>$L1775+N($J1776)-N($K1776)</f>
        <v/>
      </c>
      <c r="M1776" s="110" t="n"/>
      <c r="N1776" s="54" t="n"/>
      <c r="O1776" s="54" t="n"/>
      <c r="P1776" s="54" t="n"/>
      <c r="Q1776" s="110" t="n"/>
      <c r="R1776" s="110" t="n"/>
      <c r="S1776" s="54" t="n"/>
      <c r="T1776" s="111">
        <f>IF($G1776="","",IFERROR(INDEX(Taux_Devises,MATCH(IF($M1776="",Devise_Base,$M1776),Codes_Devises,0)),1))</f>
        <v/>
      </c>
      <c r="U1776" s="112">
        <f>IF($G1776="","",ROUND($G1776*$T1776,2))</f>
        <v/>
      </c>
      <c r="V1776" s="113">
        <f>IF($B1776="","",MONTH($B1776))</f>
        <v/>
      </c>
      <c r="W1776" s="113">
        <f>IF($B1776="","",YEAR($B1776))</f>
        <v/>
      </c>
    </row>
    <row r="1777">
      <c r="B1777" s="105" t="n"/>
      <c r="C1777" s="54" t="n"/>
      <c r="D1777" s="54" t="n"/>
      <c r="E1777" s="54" t="n"/>
      <c r="F1777" s="54" t="n"/>
      <c r="G1777" s="65" t="n"/>
      <c r="H1777" s="54" t="n"/>
      <c r="I1777" s="106">
        <f>IF($C1777="","",IFERROR(INDEX(Sens_Types,MATCH($C1777,Liste_Types,0)),""))</f>
        <v/>
      </c>
      <c r="J1777" s="107">
        <f>IF($I1777="▲ ENTRÉE",$U1777,"")</f>
        <v/>
      </c>
      <c r="K1777" s="108">
        <f>IF($I1777="▼ SORTIE",$U1777,"")</f>
        <v/>
      </c>
      <c r="L1777" s="109">
        <f>$L1776+N($J1777)-N($K1777)</f>
        <v/>
      </c>
      <c r="M1777" s="110" t="n"/>
      <c r="N1777" s="54" t="n"/>
      <c r="O1777" s="54" t="n"/>
      <c r="P1777" s="54" t="n"/>
      <c r="Q1777" s="110" t="n"/>
      <c r="R1777" s="110" t="n"/>
      <c r="S1777" s="54" t="n"/>
      <c r="T1777" s="111">
        <f>IF($G1777="","",IFERROR(INDEX(Taux_Devises,MATCH(IF($M1777="",Devise_Base,$M1777),Codes_Devises,0)),1))</f>
        <v/>
      </c>
      <c r="U1777" s="112">
        <f>IF($G1777="","",ROUND($G1777*$T1777,2))</f>
        <v/>
      </c>
      <c r="V1777" s="113">
        <f>IF($B1777="","",MONTH($B1777))</f>
        <v/>
      </c>
      <c r="W1777" s="113">
        <f>IF($B1777="","",YEAR($B1777))</f>
        <v/>
      </c>
    </row>
    <row r="1778">
      <c r="B1778" s="105" t="n"/>
      <c r="C1778" s="54" t="n"/>
      <c r="D1778" s="54" t="n"/>
      <c r="E1778" s="54" t="n"/>
      <c r="F1778" s="54" t="n"/>
      <c r="G1778" s="65" t="n"/>
      <c r="H1778" s="54" t="n"/>
      <c r="I1778" s="106">
        <f>IF($C1778="","",IFERROR(INDEX(Sens_Types,MATCH($C1778,Liste_Types,0)),""))</f>
        <v/>
      </c>
      <c r="J1778" s="107">
        <f>IF($I1778="▲ ENTRÉE",$U1778,"")</f>
        <v/>
      </c>
      <c r="K1778" s="108">
        <f>IF($I1778="▼ SORTIE",$U1778,"")</f>
        <v/>
      </c>
      <c r="L1778" s="109">
        <f>$L1777+N($J1778)-N($K1778)</f>
        <v/>
      </c>
      <c r="M1778" s="110" t="n"/>
      <c r="N1778" s="54" t="n"/>
      <c r="O1778" s="54" t="n"/>
      <c r="P1778" s="54" t="n"/>
      <c r="Q1778" s="110" t="n"/>
      <c r="R1778" s="110" t="n"/>
      <c r="S1778" s="54" t="n"/>
      <c r="T1778" s="111">
        <f>IF($G1778="","",IFERROR(INDEX(Taux_Devises,MATCH(IF($M1778="",Devise_Base,$M1778),Codes_Devises,0)),1))</f>
        <v/>
      </c>
      <c r="U1778" s="112">
        <f>IF($G1778="","",ROUND($G1778*$T1778,2))</f>
        <v/>
      </c>
      <c r="V1778" s="113">
        <f>IF($B1778="","",MONTH($B1778))</f>
        <v/>
      </c>
      <c r="W1778" s="113">
        <f>IF($B1778="","",YEAR($B1778))</f>
        <v/>
      </c>
    </row>
    <row r="1779">
      <c r="B1779" s="105" t="n"/>
      <c r="C1779" s="54" t="n"/>
      <c r="D1779" s="54" t="n"/>
      <c r="E1779" s="54" t="n"/>
      <c r="F1779" s="54" t="n"/>
      <c r="G1779" s="65" t="n"/>
      <c r="H1779" s="54" t="n"/>
      <c r="I1779" s="106">
        <f>IF($C1779="","",IFERROR(INDEX(Sens_Types,MATCH($C1779,Liste_Types,0)),""))</f>
        <v/>
      </c>
      <c r="J1779" s="107">
        <f>IF($I1779="▲ ENTRÉE",$U1779,"")</f>
        <v/>
      </c>
      <c r="K1779" s="108">
        <f>IF($I1779="▼ SORTIE",$U1779,"")</f>
        <v/>
      </c>
      <c r="L1779" s="109">
        <f>$L1778+N($J1779)-N($K1779)</f>
        <v/>
      </c>
      <c r="M1779" s="110" t="n"/>
      <c r="N1779" s="54" t="n"/>
      <c r="O1779" s="54" t="n"/>
      <c r="P1779" s="54" t="n"/>
      <c r="Q1779" s="110" t="n"/>
      <c r="R1779" s="110" t="n"/>
      <c r="S1779" s="54" t="n"/>
      <c r="T1779" s="111">
        <f>IF($G1779="","",IFERROR(INDEX(Taux_Devises,MATCH(IF($M1779="",Devise_Base,$M1779),Codes_Devises,0)),1))</f>
        <v/>
      </c>
      <c r="U1779" s="112">
        <f>IF($G1779="","",ROUND($G1779*$T1779,2))</f>
        <v/>
      </c>
      <c r="V1779" s="113">
        <f>IF($B1779="","",MONTH($B1779))</f>
        <v/>
      </c>
      <c r="W1779" s="113">
        <f>IF($B1779="","",YEAR($B1779))</f>
        <v/>
      </c>
    </row>
    <row r="1780">
      <c r="B1780" s="105" t="n"/>
      <c r="C1780" s="54" t="n"/>
      <c r="D1780" s="54" t="n"/>
      <c r="E1780" s="54" t="n"/>
      <c r="F1780" s="54" t="n"/>
      <c r="G1780" s="65" t="n"/>
      <c r="H1780" s="54" t="n"/>
      <c r="I1780" s="106">
        <f>IF($C1780="","",IFERROR(INDEX(Sens_Types,MATCH($C1780,Liste_Types,0)),""))</f>
        <v/>
      </c>
      <c r="J1780" s="107">
        <f>IF($I1780="▲ ENTRÉE",$U1780,"")</f>
        <v/>
      </c>
      <c r="K1780" s="108">
        <f>IF($I1780="▼ SORTIE",$U1780,"")</f>
        <v/>
      </c>
      <c r="L1780" s="109">
        <f>$L1779+N($J1780)-N($K1780)</f>
        <v/>
      </c>
      <c r="M1780" s="110" t="n"/>
      <c r="N1780" s="54" t="n"/>
      <c r="O1780" s="54" t="n"/>
      <c r="P1780" s="54" t="n"/>
      <c r="Q1780" s="110" t="n"/>
      <c r="R1780" s="110" t="n"/>
      <c r="S1780" s="54" t="n"/>
      <c r="T1780" s="111">
        <f>IF($G1780="","",IFERROR(INDEX(Taux_Devises,MATCH(IF($M1780="",Devise_Base,$M1780),Codes_Devises,0)),1))</f>
        <v/>
      </c>
      <c r="U1780" s="112">
        <f>IF($G1780="","",ROUND($G1780*$T1780,2))</f>
        <v/>
      </c>
      <c r="V1780" s="113">
        <f>IF($B1780="","",MONTH($B1780))</f>
        <v/>
      </c>
      <c r="W1780" s="113">
        <f>IF($B1780="","",YEAR($B1780))</f>
        <v/>
      </c>
    </row>
    <row r="1781">
      <c r="B1781" s="105" t="n"/>
      <c r="C1781" s="54" t="n"/>
      <c r="D1781" s="54" t="n"/>
      <c r="E1781" s="54" t="n"/>
      <c r="F1781" s="54" t="n"/>
      <c r="G1781" s="65" t="n"/>
      <c r="H1781" s="54" t="n"/>
      <c r="I1781" s="106">
        <f>IF($C1781="","",IFERROR(INDEX(Sens_Types,MATCH($C1781,Liste_Types,0)),""))</f>
        <v/>
      </c>
      <c r="J1781" s="107">
        <f>IF($I1781="▲ ENTRÉE",$U1781,"")</f>
        <v/>
      </c>
      <c r="K1781" s="108">
        <f>IF($I1781="▼ SORTIE",$U1781,"")</f>
        <v/>
      </c>
      <c r="L1781" s="109">
        <f>$L1780+N($J1781)-N($K1781)</f>
        <v/>
      </c>
      <c r="M1781" s="110" t="n"/>
      <c r="N1781" s="54" t="n"/>
      <c r="O1781" s="54" t="n"/>
      <c r="P1781" s="54" t="n"/>
      <c r="Q1781" s="110" t="n"/>
      <c r="R1781" s="110" t="n"/>
      <c r="S1781" s="54" t="n"/>
      <c r="T1781" s="111">
        <f>IF($G1781="","",IFERROR(INDEX(Taux_Devises,MATCH(IF($M1781="",Devise_Base,$M1781),Codes_Devises,0)),1))</f>
        <v/>
      </c>
      <c r="U1781" s="112">
        <f>IF($G1781="","",ROUND($G1781*$T1781,2))</f>
        <v/>
      </c>
      <c r="V1781" s="113">
        <f>IF($B1781="","",MONTH($B1781))</f>
        <v/>
      </c>
      <c r="W1781" s="113">
        <f>IF($B1781="","",YEAR($B1781))</f>
        <v/>
      </c>
    </row>
    <row r="1782">
      <c r="B1782" s="105" t="n"/>
      <c r="C1782" s="54" t="n"/>
      <c r="D1782" s="54" t="n"/>
      <c r="E1782" s="54" t="n"/>
      <c r="F1782" s="54" t="n"/>
      <c r="G1782" s="65" t="n"/>
      <c r="H1782" s="54" t="n"/>
      <c r="I1782" s="106">
        <f>IF($C1782="","",IFERROR(INDEX(Sens_Types,MATCH($C1782,Liste_Types,0)),""))</f>
        <v/>
      </c>
      <c r="J1782" s="107">
        <f>IF($I1782="▲ ENTRÉE",$U1782,"")</f>
        <v/>
      </c>
      <c r="K1782" s="108">
        <f>IF($I1782="▼ SORTIE",$U1782,"")</f>
        <v/>
      </c>
      <c r="L1782" s="109">
        <f>$L1781+N($J1782)-N($K1782)</f>
        <v/>
      </c>
      <c r="M1782" s="110" t="n"/>
      <c r="N1782" s="54" t="n"/>
      <c r="O1782" s="54" t="n"/>
      <c r="P1782" s="54" t="n"/>
      <c r="Q1782" s="110" t="n"/>
      <c r="R1782" s="110" t="n"/>
      <c r="S1782" s="54" t="n"/>
      <c r="T1782" s="111">
        <f>IF($G1782="","",IFERROR(INDEX(Taux_Devises,MATCH(IF($M1782="",Devise_Base,$M1782),Codes_Devises,0)),1))</f>
        <v/>
      </c>
      <c r="U1782" s="112">
        <f>IF($G1782="","",ROUND($G1782*$T1782,2))</f>
        <v/>
      </c>
      <c r="V1782" s="113">
        <f>IF($B1782="","",MONTH($B1782))</f>
        <v/>
      </c>
      <c r="W1782" s="113">
        <f>IF($B1782="","",YEAR($B1782))</f>
        <v/>
      </c>
    </row>
    <row r="1783">
      <c r="B1783" s="105" t="n"/>
      <c r="C1783" s="54" t="n"/>
      <c r="D1783" s="54" t="n"/>
      <c r="E1783" s="54" t="n"/>
      <c r="F1783" s="54" t="n"/>
      <c r="G1783" s="65" t="n"/>
      <c r="H1783" s="54" t="n"/>
      <c r="I1783" s="106">
        <f>IF($C1783="","",IFERROR(INDEX(Sens_Types,MATCH($C1783,Liste_Types,0)),""))</f>
        <v/>
      </c>
      <c r="J1783" s="107">
        <f>IF($I1783="▲ ENTRÉE",$U1783,"")</f>
        <v/>
      </c>
      <c r="K1783" s="108">
        <f>IF($I1783="▼ SORTIE",$U1783,"")</f>
        <v/>
      </c>
      <c r="L1783" s="109">
        <f>$L1782+N($J1783)-N($K1783)</f>
        <v/>
      </c>
      <c r="M1783" s="110" t="n"/>
      <c r="N1783" s="54" t="n"/>
      <c r="O1783" s="54" t="n"/>
      <c r="P1783" s="54" t="n"/>
      <c r="Q1783" s="110" t="n"/>
      <c r="R1783" s="110" t="n"/>
      <c r="S1783" s="54" t="n"/>
      <c r="T1783" s="111">
        <f>IF($G1783="","",IFERROR(INDEX(Taux_Devises,MATCH(IF($M1783="",Devise_Base,$M1783),Codes_Devises,0)),1))</f>
        <v/>
      </c>
      <c r="U1783" s="112">
        <f>IF($G1783="","",ROUND($G1783*$T1783,2))</f>
        <v/>
      </c>
      <c r="V1783" s="113">
        <f>IF($B1783="","",MONTH($B1783))</f>
        <v/>
      </c>
      <c r="W1783" s="113">
        <f>IF($B1783="","",YEAR($B1783))</f>
        <v/>
      </c>
    </row>
    <row r="1784">
      <c r="B1784" s="105" t="n"/>
      <c r="C1784" s="54" t="n"/>
      <c r="D1784" s="54" t="n"/>
      <c r="E1784" s="54" t="n"/>
      <c r="F1784" s="54" t="n"/>
      <c r="G1784" s="65" t="n"/>
      <c r="H1784" s="54" t="n"/>
      <c r="I1784" s="106">
        <f>IF($C1784="","",IFERROR(INDEX(Sens_Types,MATCH($C1784,Liste_Types,0)),""))</f>
        <v/>
      </c>
      <c r="J1784" s="107">
        <f>IF($I1784="▲ ENTRÉE",$U1784,"")</f>
        <v/>
      </c>
      <c r="K1784" s="108">
        <f>IF($I1784="▼ SORTIE",$U1784,"")</f>
        <v/>
      </c>
      <c r="L1784" s="109">
        <f>$L1783+N($J1784)-N($K1784)</f>
        <v/>
      </c>
      <c r="M1784" s="110" t="n"/>
      <c r="N1784" s="54" t="n"/>
      <c r="O1784" s="54" t="n"/>
      <c r="P1784" s="54" t="n"/>
      <c r="Q1784" s="110" t="n"/>
      <c r="R1784" s="110" t="n"/>
      <c r="S1784" s="54" t="n"/>
      <c r="T1784" s="111">
        <f>IF($G1784="","",IFERROR(INDEX(Taux_Devises,MATCH(IF($M1784="",Devise_Base,$M1784),Codes_Devises,0)),1))</f>
        <v/>
      </c>
      <c r="U1784" s="112">
        <f>IF($G1784="","",ROUND($G1784*$T1784,2))</f>
        <v/>
      </c>
      <c r="V1784" s="113">
        <f>IF($B1784="","",MONTH($B1784))</f>
        <v/>
      </c>
      <c r="W1784" s="113">
        <f>IF($B1784="","",YEAR($B1784))</f>
        <v/>
      </c>
    </row>
    <row r="1785">
      <c r="B1785" s="105" t="n"/>
      <c r="C1785" s="54" t="n"/>
      <c r="D1785" s="54" t="n"/>
      <c r="E1785" s="54" t="n"/>
      <c r="F1785" s="54" t="n"/>
      <c r="G1785" s="65" t="n"/>
      <c r="H1785" s="54" t="n"/>
      <c r="I1785" s="106">
        <f>IF($C1785="","",IFERROR(INDEX(Sens_Types,MATCH($C1785,Liste_Types,0)),""))</f>
        <v/>
      </c>
      <c r="J1785" s="107">
        <f>IF($I1785="▲ ENTRÉE",$U1785,"")</f>
        <v/>
      </c>
      <c r="K1785" s="108">
        <f>IF($I1785="▼ SORTIE",$U1785,"")</f>
        <v/>
      </c>
      <c r="L1785" s="109">
        <f>$L1784+N($J1785)-N($K1785)</f>
        <v/>
      </c>
      <c r="M1785" s="110" t="n"/>
      <c r="N1785" s="54" t="n"/>
      <c r="O1785" s="54" t="n"/>
      <c r="P1785" s="54" t="n"/>
      <c r="Q1785" s="110" t="n"/>
      <c r="R1785" s="110" t="n"/>
      <c r="S1785" s="54" t="n"/>
      <c r="T1785" s="111">
        <f>IF($G1785="","",IFERROR(INDEX(Taux_Devises,MATCH(IF($M1785="",Devise_Base,$M1785),Codes_Devises,0)),1))</f>
        <v/>
      </c>
      <c r="U1785" s="112">
        <f>IF($G1785="","",ROUND($G1785*$T1785,2))</f>
        <v/>
      </c>
      <c r="V1785" s="113">
        <f>IF($B1785="","",MONTH($B1785))</f>
        <v/>
      </c>
      <c r="W1785" s="113">
        <f>IF($B1785="","",YEAR($B1785))</f>
        <v/>
      </c>
    </row>
    <row r="1786">
      <c r="B1786" s="105" t="n"/>
      <c r="C1786" s="54" t="n"/>
      <c r="D1786" s="54" t="n"/>
      <c r="E1786" s="54" t="n"/>
      <c r="F1786" s="54" t="n"/>
      <c r="G1786" s="65" t="n"/>
      <c r="H1786" s="54" t="n"/>
      <c r="I1786" s="106">
        <f>IF($C1786="","",IFERROR(INDEX(Sens_Types,MATCH($C1786,Liste_Types,0)),""))</f>
        <v/>
      </c>
      <c r="J1786" s="107">
        <f>IF($I1786="▲ ENTRÉE",$U1786,"")</f>
        <v/>
      </c>
      <c r="K1786" s="108">
        <f>IF($I1786="▼ SORTIE",$U1786,"")</f>
        <v/>
      </c>
      <c r="L1786" s="109">
        <f>$L1785+N($J1786)-N($K1786)</f>
        <v/>
      </c>
      <c r="M1786" s="110" t="n"/>
      <c r="N1786" s="54" t="n"/>
      <c r="O1786" s="54" t="n"/>
      <c r="P1786" s="54" t="n"/>
      <c r="Q1786" s="110" t="n"/>
      <c r="R1786" s="110" t="n"/>
      <c r="S1786" s="54" t="n"/>
      <c r="T1786" s="111">
        <f>IF($G1786="","",IFERROR(INDEX(Taux_Devises,MATCH(IF($M1786="",Devise_Base,$M1786),Codes_Devises,0)),1))</f>
        <v/>
      </c>
      <c r="U1786" s="112">
        <f>IF($G1786="","",ROUND($G1786*$T1786,2))</f>
        <v/>
      </c>
      <c r="V1786" s="113">
        <f>IF($B1786="","",MONTH($B1786))</f>
        <v/>
      </c>
      <c r="W1786" s="113">
        <f>IF($B1786="","",YEAR($B1786))</f>
        <v/>
      </c>
    </row>
    <row r="1787">
      <c r="B1787" s="105" t="n"/>
      <c r="C1787" s="54" t="n"/>
      <c r="D1787" s="54" t="n"/>
      <c r="E1787" s="54" t="n"/>
      <c r="F1787" s="54" t="n"/>
      <c r="G1787" s="65" t="n"/>
      <c r="H1787" s="54" t="n"/>
      <c r="I1787" s="106">
        <f>IF($C1787="","",IFERROR(INDEX(Sens_Types,MATCH($C1787,Liste_Types,0)),""))</f>
        <v/>
      </c>
      <c r="J1787" s="107">
        <f>IF($I1787="▲ ENTRÉE",$U1787,"")</f>
        <v/>
      </c>
      <c r="K1787" s="108">
        <f>IF($I1787="▼ SORTIE",$U1787,"")</f>
        <v/>
      </c>
      <c r="L1787" s="109">
        <f>$L1786+N($J1787)-N($K1787)</f>
        <v/>
      </c>
      <c r="M1787" s="110" t="n"/>
      <c r="N1787" s="54" t="n"/>
      <c r="O1787" s="54" t="n"/>
      <c r="P1787" s="54" t="n"/>
      <c r="Q1787" s="110" t="n"/>
      <c r="R1787" s="110" t="n"/>
      <c r="S1787" s="54" t="n"/>
      <c r="T1787" s="111">
        <f>IF($G1787="","",IFERROR(INDEX(Taux_Devises,MATCH(IF($M1787="",Devise_Base,$M1787),Codes_Devises,0)),1))</f>
        <v/>
      </c>
      <c r="U1787" s="112">
        <f>IF($G1787="","",ROUND($G1787*$T1787,2))</f>
        <v/>
      </c>
      <c r="V1787" s="113">
        <f>IF($B1787="","",MONTH($B1787))</f>
        <v/>
      </c>
      <c r="W1787" s="113">
        <f>IF($B1787="","",YEAR($B1787))</f>
        <v/>
      </c>
    </row>
    <row r="1788">
      <c r="B1788" s="105" t="n"/>
      <c r="C1788" s="54" t="n"/>
      <c r="D1788" s="54" t="n"/>
      <c r="E1788" s="54" t="n"/>
      <c r="F1788" s="54" t="n"/>
      <c r="G1788" s="65" t="n"/>
      <c r="H1788" s="54" t="n"/>
      <c r="I1788" s="106">
        <f>IF($C1788="","",IFERROR(INDEX(Sens_Types,MATCH($C1788,Liste_Types,0)),""))</f>
        <v/>
      </c>
      <c r="J1788" s="107">
        <f>IF($I1788="▲ ENTRÉE",$U1788,"")</f>
        <v/>
      </c>
      <c r="K1788" s="108">
        <f>IF($I1788="▼ SORTIE",$U1788,"")</f>
        <v/>
      </c>
      <c r="L1788" s="109">
        <f>$L1787+N($J1788)-N($K1788)</f>
        <v/>
      </c>
      <c r="M1788" s="110" t="n"/>
      <c r="N1788" s="54" t="n"/>
      <c r="O1788" s="54" t="n"/>
      <c r="P1788" s="54" t="n"/>
      <c r="Q1788" s="110" t="n"/>
      <c r="R1788" s="110" t="n"/>
      <c r="S1788" s="54" t="n"/>
      <c r="T1788" s="111">
        <f>IF($G1788="","",IFERROR(INDEX(Taux_Devises,MATCH(IF($M1788="",Devise_Base,$M1788),Codes_Devises,0)),1))</f>
        <v/>
      </c>
      <c r="U1788" s="112">
        <f>IF($G1788="","",ROUND($G1788*$T1788,2))</f>
        <v/>
      </c>
      <c r="V1788" s="113">
        <f>IF($B1788="","",MONTH($B1788))</f>
        <v/>
      </c>
      <c r="W1788" s="113">
        <f>IF($B1788="","",YEAR($B1788))</f>
        <v/>
      </c>
    </row>
    <row r="1789">
      <c r="B1789" s="105" t="n"/>
      <c r="C1789" s="54" t="n"/>
      <c r="D1789" s="54" t="n"/>
      <c r="E1789" s="54" t="n"/>
      <c r="F1789" s="54" t="n"/>
      <c r="G1789" s="65" t="n"/>
      <c r="H1789" s="54" t="n"/>
      <c r="I1789" s="106">
        <f>IF($C1789="","",IFERROR(INDEX(Sens_Types,MATCH($C1789,Liste_Types,0)),""))</f>
        <v/>
      </c>
      <c r="J1789" s="107">
        <f>IF($I1789="▲ ENTRÉE",$U1789,"")</f>
        <v/>
      </c>
      <c r="K1789" s="108">
        <f>IF($I1789="▼ SORTIE",$U1789,"")</f>
        <v/>
      </c>
      <c r="L1789" s="109">
        <f>$L1788+N($J1789)-N($K1789)</f>
        <v/>
      </c>
      <c r="M1789" s="110" t="n"/>
      <c r="N1789" s="54" t="n"/>
      <c r="O1789" s="54" t="n"/>
      <c r="P1789" s="54" t="n"/>
      <c r="Q1789" s="110" t="n"/>
      <c r="R1789" s="110" t="n"/>
      <c r="S1789" s="54" t="n"/>
      <c r="T1789" s="111">
        <f>IF($G1789="","",IFERROR(INDEX(Taux_Devises,MATCH(IF($M1789="",Devise_Base,$M1789),Codes_Devises,0)),1))</f>
        <v/>
      </c>
      <c r="U1789" s="112">
        <f>IF($G1789="","",ROUND($G1789*$T1789,2))</f>
        <v/>
      </c>
      <c r="V1789" s="113">
        <f>IF($B1789="","",MONTH($B1789))</f>
        <v/>
      </c>
      <c r="W1789" s="113">
        <f>IF($B1789="","",YEAR($B1789))</f>
        <v/>
      </c>
    </row>
    <row r="1790">
      <c r="B1790" s="105" t="n"/>
      <c r="C1790" s="54" t="n"/>
      <c r="D1790" s="54" t="n"/>
      <c r="E1790" s="54" t="n"/>
      <c r="F1790" s="54" t="n"/>
      <c r="G1790" s="65" t="n"/>
      <c r="H1790" s="54" t="n"/>
      <c r="I1790" s="106">
        <f>IF($C1790="","",IFERROR(INDEX(Sens_Types,MATCH($C1790,Liste_Types,0)),""))</f>
        <v/>
      </c>
      <c r="J1790" s="107">
        <f>IF($I1790="▲ ENTRÉE",$U1790,"")</f>
        <v/>
      </c>
      <c r="K1790" s="108">
        <f>IF($I1790="▼ SORTIE",$U1790,"")</f>
        <v/>
      </c>
      <c r="L1790" s="109">
        <f>$L1789+N($J1790)-N($K1790)</f>
        <v/>
      </c>
      <c r="M1790" s="110" t="n"/>
      <c r="N1790" s="54" t="n"/>
      <c r="O1790" s="54" t="n"/>
      <c r="P1790" s="54" t="n"/>
      <c r="Q1790" s="110" t="n"/>
      <c r="R1790" s="110" t="n"/>
      <c r="S1790" s="54" t="n"/>
      <c r="T1790" s="111">
        <f>IF($G1790="","",IFERROR(INDEX(Taux_Devises,MATCH(IF($M1790="",Devise_Base,$M1790),Codes_Devises,0)),1))</f>
        <v/>
      </c>
      <c r="U1790" s="112">
        <f>IF($G1790="","",ROUND($G1790*$T1790,2))</f>
        <v/>
      </c>
      <c r="V1790" s="113">
        <f>IF($B1790="","",MONTH($B1790))</f>
        <v/>
      </c>
      <c r="W1790" s="113">
        <f>IF($B1790="","",YEAR($B1790))</f>
        <v/>
      </c>
    </row>
    <row r="1791">
      <c r="B1791" s="105" t="n"/>
      <c r="C1791" s="54" t="n"/>
      <c r="D1791" s="54" t="n"/>
      <c r="E1791" s="54" t="n"/>
      <c r="F1791" s="54" t="n"/>
      <c r="G1791" s="65" t="n"/>
      <c r="H1791" s="54" t="n"/>
      <c r="I1791" s="106">
        <f>IF($C1791="","",IFERROR(INDEX(Sens_Types,MATCH($C1791,Liste_Types,0)),""))</f>
        <v/>
      </c>
      <c r="J1791" s="107">
        <f>IF($I1791="▲ ENTRÉE",$U1791,"")</f>
        <v/>
      </c>
      <c r="K1791" s="108">
        <f>IF($I1791="▼ SORTIE",$U1791,"")</f>
        <v/>
      </c>
      <c r="L1791" s="109">
        <f>$L1790+N($J1791)-N($K1791)</f>
        <v/>
      </c>
      <c r="M1791" s="110" t="n"/>
      <c r="N1791" s="54" t="n"/>
      <c r="O1791" s="54" t="n"/>
      <c r="P1791" s="54" t="n"/>
      <c r="Q1791" s="110" t="n"/>
      <c r="R1791" s="110" t="n"/>
      <c r="S1791" s="54" t="n"/>
      <c r="T1791" s="111">
        <f>IF($G1791="","",IFERROR(INDEX(Taux_Devises,MATCH(IF($M1791="",Devise_Base,$M1791),Codes_Devises,0)),1))</f>
        <v/>
      </c>
      <c r="U1791" s="112">
        <f>IF($G1791="","",ROUND($G1791*$T1791,2))</f>
        <v/>
      </c>
      <c r="V1791" s="113">
        <f>IF($B1791="","",MONTH($B1791))</f>
        <v/>
      </c>
      <c r="W1791" s="113">
        <f>IF($B1791="","",YEAR($B1791))</f>
        <v/>
      </c>
    </row>
    <row r="1792">
      <c r="B1792" s="105" t="n"/>
      <c r="C1792" s="54" t="n"/>
      <c r="D1792" s="54" t="n"/>
      <c r="E1792" s="54" t="n"/>
      <c r="F1792" s="54" t="n"/>
      <c r="G1792" s="65" t="n"/>
      <c r="H1792" s="54" t="n"/>
      <c r="I1792" s="106">
        <f>IF($C1792="","",IFERROR(INDEX(Sens_Types,MATCH($C1792,Liste_Types,0)),""))</f>
        <v/>
      </c>
      <c r="J1792" s="107">
        <f>IF($I1792="▲ ENTRÉE",$U1792,"")</f>
        <v/>
      </c>
      <c r="K1792" s="108">
        <f>IF($I1792="▼ SORTIE",$U1792,"")</f>
        <v/>
      </c>
      <c r="L1792" s="109">
        <f>$L1791+N($J1792)-N($K1792)</f>
        <v/>
      </c>
      <c r="M1792" s="110" t="n"/>
      <c r="N1792" s="54" t="n"/>
      <c r="O1792" s="54" t="n"/>
      <c r="P1792" s="54" t="n"/>
      <c r="Q1792" s="110" t="n"/>
      <c r="R1792" s="110" t="n"/>
      <c r="S1792" s="54" t="n"/>
      <c r="T1792" s="111">
        <f>IF($G1792="","",IFERROR(INDEX(Taux_Devises,MATCH(IF($M1792="",Devise_Base,$M1792),Codes_Devises,0)),1))</f>
        <v/>
      </c>
      <c r="U1792" s="112">
        <f>IF($G1792="","",ROUND($G1792*$T1792,2))</f>
        <v/>
      </c>
      <c r="V1792" s="113">
        <f>IF($B1792="","",MONTH($B1792))</f>
        <v/>
      </c>
      <c r="W1792" s="113">
        <f>IF($B1792="","",YEAR($B1792))</f>
        <v/>
      </c>
    </row>
    <row r="1793">
      <c r="B1793" s="105" t="n"/>
      <c r="C1793" s="54" t="n"/>
      <c r="D1793" s="54" t="n"/>
      <c r="E1793" s="54" t="n"/>
      <c r="F1793" s="54" t="n"/>
      <c r="G1793" s="65" t="n"/>
      <c r="H1793" s="54" t="n"/>
      <c r="I1793" s="106">
        <f>IF($C1793="","",IFERROR(INDEX(Sens_Types,MATCH($C1793,Liste_Types,0)),""))</f>
        <v/>
      </c>
      <c r="J1793" s="107">
        <f>IF($I1793="▲ ENTRÉE",$U1793,"")</f>
        <v/>
      </c>
      <c r="K1793" s="108">
        <f>IF($I1793="▼ SORTIE",$U1793,"")</f>
        <v/>
      </c>
      <c r="L1793" s="109">
        <f>$L1792+N($J1793)-N($K1793)</f>
        <v/>
      </c>
      <c r="M1793" s="110" t="n"/>
      <c r="N1793" s="54" t="n"/>
      <c r="O1793" s="54" t="n"/>
      <c r="P1793" s="54" t="n"/>
      <c r="Q1793" s="110" t="n"/>
      <c r="R1793" s="110" t="n"/>
      <c r="S1793" s="54" t="n"/>
      <c r="T1793" s="111">
        <f>IF($G1793="","",IFERROR(INDEX(Taux_Devises,MATCH(IF($M1793="",Devise_Base,$M1793),Codes_Devises,0)),1))</f>
        <v/>
      </c>
      <c r="U1793" s="112">
        <f>IF($G1793="","",ROUND($G1793*$T1793,2))</f>
        <v/>
      </c>
      <c r="V1793" s="113">
        <f>IF($B1793="","",MONTH($B1793))</f>
        <v/>
      </c>
      <c r="W1793" s="113">
        <f>IF($B1793="","",YEAR($B1793))</f>
        <v/>
      </c>
    </row>
    <row r="1794">
      <c r="B1794" s="105" t="n"/>
      <c r="C1794" s="54" t="n"/>
      <c r="D1794" s="54" t="n"/>
      <c r="E1794" s="54" t="n"/>
      <c r="F1794" s="54" t="n"/>
      <c r="G1794" s="65" t="n"/>
      <c r="H1794" s="54" t="n"/>
      <c r="I1794" s="106">
        <f>IF($C1794="","",IFERROR(INDEX(Sens_Types,MATCH($C1794,Liste_Types,0)),""))</f>
        <v/>
      </c>
      <c r="J1794" s="107">
        <f>IF($I1794="▲ ENTRÉE",$U1794,"")</f>
        <v/>
      </c>
      <c r="K1794" s="108">
        <f>IF($I1794="▼ SORTIE",$U1794,"")</f>
        <v/>
      </c>
      <c r="L1794" s="109">
        <f>$L1793+N($J1794)-N($K1794)</f>
        <v/>
      </c>
      <c r="M1794" s="110" t="n"/>
      <c r="N1794" s="54" t="n"/>
      <c r="O1794" s="54" t="n"/>
      <c r="P1794" s="54" t="n"/>
      <c r="Q1794" s="110" t="n"/>
      <c r="R1794" s="110" t="n"/>
      <c r="S1794" s="54" t="n"/>
      <c r="T1794" s="111">
        <f>IF($G1794="","",IFERROR(INDEX(Taux_Devises,MATCH(IF($M1794="",Devise_Base,$M1794),Codes_Devises,0)),1))</f>
        <v/>
      </c>
      <c r="U1794" s="112">
        <f>IF($G1794="","",ROUND($G1794*$T1794,2))</f>
        <v/>
      </c>
      <c r="V1794" s="113">
        <f>IF($B1794="","",MONTH($B1794))</f>
        <v/>
      </c>
      <c r="W1794" s="113">
        <f>IF($B1794="","",YEAR($B1794))</f>
        <v/>
      </c>
    </row>
    <row r="1795">
      <c r="B1795" s="105" t="n"/>
      <c r="C1795" s="54" t="n"/>
      <c r="D1795" s="54" t="n"/>
      <c r="E1795" s="54" t="n"/>
      <c r="F1795" s="54" t="n"/>
      <c r="G1795" s="65" t="n"/>
      <c r="H1795" s="54" t="n"/>
      <c r="I1795" s="106">
        <f>IF($C1795="","",IFERROR(INDEX(Sens_Types,MATCH($C1795,Liste_Types,0)),""))</f>
        <v/>
      </c>
      <c r="J1795" s="107">
        <f>IF($I1795="▲ ENTRÉE",$U1795,"")</f>
        <v/>
      </c>
      <c r="K1795" s="108">
        <f>IF($I1795="▼ SORTIE",$U1795,"")</f>
        <v/>
      </c>
      <c r="L1795" s="109">
        <f>$L1794+N($J1795)-N($K1795)</f>
        <v/>
      </c>
      <c r="M1795" s="110" t="n"/>
      <c r="N1795" s="54" t="n"/>
      <c r="O1795" s="54" t="n"/>
      <c r="P1795" s="54" t="n"/>
      <c r="Q1795" s="110" t="n"/>
      <c r="R1795" s="110" t="n"/>
      <c r="S1795" s="54" t="n"/>
      <c r="T1795" s="111">
        <f>IF($G1795="","",IFERROR(INDEX(Taux_Devises,MATCH(IF($M1795="",Devise_Base,$M1795),Codes_Devises,0)),1))</f>
        <v/>
      </c>
      <c r="U1795" s="112">
        <f>IF($G1795="","",ROUND($G1795*$T1795,2))</f>
        <v/>
      </c>
      <c r="V1795" s="113">
        <f>IF($B1795="","",MONTH($B1795))</f>
        <v/>
      </c>
      <c r="W1795" s="113">
        <f>IF($B1795="","",YEAR($B1795))</f>
        <v/>
      </c>
    </row>
    <row r="1796">
      <c r="B1796" s="105" t="n"/>
      <c r="C1796" s="54" t="n"/>
      <c r="D1796" s="54" t="n"/>
      <c r="E1796" s="54" t="n"/>
      <c r="F1796" s="54" t="n"/>
      <c r="G1796" s="65" t="n"/>
      <c r="H1796" s="54" t="n"/>
      <c r="I1796" s="106">
        <f>IF($C1796="","",IFERROR(INDEX(Sens_Types,MATCH($C1796,Liste_Types,0)),""))</f>
        <v/>
      </c>
      <c r="J1796" s="107">
        <f>IF($I1796="▲ ENTRÉE",$U1796,"")</f>
        <v/>
      </c>
      <c r="K1796" s="108">
        <f>IF($I1796="▼ SORTIE",$U1796,"")</f>
        <v/>
      </c>
      <c r="L1796" s="109">
        <f>$L1795+N($J1796)-N($K1796)</f>
        <v/>
      </c>
      <c r="M1796" s="110" t="n"/>
      <c r="N1796" s="54" t="n"/>
      <c r="O1796" s="54" t="n"/>
      <c r="P1796" s="54" t="n"/>
      <c r="Q1796" s="110" t="n"/>
      <c r="R1796" s="110" t="n"/>
      <c r="S1796" s="54" t="n"/>
      <c r="T1796" s="111">
        <f>IF($G1796="","",IFERROR(INDEX(Taux_Devises,MATCH(IF($M1796="",Devise_Base,$M1796),Codes_Devises,0)),1))</f>
        <v/>
      </c>
      <c r="U1796" s="112">
        <f>IF($G1796="","",ROUND($G1796*$T1796,2))</f>
        <v/>
      </c>
      <c r="V1796" s="113">
        <f>IF($B1796="","",MONTH($B1796))</f>
        <v/>
      </c>
      <c r="W1796" s="113">
        <f>IF($B1796="","",YEAR($B1796))</f>
        <v/>
      </c>
    </row>
    <row r="1797">
      <c r="B1797" s="105" t="n"/>
      <c r="C1797" s="54" t="n"/>
      <c r="D1797" s="54" t="n"/>
      <c r="E1797" s="54" t="n"/>
      <c r="F1797" s="54" t="n"/>
      <c r="G1797" s="65" t="n"/>
      <c r="H1797" s="54" t="n"/>
      <c r="I1797" s="106">
        <f>IF($C1797="","",IFERROR(INDEX(Sens_Types,MATCH($C1797,Liste_Types,0)),""))</f>
        <v/>
      </c>
      <c r="J1797" s="107">
        <f>IF($I1797="▲ ENTRÉE",$U1797,"")</f>
        <v/>
      </c>
      <c r="K1797" s="108">
        <f>IF($I1797="▼ SORTIE",$U1797,"")</f>
        <v/>
      </c>
      <c r="L1797" s="109">
        <f>$L1796+N($J1797)-N($K1797)</f>
        <v/>
      </c>
      <c r="M1797" s="110" t="n"/>
      <c r="N1797" s="54" t="n"/>
      <c r="O1797" s="54" t="n"/>
      <c r="P1797" s="54" t="n"/>
      <c r="Q1797" s="110" t="n"/>
      <c r="R1797" s="110" t="n"/>
      <c r="S1797" s="54" t="n"/>
      <c r="T1797" s="111">
        <f>IF($G1797="","",IFERROR(INDEX(Taux_Devises,MATCH(IF($M1797="",Devise_Base,$M1797),Codes_Devises,0)),1))</f>
        <v/>
      </c>
      <c r="U1797" s="112">
        <f>IF($G1797="","",ROUND($G1797*$T1797,2))</f>
        <v/>
      </c>
      <c r="V1797" s="113">
        <f>IF($B1797="","",MONTH($B1797))</f>
        <v/>
      </c>
      <c r="W1797" s="113">
        <f>IF($B1797="","",YEAR($B1797))</f>
        <v/>
      </c>
    </row>
    <row r="1798">
      <c r="B1798" s="105" t="n"/>
      <c r="C1798" s="54" t="n"/>
      <c r="D1798" s="54" t="n"/>
      <c r="E1798" s="54" t="n"/>
      <c r="F1798" s="54" t="n"/>
      <c r="G1798" s="65" t="n"/>
      <c r="H1798" s="54" t="n"/>
      <c r="I1798" s="106">
        <f>IF($C1798="","",IFERROR(INDEX(Sens_Types,MATCH($C1798,Liste_Types,0)),""))</f>
        <v/>
      </c>
      <c r="J1798" s="107">
        <f>IF($I1798="▲ ENTRÉE",$U1798,"")</f>
        <v/>
      </c>
      <c r="K1798" s="108">
        <f>IF($I1798="▼ SORTIE",$U1798,"")</f>
        <v/>
      </c>
      <c r="L1798" s="109">
        <f>$L1797+N($J1798)-N($K1798)</f>
        <v/>
      </c>
      <c r="M1798" s="110" t="n"/>
      <c r="N1798" s="54" t="n"/>
      <c r="O1798" s="54" t="n"/>
      <c r="P1798" s="54" t="n"/>
      <c r="Q1798" s="110" t="n"/>
      <c r="R1798" s="110" t="n"/>
      <c r="S1798" s="54" t="n"/>
      <c r="T1798" s="111">
        <f>IF($G1798="","",IFERROR(INDEX(Taux_Devises,MATCH(IF($M1798="",Devise_Base,$M1798),Codes_Devises,0)),1))</f>
        <v/>
      </c>
      <c r="U1798" s="112">
        <f>IF($G1798="","",ROUND($G1798*$T1798,2))</f>
        <v/>
      </c>
      <c r="V1798" s="113">
        <f>IF($B1798="","",MONTH($B1798))</f>
        <v/>
      </c>
      <c r="W1798" s="113">
        <f>IF($B1798="","",YEAR($B1798))</f>
        <v/>
      </c>
    </row>
    <row r="1799">
      <c r="B1799" s="105" t="n"/>
      <c r="C1799" s="54" t="n"/>
      <c r="D1799" s="54" t="n"/>
      <c r="E1799" s="54" t="n"/>
      <c r="F1799" s="54" t="n"/>
      <c r="G1799" s="65" t="n"/>
      <c r="H1799" s="54" t="n"/>
      <c r="I1799" s="106">
        <f>IF($C1799="","",IFERROR(INDEX(Sens_Types,MATCH($C1799,Liste_Types,0)),""))</f>
        <v/>
      </c>
      <c r="J1799" s="107">
        <f>IF($I1799="▲ ENTRÉE",$U1799,"")</f>
        <v/>
      </c>
      <c r="K1799" s="108">
        <f>IF($I1799="▼ SORTIE",$U1799,"")</f>
        <v/>
      </c>
      <c r="L1799" s="109">
        <f>$L1798+N($J1799)-N($K1799)</f>
        <v/>
      </c>
      <c r="M1799" s="110" t="n"/>
      <c r="N1799" s="54" t="n"/>
      <c r="O1799" s="54" t="n"/>
      <c r="P1799" s="54" t="n"/>
      <c r="Q1799" s="110" t="n"/>
      <c r="R1799" s="110" t="n"/>
      <c r="S1799" s="54" t="n"/>
      <c r="T1799" s="111">
        <f>IF($G1799="","",IFERROR(INDEX(Taux_Devises,MATCH(IF($M1799="",Devise_Base,$M1799),Codes_Devises,0)),1))</f>
        <v/>
      </c>
      <c r="U1799" s="112">
        <f>IF($G1799="","",ROUND($G1799*$T1799,2))</f>
        <v/>
      </c>
      <c r="V1799" s="113">
        <f>IF($B1799="","",MONTH($B1799))</f>
        <v/>
      </c>
      <c r="W1799" s="113">
        <f>IF($B1799="","",YEAR($B1799))</f>
        <v/>
      </c>
    </row>
    <row r="1800">
      <c r="B1800" s="105" t="n"/>
      <c r="C1800" s="54" t="n"/>
      <c r="D1800" s="54" t="n"/>
      <c r="E1800" s="54" t="n"/>
      <c r="F1800" s="54" t="n"/>
      <c r="G1800" s="65" t="n"/>
      <c r="H1800" s="54" t="n"/>
      <c r="I1800" s="106">
        <f>IF($C1800="","",IFERROR(INDEX(Sens_Types,MATCH($C1800,Liste_Types,0)),""))</f>
        <v/>
      </c>
      <c r="J1800" s="107">
        <f>IF($I1800="▲ ENTRÉE",$U1800,"")</f>
        <v/>
      </c>
      <c r="K1800" s="108">
        <f>IF($I1800="▼ SORTIE",$U1800,"")</f>
        <v/>
      </c>
      <c r="L1800" s="109">
        <f>$L1799+N($J1800)-N($K1800)</f>
        <v/>
      </c>
      <c r="M1800" s="110" t="n"/>
      <c r="N1800" s="54" t="n"/>
      <c r="O1800" s="54" t="n"/>
      <c r="P1800" s="54" t="n"/>
      <c r="Q1800" s="110" t="n"/>
      <c r="R1800" s="110" t="n"/>
      <c r="S1800" s="54" t="n"/>
      <c r="T1800" s="111">
        <f>IF($G1800="","",IFERROR(INDEX(Taux_Devises,MATCH(IF($M1800="",Devise_Base,$M1800),Codes_Devises,0)),1))</f>
        <v/>
      </c>
      <c r="U1800" s="112">
        <f>IF($G1800="","",ROUND($G1800*$T1800,2))</f>
        <v/>
      </c>
      <c r="V1800" s="113">
        <f>IF($B1800="","",MONTH($B1800))</f>
        <v/>
      </c>
      <c r="W1800" s="113">
        <f>IF($B1800="","",YEAR($B1800))</f>
        <v/>
      </c>
    </row>
    <row r="1801">
      <c r="B1801" s="105" t="n"/>
      <c r="C1801" s="54" t="n"/>
      <c r="D1801" s="54" t="n"/>
      <c r="E1801" s="54" t="n"/>
      <c r="F1801" s="54" t="n"/>
      <c r="G1801" s="65" t="n"/>
      <c r="H1801" s="54" t="n"/>
      <c r="I1801" s="106">
        <f>IF($C1801="","",IFERROR(INDEX(Sens_Types,MATCH($C1801,Liste_Types,0)),""))</f>
        <v/>
      </c>
      <c r="J1801" s="107">
        <f>IF($I1801="▲ ENTRÉE",$U1801,"")</f>
        <v/>
      </c>
      <c r="K1801" s="108">
        <f>IF($I1801="▼ SORTIE",$U1801,"")</f>
        <v/>
      </c>
      <c r="L1801" s="109">
        <f>$L1800+N($J1801)-N($K1801)</f>
        <v/>
      </c>
      <c r="M1801" s="110" t="n"/>
      <c r="N1801" s="54" t="n"/>
      <c r="O1801" s="54" t="n"/>
      <c r="P1801" s="54" t="n"/>
      <c r="Q1801" s="110" t="n"/>
      <c r="R1801" s="110" t="n"/>
      <c r="S1801" s="54" t="n"/>
      <c r="T1801" s="111">
        <f>IF($G1801="","",IFERROR(INDEX(Taux_Devises,MATCH(IF($M1801="",Devise_Base,$M1801),Codes_Devises,0)),1))</f>
        <v/>
      </c>
      <c r="U1801" s="112">
        <f>IF($G1801="","",ROUND($G1801*$T1801,2))</f>
        <v/>
      </c>
      <c r="V1801" s="113">
        <f>IF($B1801="","",MONTH($B1801))</f>
        <v/>
      </c>
      <c r="W1801" s="113">
        <f>IF($B1801="","",YEAR($B1801))</f>
        <v/>
      </c>
    </row>
    <row r="1802">
      <c r="B1802" s="105" t="n"/>
      <c r="C1802" s="54" t="n"/>
      <c r="D1802" s="54" t="n"/>
      <c r="E1802" s="54" t="n"/>
      <c r="F1802" s="54" t="n"/>
      <c r="G1802" s="65" t="n"/>
      <c r="H1802" s="54" t="n"/>
      <c r="I1802" s="106">
        <f>IF($C1802="","",IFERROR(INDEX(Sens_Types,MATCH($C1802,Liste_Types,0)),""))</f>
        <v/>
      </c>
      <c r="J1802" s="107">
        <f>IF($I1802="▲ ENTRÉE",$U1802,"")</f>
        <v/>
      </c>
      <c r="K1802" s="108">
        <f>IF($I1802="▼ SORTIE",$U1802,"")</f>
        <v/>
      </c>
      <c r="L1802" s="109">
        <f>$L1801+N($J1802)-N($K1802)</f>
        <v/>
      </c>
      <c r="M1802" s="110" t="n"/>
      <c r="N1802" s="54" t="n"/>
      <c r="O1802" s="54" t="n"/>
      <c r="P1802" s="54" t="n"/>
      <c r="Q1802" s="110" t="n"/>
      <c r="R1802" s="110" t="n"/>
      <c r="S1802" s="54" t="n"/>
      <c r="T1802" s="111">
        <f>IF($G1802="","",IFERROR(INDEX(Taux_Devises,MATCH(IF($M1802="",Devise_Base,$M1802),Codes_Devises,0)),1))</f>
        <v/>
      </c>
      <c r="U1802" s="112">
        <f>IF($G1802="","",ROUND($G1802*$T1802,2))</f>
        <v/>
      </c>
      <c r="V1802" s="113">
        <f>IF($B1802="","",MONTH($B1802))</f>
        <v/>
      </c>
      <c r="W1802" s="113">
        <f>IF($B1802="","",YEAR($B1802))</f>
        <v/>
      </c>
    </row>
    <row r="1803">
      <c r="B1803" s="105" t="n"/>
      <c r="C1803" s="54" t="n"/>
      <c r="D1803" s="54" t="n"/>
      <c r="E1803" s="54" t="n"/>
      <c r="F1803" s="54" t="n"/>
      <c r="G1803" s="65" t="n"/>
      <c r="H1803" s="54" t="n"/>
      <c r="I1803" s="106">
        <f>IF($C1803="","",IFERROR(INDEX(Sens_Types,MATCH($C1803,Liste_Types,0)),""))</f>
        <v/>
      </c>
      <c r="J1803" s="107">
        <f>IF($I1803="▲ ENTRÉE",$U1803,"")</f>
        <v/>
      </c>
      <c r="K1803" s="108">
        <f>IF($I1803="▼ SORTIE",$U1803,"")</f>
        <v/>
      </c>
      <c r="L1803" s="109">
        <f>$L1802+N($J1803)-N($K1803)</f>
        <v/>
      </c>
      <c r="M1803" s="110" t="n"/>
      <c r="N1803" s="54" t="n"/>
      <c r="O1803" s="54" t="n"/>
      <c r="P1803" s="54" t="n"/>
      <c r="Q1803" s="110" t="n"/>
      <c r="R1803" s="110" t="n"/>
      <c r="S1803" s="54" t="n"/>
      <c r="T1803" s="111">
        <f>IF($G1803="","",IFERROR(INDEX(Taux_Devises,MATCH(IF($M1803="",Devise_Base,$M1803),Codes_Devises,0)),1))</f>
        <v/>
      </c>
      <c r="U1803" s="112">
        <f>IF($G1803="","",ROUND($G1803*$T1803,2))</f>
        <v/>
      </c>
      <c r="V1803" s="113">
        <f>IF($B1803="","",MONTH($B1803))</f>
        <v/>
      </c>
      <c r="W1803" s="113">
        <f>IF($B1803="","",YEAR($B1803))</f>
        <v/>
      </c>
    </row>
    <row r="1804">
      <c r="B1804" s="105" t="n"/>
      <c r="C1804" s="54" t="n"/>
      <c r="D1804" s="54" t="n"/>
      <c r="E1804" s="54" t="n"/>
      <c r="F1804" s="54" t="n"/>
      <c r="G1804" s="65" t="n"/>
      <c r="H1804" s="54" t="n"/>
      <c r="I1804" s="106">
        <f>IF($C1804="","",IFERROR(INDEX(Sens_Types,MATCH($C1804,Liste_Types,0)),""))</f>
        <v/>
      </c>
      <c r="J1804" s="107">
        <f>IF($I1804="▲ ENTRÉE",$U1804,"")</f>
        <v/>
      </c>
      <c r="K1804" s="108">
        <f>IF($I1804="▼ SORTIE",$U1804,"")</f>
        <v/>
      </c>
      <c r="L1804" s="109">
        <f>$L1803+N($J1804)-N($K1804)</f>
        <v/>
      </c>
      <c r="M1804" s="110" t="n"/>
      <c r="N1804" s="54" t="n"/>
      <c r="O1804" s="54" t="n"/>
      <c r="P1804" s="54" t="n"/>
      <c r="Q1804" s="110" t="n"/>
      <c r="R1804" s="110" t="n"/>
      <c r="S1804" s="54" t="n"/>
      <c r="T1804" s="111">
        <f>IF($G1804="","",IFERROR(INDEX(Taux_Devises,MATCH(IF($M1804="",Devise_Base,$M1804),Codes_Devises,0)),1))</f>
        <v/>
      </c>
      <c r="U1804" s="112">
        <f>IF($G1804="","",ROUND($G1804*$T1804,2))</f>
        <v/>
      </c>
      <c r="V1804" s="113">
        <f>IF($B1804="","",MONTH($B1804))</f>
        <v/>
      </c>
      <c r="W1804" s="113">
        <f>IF($B1804="","",YEAR($B1804))</f>
        <v/>
      </c>
    </row>
    <row r="1805">
      <c r="B1805" s="105" t="n"/>
      <c r="C1805" s="54" t="n"/>
      <c r="D1805" s="54" t="n"/>
      <c r="E1805" s="54" t="n"/>
      <c r="F1805" s="54" t="n"/>
      <c r="G1805" s="65" t="n"/>
      <c r="H1805" s="54" t="n"/>
      <c r="I1805" s="106">
        <f>IF($C1805="","",IFERROR(INDEX(Sens_Types,MATCH($C1805,Liste_Types,0)),""))</f>
        <v/>
      </c>
      <c r="J1805" s="107">
        <f>IF($I1805="▲ ENTRÉE",$U1805,"")</f>
        <v/>
      </c>
      <c r="K1805" s="108">
        <f>IF($I1805="▼ SORTIE",$U1805,"")</f>
        <v/>
      </c>
      <c r="L1805" s="109">
        <f>$L1804+N($J1805)-N($K1805)</f>
        <v/>
      </c>
      <c r="M1805" s="110" t="n"/>
      <c r="N1805" s="54" t="n"/>
      <c r="O1805" s="54" t="n"/>
      <c r="P1805" s="54" t="n"/>
      <c r="Q1805" s="110" t="n"/>
      <c r="R1805" s="110" t="n"/>
      <c r="S1805" s="54" t="n"/>
      <c r="T1805" s="111">
        <f>IF($G1805="","",IFERROR(INDEX(Taux_Devises,MATCH(IF($M1805="",Devise_Base,$M1805),Codes_Devises,0)),1))</f>
        <v/>
      </c>
      <c r="U1805" s="112">
        <f>IF($G1805="","",ROUND($G1805*$T1805,2))</f>
        <v/>
      </c>
      <c r="V1805" s="113">
        <f>IF($B1805="","",MONTH($B1805))</f>
        <v/>
      </c>
      <c r="W1805" s="113">
        <f>IF($B1805="","",YEAR($B1805))</f>
        <v/>
      </c>
    </row>
    <row r="1806">
      <c r="B1806" s="105" t="n"/>
      <c r="C1806" s="54" t="n"/>
      <c r="D1806" s="54" t="n"/>
      <c r="E1806" s="54" t="n"/>
      <c r="F1806" s="54" t="n"/>
      <c r="G1806" s="65" t="n"/>
      <c r="H1806" s="54" t="n"/>
      <c r="I1806" s="106">
        <f>IF($C1806="","",IFERROR(INDEX(Sens_Types,MATCH($C1806,Liste_Types,0)),""))</f>
        <v/>
      </c>
      <c r="J1806" s="107">
        <f>IF($I1806="▲ ENTRÉE",$U1806,"")</f>
        <v/>
      </c>
      <c r="K1806" s="108">
        <f>IF($I1806="▼ SORTIE",$U1806,"")</f>
        <v/>
      </c>
      <c r="L1806" s="109">
        <f>$L1805+N($J1806)-N($K1806)</f>
        <v/>
      </c>
      <c r="M1806" s="110" t="n"/>
      <c r="N1806" s="54" t="n"/>
      <c r="O1806" s="54" t="n"/>
      <c r="P1806" s="54" t="n"/>
      <c r="Q1806" s="110" t="n"/>
      <c r="R1806" s="110" t="n"/>
      <c r="S1806" s="54" t="n"/>
      <c r="T1806" s="111">
        <f>IF($G1806="","",IFERROR(INDEX(Taux_Devises,MATCH(IF($M1806="",Devise_Base,$M1806),Codes_Devises,0)),1))</f>
        <v/>
      </c>
      <c r="U1806" s="112">
        <f>IF($G1806="","",ROUND($G1806*$T1806,2))</f>
        <v/>
      </c>
      <c r="V1806" s="113">
        <f>IF($B1806="","",MONTH($B1806))</f>
        <v/>
      </c>
      <c r="W1806" s="113">
        <f>IF($B1806="","",YEAR($B1806))</f>
        <v/>
      </c>
    </row>
    <row r="1807">
      <c r="B1807" s="105" t="n"/>
      <c r="C1807" s="54" t="n"/>
      <c r="D1807" s="54" t="n"/>
      <c r="E1807" s="54" t="n"/>
      <c r="F1807" s="54" t="n"/>
      <c r="G1807" s="65" t="n"/>
      <c r="H1807" s="54" t="n"/>
      <c r="I1807" s="106">
        <f>IF($C1807="","",IFERROR(INDEX(Sens_Types,MATCH($C1807,Liste_Types,0)),""))</f>
        <v/>
      </c>
      <c r="J1807" s="107">
        <f>IF($I1807="▲ ENTRÉE",$U1807,"")</f>
        <v/>
      </c>
      <c r="K1807" s="108">
        <f>IF($I1807="▼ SORTIE",$U1807,"")</f>
        <v/>
      </c>
      <c r="L1807" s="109">
        <f>$L1806+N($J1807)-N($K1807)</f>
        <v/>
      </c>
      <c r="M1807" s="110" t="n"/>
      <c r="N1807" s="54" t="n"/>
      <c r="O1807" s="54" t="n"/>
      <c r="P1807" s="54" t="n"/>
      <c r="Q1807" s="110" t="n"/>
      <c r="R1807" s="110" t="n"/>
      <c r="S1807" s="54" t="n"/>
      <c r="T1807" s="111">
        <f>IF($G1807="","",IFERROR(INDEX(Taux_Devises,MATCH(IF($M1807="",Devise_Base,$M1807),Codes_Devises,0)),1))</f>
        <v/>
      </c>
      <c r="U1807" s="112">
        <f>IF($G1807="","",ROUND($G1807*$T1807,2))</f>
        <v/>
      </c>
      <c r="V1807" s="113">
        <f>IF($B1807="","",MONTH($B1807))</f>
        <v/>
      </c>
      <c r="W1807" s="113">
        <f>IF($B1807="","",YEAR($B1807))</f>
        <v/>
      </c>
    </row>
    <row r="1808">
      <c r="B1808" s="105" t="n"/>
      <c r="C1808" s="54" t="n"/>
      <c r="D1808" s="54" t="n"/>
      <c r="E1808" s="54" t="n"/>
      <c r="F1808" s="54" t="n"/>
      <c r="G1808" s="65" t="n"/>
      <c r="H1808" s="54" t="n"/>
      <c r="I1808" s="106">
        <f>IF($C1808="","",IFERROR(INDEX(Sens_Types,MATCH($C1808,Liste_Types,0)),""))</f>
        <v/>
      </c>
      <c r="J1808" s="107">
        <f>IF($I1808="▲ ENTRÉE",$U1808,"")</f>
        <v/>
      </c>
      <c r="K1808" s="108">
        <f>IF($I1808="▼ SORTIE",$U1808,"")</f>
        <v/>
      </c>
      <c r="L1808" s="109">
        <f>$L1807+N($J1808)-N($K1808)</f>
        <v/>
      </c>
      <c r="M1808" s="110" t="n"/>
      <c r="N1808" s="54" t="n"/>
      <c r="O1808" s="54" t="n"/>
      <c r="P1808" s="54" t="n"/>
      <c r="Q1808" s="110" t="n"/>
      <c r="R1808" s="110" t="n"/>
      <c r="S1808" s="54" t="n"/>
      <c r="T1808" s="111">
        <f>IF($G1808="","",IFERROR(INDEX(Taux_Devises,MATCH(IF($M1808="",Devise_Base,$M1808),Codes_Devises,0)),1))</f>
        <v/>
      </c>
      <c r="U1808" s="112">
        <f>IF($G1808="","",ROUND($G1808*$T1808,2))</f>
        <v/>
      </c>
      <c r="V1808" s="113">
        <f>IF($B1808="","",MONTH($B1808))</f>
        <v/>
      </c>
      <c r="W1808" s="113">
        <f>IF($B1808="","",YEAR($B1808))</f>
        <v/>
      </c>
    </row>
    <row r="1809">
      <c r="B1809" s="105" t="n"/>
      <c r="C1809" s="54" t="n"/>
      <c r="D1809" s="54" t="n"/>
      <c r="E1809" s="54" t="n"/>
      <c r="F1809" s="54" t="n"/>
      <c r="G1809" s="65" t="n"/>
      <c r="H1809" s="54" t="n"/>
      <c r="I1809" s="106">
        <f>IF($C1809="","",IFERROR(INDEX(Sens_Types,MATCH($C1809,Liste_Types,0)),""))</f>
        <v/>
      </c>
      <c r="J1809" s="107">
        <f>IF($I1809="▲ ENTRÉE",$U1809,"")</f>
        <v/>
      </c>
      <c r="K1809" s="108">
        <f>IF($I1809="▼ SORTIE",$U1809,"")</f>
        <v/>
      </c>
      <c r="L1809" s="109">
        <f>$L1808+N($J1809)-N($K1809)</f>
        <v/>
      </c>
      <c r="M1809" s="110" t="n"/>
      <c r="N1809" s="54" t="n"/>
      <c r="O1809" s="54" t="n"/>
      <c r="P1809" s="54" t="n"/>
      <c r="Q1809" s="110" t="n"/>
      <c r="R1809" s="110" t="n"/>
      <c r="S1809" s="54" t="n"/>
      <c r="T1809" s="111">
        <f>IF($G1809="","",IFERROR(INDEX(Taux_Devises,MATCH(IF($M1809="",Devise_Base,$M1809),Codes_Devises,0)),1))</f>
        <v/>
      </c>
      <c r="U1809" s="112">
        <f>IF($G1809="","",ROUND($G1809*$T1809,2))</f>
        <v/>
      </c>
      <c r="V1809" s="113">
        <f>IF($B1809="","",MONTH($B1809))</f>
        <v/>
      </c>
      <c r="W1809" s="113">
        <f>IF($B1809="","",YEAR($B1809))</f>
        <v/>
      </c>
    </row>
    <row r="1810">
      <c r="B1810" s="105" t="n"/>
      <c r="C1810" s="54" t="n"/>
      <c r="D1810" s="54" t="n"/>
      <c r="E1810" s="54" t="n"/>
      <c r="F1810" s="54" t="n"/>
      <c r="G1810" s="65" t="n"/>
      <c r="H1810" s="54" t="n"/>
      <c r="I1810" s="106">
        <f>IF($C1810="","",IFERROR(INDEX(Sens_Types,MATCH($C1810,Liste_Types,0)),""))</f>
        <v/>
      </c>
      <c r="J1810" s="107">
        <f>IF($I1810="▲ ENTRÉE",$U1810,"")</f>
        <v/>
      </c>
      <c r="K1810" s="108">
        <f>IF($I1810="▼ SORTIE",$U1810,"")</f>
        <v/>
      </c>
      <c r="L1810" s="109">
        <f>$L1809+N($J1810)-N($K1810)</f>
        <v/>
      </c>
      <c r="M1810" s="110" t="n"/>
      <c r="N1810" s="54" t="n"/>
      <c r="O1810" s="54" t="n"/>
      <c r="P1810" s="54" t="n"/>
      <c r="Q1810" s="110" t="n"/>
      <c r="R1810" s="110" t="n"/>
      <c r="S1810" s="54" t="n"/>
      <c r="T1810" s="111">
        <f>IF($G1810="","",IFERROR(INDEX(Taux_Devises,MATCH(IF($M1810="",Devise_Base,$M1810),Codes_Devises,0)),1))</f>
        <v/>
      </c>
      <c r="U1810" s="112">
        <f>IF($G1810="","",ROUND($G1810*$T1810,2))</f>
        <v/>
      </c>
      <c r="V1810" s="113">
        <f>IF($B1810="","",MONTH($B1810))</f>
        <v/>
      </c>
      <c r="W1810" s="113">
        <f>IF($B1810="","",YEAR($B1810))</f>
        <v/>
      </c>
    </row>
    <row r="1811">
      <c r="B1811" s="105" t="n"/>
      <c r="C1811" s="54" t="n"/>
      <c r="D1811" s="54" t="n"/>
      <c r="E1811" s="54" t="n"/>
      <c r="F1811" s="54" t="n"/>
      <c r="G1811" s="65" t="n"/>
      <c r="H1811" s="54" t="n"/>
      <c r="I1811" s="106">
        <f>IF($C1811="","",IFERROR(INDEX(Sens_Types,MATCH($C1811,Liste_Types,0)),""))</f>
        <v/>
      </c>
      <c r="J1811" s="107">
        <f>IF($I1811="▲ ENTRÉE",$U1811,"")</f>
        <v/>
      </c>
      <c r="K1811" s="108">
        <f>IF($I1811="▼ SORTIE",$U1811,"")</f>
        <v/>
      </c>
      <c r="L1811" s="109">
        <f>$L1810+N($J1811)-N($K1811)</f>
        <v/>
      </c>
      <c r="M1811" s="110" t="n"/>
      <c r="N1811" s="54" t="n"/>
      <c r="O1811" s="54" t="n"/>
      <c r="P1811" s="54" t="n"/>
      <c r="Q1811" s="110" t="n"/>
      <c r="R1811" s="110" t="n"/>
      <c r="S1811" s="54" t="n"/>
      <c r="T1811" s="111">
        <f>IF($G1811="","",IFERROR(INDEX(Taux_Devises,MATCH(IF($M1811="",Devise_Base,$M1811),Codes_Devises,0)),1))</f>
        <v/>
      </c>
      <c r="U1811" s="112">
        <f>IF($G1811="","",ROUND($G1811*$T1811,2))</f>
        <v/>
      </c>
      <c r="V1811" s="113">
        <f>IF($B1811="","",MONTH($B1811))</f>
        <v/>
      </c>
      <c r="W1811" s="113">
        <f>IF($B1811="","",YEAR($B1811))</f>
        <v/>
      </c>
    </row>
    <row r="1812">
      <c r="B1812" s="105" t="n"/>
      <c r="C1812" s="54" t="n"/>
      <c r="D1812" s="54" t="n"/>
      <c r="E1812" s="54" t="n"/>
      <c r="F1812" s="54" t="n"/>
      <c r="G1812" s="65" t="n"/>
      <c r="H1812" s="54" t="n"/>
      <c r="I1812" s="106">
        <f>IF($C1812="","",IFERROR(INDEX(Sens_Types,MATCH($C1812,Liste_Types,0)),""))</f>
        <v/>
      </c>
      <c r="J1812" s="107">
        <f>IF($I1812="▲ ENTRÉE",$U1812,"")</f>
        <v/>
      </c>
      <c r="K1812" s="108">
        <f>IF($I1812="▼ SORTIE",$U1812,"")</f>
        <v/>
      </c>
      <c r="L1812" s="109">
        <f>$L1811+N($J1812)-N($K1812)</f>
        <v/>
      </c>
      <c r="M1812" s="110" t="n"/>
      <c r="N1812" s="54" t="n"/>
      <c r="O1812" s="54" t="n"/>
      <c r="P1812" s="54" t="n"/>
      <c r="Q1812" s="110" t="n"/>
      <c r="R1812" s="110" t="n"/>
      <c r="S1812" s="54" t="n"/>
      <c r="T1812" s="111">
        <f>IF($G1812="","",IFERROR(INDEX(Taux_Devises,MATCH(IF($M1812="",Devise_Base,$M1812),Codes_Devises,0)),1))</f>
        <v/>
      </c>
      <c r="U1812" s="112">
        <f>IF($G1812="","",ROUND($G1812*$T1812,2))</f>
        <v/>
      </c>
      <c r="V1812" s="113">
        <f>IF($B1812="","",MONTH($B1812))</f>
        <v/>
      </c>
      <c r="W1812" s="113">
        <f>IF($B1812="","",YEAR($B1812))</f>
        <v/>
      </c>
    </row>
    <row r="1813">
      <c r="B1813" s="105" t="n"/>
      <c r="C1813" s="54" t="n"/>
      <c r="D1813" s="54" t="n"/>
      <c r="E1813" s="54" t="n"/>
      <c r="F1813" s="54" t="n"/>
      <c r="G1813" s="65" t="n"/>
      <c r="H1813" s="54" t="n"/>
      <c r="I1813" s="106">
        <f>IF($C1813="","",IFERROR(INDEX(Sens_Types,MATCH($C1813,Liste_Types,0)),""))</f>
        <v/>
      </c>
      <c r="J1813" s="107">
        <f>IF($I1813="▲ ENTRÉE",$U1813,"")</f>
        <v/>
      </c>
      <c r="K1813" s="108">
        <f>IF($I1813="▼ SORTIE",$U1813,"")</f>
        <v/>
      </c>
      <c r="L1813" s="109">
        <f>$L1812+N($J1813)-N($K1813)</f>
        <v/>
      </c>
      <c r="M1813" s="110" t="n"/>
      <c r="N1813" s="54" t="n"/>
      <c r="O1813" s="54" t="n"/>
      <c r="P1813" s="54" t="n"/>
      <c r="Q1813" s="110" t="n"/>
      <c r="R1813" s="110" t="n"/>
      <c r="S1813" s="54" t="n"/>
      <c r="T1813" s="111">
        <f>IF($G1813="","",IFERROR(INDEX(Taux_Devises,MATCH(IF($M1813="",Devise_Base,$M1813),Codes_Devises,0)),1))</f>
        <v/>
      </c>
      <c r="U1813" s="112">
        <f>IF($G1813="","",ROUND($G1813*$T1813,2))</f>
        <v/>
      </c>
      <c r="V1813" s="113">
        <f>IF($B1813="","",MONTH($B1813))</f>
        <v/>
      </c>
      <c r="W1813" s="113">
        <f>IF($B1813="","",YEAR($B1813))</f>
        <v/>
      </c>
    </row>
    <row r="1814">
      <c r="B1814" s="105" t="n"/>
      <c r="C1814" s="54" t="n"/>
      <c r="D1814" s="54" t="n"/>
      <c r="E1814" s="54" t="n"/>
      <c r="F1814" s="54" t="n"/>
      <c r="G1814" s="65" t="n"/>
      <c r="H1814" s="54" t="n"/>
      <c r="I1814" s="106">
        <f>IF($C1814="","",IFERROR(INDEX(Sens_Types,MATCH($C1814,Liste_Types,0)),""))</f>
        <v/>
      </c>
      <c r="J1814" s="107">
        <f>IF($I1814="▲ ENTRÉE",$U1814,"")</f>
        <v/>
      </c>
      <c r="K1814" s="108">
        <f>IF($I1814="▼ SORTIE",$U1814,"")</f>
        <v/>
      </c>
      <c r="L1814" s="109">
        <f>$L1813+N($J1814)-N($K1814)</f>
        <v/>
      </c>
      <c r="M1814" s="110" t="n"/>
      <c r="N1814" s="54" t="n"/>
      <c r="O1814" s="54" t="n"/>
      <c r="P1814" s="54" t="n"/>
      <c r="Q1814" s="110" t="n"/>
      <c r="R1814" s="110" t="n"/>
      <c r="S1814" s="54" t="n"/>
      <c r="T1814" s="111">
        <f>IF($G1814="","",IFERROR(INDEX(Taux_Devises,MATCH(IF($M1814="",Devise_Base,$M1814),Codes_Devises,0)),1))</f>
        <v/>
      </c>
      <c r="U1814" s="112">
        <f>IF($G1814="","",ROUND($G1814*$T1814,2))</f>
        <v/>
      </c>
      <c r="V1814" s="113">
        <f>IF($B1814="","",MONTH($B1814))</f>
        <v/>
      </c>
      <c r="W1814" s="113">
        <f>IF($B1814="","",YEAR($B1814))</f>
        <v/>
      </c>
    </row>
    <row r="1815">
      <c r="B1815" s="105" t="n"/>
      <c r="C1815" s="54" t="n"/>
      <c r="D1815" s="54" t="n"/>
      <c r="E1815" s="54" t="n"/>
      <c r="F1815" s="54" t="n"/>
      <c r="G1815" s="65" t="n"/>
      <c r="H1815" s="54" t="n"/>
      <c r="I1815" s="106">
        <f>IF($C1815="","",IFERROR(INDEX(Sens_Types,MATCH($C1815,Liste_Types,0)),""))</f>
        <v/>
      </c>
      <c r="J1815" s="107">
        <f>IF($I1815="▲ ENTRÉE",$U1815,"")</f>
        <v/>
      </c>
      <c r="K1815" s="108">
        <f>IF($I1815="▼ SORTIE",$U1815,"")</f>
        <v/>
      </c>
      <c r="L1815" s="109">
        <f>$L1814+N($J1815)-N($K1815)</f>
        <v/>
      </c>
      <c r="M1815" s="110" t="n"/>
      <c r="N1815" s="54" t="n"/>
      <c r="O1815" s="54" t="n"/>
      <c r="P1815" s="54" t="n"/>
      <c r="Q1815" s="110" t="n"/>
      <c r="R1815" s="110" t="n"/>
      <c r="S1815" s="54" t="n"/>
      <c r="T1815" s="111">
        <f>IF($G1815="","",IFERROR(INDEX(Taux_Devises,MATCH(IF($M1815="",Devise_Base,$M1815),Codes_Devises,0)),1))</f>
        <v/>
      </c>
      <c r="U1815" s="112">
        <f>IF($G1815="","",ROUND($G1815*$T1815,2))</f>
        <v/>
      </c>
      <c r="V1815" s="113">
        <f>IF($B1815="","",MONTH($B1815))</f>
        <v/>
      </c>
      <c r="W1815" s="113">
        <f>IF($B1815="","",YEAR($B1815))</f>
        <v/>
      </c>
    </row>
    <row r="1816">
      <c r="B1816" s="105" t="n"/>
      <c r="C1816" s="54" t="n"/>
      <c r="D1816" s="54" t="n"/>
      <c r="E1816" s="54" t="n"/>
      <c r="F1816" s="54" t="n"/>
      <c r="G1816" s="65" t="n"/>
      <c r="H1816" s="54" t="n"/>
      <c r="I1816" s="106">
        <f>IF($C1816="","",IFERROR(INDEX(Sens_Types,MATCH($C1816,Liste_Types,0)),""))</f>
        <v/>
      </c>
      <c r="J1816" s="107">
        <f>IF($I1816="▲ ENTRÉE",$U1816,"")</f>
        <v/>
      </c>
      <c r="K1816" s="108">
        <f>IF($I1816="▼ SORTIE",$U1816,"")</f>
        <v/>
      </c>
      <c r="L1816" s="109">
        <f>$L1815+N($J1816)-N($K1816)</f>
        <v/>
      </c>
      <c r="M1816" s="110" t="n"/>
      <c r="N1816" s="54" t="n"/>
      <c r="O1816" s="54" t="n"/>
      <c r="P1816" s="54" t="n"/>
      <c r="Q1816" s="110" t="n"/>
      <c r="R1816" s="110" t="n"/>
      <c r="S1816" s="54" t="n"/>
      <c r="T1816" s="111">
        <f>IF($G1816="","",IFERROR(INDEX(Taux_Devises,MATCH(IF($M1816="",Devise_Base,$M1816),Codes_Devises,0)),1))</f>
        <v/>
      </c>
      <c r="U1816" s="112">
        <f>IF($G1816="","",ROUND($G1816*$T1816,2))</f>
        <v/>
      </c>
      <c r="V1816" s="113">
        <f>IF($B1816="","",MONTH($B1816))</f>
        <v/>
      </c>
      <c r="W1816" s="113">
        <f>IF($B1816="","",YEAR($B1816))</f>
        <v/>
      </c>
    </row>
    <row r="1817">
      <c r="B1817" s="105" t="n"/>
      <c r="C1817" s="54" t="n"/>
      <c r="D1817" s="54" t="n"/>
      <c r="E1817" s="54" t="n"/>
      <c r="F1817" s="54" t="n"/>
      <c r="G1817" s="65" t="n"/>
      <c r="H1817" s="54" t="n"/>
      <c r="I1817" s="106">
        <f>IF($C1817="","",IFERROR(INDEX(Sens_Types,MATCH($C1817,Liste_Types,0)),""))</f>
        <v/>
      </c>
      <c r="J1817" s="107">
        <f>IF($I1817="▲ ENTRÉE",$U1817,"")</f>
        <v/>
      </c>
      <c r="K1817" s="108">
        <f>IF($I1817="▼ SORTIE",$U1817,"")</f>
        <v/>
      </c>
      <c r="L1817" s="109">
        <f>$L1816+N($J1817)-N($K1817)</f>
        <v/>
      </c>
      <c r="M1817" s="110" t="n"/>
      <c r="N1817" s="54" t="n"/>
      <c r="O1817" s="54" t="n"/>
      <c r="P1817" s="54" t="n"/>
      <c r="Q1817" s="110" t="n"/>
      <c r="R1817" s="110" t="n"/>
      <c r="S1817" s="54" t="n"/>
      <c r="T1817" s="111">
        <f>IF($G1817="","",IFERROR(INDEX(Taux_Devises,MATCH(IF($M1817="",Devise_Base,$M1817),Codes_Devises,0)),1))</f>
        <v/>
      </c>
      <c r="U1817" s="112">
        <f>IF($G1817="","",ROUND($G1817*$T1817,2))</f>
        <v/>
      </c>
      <c r="V1817" s="113">
        <f>IF($B1817="","",MONTH($B1817))</f>
        <v/>
      </c>
      <c r="W1817" s="113">
        <f>IF($B1817="","",YEAR($B1817))</f>
        <v/>
      </c>
    </row>
    <row r="1818">
      <c r="B1818" s="105" t="n"/>
      <c r="C1818" s="54" t="n"/>
      <c r="D1818" s="54" t="n"/>
      <c r="E1818" s="54" t="n"/>
      <c r="F1818" s="54" t="n"/>
      <c r="G1818" s="65" t="n"/>
      <c r="H1818" s="54" t="n"/>
      <c r="I1818" s="106">
        <f>IF($C1818="","",IFERROR(INDEX(Sens_Types,MATCH($C1818,Liste_Types,0)),""))</f>
        <v/>
      </c>
      <c r="J1818" s="107">
        <f>IF($I1818="▲ ENTRÉE",$U1818,"")</f>
        <v/>
      </c>
      <c r="K1818" s="108">
        <f>IF($I1818="▼ SORTIE",$U1818,"")</f>
        <v/>
      </c>
      <c r="L1818" s="109">
        <f>$L1817+N($J1818)-N($K1818)</f>
        <v/>
      </c>
      <c r="M1818" s="110" t="n"/>
      <c r="N1818" s="54" t="n"/>
      <c r="O1818" s="54" t="n"/>
      <c r="P1818" s="54" t="n"/>
      <c r="Q1818" s="110" t="n"/>
      <c r="R1818" s="110" t="n"/>
      <c r="S1818" s="54" t="n"/>
      <c r="T1818" s="111">
        <f>IF($G1818="","",IFERROR(INDEX(Taux_Devises,MATCH(IF($M1818="",Devise_Base,$M1818),Codes_Devises,0)),1))</f>
        <v/>
      </c>
      <c r="U1818" s="112">
        <f>IF($G1818="","",ROUND($G1818*$T1818,2))</f>
        <v/>
      </c>
      <c r="V1818" s="113">
        <f>IF($B1818="","",MONTH($B1818))</f>
        <v/>
      </c>
      <c r="W1818" s="113">
        <f>IF($B1818="","",YEAR($B1818))</f>
        <v/>
      </c>
    </row>
    <row r="1819">
      <c r="B1819" s="105" t="n"/>
      <c r="C1819" s="54" t="n"/>
      <c r="D1819" s="54" t="n"/>
      <c r="E1819" s="54" t="n"/>
      <c r="F1819" s="54" t="n"/>
      <c r="G1819" s="65" t="n"/>
      <c r="H1819" s="54" t="n"/>
      <c r="I1819" s="106">
        <f>IF($C1819="","",IFERROR(INDEX(Sens_Types,MATCH($C1819,Liste_Types,0)),""))</f>
        <v/>
      </c>
      <c r="J1819" s="107">
        <f>IF($I1819="▲ ENTRÉE",$U1819,"")</f>
        <v/>
      </c>
      <c r="K1819" s="108">
        <f>IF($I1819="▼ SORTIE",$U1819,"")</f>
        <v/>
      </c>
      <c r="L1819" s="109">
        <f>$L1818+N($J1819)-N($K1819)</f>
        <v/>
      </c>
      <c r="M1819" s="110" t="n"/>
      <c r="N1819" s="54" t="n"/>
      <c r="O1819" s="54" t="n"/>
      <c r="P1819" s="54" t="n"/>
      <c r="Q1819" s="110" t="n"/>
      <c r="R1819" s="110" t="n"/>
      <c r="S1819" s="54" t="n"/>
      <c r="T1819" s="111">
        <f>IF($G1819="","",IFERROR(INDEX(Taux_Devises,MATCH(IF($M1819="",Devise_Base,$M1819),Codes_Devises,0)),1))</f>
        <v/>
      </c>
      <c r="U1819" s="112">
        <f>IF($G1819="","",ROUND($G1819*$T1819,2))</f>
        <v/>
      </c>
      <c r="V1819" s="113">
        <f>IF($B1819="","",MONTH($B1819))</f>
        <v/>
      </c>
      <c r="W1819" s="113">
        <f>IF($B1819="","",YEAR($B1819))</f>
        <v/>
      </c>
    </row>
    <row r="1820">
      <c r="B1820" s="105" t="n"/>
      <c r="C1820" s="54" t="n"/>
      <c r="D1820" s="54" t="n"/>
      <c r="E1820" s="54" t="n"/>
      <c r="F1820" s="54" t="n"/>
      <c r="G1820" s="65" t="n"/>
      <c r="H1820" s="54" t="n"/>
      <c r="I1820" s="106">
        <f>IF($C1820="","",IFERROR(INDEX(Sens_Types,MATCH($C1820,Liste_Types,0)),""))</f>
        <v/>
      </c>
      <c r="J1820" s="107">
        <f>IF($I1820="▲ ENTRÉE",$U1820,"")</f>
        <v/>
      </c>
      <c r="K1820" s="108">
        <f>IF($I1820="▼ SORTIE",$U1820,"")</f>
        <v/>
      </c>
      <c r="L1820" s="109">
        <f>$L1819+N($J1820)-N($K1820)</f>
        <v/>
      </c>
      <c r="M1820" s="110" t="n"/>
      <c r="N1820" s="54" t="n"/>
      <c r="O1820" s="54" t="n"/>
      <c r="P1820" s="54" t="n"/>
      <c r="Q1820" s="110" t="n"/>
      <c r="R1820" s="110" t="n"/>
      <c r="S1820" s="54" t="n"/>
      <c r="T1820" s="111">
        <f>IF($G1820="","",IFERROR(INDEX(Taux_Devises,MATCH(IF($M1820="",Devise_Base,$M1820),Codes_Devises,0)),1))</f>
        <v/>
      </c>
      <c r="U1820" s="112">
        <f>IF($G1820="","",ROUND($G1820*$T1820,2))</f>
        <v/>
      </c>
      <c r="V1820" s="113">
        <f>IF($B1820="","",MONTH($B1820))</f>
        <v/>
      </c>
      <c r="W1820" s="113">
        <f>IF($B1820="","",YEAR($B1820))</f>
        <v/>
      </c>
    </row>
    <row r="1821">
      <c r="B1821" s="105" t="n"/>
      <c r="C1821" s="54" t="n"/>
      <c r="D1821" s="54" t="n"/>
      <c r="E1821" s="54" t="n"/>
      <c r="F1821" s="54" t="n"/>
      <c r="G1821" s="65" t="n"/>
      <c r="H1821" s="54" t="n"/>
      <c r="I1821" s="106">
        <f>IF($C1821="","",IFERROR(INDEX(Sens_Types,MATCH($C1821,Liste_Types,0)),""))</f>
        <v/>
      </c>
      <c r="J1821" s="107">
        <f>IF($I1821="▲ ENTRÉE",$U1821,"")</f>
        <v/>
      </c>
      <c r="K1821" s="108">
        <f>IF($I1821="▼ SORTIE",$U1821,"")</f>
        <v/>
      </c>
      <c r="L1821" s="109">
        <f>$L1820+N($J1821)-N($K1821)</f>
        <v/>
      </c>
      <c r="M1821" s="110" t="n"/>
      <c r="N1821" s="54" t="n"/>
      <c r="O1821" s="54" t="n"/>
      <c r="P1821" s="54" t="n"/>
      <c r="Q1821" s="110" t="n"/>
      <c r="R1821" s="110" t="n"/>
      <c r="S1821" s="54" t="n"/>
      <c r="T1821" s="111">
        <f>IF($G1821="","",IFERROR(INDEX(Taux_Devises,MATCH(IF($M1821="",Devise_Base,$M1821),Codes_Devises,0)),1))</f>
        <v/>
      </c>
      <c r="U1821" s="112">
        <f>IF($G1821="","",ROUND($G1821*$T1821,2))</f>
        <v/>
      </c>
      <c r="V1821" s="113">
        <f>IF($B1821="","",MONTH($B1821))</f>
        <v/>
      </c>
      <c r="W1821" s="113">
        <f>IF($B1821="","",YEAR($B1821))</f>
        <v/>
      </c>
    </row>
    <row r="1822">
      <c r="B1822" s="105" t="n"/>
      <c r="C1822" s="54" t="n"/>
      <c r="D1822" s="54" t="n"/>
      <c r="E1822" s="54" t="n"/>
      <c r="F1822" s="54" t="n"/>
      <c r="G1822" s="65" t="n"/>
      <c r="H1822" s="54" t="n"/>
      <c r="I1822" s="106">
        <f>IF($C1822="","",IFERROR(INDEX(Sens_Types,MATCH($C1822,Liste_Types,0)),""))</f>
        <v/>
      </c>
      <c r="J1822" s="107">
        <f>IF($I1822="▲ ENTRÉE",$U1822,"")</f>
        <v/>
      </c>
      <c r="K1822" s="108">
        <f>IF($I1822="▼ SORTIE",$U1822,"")</f>
        <v/>
      </c>
      <c r="L1822" s="109">
        <f>$L1821+N($J1822)-N($K1822)</f>
        <v/>
      </c>
      <c r="M1822" s="110" t="n"/>
      <c r="N1822" s="54" t="n"/>
      <c r="O1822" s="54" t="n"/>
      <c r="P1822" s="54" t="n"/>
      <c r="Q1822" s="110" t="n"/>
      <c r="R1822" s="110" t="n"/>
      <c r="S1822" s="54" t="n"/>
      <c r="T1822" s="111">
        <f>IF($G1822="","",IFERROR(INDEX(Taux_Devises,MATCH(IF($M1822="",Devise_Base,$M1822),Codes_Devises,0)),1))</f>
        <v/>
      </c>
      <c r="U1822" s="112">
        <f>IF($G1822="","",ROUND($G1822*$T1822,2))</f>
        <v/>
      </c>
      <c r="V1822" s="113">
        <f>IF($B1822="","",MONTH($B1822))</f>
        <v/>
      </c>
      <c r="W1822" s="113">
        <f>IF($B1822="","",YEAR($B1822))</f>
        <v/>
      </c>
    </row>
    <row r="1823">
      <c r="B1823" s="105" t="n"/>
      <c r="C1823" s="54" t="n"/>
      <c r="D1823" s="54" t="n"/>
      <c r="E1823" s="54" t="n"/>
      <c r="F1823" s="54" t="n"/>
      <c r="G1823" s="65" t="n"/>
      <c r="H1823" s="54" t="n"/>
      <c r="I1823" s="106">
        <f>IF($C1823="","",IFERROR(INDEX(Sens_Types,MATCH($C1823,Liste_Types,0)),""))</f>
        <v/>
      </c>
      <c r="J1823" s="107">
        <f>IF($I1823="▲ ENTRÉE",$U1823,"")</f>
        <v/>
      </c>
      <c r="K1823" s="108">
        <f>IF($I1823="▼ SORTIE",$U1823,"")</f>
        <v/>
      </c>
      <c r="L1823" s="109">
        <f>$L1822+N($J1823)-N($K1823)</f>
        <v/>
      </c>
      <c r="M1823" s="110" t="n"/>
      <c r="N1823" s="54" t="n"/>
      <c r="O1823" s="54" t="n"/>
      <c r="P1823" s="54" t="n"/>
      <c r="Q1823" s="110" t="n"/>
      <c r="R1823" s="110" t="n"/>
      <c r="S1823" s="54" t="n"/>
      <c r="T1823" s="111">
        <f>IF($G1823="","",IFERROR(INDEX(Taux_Devises,MATCH(IF($M1823="",Devise_Base,$M1823),Codes_Devises,0)),1))</f>
        <v/>
      </c>
      <c r="U1823" s="112">
        <f>IF($G1823="","",ROUND($G1823*$T1823,2))</f>
        <v/>
      </c>
      <c r="V1823" s="113">
        <f>IF($B1823="","",MONTH($B1823))</f>
        <v/>
      </c>
      <c r="W1823" s="113">
        <f>IF($B1823="","",YEAR($B1823))</f>
        <v/>
      </c>
    </row>
    <row r="1824">
      <c r="B1824" s="105" t="n"/>
      <c r="C1824" s="54" t="n"/>
      <c r="D1824" s="54" t="n"/>
      <c r="E1824" s="54" t="n"/>
      <c r="F1824" s="54" t="n"/>
      <c r="G1824" s="65" t="n"/>
      <c r="H1824" s="54" t="n"/>
      <c r="I1824" s="106">
        <f>IF($C1824="","",IFERROR(INDEX(Sens_Types,MATCH($C1824,Liste_Types,0)),""))</f>
        <v/>
      </c>
      <c r="J1824" s="107">
        <f>IF($I1824="▲ ENTRÉE",$U1824,"")</f>
        <v/>
      </c>
      <c r="K1824" s="108">
        <f>IF($I1824="▼ SORTIE",$U1824,"")</f>
        <v/>
      </c>
      <c r="L1824" s="109">
        <f>$L1823+N($J1824)-N($K1824)</f>
        <v/>
      </c>
      <c r="M1824" s="110" t="n"/>
      <c r="N1824" s="54" t="n"/>
      <c r="O1824" s="54" t="n"/>
      <c r="P1824" s="54" t="n"/>
      <c r="Q1824" s="110" t="n"/>
      <c r="R1824" s="110" t="n"/>
      <c r="S1824" s="54" t="n"/>
      <c r="T1824" s="111">
        <f>IF($G1824="","",IFERROR(INDEX(Taux_Devises,MATCH(IF($M1824="",Devise_Base,$M1824),Codes_Devises,0)),1))</f>
        <v/>
      </c>
      <c r="U1824" s="112">
        <f>IF($G1824="","",ROUND($G1824*$T1824,2))</f>
        <v/>
      </c>
      <c r="V1824" s="113">
        <f>IF($B1824="","",MONTH($B1824))</f>
        <v/>
      </c>
      <c r="W1824" s="113">
        <f>IF($B1824="","",YEAR($B1824))</f>
        <v/>
      </c>
    </row>
    <row r="1825">
      <c r="B1825" s="105" t="n"/>
      <c r="C1825" s="54" t="n"/>
      <c r="D1825" s="54" t="n"/>
      <c r="E1825" s="54" t="n"/>
      <c r="F1825" s="54" t="n"/>
      <c r="G1825" s="65" t="n"/>
      <c r="H1825" s="54" t="n"/>
      <c r="I1825" s="106">
        <f>IF($C1825="","",IFERROR(INDEX(Sens_Types,MATCH($C1825,Liste_Types,0)),""))</f>
        <v/>
      </c>
      <c r="J1825" s="107">
        <f>IF($I1825="▲ ENTRÉE",$U1825,"")</f>
        <v/>
      </c>
      <c r="K1825" s="108">
        <f>IF($I1825="▼ SORTIE",$U1825,"")</f>
        <v/>
      </c>
      <c r="L1825" s="109">
        <f>$L1824+N($J1825)-N($K1825)</f>
        <v/>
      </c>
      <c r="M1825" s="110" t="n"/>
      <c r="N1825" s="54" t="n"/>
      <c r="O1825" s="54" t="n"/>
      <c r="P1825" s="54" t="n"/>
      <c r="Q1825" s="110" t="n"/>
      <c r="R1825" s="110" t="n"/>
      <c r="S1825" s="54" t="n"/>
      <c r="T1825" s="111">
        <f>IF($G1825="","",IFERROR(INDEX(Taux_Devises,MATCH(IF($M1825="",Devise_Base,$M1825),Codes_Devises,0)),1))</f>
        <v/>
      </c>
      <c r="U1825" s="112">
        <f>IF($G1825="","",ROUND($G1825*$T1825,2))</f>
        <v/>
      </c>
      <c r="V1825" s="113">
        <f>IF($B1825="","",MONTH($B1825))</f>
        <v/>
      </c>
      <c r="W1825" s="113">
        <f>IF($B1825="","",YEAR($B1825))</f>
        <v/>
      </c>
    </row>
    <row r="1826">
      <c r="B1826" s="105" t="n"/>
      <c r="C1826" s="54" t="n"/>
      <c r="D1826" s="54" t="n"/>
      <c r="E1826" s="54" t="n"/>
      <c r="F1826" s="54" t="n"/>
      <c r="G1826" s="65" t="n"/>
      <c r="H1826" s="54" t="n"/>
      <c r="I1826" s="106">
        <f>IF($C1826="","",IFERROR(INDEX(Sens_Types,MATCH($C1826,Liste_Types,0)),""))</f>
        <v/>
      </c>
      <c r="J1826" s="107">
        <f>IF($I1826="▲ ENTRÉE",$U1826,"")</f>
        <v/>
      </c>
      <c r="K1826" s="108">
        <f>IF($I1826="▼ SORTIE",$U1826,"")</f>
        <v/>
      </c>
      <c r="L1826" s="109">
        <f>$L1825+N($J1826)-N($K1826)</f>
        <v/>
      </c>
      <c r="M1826" s="110" t="n"/>
      <c r="N1826" s="54" t="n"/>
      <c r="O1826" s="54" t="n"/>
      <c r="P1826" s="54" t="n"/>
      <c r="Q1826" s="110" t="n"/>
      <c r="R1826" s="110" t="n"/>
      <c r="S1826" s="54" t="n"/>
      <c r="T1826" s="111">
        <f>IF($G1826="","",IFERROR(INDEX(Taux_Devises,MATCH(IF($M1826="",Devise_Base,$M1826),Codes_Devises,0)),1))</f>
        <v/>
      </c>
      <c r="U1826" s="112">
        <f>IF($G1826="","",ROUND($G1826*$T1826,2))</f>
        <v/>
      </c>
      <c r="V1826" s="113">
        <f>IF($B1826="","",MONTH($B1826))</f>
        <v/>
      </c>
      <c r="W1826" s="113">
        <f>IF($B1826="","",YEAR($B1826))</f>
        <v/>
      </c>
    </row>
    <row r="1827">
      <c r="B1827" s="105" t="n"/>
      <c r="C1827" s="54" t="n"/>
      <c r="D1827" s="54" t="n"/>
      <c r="E1827" s="54" t="n"/>
      <c r="F1827" s="54" t="n"/>
      <c r="G1827" s="65" t="n"/>
      <c r="H1827" s="54" t="n"/>
      <c r="I1827" s="106">
        <f>IF($C1827="","",IFERROR(INDEX(Sens_Types,MATCH($C1827,Liste_Types,0)),""))</f>
        <v/>
      </c>
      <c r="J1827" s="107">
        <f>IF($I1827="▲ ENTRÉE",$U1827,"")</f>
        <v/>
      </c>
      <c r="K1827" s="108">
        <f>IF($I1827="▼ SORTIE",$U1827,"")</f>
        <v/>
      </c>
      <c r="L1827" s="109">
        <f>$L1826+N($J1827)-N($K1827)</f>
        <v/>
      </c>
      <c r="M1827" s="110" t="n"/>
      <c r="N1827" s="54" t="n"/>
      <c r="O1827" s="54" t="n"/>
      <c r="P1827" s="54" t="n"/>
      <c r="Q1827" s="110" t="n"/>
      <c r="R1827" s="110" t="n"/>
      <c r="S1827" s="54" t="n"/>
      <c r="T1827" s="111">
        <f>IF($G1827="","",IFERROR(INDEX(Taux_Devises,MATCH(IF($M1827="",Devise_Base,$M1827),Codes_Devises,0)),1))</f>
        <v/>
      </c>
      <c r="U1827" s="112">
        <f>IF($G1827="","",ROUND($G1827*$T1827,2))</f>
        <v/>
      </c>
      <c r="V1827" s="113">
        <f>IF($B1827="","",MONTH($B1827))</f>
        <v/>
      </c>
      <c r="W1827" s="113">
        <f>IF($B1827="","",YEAR($B1827))</f>
        <v/>
      </c>
    </row>
    <row r="1828">
      <c r="B1828" s="105" t="n"/>
      <c r="C1828" s="54" t="n"/>
      <c r="D1828" s="54" t="n"/>
      <c r="E1828" s="54" t="n"/>
      <c r="F1828" s="54" t="n"/>
      <c r="G1828" s="65" t="n"/>
      <c r="H1828" s="54" t="n"/>
      <c r="I1828" s="106">
        <f>IF($C1828="","",IFERROR(INDEX(Sens_Types,MATCH($C1828,Liste_Types,0)),""))</f>
        <v/>
      </c>
      <c r="J1828" s="107">
        <f>IF($I1828="▲ ENTRÉE",$U1828,"")</f>
        <v/>
      </c>
      <c r="K1828" s="108">
        <f>IF($I1828="▼ SORTIE",$U1828,"")</f>
        <v/>
      </c>
      <c r="L1828" s="109">
        <f>$L1827+N($J1828)-N($K1828)</f>
        <v/>
      </c>
      <c r="M1828" s="110" t="n"/>
      <c r="N1828" s="54" t="n"/>
      <c r="O1828" s="54" t="n"/>
      <c r="P1828" s="54" t="n"/>
      <c r="Q1828" s="110" t="n"/>
      <c r="R1828" s="110" t="n"/>
      <c r="S1828" s="54" t="n"/>
      <c r="T1828" s="111">
        <f>IF($G1828="","",IFERROR(INDEX(Taux_Devises,MATCH(IF($M1828="",Devise_Base,$M1828),Codes_Devises,0)),1))</f>
        <v/>
      </c>
      <c r="U1828" s="112">
        <f>IF($G1828="","",ROUND($G1828*$T1828,2))</f>
        <v/>
      </c>
      <c r="V1828" s="113">
        <f>IF($B1828="","",MONTH($B1828))</f>
        <v/>
      </c>
      <c r="W1828" s="113">
        <f>IF($B1828="","",YEAR($B1828))</f>
        <v/>
      </c>
    </row>
    <row r="1829">
      <c r="B1829" s="105" t="n"/>
      <c r="C1829" s="54" t="n"/>
      <c r="D1829" s="54" t="n"/>
      <c r="E1829" s="54" t="n"/>
      <c r="F1829" s="54" t="n"/>
      <c r="G1829" s="65" t="n"/>
      <c r="H1829" s="54" t="n"/>
      <c r="I1829" s="106">
        <f>IF($C1829="","",IFERROR(INDEX(Sens_Types,MATCH($C1829,Liste_Types,0)),""))</f>
        <v/>
      </c>
      <c r="J1829" s="107">
        <f>IF($I1829="▲ ENTRÉE",$U1829,"")</f>
        <v/>
      </c>
      <c r="K1829" s="108">
        <f>IF($I1829="▼ SORTIE",$U1829,"")</f>
        <v/>
      </c>
      <c r="L1829" s="109">
        <f>$L1828+N($J1829)-N($K1829)</f>
        <v/>
      </c>
      <c r="M1829" s="110" t="n"/>
      <c r="N1829" s="54" t="n"/>
      <c r="O1829" s="54" t="n"/>
      <c r="P1829" s="54" t="n"/>
      <c r="Q1829" s="110" t="n"/>
      <c r="R1829" s="110" t="n"/>
      <c r="S1829" s="54" t="n"/>
      <c r="T1829" s="111">
        <f>IF($G1829="","",IFERROR(INDEX(Taux_Devises,MATCH(IF($M1829="",Devise_Base,$M1829),Codes_Devises,0)),1))</f>
        <v/>
      </c>
      <c r="U1829" s="112">
        <f>IF($G1829="","",ROUND($G1829*$T1829,2))</f>
        <v/>
      </c>
      <c r="V1829" s="113">
        <f>IF($B1829="","",MONTH($B1829))</f>
        <v/>
      </c>
      <c r="W1829" s="113">
        <f>IF($B1829="","",YEAR($B1829))</f>
        <v/>
      </c>
    </row>
    <row r="1830">
      <c r="B1830" s="105" t="n"/>
      <c r="C1830" s="54" t="n"/>
      <c r="D1830" s="54" t="n"/>
      <c r="E1830" s="54" t="n"/>
      <c r="F1830" s="54" t="n"/>
      <c r="G1830" s="65" t="n"/>
      <c r="H1830" s="54" t="n"/>
      <c r="I1830" s="106">
        <f>IF($C1830="","",IFERROR(INDEX(Sens_Types,MATCH($C1830,Liste_Types,0)),""))</f>
        <v/>
      </c>
      <c r="J1830" s="107">
        <f>IF($I1830="▲ ENTRÉE",$U1830,"")</f>
        <v/>
      </c>
      <c r="K1830" s="108">
        <f>IF($I1830="▼ SORTIE",$U1830,"")</f>
        <v/>
      </c>
      <c r="L1830" s="109">
        <f>$L1829+N($J1830)-N($K1830)</f>
        <v/>
      </c>
      <c r="M1830" s="110" t="n"/>
      <c r="N1830" s="54" t="n"/>
      <c r="O1830" s="54" t="n"/>
      <c r="P1830" s="54" t="n"/>
      <c r="Q1830" s="110" t="n"/>
      <c r="R1830" s="110" t="n"/>
      <c r="S1830" s="54" t="n"/>
      <c r="T1830" s="111">
        <f>IF($G1830="","",IFERROR(INDEX(Taux_Devises,MATCH(IF($M1830="",Devise_Base,$M1830),Codes_Devises,0)),1))</f>
        <v/>
      </c>
      <c r="U1830" s="112">
        <f>IF($G1830="","",ROUND($G1830*$T1830,2))</f>
        <v/>
      </c>
      <c r="V1830" s="113">
        <f>IF($B1830="","",MONTH($B1830))</f>
        <v/>
      </c>
      <c r="W1830" s="113">
        <f>IF($B1830="","",YEAR($B1830))</f>
        <v/>
      </c>
    </row>
    <row r="1831">
      <c r="B1831" s="105" t="n"/>
      <c r="C1831" s="54" t="n"/>
      <c r="D1831" s="54" t="n"/>
      <c r="E1831" s="54" t="n"/>
      <c r="F1831" s="54" t="n"/>
      <c r="G1831" s="65" t="n"/>
      <c r="H1831" s="54" t="n"/>
      <c r="I1831" s="106">
        <f>IF($C1831="","",IFERROR(INDEX(Sens_Types,MATCH($C1831,Liste_Types,0)),""))</f>
        <v/>
      </c>
      <c r="J1831" s="107">
        <f>IF($I1831="▲ ENTRÉE",$U1831,"")</f>
        <v/>
      </c>
      <c r="K1831" s="108">
        <f>IF($I1831="▼ SORTIE",$U1831,"")</f>
        <v/>
      </c>
      <c r="L1831" s="109">
        <f>$L1830+N($J1831)-N($K1831)</f>
        <v/>
      </c>
      <c r="M1831" s="110" t="n"/>
      <c r="N1831" s="54" t="n"/>
      <c r="O1831" s="54" t="n"/>
      <c r="P1831" s="54" t="n"/>
      <c r="Q1831" s="110" t="n"/>
      <c r="R1831" s="110" t="n"/>
      <c r="S1831" s="54" t="n"/>
      <c r="T1831" s="111">
        <f>IF($G1831="","",IFERROR(INDEX(Taux_Devises,MATCH(IF($M1831="",Devise_Base,$M1831),Codes_Devises,0)),1))</f>
        <v/>
      </c>
      <c r="U1831" s="112">
        <f>IF($G1831="","",ROUND($G1831*$T1831,2))</f>
        <v/>
      </c>
      <c r="V1831" s="113">
        <f>IF($B1831="","",MONTH($B1831))</f>
        <v/>
      </c>
      <c r="W1831" s="113">
        <f>IF($B1831="","",YEAR($B1831))</f>
        <v/>
      </c>
    </row>
    <row r="1832">
      <c r="B1832" s="105" t="n"/>
      <c r="C1832" s="54" t="n"/>
      <c r="D1832" s="54" t="n"/>
      <c r="E1832" s="54" t="n"/>
      <c r="F1832" s="54" t="n"/>
      <c r="G1832" s="65" t="n"/>
      <c r="H1832" s="54" t="n"/>
      <c r="I1832" s="106">
        <f>IF($C1832="","",IFERROR(INDEX(Sens_Types,MATCH($C1832,Liste_Types,0)),""))</f>
        <v/>
      </c>
      <c r="J1832" s="107">
        <f>IF($I1832="▲ ENTRÉE",$U1832,"")</f>
        <v/>
      </c>
      <c r="K1832" s="108">
        <f>IF($I1832="▼ SORTIE",$U1832,"")</f>
        <v/>
      </c>
      <c r="L1832" s="109">
        <f>$L1831+N($J1832)-N($K1832)</f>
        <v/>
      </c>
      <c r="M1832" s="110" t="n"/>
      <c r="N1832" s="54" t="n"/>
      <c r="O1832" s="54" t="n"/>
      <c r="P1832" s="54" t="n"/>
      <c r="Q1832" s="110" t="n"/>
      <c r="R1832" s="110" t="n"/>
      <c r="S1832" s="54" t="n"/>
      <c r="T1832" s="111">
        <f>IF($G1832="","",IFERROR(INDEX(Taux_Devises,MATCH(IF($M1832="",Devise_Base,$M1832),Codes_Devises,0)),1))</f>
        <v/>
      </c>
      <c r="U1832" s="112">
        <f>IF($G1832="","",ROUND($G1832*$T1832,2))</f>
        <v/>
      </c>
      <c r="V1832" s="113">
        <f>IF($B1832="","",MONTH($B1832))</f>
        <v/>
      </c>
      <c r="W1832" s="113">
        <f>IF($B1832="","",YEAR($B1832))</f>
        <v/>
      </c>
    </row>
    <row r="1833">
      <c r="B1833" s="105" t="n"/>
      <c r="C1833" s="54" t="n"/>
      <c r="D1833" s="54" t="n"/>
      <c r="E1833" s="54" t="n"/>
      <c r="F1833" s="54" t="n"/>
      <c r="G1833" s="65" t="n"/>
      <c r="H1833" s="54" t="n"/>
      <c r="I1833" s="106">
        <f>IF($C1833="","",IFERROR(INDEX(Sens_Types,MATCH($C1833,Liste_Types,0)),""))</f>
        <v/>
      </c>
      <c r="J1833" s="107">
        <f>IF($I1833="▲ ENTRÉE",$U1833,"")</f>
        <v/>
      </c>
      <c r="K1833" s="108">
        <f>IF($I1833="▼ SORTIE",$U1833,"")</f>
        <v/>
      </c>
      <c r="L1833" s="109">
        <f>$L1832+N($J1833)-N($K1833)</f>
        <v/>
      </c>
      <c r="M1833" s="110" t="n"/>
      <c r="N1833" s="54" t="n"/>
      <c r="O1833" s="54" t="n"/>
      <c r="P1833" s="54" t="n"/>
      <c r="Q1833" s="110" t="n"/>
      <c r="R1833" s="110" t="n"/>
      <c r="S1833" s="54" t="n"/>
      <c r="T1833" s="111">
        <f>IF($G1833="","",IFERROR(INDEX(Taux_Devises,MATCH(IF($M1833="",Devise_Base,$M1833),Codes_Devises,0)),1))</f>
        <v/>
      </c>
      <c r="U1833" s="112">
        <f>IF($G1833="","",ROUND($G1833*$T1833,2))</f>
        <v/>
      </c>
      <c r="V1833" s="113">
        <f>IF($B1833="","",MONTH($B1833))</f>
        <v/>
      </c>
      <c r="W1833" s="113">
        <f>IF($B1833="","",YEAR($B1833))</f>
        <v/>
      </c>
    </row>
    <row r="1834">
      <c r="B1834" s="105" t="n"/>
      <c r="C1834" s="54" t="n"/>
      <c r="D1834" s="54" t="n"/>
      <c r="E1834" s="54" t="n"/>
      <c r="F1834" s="54" t="n"/>
      <c r="G1834" s="65" t="n"/>
      <c r="H1834" s="54" t="n"/>
      <c r="I1834" s="106">
        <f>IF($C1834="","",IFERROR(INDEX(Sens_Types,MATCH($C1834,Liste_Types,0)),""))</f>
        <v/>
      </c>
      <c r="J1834" s="107">
        <f>IF($I1834="▲ ENTRÉE",$U1834,"")</f>
        <v/>
      </c>
      <c r="K1834" s="108">
        <f>IF($I1834="▼ SORTIE",$U1834,"")</f>
        <v/>
      </c>
      <c r="L1834" s="109">
        <f>$L1833+N($J1834)-N($K1834)</f>
        <v/>
      </c>
      <c r="M1834" s="110" t="n"/>
      <c r="N1834" s="54" t="n"/>
      <c r="O1834" s="54" t="n"/>
      <c r="P1834" s="54" t="n"/>
      <c r="Q1834" s="110" t="n"/>
      <c r="R1834" s="110" t="n"/>
      <c r="S1834" s="54" t="n"/>
      <c r="T1834" s="111">
        <f>IF($G1834="","",IFERROR(INDEX(Taux_Devises,MATCH(IF($M1834="",Devise_Base,$M1834),Codes_Devises,0)),1))</f>
        <v/>
      </c>
      <c r="U1834" s="112">
        <f>IF($G1834="","",ROUND($G1834*$T1834,2))</f>
        <v/>
      </c>
      <c r="V1834" s="113">
        <f>IF($B1834="","",MONTH($B1834))</f>
        <v/>
      </c>
      <c r="W1834" s="113">
        <f>IF($B1834="","",YEAR($B1834))</f>
        <v/>
      </c>
    </row>
    <row r="1835">
      <c r="B1835" s="105" t="n"/>
      <c r="C1835" s="54" t="n"/>
      <c r="D1835" s="54" t="n"/>
      <c r="E1835" s="54" t="n"/>
      <c r="F1835" s="54" t="n"/>
      <c r="G1835" s="65" t="n"/>
      <c r="H1835" s="54" t="n"/>
      <c r="I1835" s="106">
        <f>IF($C1835="","",IFERROR(INDEX(Sens_Types,MATCH($C1835,Liste_Types,0)),""))</f>
        <v/>
      </c>
      <c r="J1835" s="107">
        <f>IF($I1835="▲ ENTRÉE",$U1835,"")</f>
        <v/>
      </c>
      <c r="K1835" s="108">
        <f>IF($I1835="▼ SORTIE",$U1835,"")</f>
        <v/>
      </c>
      <c r="L1835" s="109">
        <f>$L1834+N($J1835)-N($K1835)</f>
        <v/>
      </c>
      <c r="M1835" s="110" t="n"/>
      <c r="N1835" s="54" t="n"/>
      <c r="O1835" s="54" t="n"/>
      <c r="P1835" s="54" t="n"/>
      <c r="Q1835" s="110" t="n"/>
      <c r="R1835" s="110" t="n"/>
      <c r="S1835" s="54" t="n"/>
      <c r="T1835" s="111">
        <f>IF($G1835="","",IFERROR(INDEX(Taux_Devises,MATCH(IF($M1835="",Devise_Base,$M1835),Codes_Devises,0)),1))</f>
        <v/>
      </c>
      <c r="U1835" s="112">
        <f>IF($G1835="","",ROUND($G1835*$T1835,2))</f>
        <v/>
      </c>
      <c r="V1835" s="113">
        <f>IF($B1835="","",MONTH($B1835))</f>
        <v/>
      </c>
      <c r="W1835" s="113">
        <f>IF($B1835="","",YEAR($B1835))</f>
        <v/>
      </c>
    </row>
    <row r="1836">
      <c r="B1836" s="105" t="n"/>
      <c r="C1836" s="54" t="n"/>
      <c r="D1836" s="54" t="n"/>
      <c r="E1836" s="54" t="n"/>
      <c r="F1836" s="54" t="n"/>
      <c r="G1836" s="65" t="n"/>
      <c r="H1836" s="54" t="n"/>
      <c r="I1836" s="106">
        <f>IF($C1836="","",IFERROR(INDEX(Sens_Types,MATCH($C1836,Liste_Types,0)),""))</f>
        <v/>
      </c>
      <c r="J1836" s="107">
        <f>IF($I1836="▲ ENTRÉE",$U1836,"")</f>
        <v/>
      </c>
      <c r="K1836" s="108">
        <f>IF($I1836="▼ SORTIE",$U1836,"")</f>
        <v/>
      </c>
      <c r="L1836" s="109">
        <f>$L1835+N($J1836)-N($K1836)</f>
        <v/>
      </c>
      <c r="M1836" s="110" t="n"/>
      <c r="N1836" s="54" t="n"/>
      <c r="O1836" s="54" t="n"/>
      <c r="P1836" s="54" t="n"/>
      <c r="Q1836" s="110" t="n"/>
      <c r="R1836" s="110" t="n"/>
      <c r="S1836" s="54" t="n"/>
      <c r="T1836" s="111">
        <f>IF($G1836="","",IFERROR(INDEX(Taux_Devises,MATCH(IF($M1836="",Devise_Base,$M1836),Codes_Devises,0)),1))</f>
        <v/>
      </c>
      <c r="U1836" s="112">
        <f>IF($G1836="","",ROUND($G1836*$T1836,2))</f>
        <v/>
      </c>
      <c r="V1836" s="113">
        <f>IF($B1836="","",MONTH($B1836))</f>
        <v/>
      </c>
      <c r="W1836" s="113">
        <f>IF($B1836="","",YEAR($B1836))</f>
        <v/>
      </c>
    </row>
    <row r="1837">
      <c r="B1837" s="105" t="n"/>
      <c r="C1837" s="54" t="n"/>
      <c r="D1837" s="54" t="n"/>
      <c r="E1837" s="54" t="n"/>
      <c r="F1837" s="54" t="n"/>
      <c r="G1837" s="65" t="n"/>
      <c r="H1837" s="54" t="n"/>
      <c r="I1837" s="106">
        <f>IF($C1837="","",IFERROR(INDEX(Sens_Types,MATCH($C1837,Liste_Types,0)),""))</f>
        <v/>
      </c>
      <c r="J1837" s="107">
        <f>IF($I1837="▲ ENTRÉE",$U1837,"")</f>
        <v/>
      </c>
      <c r="K1837" s="108">
        <f>IF($I1837="▼ SORTIE",$U1837,"")</f>
        <v/>
      </c>
      <c r="L1837" s="109">
        <f>$L1836+N($J1837)-N($K1837)</f>
        <v/>
      </c>
      <c r="M1837" s="110" t="n"/>
      <c r="N1837" s="54" t="n"/>
      <c r="O1837" s="54" t="n"/>
      <c r="P1837" s="54" t="n"/>
      <c r="Q1837" s="110" t="n"/>
      <c r="R1837" s="110" t="n"/>
      <c r="S1837" s="54" t="n"/>
      <c r="T1837" s="111">
        <f>IF($G1837="","",IFERROR(INDEX(Taux_Devises,MATCH(IF($M1837="",Devise_Base,$M1837),Codes_Devises,0)),1))</f>
        <v/>
      </c>
      <c r="U1837" s="112">
        <f>IF($G1837="","",ROUND($G1837*$T1837,2))</f>
        <v/>
      </c>
      <c r="V1837" s="113">
        <f>IF($B1837="","",MONTH($B1837))</f>
        <v/>
      </c>
      <c r="W1837" s="113">
        <f>IF($B1837="","",YEAR($B1837))</f>
        <v/>
      </c>
    </row>
    <row r="1838">
      <c r="B1838" s="105" t="n"/>
      <c r="C1838" s="54" t="n"/>
      <c r="D1838" s="54" t="n"/>
      <c r="E1838" s="54" t="n"/>
      <c r="F1838" s="54" t="n"/>
      <c r="G1838" s="65" t="n"/>
      <c r="H1838" s="54" t="n"/>
      <c r="I1838" s="106">
        <f>IF($C1838="","",IFERROR(INDEX(Sens_Types,MATCH($C1838,Liste_Types,0)),""))</f>
        <v/>
      </c>
      <c r="J1838" s="107">
        <f>IF($I1838="▲ ENTRÉE",$U1838,"")</f>
        <v/>
      </c>
      <c r="K1838" s="108">
        <f>IF($I1838="▼ SORTIE",$U1838,"")</f>
        <v/>
      </c>
      <c r="L1838" s="109">
        <f>$L1837+N($J1838)-N($K1838)</f>
        <v/>
      </c>
      <c r="M1838" s="110" t="n"/>
      <c r="N1838" s="54" t="n"/>
      <c r="O1838" s="54" t="n"/>
      <c r="P1838" s="54" t="n"/>
      <c r="Q1838" s="110" t="n"/>
      <c r="R1838" s="110" t="n"/>
      <c r="S1838" s="54" t="n"/>
      <c r="T1838" s="111">
        <f>IF($G1838="","",IFERROR(INDEX(Taux_Devises,MATCH(IF($M1838="",Devise_Base,$M1838),Codes_Devises,0)),1))</f>
        <v/>
      </c>
      <c r="U1838" s="112">
        <f>IF($G1838="","",ROUND($G1838*$T1838,2))</f>
        <v/>
      </c>
      <c r="V1838" s="113">
        <f>IF($B1838="","",MONTH($B1838))</f>
        <v/>
      </c>
      <c r="W1838" s="113">
        <f>IF($B1838="","",YEAR($B1838))</f>
        <v/>
      </c>
    </row>
    <row r="1839">
      <c r="B1839" s="105" t="n"/>
      <c r="C1839" s="54" t="n"/>
      <c r="D1839" s="54" t="n"/>
      <c r="E1839" s="54" t="n"/>
      <c r="F1839" s="54" t="n"/>
      <c r="G1839" s="65" t="n"/>
      <c r="H1839" s="54" t="n"/>
      <c r="I1839" s="106">
        <f>IF($C1839="","",IFERROR(INDEX(Sens_Types,MATCH($C1839,Liste_Types,0)),""))</f>
        <v/>
      </c>
      <c r="J1839" s="107">
        <f>IF($I1839="▲ ENTRÉE",$U1839,"")</f>
        <v/>
      </c>
      <c r="K1839" s="108">
        <f>IF($I1839="▼ SORTIE",$U1839,"")</f>
        <v/>
      </c>
      <c r="L1839" s="109">
        <f>$L1838+N($J1839)-N($K1839)</f>
        <v/>
      </c>
      <c r="M1839" s="110" t="n"/>
      <c r="N1839" s="54" t="n"/>
      <c r="O1839" s="54" t="n"/>
      <c r="P1839" s="54" t="n"/>
      <c r="Q1839" s="110" t="n"/>
      <c r="R1839" s="110" t="n"/>
      <c r="S1839" s="54" t="n"/>
      <c r="T1839" s="111">
        <f>IF($G1839="","",IFERROR(INDEX(Taux_Devises,MATCH(IF($M1839="",Devise_Base,$M1839),Codes_Devises,0)),1))</f>
        <v/>
      </c>
      <c r="U1839" s="112">
        <f>IF($G1839="","",ROUND($G1839*$T1839,2))</f>
        <v/>
      </c>
      <c r="V1839" s="113">
        <f>IF($B1839="","",MONTH($B1839))</f>
        <v/>
      </c>
      <c r="W1839" s="113">
        <f>IF($B1839="","",YEAR($B1839))</f>
        <v/>
      </c>
    </row>
    <row r="1840">
      <c r="B1840" s="105" t="n"/>
      <c r="C1840" s="54" t="n"/>
      <c r="D1840" s="54" t="n"/>
      <c r="E1840" s="54" t="n"/>
      <c r="F1840" s="54" t="n"/>
      <c r="G1840" s="65" t="n"/>
      <c r="H1840" s="54" t="n"/>
      <c r="I1840" s="106">
        <f>IF($C1840="","",IFERROR(INDEX(Sens_Types,MATCH($C1840,Liste_Types,0)),""))</f>
        <v/>
      </c>
      <c r="J1840" s="107">
        <f>IF($I1840="▲ ENTRÉE",$U1840,"")</f>
        <v/>
      </c>
      <c r="K1840" s="108">
        <f>IF($I1840="▼ SORTIE",$U1840,"")</f>
        <v/>
      </c>
      <c r="L1840" s="109">
        <f>$L1839+N($J1840)-N($K1840)</f>
        <v/>
      </c>
      <c r="M1840" s="110" t="n"/>
      <c r="N1840" s="54" t="n"/>
      <c r="O1840" s="54" t="n"/>
      <c r="P1840" s="54" t="n"/>
      <c r="Q1840" s="110" t="n"/>
      <c r="R1840" s="110" t="n"/>
      <c r="S1840" s="54" t="n"/>
      <c r="T1840" s="111">
        <f>IF($G1840="","",IFERROR(INDEX(Taux_Devises,MATCH(IF($M1840="",Devise_Base,$M1840),Codes_Devises,0)),1))</f>
        <v/>
      </c>
      <c r="U1840" s="112">
        <f>IF($G1840="","",ROUND($G1840*$T1840,2))</f>
        <v/>
      </c>
      <c r="V1840" s="113">
        <f>IF($B1840="","",MONTH($B1840))</f>
        <v/>
      </c>
      <c r="W1840" s="113">
        <f>IF($B1840="","",YEAR($B1840))</f>
        <v/>
      </c>
    </row>
    <row r="1841">
      <c r="B1841" s="105" t="n"/>
      <c r="C1841" s="54" t="n"/>
      <c r="D1841" s="54" t="n"/>
      <c r="E1841" s="54" t="n"/>
      <c r="F1841" s="54" t="n"/>
      <c r="G1841" s="65" t="n"/>
      <c r="H1841" s="54" t="n"/>
      <c r="I1841" s="106">
        <f>IF($C1841="","",IFERROR(INDEX(Sens_Types,MATCH($C1841,Liste_Types,0)),""))</f>
        <v/>
      </c>
      <c r="J1841" s="107">
        <f>IF($I1841="▲ ENTRÉE",$U1841,"")</f>
        <v/>
      </c>
      <c r="K1841" s="108">
        <f>IF($I1841="▼ SORTIE",$U1841,"")</f>
        <v/>
      </c>
      <c r="L1841" s="109">
        <f>$L1840+N($J1841)-N($K1841)</f>
        <v/>
      </c>
      <c r="M1841" s="110" t="n"/>
      <c r="N1841" s="54" t="n"/>
      <c r="O1841" s="54" t="n"/>
      <c r="P1841" s="54" t="n"/>
      <c r="Q1841" s="110" t="n"/>
      <c r="R1841" s="110" t="n"/>
      <c r="S1841" s="54" t="n"/>
      <c r="T1841" s="111">
        <f>IF($G1841="","",IFERROR(INDEX(Taux_Devises,MATCH(IF($M1841="",Devise_Base,$M1841),Codes_Devises,0)),1))</f>
        <v/>
      </c>
      <c r="U1841" s="112">
        <f>IF($G1841="","",ROUND($G1841*$T1841,2))</f>
        <v/>
      </c>
      <c r="V1841" s="113">
        <f>IF($B1841="","",MONTH($B1841))</f>
        <v/>
      </c>
      <c r="W1841" s="113">
        <f>IF($B1841="","",YEAR($B1841))</f>
        <v/>
      </c>
    </row>
    <row r="1842">
      <c r="B1842" s="105" t="n"/>
      <c r="C1842" s="54" t="n"/>
      <c r="D1842" s="54" t="n"/>
      <c r="E1842" s="54" t="n"/>
      <c r="F1842" s="54" t="n"/>
      <c r="G1842" s="65" t="n"/>
      <c r="H1842" s="54" t="n"/>
      <c r="I1842" s="106">
        <f>IF($C1842="","",IFERROR(INDEX(Sens_Types,MATCH($C1842,Liste_Types,0)),""))</f>
        <v/>
      </c>
      <c r="J1842" s="107">
        <f>IF($I1842="▲ ENTRÉE",$U1842,"")</f>
        <v/>
      </c>
      <c r="K1842" s="108">
        <f>IF($I1842="▼ SORTIE",$U1842,"")</f>
        <v/>
      </c>
      <c r="L1842" s="109">
        <f>$L1841+N($J1842)-N($K1842)</f>
        <v/>
      </c>
      <c r="M1842" s="110" t="n"/>
      <c r="N1842" s="54" t="n"/>
      <c r="O1842" s="54" t="n"/>
      <c r="P1842" s="54" t="n"/>
      <c r="Q1842" s="110" t="n"/>
      <c r="R1842" s="110" t="n"/>
      <c r="S1842" s="54" t="n"/>
      <c r="T1842" s="111">
        <f>IF($G1842="","",IFERROR(INDEX(Taux_Devises,MATCH(IF($M1842="",Devise_Base,$M1842),Codes_Devises,0)),1))</f>
        <v/>
      </c>
      <c r="U1842" s="112">
        <f>IF($G1842="","",ROUND($G1842*$T1842,2))</f>
        <v/>
      </c>
      <c r="V1842" s="113">
        <f>IF($B1842="","",MONTH($B1842))</f>
        <v/>
      </c>
      <c r="W1842" s="113">
        <f>IF($B1842="","",YEAR($B1842))</f>
        <v/>
      </c>
    </row>
    <row r="1843">
      <c r="B1843" s="105" t="n"/>
      <c r="C1843" s="54" t="n"/>
      <c r="D1843" s="54" t="n"/>
      <c r="E1843" s="54" t="n"/>
      <c r="F1843" s="54" t="n"/>
      <c r="G1843" s="65" t="n"/>
      <c r="H1843" s="54" t="n"/>
      <c r="I1843" s="106">
        <f>IF($C1843="","",IFERROR(INDEX(Sens_Types,MATCH($C1843,Liste_Types,0)),""))</f>
        <v/>
      </c>
      <c r="J1843" s="107">
        <f>IF($I1843="▲ ENTRÉE",$U1843,"")</f>
        <v/>
      </c>
      <c r="K1843" s="108">
        <f>IF($I1843="▼ SORTIE",$U1843,"")</f>
        <v/>
      </c>
      <c r="L1843" s="109">
        <f>$L1842+N($J1843)-N($K1843)</f>
        <v/>
      </c>
      <c r="M1843" s="110" t="n"/>
      <c r="N1843" s="54" t="n"/>
      <c r="O1843" s="54" t="n"/>
      <c r="P1843" s="54" t="n"/>
      <c r="Q1843" s="110" t="n"/>
      <c r="R1843" s="110" t="n"/>
      <c r="S1843" s="54" t="n"/>
      <c r="T1843" s="111">
        <f>IF($G1843="","",IFERROR(INDEX(Taux_Devises,MATCH(IF($M1843="",Devise_Base,$M1843),Codes_Devises,0)),1))</f>
        <v/>
      </c>
      <c r="U1843" s="112">
        <f>IF($G1843="","",ROUND($G1843*$T1843,2))</f>
        <v/>
      </c>
      <c r="V1843" s="113">
        <f>IF($B1843="","",MONTH($B1843))</f>
        <v/>
      </c>
      <c r="W1843" s="113">
        <f>IF($B1843="","",YEAR($B1843))</f>
        <v/>
      </c>
    </row>
    <row r="1844">
      <c r="B1844" s="105" t="n"/>
      <c r="C1844" s="54" t="n"/>
      <c r="D1844" s="54" t="n"/>
      <c r="E1844" s="54" t="n"/>
      <c r="F1844" s="54" t="n"/>
      <c r="G1844" s="65" t="n"/>
      <c r="H1844" s="54" t="n"/>
      <c r="I1844" s="106">
        <f>IF($C1844="","",IFERROR(INDEX(Sens_Types,MATCH($C1844,Liste_Types,0)),""))</f>
        <v/>
      </c>
      <c r="J1844" s="107">
        <f>IF($I1844="▲ ENTRÉE",$U1844,"")</f>
        <v/>
      </c>
      <c r="K1844" s="108">
        <f>IF($I1844="▼ SORTIE",$U1844,"")</f>
        <v/>
      </c>
      <c r="L1844" s="109">
        <f>$L1843+N($J1844)-N($K1844)</f>
        <v/>
      </c>
      <c r="M1844" s="110" t="n"/>
      <c r="N1844" s="54" t="n"/>
      <c r="O1844" s="54" t="n"/>
      <c r="P1844" s="54" t="n"/>
      <c r="Q1844" s="110" t="n"/>
      <c r="R1844" s="110" t="n"/>
      <c r="S1844" s="54" t="n"/>
      <c r="T1844" s="111">
        <f>IF($G1844="","",IFERROR(INDEX(Taux_Devises,MATCH(IF($M1844="",Devise_Base,$M1844),Codes_Devises,0)),1))</f>
        <v/>
      </c>
      <c r="U1844" s="112">
        <f>IF($G1844="","",ROUND($G1844*$T1844,2))</f>
        <v/>
      </c>
      <c r="V1844" s="113">
        <f>IF($B1844="","",MONTH($B1844))</f>
        <v/>
      </c>
      <c r="W1844" s="113">
        <f>IF($B1844="","",YEAR($B1844))</f>
        <v/>
      </c>
    </row>
    <row r="1845">
      <c r="B1845" s="105" t="n"/>
      <c r="C1845" s="54" t="n"/>
      <c r="D1845" s="54" t="n"/>
      <c r="E1845" s="54" t="n"/>
      <c r="F1845" s="54" t="n"/>
      <c r="G1845" s="65" t="n"/>
      <c r="H1845" s="54" t="n"/>
      <c r="I1845" s="106">
        <f>IF($C1845="","",IFERROR(INDEX(Sens_Types,MATCH($C1845,Liste_Types,0)),""))</f>
        <v/>
      </c>
      <c r="J1845" s="107">
        <f>IF($I1845="▲ ENTRÉE",$U1845,"")</f>
        <v/>
      </c>
      <c r="K1845" s="108">
        <f>IF($I1845="▼ SORTIE",$U1845,"")</f>
        <v/>
      </c>
      <c r="L1845" s="109">
        <f>$L1844+N($J1845)-N($K1845)</f>
        <v/>
      </c>
      <c r="M1845" s="110" t="n"/>
      <c r="N1845" s="54" t="n"/>
      <c r="O1845" s="54" t="n"/>
      <c r="P1845" s="54" t="n"/>
      <c r="Q1845" s="110" t="n"/>
      <c r="R1845" s="110" t="n"/>
      <c r="S1845" s="54" t="n"/>
      <c r="T1845" s="111">
        <f>IF($G1845="","",IFERROR(INDEX(Taux_Devises,MATCH(IF($M1845="",Devise_Base,$M1845),Codes_Devises,0)),1))</f>
        <v/>
      </c>
      <c r="U1845" s="112">
        <f>IF($G1845="","",ROUND($G1845*$T1845,2))</f>
        <v/>
      </c>
      <c r="V1845" s="113">
        <f>IF($B1845="","",MONTH($B1845))</f>
        <v/>
      </c>
      <c r="W1845" s="113">
        <f>IF($B1845="","",YEAR($B1845))</f>
        <v/>
      </c>
    </row>
    <row r="1846">
      <c r="B1846" s="105" t="n"/>
      <c r="C1846" s="54" t="n"/>
      <c r="D1846" s="54" t="n"/>
      <c r="E1846" s="54" t="n"/>
      <c r="F1846" s="54" t="n"/>
      <c r="G1846" s="65" t="n"/>
      <c r="H1846" s="54" t="n"/>
      <c r="I1846" s="106">
        <f>IF($C1846="","",IFERROR(INDEX(Sens_Types,MATCH($C1846,Liste_Types,0)),""))</f>
        <v/>
      </c>
      <c r="J1846" s="107">
        <f>IF($I1846="▲ ENTRÉE",$U1846,"")</f>
        <v/>
      </c>
      <c r="K1846" s="108">
        <f>IF($I1846="▼ SORTIE",$U1846,"")</f>
        <v/>
      </c>
      <c r="L1846" s="109">
        <f>$L1845+N($J1846)-N($K1846)</f>
        <v/>
      </c>
      <c r="M1846" s="110" t="n"/>
      <c r="N1846" s="54" t="n"/>
      <c r="O1846" s="54" t="n"/>
      <c r="P1846" s="54" t="n"/>
      <c r="Q1846" s="110" t="n"/>
      <c r="R1846" s="110" t="n"/>
      <c r="S1846" s="54" t="n"/>
      <c r="T1846" s="111">
        <f>IF($G1846="","",IFERROR(INDEX(Taux_Devises,MATCH(IF($M1846="",Devise_Base,$M1846),Codes_Devises,0)),1))</f>
        <v/>
      </c>
      <c r="U1846" s="112">
        <f>IF($G1846="","",ROUND($G1846*$T1846,2))</f>
        <v/>
      </c>
      <c r="V1846" s="113">
        <f>IF($B1846="","",MONTH($B1846))</f>
        <v/>
      </c>
      <c r="W1846" s="113">
        <f>IF($B1846="","",YEAR($B1846))</f>
        <v/>
      </c>
    </row>
    <row r="1847">
      <c r="B1847" s="105" t="n"/>
      <c r="C1847" s="54" t="n"/>
      <c r="D1847" s="54" t="n"/>
      <c r="E1847" s="54" t="n"/>
      <c r="F1847" s="54" t="n"/>
      <c r="G1847" s="65" t="n"/>
      <c r="H1847" s="54" t="n"/>
      <c r="I1847" s="106">
        <f>IF($C1847="","",IFERROR(INDEX(Sens_Types,MATCH($C1847,Liste_Types,0)),""))</f>
        <v/>
      </c>
      <c r="J1847" s="107">
        <f>IF($I1847="▲ ENTRÉE",$U1847,"")</f>
        <v/>
      </c>
      <c r="K1847" s="108">
        <f>IF($I1847="▼ SORTIE",$U1847,"")</f>
        <v/>
      </c>
      <c r="L1847" s="109">
        <f>$L1846+N($J1847)-N($K1847)</f>
        <v/>
      </c>
      <c r="M1847" s="110" t="n"/>
      <c r="N1847" s="54" t="n"/>
      <c r="O1847" s="54" t="n"/>
      <c r="P1847" s="54" t="n"/>
      <c r="Q1847" s="110" t="n"/>
      <c r="R1847" s="110" t="n"/>
      <c r="S1847" s="54" t="n"/>
      <c r="T1847" s="111">
        <f>IF($G1847="","",IFERROR(INDEX(Taux_Devises,MATCH(IF($M1847="",Devise_Base,$M1847),Codes_Devises,0)),1))</f>
        <v/>
      </c>
      <c r="U1847" s="112">
        <f>IF($G1847="","",ROUND($G1847*$T1847,2))</f>
        <v/>
      </c>
      <c r="V1847" s="113">
        <f>IF($B1847="","",MONTH($B1847))</f>
        <v/>
      </c>
      <c r="W1847" s="113">
        <f>IF($B1847="","",YEAR($B1847))</f>
        <v/>
      </c>
    </row>
    <row r="1848">
      <c r="B1848" s="105" t="n"/>
      <c r="C1848" s="54" t="n"/>
      <c r="D1848" s="54" t="n"/>
      <c r="E1848" s="54" t="n"/>
      <c r="F1848" s="54" t="n"/>
      <c r="G1848" s="65" t="n"/>
      <c r="H1848" s="54" t="n"/>
      <c r="I1848" s="106">
        <f>IF($C1848="","",IFERROR(INDEX(Sens_Types,MATCH($C1848,Liste_Types,0)),""))</f>
        <v/>
      </c>
      <c r="J1848" s="107">
        <f>IF($I1848="▲ ENTRÉE",$U1848,"")</f>
        <v/>
      </c>
      <c r="K1848" s="108">
        <f>IF($I1848="▼ SORTIE",$U1848,"")</f>
        <v/>
      </c>
      <c r="L1848" s="109">
        <f>$L1847+N($J1848)-N($K1848)</f>
        <v/>
      </c>
      <c r="M1848" s="110" t="n"/>
      <c r="N1848" s="54" t="n"/>
      <c r="O1848" s="54" t="n"/>
      <c r="P1848" s="54" t="n"/>
      <c r="Q1848" s="110" t="n"/>
      <c r="R1848" s="110" t="n"/>
      <c r="S1848" s="54" t="n"/>
      <c r="T1848" s="111">
        <f>IF($G1848="","",IFERROR(INDEX(Taux_Devises,MATCH(IF($M1848="",Devise_Base,$M1848),Codes_Devises,0)),1))</f>
        <v/>
      </c>
      <c r="U1848" s="112">
        <f>IF($G1848="","",ROUND($G1848*$T1848,2))</f>
        <v/>
      </c>
      <c r="V1848" s="113">
        <f>IF($B1848="","",MONTH($B1848))</f>
        <v/>
      </c>
      <c r="W1848" s="113">
        <f>IF($B1848="","",YEAR($B1848))</f>
        <v/>
      </c>
    </row>
    <row r="1849">
      <c r="B1849" s="105" t="n"/>
      <c r="C1849" s="54" t="n"/>
      <c r="D1849" s="54" t="n"/>
      <c r="E1849" s="54" t="n"/>
      <c r="F1849" s="54" t="n"/>
      <c r="G1849" s="65" t="n"/>
      <c r="H1849" s="54" t="n"/>
      <c r="I1849" s="106">
        <f>IF($C1849="","",IFERROR(INDEX(Sens_Types,MATCH($C1849,Liste_Types,0)),""))</f>
        <v/>
      </c>
      <c r="J1849" s="107">
        <f>IF($I1849="▲ ENTRÉE",$U1849,"")</f>
        <v/>
      </c>
      <c r="K1849" s="108">
        <f>IF($I1849="▼ SORTIE",$U1849,"")</f>
        <v/>
      </c>
      <c r="L1849" s="109">
        <f>$L1848+N($J1849)-N($K1849)</f>
        <v/>
      </c>
      <c r="M1849" s="110" t="n"/>
      <c r="N1849" s="54" t="n"/>
      <c r="O1849" s="54" t="n"/>
      <c r="P1849" s="54" t="n"/>
      <c r="Q1849" s="110" t="n"/>
      <c r="R1849" s="110" t="n"/>
      <c r="S1849" s="54" t="n"/>
      <c r="T1849" s="111">
        <f>IF($G1849="","",IFERROR(INDEX(Taux_Devises,MATCH(IF($M1849="",Devise_Base,$M1849),Codes_Devises,0)),1))</f>
        <v/>
      </c>
      <c r="U1849" s="112">
        <f>IF($G1849="","",ROUND($G1849*$T1849,2))</f>
        <v/>
      </c>
      <c r="V1849" s="113">
        <f>IF($B1849="","",MONTH($B1849))</f>
        <v/>
      </c>
      <c r="W1849" s="113">
        <f>IF($B1849="","",YEAR($B1849))</f>
        <v/>
      </c>
    </row>
    <row r="1850">
      <c r="B1850" s="105" t="n"/>
      <c r="C1850" s="54" t="n"/>
      <c r="D1850" s="54" t="n"/>
      <c r="E1850" s="54" t="n"/>
      <c r="F1850" s="54" t="n"/>
      <c r="G1850" s="65" t="n"/>
      <c r="H1850" s="54" t="n"/>
      <c r="I1850" s="106">
        <f>IF($C1850="","",IFERROR(INDEX(Sens_Types,MATCH($C1850,Liste_Types,0)),""))</f>
        <v/>
      </c>
      <c r="J1850" s="107">
        <f>IF($I1850="▲ ENTRÉE",$U1850,"")</f>
        <v/>
      </c>
      <c r="K1850" s="108">
        <f>IF($I1850="▼ SORTIE",$U1850,"")</f>
        <v/>
      </c>
      <c r="L1850" s="109">
        <f>$L1849+N($J1850)-N($K1850)</f>
        <v/>
      </c>
      <c r="M1850" s="110" t="n"/>
      <c r="N1850" s="54" t="n"/>
      <c r="O1850" s="54" t="n"/>
      <c r="P1850" s="54" t="n"/>
      <c r="Q1850" s="110" t="n"/>
      <c r="R1850" s="110" t="n"/>
      <c r="S1850" s="54" t="n"/>
      <c r="T1850" s="111">
        <f>IF($G1850="","",IFERROR(INDEX(Taux_Devises,MATCH(IF($M1850="",Devise_Base,$M1850),Codes_Devises,0)),1))</f>
        <v/>
      </c>
      <c r="U1850" s="112">
        <f>IF($G1850="","",ROUND($G1850*$T1850,2))</f>
        <v/>
      </c>
      <c r="V1850" s="113">
        <f>IF($B1850="","",MONTH($B1850))</f>
        <v/>
      </c>
      <c r="W1850" s="113">
        <f>IF($B1850="","",YEAR($B1850))</f>
        <v/>
      </c>
    </row>
    <row r="1851">
      <c r="B1851" s="105" t="n"/>
      <c r="C1851" s="54" t="n"/>
      <c r="D1851" s="54" t="n"/>
      <c r="E1851" s="54" t="n"/>
      <c r="F1851" s="54" t="n"/>
      <c r="G1851" s="65" t="n"/>
      <c r="H1851" s="54" t="n"/>
      <c r="I1851" s="106">
        <f>IF($C1851="","",IFERROR(INDEX(Sens_Types,MATCH($C1851,Liste_Types,0)),""))</f>
        <v/>
      </c>
      <c r="J1851" s="107">
        <f>IF($I1851="▲ ENTRÉE",$U1851,"")</f>
        <v/>
      </c>
      <c r="K1851" s="108">
        <f>IF($I1851="▼ SORTIE",$U1851,"")</f>
        <v/>
      </c>
      <c r="L1851" s="109">
        <f>$L1850+N($J1851)-N($K1851)</f>
        <v/>
      </c>
      <c r="M1851" s="110" t="n"/>
      <c r="N1851" s="54" t="n"/>
      <c r="O1851" s="54" t="n"/>
      <c r="P1851" s="54" t="n"/>
      <c r="Q1851" s="110" t="n"/>
      <c r="R1851" s="110" t="n"/>
      <c r="S1851" s="54" t="n"/>
      <c r="T1851" s="111">
        <f>IF($G1851="","",IFERROR(INDEX(Taux_Devises,MATCH(IF($M1851="",Devise_Base,$M1851),Codes_Devises,0)),1))</f>
        <v/>
      </c>
      <c r="U1851" s="112">
        <f>IF($G1851="","",ROUND($G1851*$T1851,2))</f>
        <v/>
      </c>
      <c r="V1851" s="113">
        <f>IF($B1851="","",MONTH($B1851))</f>
        <v/>
      </c>
      <c r="W1851" s="113">
        <f>IF($B1851="","",YEAR($B1851))</f>
        <v/>
      </c>
    </row>
    <row r="1852">
      <c r="B1852" s="105" t="n"/>
      <c r="C1852" s="54" t="n"/>
      <c r="D1852" s="54" t="n"/>
      <c r="E1852" s="54" t="n"/>
      <c r="F1852" s="54" t="n"/>
      <c r="G1852" s="65" t="n"/>
      <c r="H1852" s="54" t="n"/>
      <c r="I1852" s="106">
        <f>IF($C1852="","",IFERROR(INDEX(Sens_Types,MATCH($C1852,Liste_Types,0)),""))</f>
        <v/>
      </c>
      <c r="J1852" s="107">
        <f>IF($I1852="▲ ENTRÉE",$U1852,"")</f>
        <v/>
      </c>
      <c r="K1852" s="108">
        <f>IF($I1852="▼ SORTIE",$U1852,"")</f>
        <v/>
      </c>
      <c r="L1852" s="109">
        <f>$L1851+N($J1852)-N($K1852)</f>
        <v/>
      </c>
      <c r="M1852" s="110" t="n"/>
      <c r="N1852" s="54" t="n"/>
      <c r="O1852" s="54" t="n"/>
      <c r="P1852" s="54" t="n"/>
      <c r="Q1852" s="110" t="n"/>
      <c r="R1852" s="110" t="n"/>
      <c r="S1852" s="54" t="n"/>
      <c r="T1852" s="111">
        <f>IF($G1852="","",IFERROR(INDEX(Taux_Devises,MATCH(IF($M1852="",Devise_Base,$M1852),Codes_Devises,0)),1))</f>
        <v/>
      </c>
      <c r="U1852" s="112">
        <f>IF($G1852="","",ROUND($G1852*$T1852,2))</f>
        <v/>
      </c>
      <c r="V1852" s="113">
        <f>IF($B1852="","",MONTH($B1852))</f>
        <v/>
      </c>
      <c r="W1852" s="113">
        <f>IF($B1852="","",YEAR($B1852))</f>
        <v/>
      </c>
    </row>
    <row r="1853">
      <c r="B1853" s="105" t="n"/>
      <c r="C1853" s="54" t="n"/>
      <c r="D1853" s="54" t="n"/>
      <c r="E1853" s="54" t="n"/>
      <c r="F1853" s="54" t="n"/>
      <c r="G1853" s="65" t="n"/>
      <c r="H1853" s="54" t="n"/>
      <c r="I1853" s="106">
        <f>IF($C1853="","",IFERROR(INDEX(Sens_Types,MATCH($C1853,Liste_Types,0)),""))</f>
        <v/>
      </c>
      <c r="J1853" s="107">
        <f>IF($I1853="▲ ENTRÉE",$U1853,"")</f>
        <v/>
      </c>
      <c r="K1853" s="108">
        <f>IF($I1853="▼ SORTIE",$U1853,"")</f>
        <v/>
      </c>
      <c r="L1853" s="109">
        <f>$L1852+N($J1853)-N($K1853)</f>
        <v/>
      </c>
      <c r="M1853" s="110" t="n"/>
      <c r="N1853" s="54" t="n"/>
      <c r="O1853" s="54" t="n"/>
      <c r="P1853" s="54" t="n"/>
      <c r="Q1853" s="110" t="n"/>
      <c r="R1853" s="110" t="n"/>
      <c r="S1853" s="54" t="n"/>
      <c r="T1853" s="111">
        <f>IF($G1853="","",IFERROR(INDEX(Taux_Devises,MATCH(IF($M1853="",Devise_Base,$M1853),Codes_Devises,0)),1))</f>
        <v/>
      </c>
      <c r="U1853" s="112">
        <f>IF($G1853="","",ROUND($G1853*$T1853,2))</f>
        <v/>
      </c>
      <c r="V1853" s="113">
        <f>IF($B1853="","",MONTH($B1853))</f>
        <v/>
      </c>
      <c r="W1853" s="113">
        <f>IF($B1853="","",YEAR($B1853))</f>
        <v/>
      </c>
    </row>
    <row r="1854">
      <c r="B1854" s="105" t="n"/>
      <c r="C1854" s="54" t="n"/>
      <c r="D1854" s="54" t="n"/>
      <c r="E1854" s="54" t="n"/>
      <c r="F1854" s="54" t="n"/>
      <c r="G1854" s="65" t="n"/>
      <c r="H1854" s="54" t="n"/>
      <c r="I1854" s="106">
        <f>IF($C1854="","",IFERROR(INDEX(Sens_Types,MATCH($C1854,Liste_Types,0)),""))</f>
        <v/>
      </c>
      <c r="J1854" s="107">
        <f>IF($I1854="▲ ENTRÉE",$U1854,"")</f>
        <v/>
      </c>
      <c r="K1854" s="108">
        <f>IF($I1854="▼ SORTIE",$U1854,"")</f>
        <v/>
      </c>
      <c r="L1854" s="109">
        <f>$L1853+N($J1854)-N($K1854)</f>
        <v/>
      </c>
      <c r="M1854" s="110" t="n"/>
      <c r="N1854" s="54" t="n"/>
      <c r="O1854" s="54" t="n"/>
      <c r="P1854" s="54" t="n"/>
      <c r="Q1854" s="110" t="n"/>
      <c r="R1854" s="110" t="n"/>
      <c r="S1854" s="54" t="n"/>
      <c r="T1854" s="111">
        <f>IF($G1854="","",IFERROR(INDEX(Taux_Devises,MATCH(IF($M1854="",Devise_Base,$M1854),Codes_Devises,0)),1))</f>
        <v/>
      </c>
      <c r="U1854" s="112">
        <f>IF($G1854="","",ROUND($G1854*$T1854,2))</f>
        <v/>
      </c>
      <c r="V1854" s="113">
        <f>IF($B1854="","",MONTH($B1854))</f>
        <v/>
      </c>
      <c r="W1854" s="113">
        <f>IF($B1854="","",YEAR($B1854))</f>
        <v/>
      </c>
    </row>
    <row r="1855">
      <c r="B1855" s="105" t="n"/>
      <c r="C1855" s="54" t="n"/>
      <c r="D1855" s="54" t="n"/>
      <c r="E1855" s="54" t="n"/>
      <c r="F1855" s="54" t="n"/>
      <c r="G1855" s="65" t="n"/>
      <c r="H1855" s="54" t="n"/>
      <c r="I1855" s="106">
        <f>IF($C1855="","",IFERROR(INDEX(Sens_Types,MATCH($C1855,Liste_Types,0)),""))</f>
        <v/>
      </c>
      <c r="J1855" s="107">
        <f>IF($I1855="▲ ENTRÉE",$U1855,"")</f>
        <v/>
      </c>
      <c r="K1855" s="108">
        <f>IF($I1855="▼ SORTIE",$U1855,"")</f>
        <v/>
      </c>
      <c r="L1855" s="109">
        <f>$L1854+N($J1855)-N($K1855)</f>
        <v/>
      </c>
      <c r="M1855" s="110" t="n"/>
      <c r="N1855" s="54" t="n"/>
      <c r="O1855" s="54" t="n"/>
      <c r="P1855" s="54" t="n"/>
      <c r="Q1855" s="110" t="n"/>
      <c r="R1855" s="110" t="n"/>
      <c r="S1855" s="54" t="n"/>
      <c r="T1855" s="111">
        <f>IF($G1855="","",IFERROR(INDEX(Taux_Devises,MATCH(IF($M1855="",Devise_Base,$M1855),Codes_Devises,0)),1))</f>
        <v/>
      </c>
      <c r="U1855" s="112">
        <f>IF($G1855="","",ROUND($G1855*$T1855,2))</f>
        <v/>
      </c>
      <c r="V1855" s="113">
        <f>IF($B1855="","",MONTH($B1855))</f>
        <v/>
      </c>
      <c r="W1855" s="113">
        <f>IF($B1855="","",YEAR($B1855))</f>
        <v/>
      </c>
    </row>
    <row r="1856">
      <c r="B1856" s="105" t="n"/>
      <c r="C1856" s="54" t="n"/>
      <c r="D1856" s="54" t="n"/>
      <c r="E1856" s="54" t="n"/>
      <c r="F1856" s="54" t="n"/>
      <c r="G1856" s="65" t="n"/>
      <c r="H1856" s="54" t="n"/>
      <c r="I1856" s="106">
        <f>IF($C1856="","",IFERROR(INDEX(Sens_Types,MATCH($C1856,Liste_Types,0)),""))</f>
        <v/>
      </c>
      <c r="J1856" s="107">
        <f>IF($I1856="▲ ENTRÉE",$U1856,"")</f>
        <v/>
      </c>
      <c r="K1856" s="108">
        <f>IF($I1856="▼ SORTIE",$U1856,"")</f>
        <v/>
      </c>
      <c r="L1856" s="109">
        <f>$L1855+N($J1856)-N($K1856)</f>
        <v/>
      </c>
      <c r="M1856" s="110" t="n"/>
      <c r="N1856" s="54" t="n"/>
      <c r="O1856" s="54" t="n"/>
      <c r="P1856" s="54" t="n"/>
      <c r="Q1856" s="110" t="n"/>
      <c r="R1856" s="110" t="n"/>
      <c r="S1856" s="54" t="n"/>
      <c r="T1856" s="111">
        <f>IF($G1856="","",IFERROR(INDEX(Taux_Devises,MATCH(IF($M1856="",Devise_Base,$M1856),Codes_Devises,0)),1))</f>
        <v/>
      </c>
      <c r="U1856" s="112">
        <f>IF($G1856="","",ROUND($G1856*$T1856,2))</f>
        <v/>
      </c>
      <c r="V1856" s="113">
        <f>IF($B1856="","",MONTH($B1856))</f>
        <v/>
      </c>
      <c r="W1856" s="113">
        <f>IF($B1856="","",YEAR($B1856))</f>
        <v/>
      </c>
    </row>
    <row r="1857">
      <c r="B1857" s="105" t="n"/>
      <c r="C1857" s="54" t="n"/>
      <c r="D1857" s="54" t="n"/>
      <c r="E1857" s="54" t="n"/>
      <c r="F1857" s="54" t="n"/>
      <c r="G1857" s="65" t="n"/>
      <c r="H1857" s="54" t="n"/>
      <c r="I1857" s="106">
        <f>IF($C1857="","",IFERROR(INDEX(Sens_Types,MATCH($C1857,Liste_Types,0)),""))</f>
        <v/>
      </c>
      <c r="J1857" s="107">
        <f>IF($I1857="▲ ENTRÉE",$U1857,"")</f>
        <v/>
      </c>
      <c r="K1857" s="108">
        <f>IF($I1857="▼ SORTIE",$U1857,"")</f>
        <v/>
      </c>
      <c r="L1857" s="109">
        <f>$L1856+N($J1857)-N($K1857)</f>
        <v/>
      </c>
      <c r="M1857" s="110" t="n"/>
      <c r="N1857" s="54" t="n"/>
      <c r="O1857" s="54" t="n"/>
      <c r="P1857" s="54" t="n"/>
      <c r="Q1857" s="110" t="n"/>
      <c r="R1857" s="110" t="n"/>
      <c r="S1857" s="54" t="n"/>
      <c r="T1857" s="111">
        <f>IF($G1857="","",IFERROR(INDEX(Taux_Devises,MATCH(IF($M1857="",Devise_Base,$M1857),Codes_Devises,0)),1))</f>
        <v/>
      </c>
      <c r="U1857" s="112">
        <f>IF($G1857="","",ROUND($G1857*$T1857,2))</f>
        <v/>
      </c>
      <c r="V1857" s="113">
        <f>IF($B1857="","",MONTH($B1857))</f>
        <v/>
      </c>
      <c r="W1857" s="113">
        <f>IF($B1857="","",YEAR($B1857))</f>
        <v/>
      </c>
    </row>
    <row r="1858">
      <c r="B1858" s="105" t="n"/>
      <c r="C1858" s="54" t="n"/>
      <c r="D1858" s="54" t="n"/>
      <c r="E1858" s="54" t="n"/>
      <c r="F1858" s="54" t="n"/>
      <c r="G1858" s="65" t="n"/>
      <c r="H1858" s="54" t="n"/>
      <c r="I1858" s="106">
        <f>IF($C1858="","",IFERROR(INDEX(Sens_Types,MATCH($C1858,Liste_Types,0)),""))</f>
        <v/>
      </c>
      <c r="J1858" s="107">
        <f>IF($I1858="▲ ENTRÉE",$U1858,"")</f>
        <v/>
      </c>
      <c r="K1858" s="108">
        <f>IF($I1858="▼ SORTIE",$U1858,"")</f>
        <v/>
      </c>
      <c r="L1858" s="109">
        <f>$L1857+N($J1858)-N($K1858)</f>
        <v/>
      </c>
      <c r="M1858" s="110" t="n"/>
      <c r="N1858" s="54" t="n"/>
      <c r="O1858" s="54" t="n"/>
      <c r="P1858" s="54" t="n"/>
      <c r="Q1858" s="110" t="n"/>
      <c r="R1858" s="110" t="n"/>
      <c r="S1858" s="54" t="n"/>
      <c r="T1858" s="111">
        <f>IF($G1858="","",IFERROR(INDEX(Taux_Devises,MATCH(IF($M1858="",Devise_Base,$M1858),Codes_Devises,0)),1))</f>
        <v/>
      </c>
      <c r="U1858" s="112">
        <f>IF($G1858="","",ROUND($G1858*$T1858,2))</f>
        <v/>
      </c>
      <c r="V1858" s="113">
        <f>IF($B1858="","",MONTH($B1858))</f>
        <v/>
      </c>
      <c r="W1858" s="113">
        <f>IF($B1858="","",YEAR($B1858))</f>
        <v/>
      </c>
    </row>
    <row r="1859">
      <c r="B1859" s="105" t="n"/>
      <c r="C1859" s="54" t="n"/>
      <c r="D1859" s="54" t="n"/>
      <c r="E1859" s="54" t="n"/>
      <c r="F1859" s="54" t="n"/>
      <c r="G1859" s="65" t="n"/>
      <c r="H1859" s="54" t="n"/>
      <c r="I1859" s="106">
        <f>IF($C1859="","",IFERROR(INDEX(Sens_Types,MATCH($C1859,Liste_Types,0)),""))</f>
        <v/>
      </c>
      <c r="J1859" s="107">
        <f>IF($I1859="▲ ENTRÉE",$U1859,"")</f>
        <v/>
      </c>
      <c r="K1859" s="108">
        <f>IF($I1859="▼ SORTIE",$U1859,"")</f>
        <v/>
      </c>
      <c r="L1859" s="109">
        <f>$L1858+N($J1859)-N($K1859)</f>
        <v/>
      </c>
      <c r="M1859" s="110" t="n"/>
      <c r="N1859" s="54" t="n"/>
      <c r="O1859" s="54" t="n"/>
      <c r="P1859" s="54" t="n"/>
      <c r="Q1859" s="110" t="n"/>
      <c r="R1859" s="110" t="n"/>
      <c r="S1859" s="54" t="n"/>
      <c r="T1859" s="111">
        <f>IF($G1859="","",IFERROR(INDEX(Taux_Devises,MATCH(IF($M1859="",Devise_Base,$M1859),Codes_Devises,0)),1))</f>
        <v/>
      </c>
      <c r="U1859" s="112">
        <f>IF($G1859="","",ROUND($G1859*$T1859,2))</f>
        <v/>
      </c>
      <c r="V1859" s="113">
        <f>IF($B1859="","",MONTH($B1859))</f>
        <v/>
      </c>
      <c r="W1859" s="113">
        <f>IF($B1859="","",YEAR($B1859))</f>
        <v/>
      </c>
    </row>
    <row r="1860">
      <c r="B1860" s="105" t="n"/>
      <c r="C1860" s="54" t="n"/>
      <c r="D1860" s="54" t="n"/>
      <c r="E1860" s="54" t="n"/>
      <c r="F1860" s="54" t="n"/>
      <c r="G1860" s="65" t="n"/>
      <c r="H1860" s="54" t="n"/>
      <c r="I1860" s="106">
        <f>IF($C1860="","",IFERROR(INDEX(Sens_Types,MATCH($C1860,Liste_Types,0)),""))</f>
        <v/>
      </c>
      <c r="J1860" s="107">
        <f>IF($I1860="▲ ENTRÉE",$U1860,"")</f>
        <v/>
      </c>
      <c r="K1860" s="108">
        <f>IF($I1860="▼ SORTIE",$U1860,"")</f>
        <v/>
      </c>
      <c r="L1860" s="109">
        <f>$L1859+N($J1860)-N($K1860)</f>
        <v/>
      </c>
      <c r="M1860" s="110" t="n"/>
      <c r="N1860" s="54" t="n"/>
      <c r="O1860" s="54" t="n"/>
      <c r="P1860" s="54" t="n"/>
      <c r="Q1860" s="110" t="n"/>
      <c r="R1860" s="110" t="n"/>
      <c r="S1860" s="54" t="n"/>
      <c r="T1860" s="111">
        <f>IF($G1860="","",IFERROR(INDEX(Taux_Devises,MATCH(IF($M1860="",Devise_Base,$M1860),Codes_Devises,0)),1))</f>
        <v/>
      </c>
      <c r="U1860" s="112">
        <f>IF($G1860="","",ROUND($G1860*$T1860,2))</f>
        <v/>
      </c>
      <c r="V1860" s="113">
        <f>IF($B1860="","",MONTH($B1860))</f>
        <v/>
      </c>
      <c r="W1860" s="113">
        <f>IF($B1860="","",YEAR($B1860))</f>
        <v/>
      </c>
    </row>
    <row r="1861">
      <c r="B1861" s="105" t="n"/>
      <c r="C1861" s="54" t="n"/>
      <c r="D1861" s="54" t="n"/>
      <c r="E1861" s="54" t="n"/>
      <c r="F1861" s="54" t="n"/>
      <c r="G1861" s="65" t="n"/>
      <c r="H1861" s="54" t="n"/>
      <c r="I1861" s="106">
        <f>IF($C1861="","",IFERROR(INDEX(Sens_Types,MATCH($C1861,Liste_Types,0)),""))</f>
        <v/>
      </c>
      <c r="J1861" s="107">
        <f>IF($I1861="▲ ENTRÉE",$U1861,"")</f>
        <v/>
      </c>
      <c r="K1861" s="108">
        <f>IF($I1861="▼ SORTIE",$U1861,"")</f>
        <v/>
      </c>
      <c r="L1861" s="109">
        <f>$L1860+N($J1861)-N($K1861)</f>
        <v/>
      </c>
      <c r="M1861" s="110" t="n"/>
      <c r="N1861" s="54" t="n"/>
      <c r="O1861" s="54" t="n"/>
      <c r="P1861" s="54" t="n"/>
      <c r="Q1861" s="110" t="n"/>
      <c r="R1861" s="110" t="n"/>
      <c r="S1861" s="54" t="n"/>
      <c r="T1861" s="111">
        <f>IF($G1861="","",IFERROR(INDEX(Taux_Devises,MATCH(IF($M1861="",Devise_Base,$M1861),Codes_Devises,0)),1))</f>
        <v/>
      </c>
      <c r="U1861" s="112">
        <f>IF($G1861="","",ROUND($G1861*$T1861,2))</f>
        <v/>
      </c>
      <c r="V1861" s="113">
        <f>IF($B1861="","",MONTH($B1861))</f>
        <v/>
      </c>
      <c r="W1861" s="113">
        <f>IF($B1861="","",YEAR($B1861))</f>
        <v/>
      </c>
    </row>
    <row r="1862">
      <c r="B1862" s="105" t="n"/>
      <c r="C1862" s="54" t="n"/>
      <c r="D1862" s="54" t="n"/>
      <c r="E1862" s="54" t="n"/>
      <c r="F1862" s="54" t="n"/>
      <c r="G1862" s="65" t="n"/>
      <c r="H1862" s="54" t="n"/>
      <c r="I1862" s="106">
        <f>IF($C1862="","",IFERROR(INDEX(Sens_Types,MATCH($C1862,Liste_Types,0)),""))</f>
        <v/>
      </c>
      <c r="J1862" s="107">
        <f>IF($I1862="▲ ENTRÉE",$U1862,"")</f>
        <v/>
      </c>
      <c r="K1862" s="108">
        <f>IF($I1862="▼ SORTIE",$U1862,"")</f>
        <v/>
      </c>
      <c r="L1862" s="109">
        <f>$L1861+N($J1862)-N($K1862)</f>
        <v/>
      </c>
      <c r="M1862" s="110" t="n"/>
      <c r="N1862" s="54" t="n"/>
      <c r="O1862" s="54" t="n"/>
      <c r="P1862" s="54" t="n"/>
      <c r="Q1862" s="110" t="n"/>
      <c r="R1862" s="110" t="n"/>
      <c r="S1862" s="54" t="n"/>
      <c r="T1862" s="111">
        <f>IF($G1862="","",IFERROR(INDEX(Taux_Devises,MATCH(IF($M1862="",Devise_Base,$M1862),Codes_Devises,0)),1))</f>
        <v/>
      </c>
      <c r="U1862" s="112">
        <f>IF($G1862="","",ROUND($G1862*$T1862,2))</f>
        <v/>
      </c>
      <c r="V1862" s="113">
        <f>IF($B1862="","",MONTH($B1862))</f>
        <v/>
      </c>
      <c r="W1862" s="113">
        <f>IF($B1862="","",YEAR($B1862))</f>
        <v/>
      </c>
    </row>
    <row r="1863">
      <c r="B1863" s="105" t="n"/>
      <c r="C1863" s="54" t="n"/>
      <c r="D1863" s="54" t="n"/>
      <c r="E1863" s="54" t="n"/>
      <c r="F1863" s="54" t="n"/>
      <c r="G1863" s="65" t="n"/>
      <c r="H1863" s="54" t="n"/>
      <c r="I1863" s="106">
        <f>IF($C1863="","",IFERROR(INDEX(Sens_Types,MATCH($C1863,Liste_Types,0)),""))</f>
        <v/>
      </c>
      <c r="J1863" s="107">
        <f>IF($I1863="▲ ENTRÉE",$U1863,"")</f>
        <v/>
      </c>
      <c r="K1863" s="108">
        <f>IF($I1863="▼ SORTIE",$U1863,"")</f>
        <v/>
      </c>
      <c r="L1863" s="109">
        <f>$L1862+N($J1863)-N($K1863)</f>
        <v/>
      </c>
      <c r="M1863" s="110" t="n"/>
      <c r="N1863" s="54" t="n"/>
      <c r="O1863" s="54" t="n"/>
      <c r="P1863" s="54" t="n"/>
      <c r="Q1863" s="110" t="n"/>
      <c r="R1863" s="110" t="n"/>
      <c r="S1863" s="54" t="n"/>
      <c r="T1863" s="111">
        <f>IF($G1863="","",IFERROR(INDEX(Taux_Devises,MATCH(IF($M1863="",Devise_Base,$M1863),Codes_Devises,0)),1))</f>
        <v/>
      </c>
      <c r="U1863" s="112">
        <f>IF($G1863="","",ROUND($G1863*$T1863,2))</f>
        <v/>
      </c>
      <c r="V1863" s="113">
        <f>IF($B1863="","",MONTH($B1863))</f>
        <v/>
      </c>
      <c r="W1863" s="113">
        <f>IF($B1863="","",YEAR($B1863))</f>
        <v/>
      </c>
    </row>
    <row r="1864">
      <c r="B1864" s="105" t="n"/>
      <c r="C1864" s="54" t="n"/>
      <c r="D1864" s="54" t="n"/>
      <c r="E1864" s="54" t="n"/>
      <c r="F1864" s="54" t="n"/>
      <c r="G1864" s="65" t="n"/>
      <c r="H1864" s="54" t="n"/>
      <c r="I1864" s="106">
        <f>IF($C1864="","",IFERROR(INDEX(Sens_Types,MATCH($C1864,Liste_Types,0)),""))</f>
        <v/>
      </c>
      <c r="J1864" s="107">
        <f>IF($I1864="▲ ENTRÉE",$U1864,"")</f>
        <v/>
      </c>
      <c r="K1864" s="108">
        <f>IF($I1864="▼ SORTIE",$U1864,"")</f>
        <v/>
      </c>
      <c r="L1864" s="109">
        <f>$L1863+N($J1864)-N($K1864)</f>
        <v/>
      </c>
      <c r="M1864" s="110" t="n"/>
      <c r="N1864" s="54" t="n"/>
      <c r="O1864" s="54" t="n"/>
      <c r="P1864" s="54" t="n"/>
      <c r="Q1864" s="110" t="n"/>
      <c r="R1864" s="110" t="n"/>
      <c r="S1864" s="54" t="n"/>
      <c r="T1864" s="111">
        <f>IF($G1864="","",IFERROR(INDEX(Taux_Devises,MATCH(IF($M1864="",Devise_Base,$M1864),Codes_Devises,0)),1))</f>
        <v/>
      </c>
      <c r="U1864" s="112">
        <f>IF($G1864="","",ROUND($G1864*$T1864,2))</f>
        <v/>
      </c>
      <c r="V1864" s="113">
        <f>IF($B1864="","",MONTH($B1864))</f>
        <v/>
      </c>
      <c r="W1864" s="113">
        <f>IF($B1864="","",YEAR($B1864))</f>
        <v/>
      </c>
    </row>
    <row r="1865">
      <c r="B1865" s="105" t="n"/>
      <c r="C1865" s="54" t="n"/>
      <c r="D1865" s="54" t="n"/>
      <c r="E1865" s="54" t="n"/>
      <c r="F1865" s="54" t="n"/>
      <c r="G1865" s="65" t="n"/>
      <c r="H1865" s="54" t="n"/>
      <c r="I1865" s="106">
        <f>IF($C1865="","",IFERROR(INDEX(Sens_Types,MATCH($C1865,Liste_Types,0)),""))</f>
        <v/>
      </c>
      <c r="J1865" s="107">
        <f>IF($I1865="▲ ENTRÉE",$U1865,"")</f>
        <v/>
      </c>
      <c r="K1865" s="108">
        <f>IF($I1865="▼ SORTIE",$U1865,"")</f>
        <v/>
      </c>
      <c r="L1865" s="109">
        <f>$L1864+N($J1865)-N($K1865)</f>
        <v/>
      </c>
      <c r="M1865" s="110" t="n"/>
      <c r="N1865" s="54" t="n"/>
      <c r="O1865" s="54" t="n"/>
      <c r="P1865" s="54" t="n"/>
      <c r="Q1865" s="110" t="n"/>
      <c r="R1865" s="110" t="n"/>
      <c r="S1865" s="54" t="n"/>
      <c r="T1865" s="111">
        <f>IF($G1865="","",IFERROR(INDEX(Taux_Devises,MATCH(IF($M1865="",Devise_Base,$M1865),Codes_Devises,0)),1))</f>
        <v/>
      </c>
      <c r="U1865" s="112">
        <f>IF($G1865="","",ROUND($G1865*$T1865,2))</f>
        <v/>
      </c>
      <c r="V1865" s="113">
        <f>IF($B1865="","",MONTH($B1865))</f>
        <v/>
      </c>
      <c r="W1865" s="113">
        <f>IF($B1865="","",YEAR($B1865))</f>
        <v/>
      </c>
    </row>
    <row r="1866">
      <c r="B1866" s="105" t="n"/>
      <c r="C1866" s="54" t="n"/>
      <c r="D1866" s="54" t="n"/>
      <c r="E1866" s="54" t="n"/>
      <c r="F1866" s="54" t="n"/>
      <c r="G1866" s="65" t="n"/>
      <c r="H1866" s="54" t="n"/>
      <c r="I1866" s="106">
        <f>IF($C1866="","",IFERROR(INDEX(Sens_Types,MATCH($C1866,Liste_Types,0)),""))</f>
        <v/>
      </c>
      <c r="J1866" s="107">
        <f>IF($I1866="▲ ENTRÉE",$U1866,"")</f>
        <v/>
      </c>
      <c r="K1866" s="108">
        <f>IF($I1866="▼ SORTIE",$U1866,"")</f>
        <v/>
      </c>
      <c r="L1866" s="109">
        <f>$L1865+N($J1866)-N($K1866)</f>
        <v/>
      </c>
      <c r="M1866" s="110" t="n"/>
      <c r="N1866" s="54" t="n"/>
      <c r="O1866" s="54" t="n"/>
      <c r="P1866" s="54" t="n"/>
      <c r="Q1866" s="110" t="n"/>
      <c r="R1866" s="110" t="n"/>
      <c r="S1866" s="54" t="n"/>
      <c r="T1866" s="111">
        <f>IF($G1866="","",IFERROR(INDEX(Taux_Devises,MATCH(IF($M1866="",Devise_Base,$M1866),Codes_Devises,0)),1))</f>
        <v/>
      </c>
      <c r="U1866" s="112">
        <f>IF($G1866="","",ROUND($G1866*$T1866,2))</f>
        <v/>
      </c>
      <c r="V1866" s="113">
        <f>IF($B1866="","",MONTH($B1866))</f>
        <v/>
      </c>
      <c r="W1866" s="113">
        <f>IF($B1866="","",YEAR($B1866))</f>
        <v/>
      </c>
    </row>
    <row r="1867">
      <c r="B1867" s="105" t="n"/>
      <c r="C1867" s="54" t="n"/>
      <c r="D1867" s="54" t="n"/>
      <c r="E1867" s="54" t="n"/>
      <c r="F1867" s="54" t="n"/>
      <c r="G1867" s="65" t="n"/>
      <c r="H1867" s="54" t="n"/>
      <c r="I1867" s="106">
        <f>IF($C1867="","",IFERROR(INDEX(Sens_Types,MATCH($C1867,Liste_Types,0)),""))</f>
        <v/>
      </c>
      <c r="J1867" s="107">
        <f>IF($I1867="▲ ENTRÉE",$U1867,"")</f>
        <v/>
      </c>
      <c r="K1867" s="108">
        <f>IF($I1867="▼ SORTIE",$U1867,"")</f>
        <v/>
      </c>
      <c r="L1867" s="109">
        <f>$L1866+N($J1867)-N($K1867)</f>
        <v/>
      </c>
      <c r="M1867" s="110" t="n"/>
      <c r="N1867" s="54" t="n"/>
      <c r="O1867" s="54" t="n"/>
      <c r="P1867" s="54" t="n"/>
      <c r="Q1867" s="110" t="n"/>
      <c r="R1867" s="110" t="n"/>
      <c r="S1867" s="54" t="n"/>
      <c r="T1867" s="111">
        <f>IF($G1867="","",IFERROR(INDEX(Taux_Devises,MATCH(IF($M1867="",Devise_Base,$M1867),Codes_Devises,0)),1))</f>
        <v/>
      </c>
      <c r="U1867" s="112">
        <f>IF($G1867="","",ROUND($G1867*$T1867,2))</f>
        <v/>
      </c>
      <c r="V1867" s="113">
        <f>IF($B1867="","",MONTH($B1867))</f>
        <v/>
      </c>
      <c r="W1867" s="113">
        <f>IF($B1867="","",YEAR($B1867))</f>
        <v/>
      </c>
    </row>
    <row r="1868">
      <c r="B1868" s="105" t="n"/>
      <c r="C1868" s="54" t="n"/>
      <c r="D1868" s="54" t="n"/>
      <c r="E1868" s="54" t="n"/>
      <c r="F1868" s="54" t="n"/>
      <c r="G1868" s="65" t="n"/>
      <c r="H1868" s="54" t="n"/>
      <c r="I1868" s="106">
        <f>IF($C1868="","",IFERROR(INDEX(Sens_Types,MATCH($C1868,Liste_Types,0)),""))</f>
        <v/>
      </c>
      <c r="J1868" s="107">
        <f>IF($I1868="▲ ENTRÉE",$U1868,"")</f>
        <v/>
      </c>
      <c r="K1868" s="108">
        <f>IF($I1868="▼ SORTIE",$U1868,"")</f>
        <v/>
      </c>
      <c r="L1868" s="109">
        <f>$L1867+N($J1868)-N($K1868)</f>
        <v/>
      </c>
      <c r="M1868" s="110" t="n"/>
      <c r="N1868" s="54" t="n"/>
      <c r="O1868" s="54" t="n"/>
      <c r="P1868" s="54" t="n"/>
      <c r="Q1868" s="110" t="n"/>
      <c r="R1868" s="110" t="n"/>
      <c r="S1868" s="54" t="n"/>
      <c r="T1868" s="111">
        <f>IF($G1868="","",IFERROR(INDEX(Taux_Devises,MATCH(IF($M1868="",Devise_Base,$M1868),Codes_Devises,0)),1))</f>
        <v/>
      </c>
      <c r="U1868" s="112">
        <f>IF($G1868="","",ROUND($G1868*$T1868,2))</f>
        <v/>
      </c>
      <c r="V1868" s="113">
        <f>IF($B1868="","",MONTH($B1868))</f>
        <v/>
      </c>
      <c r="W1868" s="113">
        <f>IF($B1868="","",YEAR($B1868))</f>
        <v/>
      </c>
    </row>
    <row r="1869">
      <c r="B1869" s="105" t="n"/>
      <c r="C1869" s="54" t="n"/>
      <c r="D1869" s="54" t="n"/>
      <c r="E1869" s="54" t="n"/>
      <c r="F1869" s="54" t="n"/>
      <c r="G1869" s="65" t="n"/>
      <c r="H1869" s="54" t="n"/>
      <c r="I1869" s="106">
        <f>IF($C1869="","",IFERROR(INDEX(Sens_Types,MATCH($C1869,Liste_Types,0)),""))</f>
        <v/>
      </c>
      <c r="J1869" s="107">
        <f>IF($I1869="▲ ENTRÉE",$U1869,"")</f>
        <v/>
      </c>
      <c r="K1869" s="108">
        <f>IF($I1869="▼ SORTIE",$U1869,"")</f>
        <v/>
      </c>
      <c r="L1869" s="109">
        <f>$L1868+N($J1869)-N($K1869)</f>
        <v/>
      </c>
      <c r="M1869" s="110" t="n"/>
      <c r="N1869" s="54" t="n"/>
      <c r="O1869" s="54" t="n"/>
      <c r="P1869" s="54" t="n"/>
      <c r="Q1869" s="110" t="n"/>
      <c r="R1869" s="110" t="n"/>
      <c r="S1869" s="54" t="n"/>
      <c r="T1869" s="111">
        <f>IF($G1869="","",IFERROR(INDEX(Taux_Devises,MATCH(IF($M1869="",Devise_Base,$M1869),Codes_Devises,0)),1))</f>
        <v/>
      </c>
      <c r="U1869" s="112">
        <f>IF($G1869="","",ROUND($G1869*$T1869,2))</f>
        <v/>
      </c>
      <c r="V1869" s="113">
        <f>IF($B1869="","",MONTH($B1869))</f>
        <v/>
      </c>
      <c r="W1869" s="113">
        <f>IF($B1869="","",YEAR($B1869))</f>
        <v/>
      </c>
    </row>
    <row r="1870">
      <c r="B1870" s="105" t="n"/>
      <c r="C1870" s="54" t="n"/>
      <c r="D1870" s="54" t="n"/>
      <c r="E1870" s="54" t="n"/>
      <c r="F1870" s="54" t="n"/>
      <c r="G1870" s="65" t="n"/>
      <c r="H1870" s="54" t="n"/>
      <c r="I1870" s="106">
        <f>IF($C1870="","",IFERROR(INDEX(Sens_Types,MATCH($C1870,Liste_Types,0)),""))</f>
        <v/>
      </c>
      <c r="J1870" s="107">
        <f>IF($I1870="▲ ENTRÉE",$U1870,"")</f>
        <v/>
      </c>
      <c r="K1870" s="108">
        <f>IF($I1870="▼ SORTIE",$U1870,"")</f>
        <v/>
      </c>
      <c r="L1870" s="109">
        <f>$L1869+N($J1870)-N($K1870)</f>
        <v/>
      </c>
      <c r="M1870" s="110" t="n"/>
      <c r="N1870" s="54" t="n"/>
      <c r="O1870" s="54" t="n"/>
      <c r="P1870" s="54" t="n"/>
      <c r="Q1870" s="110" t="n"/>
      <c r="R1870" s="110" t="n"/>
      <c r="S1870" s="54" t="n"/>
      <c r="T1870" s="111">
        <f>IF($G1870="","",IFERROR(INDEX(Taux_Devises,MATCH(IF($M1870="",Devise_Base,$M1870),Codes_Devises,0)),1))</f>
        <v/>
      </c>
      <c r="U1870" s="112">
        <f>IF($G1870="","",ROUND($G1870*$T1870,2))</f>
        <v/>
      </c>
      <c r="V1870" s="113">
        <f>IF($B1870="","",MONTH($B1870))</f>
        <v/>
      </c>
      <c r="W1870" s="113">
        <f>IF($B1870="","",YEAR($B1870))</f>
        <v/>
      </c>
    </row>
    <row r="1871">
      <c r="B1871" s="105" t="n"/>
      <c r="C1871" s="54" t="n"/>
      <c r="D1871" s="54" t="n"/>
      <c r="E1871" s="54" t="n"/>
      <c r="F1871" s="54" t="n"/>
      <c r="G1871" s="65" t="n"/>
      <c r="H1871" s="54" t="n"/>
      <c r="I1871" s="106">
        <f>IF($C1871="","",IFERROR(INDEX(Sens_Types,MATCH($C1871,Liste_Types,0)),""))</f>
        <v/>
      </c>
      <c r="J1871" s="107">
        <f>IF($I1871="▲ ENTRÉE",$U1871,"")</f>
        <v/>
      </c>
      <c r="K1871" s="108">
        <f>IF($I1871="▼ SORTIE",$U1871,"")</f>
        <v/>
      </c>
      <c r="L1871" s="109">
        <f>$L1870+N($J1871)-N($K1871)</f>
        <v/>
      </c>
      <c r="M1871" s="110" t="n"/>
      <c r="N1871" s="54" t="n"/>
      <c r="O1871" s="54" t="n"/>
      <c r="P1871" s="54" t="n"/>
      <c r="Q1871" s="110" t="n"/>
      <c r="R1871" s="110" t="n"/>
      <c r="S1871" s="54" t="n"/>
      <c r="T1871" s="111">
        <f>IF($G1871="","",IFERROR(INDEX(Taux_Devises,MATCH(IF($M1871="",Devise_Base,$M1871),Codes_Devises,0)),1))</f>
        <v/>
      </c>
      <c r="U1871" s="112">
        <f>IF($G1871="","",ROUND($G1871*$T1871,2))</f>
        <v/>
      </c>
      <c r="V1871" s="113">
        <f>IF($B1871="","",MONTH($B1871))</f>
        <v/>
      </c>
      <c r="W1871" s="113">
        <f>IF($B1871="","",YEAR($B1871))</f>
        <v/>
      </c>
    </row>
    <row r="1872">
      <c r="B1872" s="105" t="n"/>
      <c r="C1872" s="54" t="n"/>
      <c r="D1872" s="54" t="n"/>
      <c r="E1872" s="54" t="n"/>
      <c r="F1872" s="54" t="n"/>
      <c r="G1872" s="65" t="n"/>
      <c r="H1872" s="54" t="n"/>
      <c r="I1872" s="106">
        <f>IF($C1872="","",IFERROR(INDEX(Sens_Types,MATCH($C1872,Liste_Types,0)),""))</f>
        <v/>
      </c>
      <c r="J1872" s="107">
        <f>IF($I1872="▲ ENTRÉE",$U1872,"")</f>
        <v/>
      </c>
      <c r="K1872" s="108">
        <f>IF($I1872="▼ SORTIE",$U1872,"")</f>
        <v/>
      </c>
      <c r="L1872" s="109">
        <f>$L1871+N($J1872)-N($K1872)</f>
        <v/>
      </c>
      <c r="M1872" s="110" t="n"/>
      <c r="N1872" s="54" t="n"/>
      <c r="O1872" s="54" t="n"/>
      <c r="P1872" s="54" t="n"/>
      <c r="Q1872" s="110" t="n"/>
      <c r="R1872" s="110" t="n"/>
      <c r="S1872" s="54" t="n"/>
      <c r="T1872" s="111">
        <f>IF($G1872="","",IFERROR(INDEX(Taux_Devises,MATCH(IF($M1872="",Devise_Base,$M1872),Codes_Devises,0)),1))</f>
        <v/>
      </c>
      <c r="U1872" s="112">
        <f>IF($G1872="","",ROUND($G1872*$T1872,2))</f>
        <v/>
      </c>
      <c r="V1872" s="113">
        <f>IF($B1872="","",MONTH($B1872))</f>
        <v/>
      </c>
      <c r="W1872" s="113">
        <f>IF($B1872="","",YEAR($B1872))</f>
        <v/>
      </c>
    </row>
    <row r="1873">
      <c r="B1873" s="105" t="n"/>
      <c r="C1873" s="54" t="n"/>
      <c r="D1873" s="54" t="n"/>
      <c r="E1873" s="54" t="n"/>
      <c r="F1873" s="54" t="n"/>
      <c r="G1873" s="65" t="n"/>
      <c r="H1873" s="54" t="n"/>
      <c r="I1873" s="106">
        <f>IF($C1873="","",IFERROR(INDEX(Sens_Types,MATCH($C1873,Liste_Types,0)),""))</f>
        <v/>
      </c>
      <c r="J1873" s="107">
        <f>IF($I1873="▲ ENTRÉE",$U1873,"")</f>
        <v/>
      </c>
      <c r="K1873" s="108">
        <f>IF($I1873="▼ SORTIE",$U1873,"")</f>
        <v/>
      </c>
      <c r="L1873" s="109">
        <f>$L1872+N($J1873)-N($K1873)</f>
        <v/>
      </c>
      <c r="M1873" s="110" t="n"/>
      <c r="N1873" s="54" t="n"/>
      <c r="O1873" s="54" t="n"/>
      <c r="P1873" s="54" t="n"/>
      <c r="Q1873" s="110" t="n"/>
      <c r="R1873" s="110" t="n"/>
      <c r="S1873" s="54" t="n"/>
      <c r="T1873" s="111">
        <f>IF($G1873="","",IFERROR(INDEX(Taux_Devises,MATCH(IF($M1873="",Devise_Base,$M1873),Codes_Devises,0)),1))</f>
        <v/>
      </c>
      <c r="U1873" s="112">
        <f>IF($G1873="","",ROUND($G1873*$T1873,2))</f>
        <v/>
      </c>
      <c r="V1873" s="113">
        <f>IF($B1873="","",MONTH($B1873))</f>
        <v/>
      </c>
      <c r="W1873" s="113">
        <f>IF($B1873="","",YEAR($B1873))</f>
        <v/>
      </c>
    </row>
    <row r="1874">
      <c r="B1874" s="105" t="n"/>
      <c r="C1874" s="54" t="n"/>
      <c r="D1874" s="54" t="n"/>
      <c r="E1874" s="54" t="n"/>
      <c r="F1874" s="54" t="n"/>
      <c r="G1874" s="65" t="n"/>
      <c r="H1874" s="54" t="n"/>
      <c r="I1874" s="106">
        <f>IF($C1874="","",IFERROR(INDEX(Sens_Types,MATCH($C1874,Liste_Types,0)),""))</f>
        <v/>
      </c>
      <c r="J1874" s="107">
        <f>IF($I1874="▲ ENTRÉE",$U1874,"")</f>
        <v/>
      </c>
      <c r="K1874" s="108">
        <f>IF($I1874="▼ SORTIE",$U1874,"")</f>
        <v/>
      </c>
      <c r="L1874" s="109">
        <f>$L1873+N($J1874)-N($K1874)</f>
        <v/>
      </c>
      <c r="M1874" s="110" t="n"/>
      <c r="N1874" s="54" t="n"/>
      <c r="O1874" s="54" t="n"/>
      <c r="P1874" s="54" t="n"/>
      <c r="Q1874" s="110" t="n"/>
      <c r="R1874" s="110" t="n"/>
      <c r="S1874" s="54" t="n"/>
      <c r="T1874" s="111">
        <f>IF($G1874="","",IFERROR(INDEX(Taux_Devises,MATCH(IF($M1874="",Devise_Base,$M1874),Codes_Devises,0)),1))</f>
        <v/>
      </c>
      <c r="U1874" s="112">
        <f>IF($G1874="","",ROUND($G1874*$T1874,2))</f>
        <v/>
      </c>
      <c r="V1874" s="113">
        <f>IF($B1874="","",MONTH($B1874))</f>
        <v/>
      </c>
      <c r="W1874" s="113">
        <f>IF($B1874="","",YEAR($B1874))</f>
        <v/>
      </c>
    </row>
    <row r="1875">
      <c r="B1875" s="105" t="n"/>
      <c r="C1875" s="54" t="n"/>
      <c r="D1875" s="54" t="n"/>
      <c r="E1875" s="54" t="n"/>
      <c r="F1875" s="54" t="n"/>
      <c r="G1875" s="65" t="n"/>
      <c r="H1875" s="54" t="n"/>
      <c r="I1875" s="106">
        <f>IF($C1875="","",IFERROR(INDEX(Sens_Types,MATCH($C1875,Liste_Types,0)),""))</f>
        <v/>
      </c>
      <c r="J1875" s="107">
        <f>IF($I1875="▲ ENTRÉE",$U1875,"")</f>
        <v/>
      </c>
      <c r="K1875" s="108">
        <f>IF($I1875="▼ SORTIE",$U1875,"")</f>
        <v/>
      </c>
      <c r="L1875" s="109">
        <f>$L1874+N($J1875)-N($K1875)</f>
        <v/>
      </c>
      <c r="M1875" s="110" t="n"/>
      <c r="N1875" s="54" t="n"/>
      <c r="O1875" s="54" t="n"/>
      <c r="P1875" s="54" t="n"/>
      <c r="Q1875" s="110" t="n"/>
      <c r="R1875" s="110" t="n"/>
      <c r="S1875" s="54" t="n"/>
      <c r="T1875" s="111">
        <f>IF($G1875="","",IFERROR(INDEX(Taux_Devises,MATCH(IF($M1875="",Devise_Base,$M1875),Codes_Devises,0)),1))</f>
        <v/>
      </c>
      <c r="U1875" s="112">
        <f>IF($G1875="","",ROUND($G1875*$T1875,2))</f>
        <v/>
      </c>
      <c r="V1875" s="113">
        <f>IF($B1875="","",MONTH($B1875))</f>
        <v/>
      </c>
      <c r="W1875" s="113">
        <f>IF($B1875="","",YEAR($B1875))</f>
        <v/>
      </c>
    </row>
    <row r="1876">
      <c r="B1876" s="105" t="n"/>
      <c r="C1876" s="54" t="n"/>
      <c r="D1876" s="54" t="n"/>
      <c r="E1876" s="54" t="n"/>
      <c r="F1876" s="54" t="n"/>
      <c r="G1876" s="65" t="n"/>
      <c r="H1876" s="54" t="n"/>
      <c r="I1876" s="106">
        <f>IF($C1876="","",IFERROR(INDEX(Sens_Types,MATCH($C1876,Liste_Types,0)),""))</f>
        <v/>
      </c>
      <c r="J1876" s="107">
        <f>IF($I1876="▲ ENTRÉE",$U1876,"")</f>
        <v/>
      </c>
      <c r="K1876" s="108">
        <f>IF($I1876="▼ SORTIE",$U1876,"")</f>
        <v/>
      </c>
      <c r="L1876" s="109">
        <f>$L1875+N($J1876)-N($K1876)</f>
        <v/>
      </c>
      <c r="M1876" s="110" t="n"/>
      <c r="N1876" s="54" t="n"/>
      <c r="O1876" s="54" t="n"/>
      <c r="P1876" s="54" t="n"/>
      <c r="Q1876" s="110" t="n"/>
      <c r="R1876" s="110" t="n"/>
      <c r="S1876" s="54" t="n"/>
      <c r="T1876" s="111">
        <f>IF($G1876="","",IFERROR(INDEX(Taux_Devises,MATCH(IF($M1876="",Devise_Base,$M1876),Codes_Devises,0)),1))</f>
        <v/>
      </c>
      <c r="U1876" s="112">
        <f>IF($G1876="","",ROUND($G1876*$T1876,2))</f>
        <v/>
      </c>
      <c r="V1876" s="113">
        <f>IF($B1876="","",MONTH($B1876))</f>
        <v/>
      </c>
      <c r="W1876" s="113">
        <f>IF($B1876="","",YEAR($B1876))</f>
        <v/>
      </c>
    </row>
    <row r="1877">
      <c r="B1877" s="105" t="n"/>
      <c r="C1877" s="54" t="n"/>
      <c r="D1877" s="54" t="n"/>
      <c r="E1877" s="54" t="n"/>
      <c r="F1877" s="54" t="n"/>
      <c r="G1877" s="65" t="n"/>
      <c r="H1877" s="54" t="n"/>
      <c r="I1877" s="106">
        <f>IF($C1877="","",IFERROR(INDEX(Sens_Types,MATCH($C1877,Liste_Types,0)),""))</f>
        <v/>
      </c>
      <c r="J1877" s="107">
        <f>IF($I1877="▲ ENTRÉE",$U1877,"")</f>
        <v/>
      </c>
      <c r="K1877" s="108">
        <f>IF($I1877="▼ SORTIE",$U1877,"")</f>
        <v/>
      </c>
      <c r="L1877" s="109">
        <f>$L1876+N($J1877)-N($K1877)</f>
        <v/>
      </c>
      <c r="M1877" s="110" t="n"/>
      <c r="N1877" s="54" t="n"/>
      <c r="O1877" s="54" t="n"/>
      <c r="P1877" s="54" t="n"/>
      <c r="Q1877" s="110" t="n"/>
      <c r="R1877" s="110" t="n"/>
      <c r="S1877" s="54" t="n"/>
      <c r="T1877" s="111">
        <f>IF($G1877="","",IFERROR(INDEX(Taux_Devises,MATCH(IF($M1877="",Devise_Base,$M1877),Codes_Devises,0)),1))</f>
        <v/>
      </c>
      <c r="U1877" s="112">
        <f>IF($G1877="","",ROUND($G1877*$T1877,2))</f>
        <v/>
      </c>
      <c r="V1877" s="113">
        <f>IF($B1877="","",MONTH($B1877))</f>
        <v/>
      </c>
      <c r="W1877" s="113">
        <f>IF($B1877="","",YEAR($B1877))</f>
        <v/>
      </c>
    </row>
    <row r="1878">
      <c r="B1878" s="105" t="n"/>
      <c r="C1878" s="54" t="n"/>
      <c r="D1878" s="54" t="n"/>
      <c r="E1878" s="54" t="n"/>
      <c r="F1878" s="54" t="n"/>
      <c r="G1878" s="65" t="n"/>
      <c r="H1878" s="54" t="n"/>
      <c r="I1878" s="106">
        <f>IF($C1878="","",IFERROR(INDEX(Sens_Types,MATCH($C1878,Liste_Types,0)),""))</f>
        <v/>
      </c>
      <c r="J1878" s="107">
        <f>IF($I1878="▲ ENTRÉE",$U1878,"")</f>
        <v/>
      </c>
      <c r="K1878" s="108">
        <f>IF($I1878="▼ SORTIE",$U1878,"")</f>
        <v/>
      </c>
      <c r="L1878" s="109">
        <f>$L1877+N($J1878)-N($K1878)</f>
        <v/>
      </c>
      <c r="M1878" s="110" t="n"/>
      <c r="N1878" s="54" t="n"/>
      <c r="O1878" s="54" t="n"/>
      <c r="P1878" s="54" t="n"/>
      <c r="Q1878" s="110" t="n"/>
      <c r="R1878" s="110" t="n"/>
      <c r="S1878" s="54" t="n"/>
      <c r="T1878" s="111">
        <f>IF($G1878="","",IFERROR(INDEX(Taux_Devises,MATCH(IF($M1878="",Devise_Base,$M1878),Codes_Devises,0)),1))</f>
        <v/>
      </c>
      <c r="U1878" s="112">
        <f>IF($G1878="","",ROUND($G1878*$T1878,2))</f>
        <v/>
      </c>
      <c r="V1878" s="113">
        <f>IF($B1878="","",MONTH($B1878))</f>
        <v/>
      </c>
      <c r="W1878" s="113">
        <f>IF($B1878="","",YEAR($B1878))</f>
        <v/>
      </c>
    </row>
    <row r="1879">
      <c r="B1879" s="105" t="n"/>
      <c r="C1879" s="54" t="n"/>
      <c r="D1879" s="54" t="n"/>
      <c r="E1879" s="54" t="n"/>
      <c r="F1879" s="54" t="n"/>
      <c r="G1879" s="65" t="n"/>
      <c r="H1879" s="54" t="n"/>
      <c r="I1879" s="106">
        <f>IF($C1879="","",IFERROR(INDEX(Sens_Types,MATCH($C1879,Liste_Types,0)),""))</f>
        <v/>
      </c>
      <c r="J1879" s="107">
        <f>IF($I1879="▲ ENTRÉE",$U1879,"")</f>
        <v/>
      </c>
      <c r="K1879" s="108">
        <f>IF($I1879="▼ SORTIE",$U1879,"")</f>
        <v/>
      </c>
      <c r="L1879" s="109">
        <f>$L1878+N($J1879)-N($K1879)</f>
        <v/>
      </c>
      <c r="M1879" s="110" t="n"/>
      <c r="N1879" s="54" t="n"/>
      <c r="O1879" s="54" t="n"/>
      <c r="P1879" s="54" t="n"/>
      <c r="Q1879" s="110" t="n"/>
      <c r="R1879" s="110" t="n"/>
      <c r="S1879" s="54" t="n"/>
      <c r="T1879" s="111">
        <f>IF($G1879="","",IFERROR(INDEX(Taux_Devises,MATCH(IF($M1879="",Devise_Base,$M1879),Codes_Devises,0)),1))</f>
        <v/>
      </c>
      <c r="U1879" s="112">
        <f>IF($G1879="","",ROUND($G1879*$T1879,2))</f>
        <v/>
      </c>
      <c r="V1879" s="113">
        <f>IF($B1879="","",MONTH($B1879))</f>
        <v/>
      </c>
      <c r="W1879" s="113">
        <f>IF($B1879="","",YEAR($B1879))</f>
        <v/>
      </c>
    </row>
    <row r="1880">
      <c r="B1880" s="105" t="n"/>
      <c r="C1880" s="54" t="n"/>
      <c r="D1880" s="54" t="n"/>
      <c r="E1880" s="54" t="n"/>
      <c r="F1880" s="54" t="n"/>
      <c r="G1880" s="65" t="n"/>
      <c r="H1880" s="54" t="n"/>
      <c r="I1880" s="106">
        <f>IF($C1880="","",IFERROR(INDEX(Sens_Types,MATCH($C1880,Liste_Types,0)),""))</f>
        <v/>
      </c>
      <c r="J1880" s="107">
        <f>IF($I1880="▲ ENTRÉE",$U1880,"")</f>
        <v/>
      </c>
      <c r="K1880" s="108">
        <f>IF($I1880="▼ SORTIE",$U1880,"")</f>
        <v/>
      </c>
      <c r="L1880" s="109">
        <f>$L1879+N($J1880)-N($K1880)</f>
        <v/>
      </c>
      <c r="M1880" s="110" t="n"/>
      <c r="N1880" s="54" t="n"/>
      <c r="O1880" s="54" t="n"/>
      <c r="P1880" s="54" t="n"/>
      <c r="Q1880" s="110" t="n"/>
      <c r="R1880" s="110" t="n"/>
      <c r="S1880" s="54" t="n"/>
      <c r="T1880" s="111">
        <f>IF($G1880="","",IFERROR(INDEX(Taux_Devises,MATCH(IF($M1880="",Devise_Base,$M1880),Codes_Devises,0)),1))</f>
        <v/>
      </c>
      <c r="U1880" s="112">
        <f>IF($G1880="","",ROUND($G1880*$T1880,2))</f>
        <v/>
      </c>
      <c r="V1880" s="113">
        <f>IF($B1880="","",MONTH($B1880))</f>
        <v/>
      </c>
      <c r="W1880" s="113">
        <f>IF($B1880="","",YEAR($B1880))</f>
        <v/>
      </c>
    </row>
    <row r="1881">
      <c r="B1881" s="105" t="n"/>
      <c r="C1881" s="54" t="n"/>
      <c r="D1881" s="54" t="n"/>
      <c r="E1881" s="54" t="n"/>
      <c r="F1881" s="54" t="n"/>
      <c r="G1881" s="65" t="n"/>
      <c r="H1881" s="54" t="n"/>
      <c r="I1881" s="106">
        <f>IF($C1881="","",IFERROR(INDEX(Sens_Types,MATCH($C1881,Liste_Types,0)),""))</f>
        <v/>
      </c>
      <c r="J1881" s="107">
        <f>IF($I1881="▲ ENTRÉE",$U1881,"")</f>
        <v/>
      </c>
      <c r="K1881" s="108">
        <f>IF($I1881="▼ SORTIE",$U1881,"")</f>
        <v/>
      </c>
      <c r="L1881" s="109">
        <f>$L1880+N($J1881)-N($K1881)</f>
        <v/>
      </c>
      <c r="M1881" s="110" t="n"/>
      <c r="N1881" s="54" t="n"/>
      <c r="O1881" s="54" t="n"/>
      <c r="P1881" s="54" t="n"/>
      <c r="Q1881" s="110" t="n"/>
      <c r="R1881" s="110" t="n"/>
      <c r="S1881" s="54" t="n"/>
      <c r="T1881" s="111">
        <f>IF($G1881="","",IFERROR(INDEX(Taux_Devises,MATCH(IF($M1881="",Devise_Base,$M1881),Codes_Devises,0)),1))</f>
        <v/>
      </c>
      <c r="U1881" s="112">
        <f>IF($G1881="","",ROUND($G1881*$T1881,2))</f>
        <v/>
      </c>
      <c r="V1881" s="113">
        <f>IF($B1881="","",MONTH($B1881))</f>
        <v/>
      </c>
      <c r="W1881" s="113">
        <f>IF($B1881="","",YEAR($B1881))</f>
        <v/>
      </c>
    </row>
    <row r="1882">
      <c r="B1882" s="105" t="n"/>
      <c r="C1882" s="54" t="n"/>
      <c r="D1882" s="54" t="n"/>
      <c r="E1882" s="54" t="n"/>
      <c r="F1882" s="54" t="n"/>
      <c r="G1882" s="65" t="n"/>
      <c r="H1882" s="54" t="n"/>
      <c r="I1882" s="106">
        <f>IF($C1882="","",IFERROR(INDEX(Sens_Types,MATCH($C1882,Liste_Types,0)),""))</f>
        <v/>
      </c>
      <c r="J1882" s="107">
        <f>IF($I1882="▲ ENTRÉE",$U1882,"")</f>
        <v/>
      </c>
      <c r="K1882" s="108">
        <f>IF($I1882="▼ SORTIE",$U1882,"")</f>
        <v/>
      </c>
      <c r="L1882" s="109">
        <f>$L1881+N($J1882)-N($K1882)</f>
        <v/>
      </c>
      <c r="M1882" s="110" t="n"/>
      <c r="N1882" s="54" t="n"/>
      <c r="O1882" s="54" t="n"/>
      <c r="P1882" s="54" t="n"/>
      <c r="Q1882" s="110" t="n"/>
      <c r="R1882" s="110" t="n"/>
      <c r="S1882" s="54" t="n"/>
      <c r="T1882" s="111">
        <f>IF($G1882="","",IFERROR(INDEX(Taux_Devises,MATCH(IF($M1882="",Devise_Base,$M1882),Codes_Devises,0)),1))</f>
        <v/>
      </c>
      <c r="U1882" s="112">
        <f>IF($G1882="","",ROUND($G1882*$T1882,2))</f>
        <v/>
      </c>
      <c r="V1882" s="113">
        <f>IF($B1882="","",MONTH($B1882))</f>
        <v/>
      </c>
      <c r="W1882" s="113">
        <f>IF($B1882="","",YEAR($B1882))</f>
        <v/>
      </c>
    </row>
    <row r="1883">
      <c r="B1883" s="105" t="n"/>
      <c r="C1883" s="54" t="n"/>
      <c r="D1883" s="54" t="n"/>
      <c r="E1883" s="54" t="n"/>
      <c r="F1883" s="54" t="n"/>
      <c r="G1883" s="65" t="n"/>
      <c r="H1883" s="54" t="n"/>
      <c r="I1883" s="106">
        <f>IF($C1883="","",IFERROR(INDEX(Sens_Types,MATCH($C1883,Liste_Types,0)),""))</f>
        <v/>
      </c>
      <c r="J1883" s="107">
        <f>IF($I1883="▲ ENTRÉE",$U1883,"")</f>
        <v/>
      </c>
      <c r="K1883" s="108">
        <f>IF($I1883="▼ SORTIE",$U1883,"")</f>
        <v/>
      </c>
      <c r="L1883" s="109">
        <f>$L1882+N($J1883)-N($K1883)</f>
        <v/>
      </c>
      <c r="M1883" s="110" t="n"/>
      <c r="N1883" s="54" t="n"/>
      <c r="O1883" s="54" t="n"/>
      <c r="P1883" s="54" t="n"/>
      <c r="Q1883" s="110" t="n"/>
      <c r="R1883" s="110" t="n"/>
      <c r="S1883" s="54" t="n"/>
      <c r="T1883" s="111">
        <f>IF($G1883="","",IFERROR(INDEX(Taux_Devises,MATCH(IF($M1883="",Devise_Base,$M1883),Codes_Devises,0)),1))</f>
        <v/>
      </c>
      <c r="U1883" s="112">
        <f>IF($G1883="","",ROUND($G1883*$T1883,2))</f>
        <v/>
      </c>
      <c r="V1883" s="113">
        <f>IF($B1883="","",MONTH($B1883))</f>
        <v/>
      </c>
      <c r="W1883" s="113">
        <f>IF($B1883="","",YEAR($B1883))</f>
        <v/>
      </c>
    </row>
    <row r="1884">
      <c r="B1884" s="105" t="n"/>
      <c r="C1884" s="54" t="n"/>
      <c r="D1884" s="54" t="n"/>
      <c r="E1884" s="54" t="n"/>
      <c r="F1884" s="54" t="n"/>
      <c r="G1884" s="65" t="n"/>
      <c r="H1884" s="54" t="n"/>
      <c r="I1884" s="106">
        <f>IF($C1884="","",IFERROR(INDEX(Sens_Types,MATCH($C1884,Liste_Types,0)),""))</f>
        <v/>
      </c>
      <c r="J1884" s="107">
        <f>IF($I1884="▲ ENTRÉE",$U1884,"")</f>
        <v/>
      </c>
      <c r="K1884" s="108">
        <f>IF($I1884="▼ SORTIE",$U1884,"")</f>
        <v/>
      </c>
      <c r="L1884" s="109">
        <f>$L1883+N($J1884)-N($K1884)</f>
        <v/>
      </c>
      <c r="M1884" s="110" t="n"/>
      <c r="N1884" s="54" t="n"/>
      <c r="O1884" s="54" t="n"/>
      <c r="P1884" s="54" t="n"/>
      <c r="Q1884" s="110" t="n"/>
      <c r="R1884" s="110" t="n"/>
      <c r="S1884" s="54" t="n"/>
      <c r="T1884" s="111">
        <f>IF($G1884="","",IFERROR(INDEX(Taux_Devises,MATCH(IF($M1884="",Devise_Base,$M1884),Codes_Devises,0)),1))</f>
        <v/>
      </c>
      <c r="U1884" s="112">
        <f>IF($G1884="","",ROUND($G1884*$T1884,2))</f>
        <v/>
      </c>
      <c r="V1884" s="113">
        <f>IF($B1884="","",MONTH($B1884))</f>
        <v/>
      </c>
      <c r="W1884" s="113">
        <f>IF($B1884="","",YEAR($B1884))</f>
        <v/>
      </c>
    </row>
    <row r="1885">
      <c r="B1885" s="105" t="n"/>
      <c r="C1885" s="54" t="n"/>
      <c r="D1885" s="54" t="n"/>
      <c r="E1885" s="54" t="n"/>
      <c r="F1885" s="54" t="n"/>
      <c r="G1885" s="65" t="n"/>
      <c r="H1885" s="54" t="n"/>
      <c r="I1885" s="106">
        <f>IF($C1885="","",IFERROR(INDEX(Sens_Types,MATCH($C1885,Liste_Types,0)),""))</f>
        <v/>
      </c>
      <c r="J1885" s="107">
        <f>IF($I1885="▲ ENTRÉE",$U1885,"")</f>
        <v/>
      </c>
      <c r="K1885" s="108">
        <f>IF($I1885="▼ SORTIE",$U1885,"")</f>
        <v/>
      </c>
      <c r="L1885" s="109">
        <f>$L1884+N($J1885)-N($K1885)</f>
        <v/>
      </c>
      <c r="M1885" s="110" t="n"/>
      <c r="N1885" s="54" t="n"/>
      <c r="O1885" s="54" t="n"/>
      <c r="P1885" s="54" t="n"/>
      <c r="Q1885" s="110" t="n"/>
      <c r="R1885" s="110" t="n"/>
      <c r="S1885" s="54" t="n"/>
      <c r="T1885" s="111">
        <f>IF($G1885="","",IFERROR(INDEX(Taux_Devises,MATCH(IF($M1885="",Devise_Base,$M1885),Codes_Devises,0)),1))</f>
        <v/>
      </c>
      <c r="U1885" s="112">
        <f>IF($G1885="","",ROUND($G1885*$T1885,2))</f>
        <v/>
      </c>
      <c r="V1885" s="113">
        <f>IF($B1885="","",MONTH($B1885))</f>
        <v/>
      </c>
      <c r="W1885" s="113">
        <f>IF($B1885="","",YEAR($B1885))</f>
        <v/>
      </c>
    </row>
    <row r="1886">
      <c r="B1886" s="105" t="n"/>
      <c r="C1886" s="54" t="n"/>
      <c r="D1886" s="54" t="n"/>
      <c r="E1886" s="54" t="n"/>
      <c r="F1886" s="54" t="n"/>
      <c r="G1886" s="65" t="n"/>
      <c r="H1886" s="54" t="n"/>
      <c r="I1886" s="106">
        <f>IF($C1886="","",IFERROR(INDEX(Sens_Types,MATCH($C1886,Liste_Types,0)),""))</f>
        <v/>
      </c>
      <c r="J1886" s="107">
        <f>IF($I1886="▲ ENTRÉE",$U1886,"")</f>
        <v/>
      </c>
      <c r="K1886" s="108">
        <f>IF($I1886="▼ SORTIE",$U1886,"")</f>
        <v/>
      </c>
      <c r="L1886" s="109">
        <f>$L1885+N($J1886)-N($K1886)</f>
        <v/>
      </c>
      <c r="M1886" s="110" t="n"/>
      <c r="N1886" s="54" t="n"/>
      <c r="O1886" s="54" t="n"/>
      <c r="P1886" s="54" t="n"/>
      <c r="Q1886" s="110" t="n"/>
      <c r="R1886" s="110" t="n"/>
      <c r="S1886" s="54" t="n"/>
      <c r="T1886" s="111">
        <f>IF($G1886="","",IFERROR(INDEX(Taux_Devises,MATCH(IF($M1886="",Devise_Base,$M1886),Codes_Devises,0)),1))</f>
        <v/>
      </c>
      <c r="U1886" s="112">
        <f>IF($G1886="","",ROUND($G1886*$T1886,2))</f>
        <v/>
      </c>
      <c r="V1886" s="113">
        <f>IF($B1886="","",MONTH($B1886))</f>
        <v/>
      </c>
      <c r="W1886" s="113">
        <f>IF($B1886="","",YEAR($B1886))</f>
        <v/>
      </c>
    </row>
    <row r="1887">
      <c r="B1887" s="105" t="n"/>
      <c r="C1887" s="54" t="n"/>
      <c r="D1887" s="54" t="n"/>
      <c r="E1887" s="54" t="n"/>
      <c r="F1887" s="54" t="n"/>
      <c r="G1887" s="65" t="n"/>
      <c r="H1887" s="54" t="n"/>
      <c r="I1887" s="106">
        <f>IF($C1887="","",IFERROR(INDEX(Sens_Types,MATCH($C1887,Liste_Types,0)),""))</f>
        <v/>
      </c>
      <c r="J1887" s="107">
        <f>IF($I1887="▲ ENTRÉE",$U1887,"")</f>
        <v/>
      </c>
      <c r="K1887" s="108">
        <f>IF($I1887="▼ SORTIE",$U1887,"")</f>
        <v/>
      </c>
      <c r="L1887" s="109">
        <f>$L1886+N($J1887)-N($K1887)</f>
        <v/>
      </c>
      <c r="M1887" s="110" t="n"/>
      <c r="N1887" s="54" t="n"/>
      <c r="O1887" s="54" t="n"/>
      <c r="P1887" s="54" t="n"/>
      <c r="Q1887" s="110" t="n"/>
      <c r="R1887" s="110" t="n"/>
      <c r="S1887" s="54" t="n"/>
      <c r="T1887" s="111">
        <f>IF($G1887="","",IFERROR(INDEX(Taux_Devises,MATCH(IF($M1887="",Devise_Base,$M1887),Codes_Devises,0)),1))</f>
        <v/>
      </c>
      <c r="U1887" s="112">
        <f>IF($G1887="","",ROUND($G1887*$T1887,2))</f>
        <v/>
      </c>
      <c r="V1887" s="113">
        <f>IF($B1887="","",MONTH($B1887))</f>
        <v/>
      </c>
      <c r="W1887" s="113">
        <f>IF($B1887="","",YEAR($B1887))</f>
        <v/>
      </c>
    </row>
    <row r="1888">
      <c r="B1888" s="105" t="n"/>
      <c r="C1888" s="54" t="n"/>
      <c r="D1888" s="54" t="n"/>
      <c r="E1888" s="54" t="n"/>
      <c r="F1888" s="54" t="n"/>
      <c r="G1888" s="65" t="n"/>
      <c r="H1888" s="54" t="n"/>
      <c r="I1888" s="106">
        <f>IF($C1888="","",IFERROR(INDEX(Sens_Types,MATCH($C1888,Liste_Types,0)),""))</f>
        <v/>
      </c>
      <c r="J1888" s="107">
        <f>IF($I1888="▲ ENTRÉE",$U1888,"")</f>
        <v/>
      </c>
      <c r="K1888" s="108">
        <f>IF($I1888="▼ SORTIE",$U1888,"")</f>
        <v/>
      </c>
      <c r="L1888" s="109">
        <f>$L1887+N($J1888)-N($K1888)</f>
        <v/>
      </c>
      <c r="M1888" s="110" t="n"/>
      <c r="N1888" s="54" t="n"/>
      <c r="O1888" s="54" t="n"/>
      <c r="P1888" s="54" t="n"/>
      <c r="Q1888" s="110" t="n"/>
      <c r="R1888" s="110" t="n"/>
      <c r="S1888" s="54" t="n"/>
      <c r="T1888" s="111">
        <f>IF($G1888="","",IFERROR(INDEX(Taux_Devises,MATCH(IF($M1888="",Devise_Base,$M1888),Codes_Devises,0)),1))</f>
        <v/>
      </c>
      <c r="U1888" s="112">
        <f>IF($G1888="","",ROUND($G1888*$T1888,2))</f>
        <v/>
      </c>
      <c r="V1888" s="113">
        <f>IF($B1888="","",MONTH($B1888))</f>
        <v/>
      </c>
      <c r="W1888" s="113">
        <f>IF($B1888="","",YEAR($B1888))</f>
        <v/>
      </c>
    </row>
    <row r="1889">
      <c r="B1889" s="105" t="n"/>
      <c r="C1889" s="54" t="n"/>
      <c r="D1889" s="54" t="n"/>
      <c r="E1889" s="54" t="n"/>
      <c r="F1889" s="54" t="n"/>
      <c r="G1889" s="65" t="n"/>
      <c r="H1889" s="54" t="n"/>
      <c r="I1889" s="106">
        <f>IF($C1889="","",IFERROR(INDEX(Sens_Types,MATCH($C1889,Liste_Types,0)),""))</f>
        <v/>
      </c>
      <c r="J1889" s="107">
        <f>IF($I1889="▲ ENTRÉE",$U1889,"")</f>
        <v/>
      </c>
      <c r="K1889" s="108">
        <f>IF($I1889="▼ SORTIE",$U1889,"")</f>
        <v/>
      </c>
      <c r="L1889" s="109">
        <f>$L1888+N($J1889)-N($K1889)</f>
        <v/>
      </c>
      <c r="M1889" s="110" t="n"/>
      <c r="N1889" s="54" t="n"/>
      <c r="O1889" s="54" t="n"/>
      <c r="P1889" s="54" t="n"/>
      <c r="Q1889" s="110" t="n"/>
      <c r="R1889" s="110" t="n"/>
      <c r="S1889" s="54" t="n"/>
      <c r="T1889" s="111">
        <f>IF($G1889="","",IFERROR(INDEX(Taux_Devises,MATCH(IF($M1889="",Devise_Base,$M1889),Codes_Devises,0)),1))</f>
        <v/>
      </c>
      <c r="U1889" s="112">
        <f>IF($G1889="","",ROUND($G1889*$T1889,2))</f>
        <v/>
      </c>
      <c r="V1889" s="113">
        <f>IF($B1889="","",MONTH($B1889))</f>
        <v/>
      </c>
      <c r="W1889" s="113">
        <f>IF($B1889="","",YEAR($B1889))</f>
        <v/>
      </c>
    </row>
    <row r="1890">
      <c r="B1890" s="105" t="n"/>
      <c r="C1890" s="54" t="n"/>
      <c r="D1890" s="54" t="n"/>
      <c r="E1890" s="54" t="n"/>
      <c r="F1890" s="54" t="n"/>
      <c r="G1890" s="65" t="n"/>
      <c r="H1890" s="54" t="n"/>
      <c r="I1890" s="106">
        <f>IF($C1890="","",IFERROR(INDEX(Sens_Types,MATCH($C1890,Liste_Types,0)),""))</f>
        <v/>
      </c>
      <c r="J1890" s="107">
        <f>IF($I1890="▲ ENTRÉE",$U1890,"")</f>
        <v/>
      </c>
      <c r="K1890" s="108">
        <f>IF($I1890="▼ SORTIE",$U1890,"")</f>
        <v/>
      </c>
      <c r="L1890" s="109">
        <f>$L1889+N($J1890)-N($K1890)</f>
        <v/>
      </c>
      <c r="M1890" s="110" t="n"/>
      <c r="N1890" s="54" t="n"/>
      <c r="O1890" s="54" t="n"/>
      <c r="P1890" s="54" t="n"/>
      <c r="Q1890" s="110" t="n"/>
      <c r="R1890" s="110" t="n"/>
      <c r="S1890" s="54" t="n"/>
      <c r="T1890" s="111">
        <f>IF($G1890="","",IFERROR(INDEX(Taux_Devises,MATCH(IF($M1890="",Devise_Base,$M1890),Codes_Devises,0)),1))</f>
        <v/>
      </c>
      <c r="U1890" s="112">
        <f>IF($G1890="","",ROUND($G1890*$T1890,2))</f>
        <v/>
      </c>
      <c r="V1890" s="113">
        <f>IF($B1890="","",MONTH($B1890))</f>
        <v/>
      </c>
      <c r="W1890" s="113">
        <f>IF($B1890="","",YEAR($B1890))</f>
        <v/>
      </c>
    </row>
    <row r="1891">
      <c r="B1891" s="105" t="n"/>
      <c r="C1891" s="54" t="n"/>
      <c r="D1891" s="54" t="n"/>
      <c r="E1891" s="54" t="n"/>
      <c r="F1891" s="54" t="n"/>
      <c r="G1891" s="65" t="n"/>
      <c r="H1891" s="54" t="n"/>
      <c r="I1891" s="106">
        <f>IF($C1891="","",IFERROR(INDEX(Sens_Types,MATCH($C1891,Liste_Types,0)),""))</f>
        <v/>
      </c>
      <c r="J1891" s="107">
        <f>IF($I1891="▲ ENTRÉE",$U1891,"")</f>
        <v/>
      </c>
      <c r="K1891" s="108">
        <f>IF($I1891="▼ SORTIE",$U1891,"")</f>
        <v/>
      </c>
      <c r="L1891" s="109">
        <f>$L1890+N($J1891)-N($K1891)</f>
        <v/>
      </c>
      <c r="M1891" s="110" t="n"/>
      <c r="N1891" s="54" t="n"/>
      <c r="O1891" s="54" t="n"/>
      <c r="P1891" s="54" t="n"/>
      <c r="Q1891" s="110" t="n"/>
      <c r="R1891" s="110" t="n"/>
      <c r="S1891" s="54" t="n"/>
      <c r="T1891" s="111">
        <f>IF($G1891="","",IFERROR(INDEX(Taux_Devises,MATCH(IF($M1891="",Devise_Base,$M1891),Codes_Devises,0)),1))</f>
        <v/>
      </c>
      <c r="U1891" s="112">
        <f>IF($G1891="","",ROUND($G1891*$T1891,2))</f>
        <v/>
      </c>
      <c r="V1891" s="113">
        <f>IF($B1891="","",MONTH($B1891))</f>
        <v/>
      </c>
      <c r="W1891" s="113">
        <f>IF($B1891="","",YEAR($B1891))</f>
        <v/>
      </c>
    </row>
    <row r="1892">
      <c r="B1892" s="105" t="n"/>
      <c r="C1892" s="54" t="n"/>
      <c r="D1892" s="54" t="n"/>
      <c r="E1892" s="54" t="n"/>
      <c r="F1892" s="54" t="n"/>
      <c r="G1892" s="65" t="n"/>
      <c r="H1892" s="54" t="n"/>
      <c r="I1892" s="106">
        <f>IF($C1892="","",IFERROR(INDEX(Sens_Types,MATCH($C1892,Liste_Types,0)),""))</f>
        <v/>
      </c>
      <c r="J1892" s="107">
        <f>IF($I1892="▲ ENTRÉE",$U1892,"")</f>
        <v/>
      </c>
      <c r="K1892" s="108">
        <f>IF($I1892="▼ SORTIE",$U1892,"")</f>
        <v/>
      </c>
      <c r="L1892" s="109">
        <f>$L1891+N($J1892)-N($K1892)</f>
        <v/>
      </c>
      <c r="M1892" s="110" t="n"/>
      <c r="N1892" s="54" t="n"/>
      <c r="O1892" s="54" t="n"/>
      <c r="P1892" s="54" t="n"/>
      <c r="Q1892" s="110" t="n"/>
      <c r="R1892" s="110" t="n"/>
      <c r="S1892" s="54" t="n"/>
      <c r="T1892" s="111">
        <f>IF($G1892="","",IFERROR(INDEX(Taux_Devises,MATCH(IF($M1892="",Devise_Base,$M1892),Codes_Devises,0)),1))</f>
        <v/>
      </c>
      <c r="U1892" s="112">
        <f>IF($G1892="","",ROUND($G1892*$T1892,2))</f>
        <v/>
      </c>
      <c r="V1892" s="113">
        <f>IF($B1892="","",MONTH($B1892))</f>
        <v/>
      </c>
      <c r="W1892" s="113">
        <f>IF($B1892="","",YEAR($B1892))</f>
        <v/>
      </c>
    </row>
    <row r="1893">
      <c r="B1893" s="105" t="n"/>
      <c r="C1893" s="54" t="n"/>
      <c r="D1893" s="54" t="n"/>
      <c r="E1893" s="54" t="n"/>
      <c r="F1893" s="54" t="n"/>
      <c r="G1893" s="65" t="n"/>
      <c r="H1893" s="54" t="n"/>
      <c r="I1893" s="106">
        <f>IF($C1893="","",IFERROR(INDEX(Sens_Types,MATCH($C1893,Liste_Types,0)),""))</f>
        <v/>
      </c>
      <c r="J1893" s="107">
        <f>IF($I1893="▲ ENTRÉE",$U1893,"")</f>
        <v/>
      </c>
      <c r="K1893" s="108">
        <f>IF($I1893="▼ SORTIE",$U1893,"")</f>
        <v/>
      </c>
      <c r="L1893" s="109">
        <f>$L1892+N($J1893)-N($K1893)</f>
        <v/>
      </c>
      <c r="M1893" s="110" t="n"/>
      <c r="N1893" s="54" t="n"/>
      <c r="O1893" s="54" t="n"/>
      <c r="P1893" s="54" t="n"/>
      <c r="Q1893" s="110" t="n"/>
      <c r="R1893" s="110" t="n"/>
      <c r="S1893" s="54" t="n"/>
      <c r="T1893" s="111">
        <f>IF($G1893="","",IFERROR(INDEX(Taux_Devises,MATCH(IF($M1893="",Devise_Base,$M1893),Codes_Devises,0)),1))</f>
        <v/>
      </c>
      <c r="U1893" s="112">
        <f>IF($G1893="","",ROUND($G1893*$T1893,2))</f>
        <v/>
      </c>
      <c r="V1893" s="113">
        <f>IF($B1893="","",MONTH($B1893))</f>
        <v/>
      </c>
      <c r="W1893" s="113">
        <f>IF($B1893="","",YEAR($B1893))</f>
        <v/>
      </c>
    </row>
    <row r="1894">
      <c r="B1894" s="105" t="n"/>
      <c r="C1894" s="54" t="n"/>
      <c r="D1894" s="54" t="n"/>
      <c r="E1894" s="54" t="n"/>
      <c r="F1894" s="54" t="n"/>
      <c r="G1894" s="65" t="n"/>
      <c r="H1894" s="54" t="n"/>
      <c r="I1894" s="106">
        <f>IF($C1894="","",IFERROR(INDEX(Sens_Types,MATCH($C1894,Liste_Types,0)),""))</f>
        <v/>
      </c>
      <c r="J1894" s="107">
        <f>IF($I1894="▲ ENTRÉE",$U1894,"")</f>
        <v/>
      </c>
      <c r="K1894" s="108">
        <f>IF($I1894="▼ SORTIE",$U1894,"")</f>
        <v/>
      </c>
      <c r="L1894" s="109">
        <f>$L1893+N($J1894)-N($K1894)</f>
        <v/>
      </c>
      <c r="M1894" s="110" t="n"/>
      <c r="N1894" s="54" t="n"/>
      <c r="O1894" s="54" t="n"/>
      <c r="P1894" s="54" t="n"/>
      <c r="Q1894" s="110" t="n"/>
      <c r="R1894" s="110" t="n"/>
      <c r="S1894" s="54" t="n"/>
      <c r="T1894" s="111">
        <f>IF($G1894="","",IFERROR(INDEX(Taux_Devises,MATCH(IF($M1894="",Devise_Base,$M1894),Codes_Devises,0)),1))</f>
        <v/>
      </c>
      <c r="U1894" s="112">
        <f>IF($G1894="","",ROUND($G1894*$T1894,2))</f>
        <v/>
      </c>
      <c r="V1894" s="113">
        <f>IF($B1894="","",MONTH($B1894))</f>
        <v/>
      </c>
      <c r="W1894" s="113">
        <f>IF($B1894="","",YEAR($B1894))</f>
        <v/>
      </c>
    </row>
    <row r="1895">
      <c r="B1895" s="105" t="n"/>
      <c r="C1895" s="54" t="n"/>
      <c r="D1895" s="54" t="n"/>
      <c r="E1895" s="54" t="n"/>
      <c r="F1895" s="54" t="n"/>
      <c r="G1895" s="65" t="n"/>
      <c r="H1895" s="54" t="n"/>
      <c r="I1895" s="106">
        <f>IF($C1895="","",IFERROR(INDEX(Sens_Types,MATCH($C1895,Liste_Types,0)),""))</f>
        <v/>
      </c>
      <c r="J1895" s="107">
        <f>IF($I1895="▲ ENTRÉE",$U1895,"")</f>
        <v/>
      </c>
      <c r="K1895" s="108">
        <f>IF($I1895="▼ SORTIE",$U1895,"")</f>
        <v/>
      </c>
      <c r="L1895" s="109">
        <f>$L1894+N($J1895)-N($K1895)</f>
        <v/>
      </c>
      <c r="M1895" s="110" t="n"/>
      <c r="N1895" s="54" t="n"/>
      <c r="O1895" s="54" t="n"/>
      <c r="P1895" s="54" t="n"/>
      <c r="Q1895" s="110" t="n"/>
      <c r="R1895" s="110" t="n"/>
      <c r="S1895" s="54" t="n"/>
      <c r="T1895" s="111">
        <f>IF($G1895="","",IFERROR(INDEX(Taux_Devises,MATCH(IF($M1895="",Devise_Base,$M1895),Codes_Devises,0)),1))</f>
        <v/>
      </c>
      <c r="U1895" s="112">
        <f>IF($G1895="","",ROUND($G1895*$T1895,2))</f>
        <v/>
      </c>
      <c r="V1895" s="113">
        <f>IF($B1895="","",MONTH($B1895))</f>
        <v/>
      </c>
      <c r="W1895" s="113">
        <f>IF($B1895="","",YEAR($B1895))</f>
        <v/>
      </c>
    </row>
    <row r="1896">
      <c r="B1896" s="105" t="n"/>
      <c r="C1896" s="54" t="n"/>
      <c r="D1896" s="54" t="n"/>
      <c r="E1896" s="54" t="n"/>
      <c r="F1896" s="54" t="n"/>
      <c r="G1896" s="65" t="n"/>
      <c r="H1896" s="54" t="n"/>
      <c r="I1896" s="106">
        <f>IF($C1896="","",IFERROR(INDEX(Sens_Types,MATCH($C1896,Liste_Types,0)),""))</f>
        <v/>
      </c>
      <c r="J1896" s="107">
        <f>IF($I1896="▲ ENTRÉE",$U1896,"")</f>
        <v/>
      </c>
      <c r="K1896" s="108">
        <f>IF($I1896="▼ SORTIE",$U1896,"")</f>
        <v/>
      </c>
      <c r="L1896" s="109">
        <f>$L1895+N($J1896)-N($K1896)</f>
        <v/>
      </c>
      <c r="M1896" s="110" t="n"/>
      <c r="N1896" s="54" t="n"/>
      <c r="O1896" s="54" t="n"/>
      <c r="P1896" s="54" t="n"/>
      <c r="Q1896" s="110" t="n"/>
      <c r="R1896" s="110" t="n"/>
      <c r="S1896" s="54" t="n"/>
      <c r="T1896" s="111">
        <f>IF($G1896="","",IFERROR(INDEX(Taux_Devises,MATCH(IF($M1896="",Devise_Base,$M1896),Codes_Devises,0)),1))</f>
        <v/>
      </c>
      <c r="U1896" s="112">
        <f>IF($G1896="","",ROUND($G1896*$T1896,2))</f>
        <v/>
      </c>
      <c r="V1896" s="113">
        <f>IF($B1896="","",MONTH($B1896))</f>
        <v/>
      </c>
      <c r="W1896" s="113">
        <f>IF($B1896="","",YEAR($B1896))</f>
        <v/>
      </c>
    </row>
    <row r="1897">
      <c r="B1897" s="105" t="n"/>
      <c r="C1897" s="54" t="n"/>
      <c r="D1897" s="54" t="n"/>
      <c r="E1897" s="54" t="n"/>
      <c r="F1897" s="54" t="n"/>
      <c r="G1897" s="65" t="n"/>
      <c r="H1897" s="54" t="n"/>
      <c r="I1897" s="106">
        <f>IF($C1897="","",IFERROR(INDEX(Sens_Types,MATCH($C1897,Liste_Types,0)),""))</f>
        <v/>
      </c>
      <c r="J1897" s="107">
        <f>IF($I1897="▲ ENTRÉE",$U1897,"")</f>
        <v/>
      </c>
      <c r="K1897" s="108">
        <f>IF($I1897="▼ SORTIE",$U1897,"")</f>
        <v/>
      </c>
      <c r="L1897" s="109">
        <f>$L1896+N($J1897)-N($K1897)</f>
        <v/>
      </c>
      <c r="M1897" s="110" t="n"/>
      <c r="N1897" s="54" t="n"/>
      <c r="O1897" s="54" t="n"/>
      <c r="P1897" s="54" t="n"/>
      <c r="Q1897" s="110" t="n"/>
      <c r="R1897" s="110" t="n"/>
      <c r="S1897" s="54" t="n"/>
      <c r="T1897" s="111">
        <f>IF($G1897="","",IFERROR(INDEX(Taux_Devises,MATCH(IF($M1897="",Devise_Base,$M1897),Codes_Devises,0)),1))</f>
        <v/>
      </c>
      <c r="U1897" s="112">
        <f>IF($G1897="","",ROUND($G1897*$T1897,2))</f>
        <v/>
      </c>
      <c r="V1897" s="113">
        <f>IF($B1897="","",MONTH($B1897))</f>
        <v/>
      </c>
      <c r="W1897" s="113">
        <f>IF($B1897="","",YEAR($B1897))</f>
        <v/>
      </c>
    </row>
    <row r="1898">
      <c r="B1898" s="105" t="n"/>
      <c r="C1898" s="54" t="n"/>
      <c r="D1898" s="54" t="n"/>
      <c r="E1898" s="54" t="n"/>
      <c r="F1898" s="54" t="n"/>
      <c r="G1898" s="65" t="n"/>
      <c r="H1898" s="54" t="n"/>
      <c r="I1898" s="106">
        <f>IF($C1898="","",IFERROR(INDEX(Sens_Types,MATCH($C1898,Liste_Types,0)),""))</f>
        <v/>
      </c>
      <c r="J1898" s="107">
        <f>IF($I1898="▲ ENTRÉE",$U1898,"")</f>
        <v/>
      </c>
      <c r="K1898" s="108">
        <f>IF($I1898="▼ SORTIE",$U1898,"")</f>
        <v/>
      </c>
      <c r="L1898" s="109">
        <f>$L1897+N($J1898)-N($K1898)</f>
        <v/>
      </c>
      <c r="M1898" s="110" t="n"/>
      <c r="N1898" s="54" t="n"/>
      <c r="O1898" s="54" t="n"/>
      <c r="P1898" s="54" t="n"/>
      <c r="Q1898" s="110" t="n"/>
      <c r="R1898" s="110" t="n"/>
      <c r="S1898" s="54" t="n"/>
      <c r="T1898" s="111">
        <f>IF($G1898="","",IFERROR(INDEX(Taux_Devises,MATCH(IF($M1898="",Devise_Base,$M1898),Codes_Devises,0)),1))</f>
        <v/>
      </c>
      <c r="U1898" s="112">
        <f>IF($G1898="","",ROUND($G1898*$T1898,2))</f>
        <v/>
      </c>
      <c r="V1898" s="113">
        <f>IF($B1898="","",MONTH($B1898))</f>
        <v/>
      </c>
      <c r="W1898" s="113">
        <f>IF($B1898="","",YEAR($B1898))</f>
        <v/>
      </c>
    </row>
    <row r="1899">
      <c r="B1899" s="105" t="n"/>
      <c r="C1899" s="54" t="n"/>
      <c r="D1899" s="54" t="n"/>
      <c r="E1899" s="54" t="n"/>
      <c r="F1899" s="54" t="n"/>
      <c r="G1899" s="65" t="n"/>
      <c r="H1899" s="54" t="n"/>
      <c r="I1899" s="106">
        <f>IF($C1899="","",IFERROR(INDEX(Sens_Types,MATCH($C1899,Liste_Types,0)),""))</f>
        <v/>
      </c>
      <c r="J1899" s="107">
        <f>IF($I1899="▲ ENTRÉE",$U1899,"")</f>
        <v/>
      </c>
      <c r="K1899" s="108">
        <f>IF($I1899="▼ SORTIE",$U1899,"")</f>
        <v/>
      </c>
      <c r="L1899" s="109">
        <f>$L1898+N($J1899)-N($K1899)</f>
        <v/>
      </c>
      <c r="M1899" s="110" t="n"/>
      <c r="N1899" s="54" t="n"/>
      <c r="O1899" s="54" t="n"/>
      <c r="P1899" s="54" t="n"/>
      <c r="Q1899" s="110" t="n"/>
      <c r="R1899" s="110" t="n"/>
      <c r="S1899" s="54" t="n"/>
      <c r="T1899" s="111">
        <f>IF($G1899="","",IFERROR(INDEX(Taux_Devises,MATCH(IF($M1899="",Devise_Base,$M1899),Codes_Devises,0)),1))</f>
        <v/>
      </c>
      <c r="U1899" s="112">
        <f>IF($G1899="","",ROUND($G1899*$T1899,2))</f>
        <v/>
      </c>
      <c r="V1899" s="113">
        <f>IF($B1899="","",MONTH($B1899))</f>
        <v/>
      </c>
      <c r="W1899" s="113">
        <f>IF($B1899="","",YEAR($B1899))</f>
        <v/>
      </c>
    </row>
    <row r="1900">
      <c r="B1900" s="105" t="n"/>
      <c r="C1900" s="54" t="n"/>
      <c r="D1900" s="54" t="n"/>
      <c r="E1900" s="54" t="n"/>
      <c r="F1900" s="54" t="n"/>
      <c r="G1900" s="65" t="n"/>
      <c r="H1900" s="54" t="n"/>
      <c r="I1900" s="106">
        <f>IF($C1900="","",IFERROR(INDEX(Sens_Types,MATCH($C1900,Liste_Types,0)),""))</f>
        <v/>
      </c>
      <c r="J1900" s="107">
        <f>IF($I1900="▲ ENTRÉE",$U1900,"")</f>
        <v/>
      </c>
      <c r="K1900" s="108">
        <f>IF($I1900="▼ SORTIE",$U1900,"")</f>
        <v/>
      </c>
      <c r="L1900" s="109">
        <f>$L1899+N($J1900)-N($K1900)</f>
        <v/>
      </c>
      <c r="M1900" s="110" t="n"/>
      <c r="N1900" s="54" t="n"/>
      <c r="O1900" s="54" t="n"/>
      <c r="P1900" s="54" t="n"/>
      <c r="Q1900" s="110" t="n"/>
      <c r="R1900" s="110" t="n"/>
      <c r="S1900" s="54" t="n"/>
      <c r="T1900" s="111">
        <f>IF($G1900="","",IFERROR(INDEX(Taux_Devises,MATCH(IF($M1900="",Devise_Base,$M1900),Codes_Devises,0)),1))</f>
        <v/>
      </c>
      <c r="U1900" s="112">
        <f>IF($G1900="","",ROUND($G1900*$T1900,2))</f>
        <v/>
      </c>
      <c r="V1900" s="113">
        <f>IF($B1900="","",MONTH($B1900))</f>
        <v/>
      </c>
      <c r="W1900" s="113">
        <f>IF($B1900="","",YEAR($B1900))</f>
        <v/>
      </c>
    </row>
    <row r="1901">
      <c r="B1901" s="105" t="n"/>
      <c r="C1901" s="54" t="n"/>
      <c r="D1901" s="54" t="n"/>
      <c r="E1901" s="54" t="n"/>
      <c r="F1901" s="54" t="n"/>
      <c r="G1901" s="65" t="n"/>
      <c r="H1901" s="54" t="n"/>
      <c r="I1901" s="106">
        <f>IF($C1901="","",IFERROR(INDEX(Sens_Types,MATCH($C1901,Liste_Types,0)),""))</f>
        <v/>
      </c>
      <c r="J1901" s="107">
        <f>IF($I1901="▲ ENTRÉE",$U1901,"")</f>
        <v/>
      </c>
      <c r="K1901" s="108">
        <f>IF($I1901="▼ SORTIE",$U1901,"")</f>
        <v/>
      </c>
      <c r="L1901" s="109">
        <f>$L1900+N($J1901)-N($K1901)</f>
        <v/>
      </c>
      <c r="M1901" s="110" t="n"/>
      <c r="N1901" s="54" t="n"/>
      <c r="O1901" s="54" t="n"/>
      <c r="P1901" s="54" t="n"/>
      <c r="Q1901" s="110" t="n"/>
      <c r="R1901" s="110" t="n"/>
      <c r="S1901" s="54" t="n"/>
      <c r="T1901" s="111">
        <f>IF($G1901="","",IFERROR(INDEX(Taux_Devises,MATCH(IF($M1901="",Devise_Base,$M1901),Codes_Devises,0)),1))</f>
        <v/>
      </c>
      <c r="U1901" s="112">
        <f>IF($G1901="","",ROUND($G1901*$T1901,2))</f>
        <v/>
      </c>
      <c r="V1901" s="113">
        <f>IF($B1901="","",MONTH($B1901))</f>
        <v/>
      </c>
      <c r="W1901" s="113">
        <f>IF($B1901="","",YEAR($B1901))</f>
        <v/>
      </c>
    </row>
    <row r="1902">
      <c r="B1902" s="105" t="n"/>
      <c r="C1902" s="54" t="n"/>
      <c r="D1902" s="54" t="n"/>
      <c r="E1902" s="54" t="n"/>
      <c r="F1902" s="54" t="n"/>
      <c r="G1902" s="65" t="n"/>
      <c r="H1902" s="54" t="n"/>
      <c r="I1902" s="106">
        <f>IF($C1902="","",IFERROR(INDEX(Sens_Types,MATCH($C1902,Liste_Types,0)),""))</f>
        <v/>
      </c>
      <c r="J1902" s="107">
        <f>IF($I1902="▲ ENTRÉE",$U1902,"")</f>
        <v/>
      </c>
      <c r="K1902" s="108">
        <f>IF($I1902="▼ SORTIE",$U1902,"")</f>
        <v/>
      </c>
      <c r="L1902" s="109">
        <f>$L1901+N($J1902)-N($K1902)</f>
        <v/>
      </c>
      <c r="M1902" s="110" t="n"/>
      <c r="N1902" s="54" t="n"/>
      <c r="O1902" s="54" t="n"/>
      <c r="P1902" s="54" t="n"/>
      <c r="Q1902" s="110" t="n"/>
      <c r="R1902" s="110" t="n"/>
      <c r="S1902" s="54" t="n"/>
      <c r="T1902" s="111">
        <f>IF($G1902="","",IFERROR(INDEX(Taux_Devises,MATCH(IF($M1902="",Devise_Base,$M1902),Codes_Devises,0)),1))</f>
        <v/>
      </c>
      <c r="U1902" s="112">
        <f>IF($G1902="","",ROUND($G1902*$T1902,2))</f>
        <v/>
      </c>
      <c r="V1902" s="113">
        <f>IF($B1902="","",MONTH($B1902))</f>
        <v/>
      </c>
      <c r="W1902" s="113">
        <f>IF($B1902="","",YEAR($B1902))</f>
        <v/>
      </c>
    </row>
    <row r="1903">
      <c r="B1903" s="105" t="n"/>
      <c r="C1903" s="54" t="n"/>
      <c r="D1903" s="54" t="n"/>
      <c r="E1903" s="54" t="n"/>
      <c r="F1903" s="54" t="n"/>
      <c r="G1903" s="65" t="n"/>
      <c r="H1903" s="54" t="n"/>
      <c r="I1903" s="106">
        <f>IF($C1903="","",IFERROR(INDEX(Sens_Types,MATCH($C1903,Liste_Types,0)),""))</f>
        <v/>
      </c>
      <c r="J1903" s="107">
        <f>IF($I1903="▲ ENTRÉE",$U1903,"")</f>
        <v/>
      </c>
      <c r="K1903" s="108">
        <f>IF($I1903="▼ SORTIE",$U1903,"")</f>
        <v/>
      </c>
      <c r="L1903" s="109">
        <f>$L1902+N($J1903)-N($K1903)</f>
        <v/>
      </c>
      <c r="M1903" s="110" t="n"/>
      <c r="N1903" s="54" t="n"/>
      <c r="O1903" s="54" t="n"/>
      <c r="P1903" s="54" t="n"/>
      <c r="Q1903" s="110" t="n"/>
      <c r="R1903" s="110" t="n"/>
      <c r="S1903" s="54" t="n"/>
      <c r="T1903" s="111">
        <f>IF($G1903="","",IFERROR(INDEX(Taux_Devises,MATCH(IF($M1903="",Devise_Base,$M1903),Codes_Devises,0)),1))</f>
        <v/>
      </c>
      <c r="U1903" s="112">
        <f>IF($G1903="","",ROUND($G1903*$T1903,2))</f>
        <v/>
      </c>
      <c r="V1903" s="113">
        <f>IF($B1903="","",MONTH($B1903))</f>
        <v/>
      </c>
      <c r="W1903" s="113">
        <f>IF($B1903="","",YEAR($B1903))</f>
        <v/>
      </c>
    </row>
    <row r="1904">
      <c r="B1904" s="105" t="n"/>
      <c r="C1904" s="54" t="n"/>
      <c r="D1904" s="54" t="n"/>
      <c r="E1904" s="54" t="n"/>
      <c r="F1904" s="54" t="n"/>
      <c r="G1904" s="65" t="n"/>
      <c r="H1904" s="54" t="n"/>
      <c r="I1904" s="106">
        <f>IF($C1904="","",IFERROR(INDEX(Sens_Types,MATCH($C1904,Liste_Types,0)),""))</f>
        <v/>
      </c>
      <c r="J1904" s="107">
        <f>IF($I1904="▲ ENTRÉE",$U1904,"")</f>
        <v/>
      </c>
      <c r="K1904" s="108">
        <f>IF($I1904="▼ SORTIE",$U1904,"")</f>
        <v/>
      </c>
      <c r="L1904" s="109">
        <f>$L1903+N($J1904)-N($K1904)</f>
        <v/>
      </c>
      <c r="M1904" s="110" t="n"/>
      <c r="N1904" s="54" t="n"/>
      <c r="O1904" s="54" t="n"/>
      <c r="P1904" s="54" t="n"/>
      <c r="Q1904" s="110" t="n"/>
      <c r="R1904" s="110" t="n"/>
      <c r="S1904" s="54" t="n"/>
      <c r="T1904" s="111">
        <f>IF($G1904="","",IFERROR(INDEX(Taux_Devises,MATCH(IF($M1904="",Devise_Base,$M1904),Codes_Devises,0)),1))</f>
        <v/>
      </c>
      <c r="U1904" s="112">
        <f>IF($G1904="","",ROUND($G1904*$T1904,2))</f>
        <v/>
      </c>
      <c r="V1904" s="113">
        <f>IF($B1904="","",MONTH($B1904))</f>
        <v/>
      </c>
      <c r="W1904" s="113">
        <f>IF($B1904="","",YEAR($B1904))</f>
        <v/>
      </c>
    </row>
    <row r="1905">
      <c r="B1905" s="105" t="n"/>
      <c r="C1905" s="54" t="n"/>
      <c r="D1905" s="54" t="n"/>
      <c r="E1905" s="54" t="n"/>
      <c r="F1905" s="54" t="n"/>
      <c r="G1905" s="65" t="n"/>
      <c r="H1905" s="54" t="n"/>
      <c r="I1905" s="106">
        <f>IF($C1905="","",IFERROR(INDEX(Sens_Types,MATCH($C1905,Liste_Types,0)),""))</f>
        <v/>
      </c>
      <c r="J1905" s="107">
        <f>IF($I1905="▲ ENTRÉE",$U1905,"")</f>
        <v/>
      </c>
      <c r="K1905" s="108">
        <f>IF($I1905="▼ SORTIE",$U1905,"")</f>
        <v/>
      </c>
      <c r="L1905" s="109">
        <f>$L1904+N($J1905)-N($K1905)</f>
        <v/>
      </c>
      <c r="M1905" s="110" t="n"/>
      <c r="N1905" s="54" t="n"/>
      <c r="O1905" s="54" t="n"/>
      <c r="P1905" s="54" t="n"/>
      <c r="Q1905" s="110" t="n"/>
      <c r="R1905" s="110" t="n"/>
      <c r="S1905" s="54" t="n"/>
      <c r="T1905" s="111">
        <f>IF($G1905="","",IFERROR(INDEX(Taux_Devises,MATCH(IF($M1905="",Devise_Base,$M1905),Codes_Devises,0)),1))</f>
        <v/>
      </c>
      <c r="U1905" s="112">
        <f>IF($G1905="","",ROUND($G1905*$T1905,2))</f>
        <v/>
      </c>
      <c r="V1905" s="113">
        <f>IF($B1905="","",MONTH($B1905))</f>
        <v/>
      </c>
      <c r="W1905" s="113">
        <f>IF($B1905="","",YEAR($B1905))</f>
        <v/>
      </c>
    </row>
    <row r="1906">
      <c r="B1906" s="105" t="n"/>
      <c r="C1906" s="54" t="n"/>
      <c r="D1906" s="54" t="n"/>
      <c r="E1906" s="54" t="n"/>
      <c r="F1906" s="54" t="n"/>
      <c r="G1906" s="65" t="n"/>
      <c r="H1906" s="54" t="n"/>
      <c r="I1906" s="106">
        <f>IF($C1906="","",IFERROR(INDEX(Sens_Types,MATCH($C1906,Liste_Types,0)),""))</f>
        <v/>
      </c>
      <c r="J1906" s="107">
        <f>IF($I1906="▲ ENTRÉE",$U1906,"")</f>
        <v/>
      </c>
      <c r="K1906" s="108">
        <f>IF($I1906="▼ SORTIE",$U1906,"")</f>
        <v/>
      </c>
      <c r="L1906" s="109">
        <f>$L1905+N($J1906)-N($K1906)</f>
        <v/>
      </c>
      <c r="M1906" s="110" t="n"/>
      <c r="N1906" s="54" t="n"/>
      <c r="O1906" s="54" t="n"/>
      <c r="P1906" s="54" t="n"/>
      <c r="Q1906" s="110" t="n"/>
      <c r="R1906" s="110" t="n"/>
      <c r="S1906" s="54" t="n"/>
      <c r="T1906" s="111">
        <f>IF($G1906="","",IFERROR(INDEX(Taux_Devises,MATCH(IF($M1906="",Devise_Base,$M1906),Codes_Devises,0)),1))</f>
        <v/>
      </c>
      <c r="U1906" s="112">
        <f>IF($G1906="","",ROUND($G1906*$T1906,2))</f>
        <v/>
      </c>
      <c r="V1906" s="113">
        <f>IF($B1906="","",MONTH($B1906))</f>
        <v/>
      </c>
      <c r="W1906" s="113">
        <f>IF($B1906="","",YEAR($B1906))</f>
        <v/>
      </c>
    </row>
    <row r="1907">
      <c r="B1907" s="105" t="n"/>
      <c r="C1907" s="54" t="n"/>
      <c r="D1907" s="54" t="n"/>
      <c r="E1907" s="54" t="n"/>
      <c r="F1907" s="54" t="n"/>
      <c r="G1907" s="65" t="n"/>
      <c r="H1907" s="54" t="n"/>
      <c r="I1907" s="106">
        <f>IF($C1907="","",IFERROR(INDEX(Sens_Types,MATCH($C1907,Liste_Types,0)),""))</f>
        <v/>
      </c>
      <c r="J1907" s="107">
        <f>IF($I1907="▲ ENTRÉE",$U1907,"")</f>
        <v/>
      </c>
      <c r="K1907" s="108">
        <f>IF($I1907="▼ SORTIE",$U1907,"")</f>
        <v/>
      </c>
      <c r="L1907" s="109">
        <f>$L1906+N($J1907)-N($K1907)</f>
        <v/>
      </c>
      <c r="M1907" s="110" t="n"/>
      <c r="N1907" s="54" t="n"/>
      <c r="O1907" s="54" t="n"/>
      <c r="P1907" s="54" t="n"/>
      <c r="Q1907" s="110" t="n"/>
      <c r="R1907" s="110" t="n"/>
      <c r="S1907" s="54" t="n"/>
      <c r="T1907" s="111">
        <f>IF($G1907="","",IFERROR(INDEX(Taux_Devises,MATCH(IF($M1907="",Devise_Base,$M1907),Codes_Devises,0)),1))</f>
        <v/>
      </c>
      <c r="U1907" s="112">
        <f>IF($G1907="","",ROUND($G1907*$T1907,2))</f>
        <v/>
      </c>
      <c r="V1907" s="113">
        <f>IF($B1907="","",MONTH($B1907))</f>
        <v/>
      </c>
      <c r="W1907" s="113">
        <f>IF($B1907="","",YEAR($B1907))</f>
        <v/>
      </c>
    </row>
    <row r="1908">
      <c r="B1908" s="105" t="n"/>
      <c r="C1908" s="54" t="n"/>
      <c r="D1908" s="54" t="n"/>
      <c r="E1908" s="54" t="n"/>
      <c r="F1908" s="54" t="n"/>
      <c r="G1908" s="65" t="n"/>
      <c r="H1908" s="54" t="n"/>
      <c r="I1908" s="106">
        <f>IF($C1908="","",IFERROR(INDEX(Sens_Types,MATCH($C1908,Liste_Types,0)),""))</f>
        <v/>
      </c>
      <c r="J1908" s="107">
        <f>IF($I1908="▲ ENTRÉE",$U1908,"")</f>
        <v/>
      </c>
      <c r="K1908" s="108">
        <f>IF($I1908="▼ SORTIE",$U1908,"")</f>
        <v/>
      </c>
      <c r="L1908" s="109">
        <f>$L1907+N($J1908)-N($K1908)</f>
        <v/>
      </c>
      <c r="M1908" s="110" t="n"/>
      <c r="N1908" s="54" t="n"/>
      <c r="O1908" s="54" t="n"/>
      <c r="P1908" s="54" t="n"/>
      <c r="Q1908" s="110" t="n"/>
      <c r="R1908" s="110" t="n"/>
      <c r="S1908" s="54" t="n"/>
      <c r="T1908" s="111">
        <f>IF($G1908="","",IFERROR(INDEX(Taux_Devises,MATCH(IF($M1908="",Devise_Base,$M1908),Codes_Devises,0)),1))</f>
        <v/>
      </c>
      <c r="U1908" s="112">
        <f>IF($G1908="","",ROUND($G1908*$T1908,2))</f>
        <v/>
      </c>
      <c r="V1908" s="113">
        <f>IF($B1908="","",MONTH($B1908))</f>
        <v/>
      </c>
      <c r="W1908" s="113">
        <f>IF($B1908="","",YEAR($B1908))</f>
        <v/>
      </c>
    </row>
    <row r="1909">
      <c r="B1909" s="105" t="n"/>
      <c r="C1909" s="54" t="n"/>
      <c r="D1909" s="54" t="n"/>
      <c r="E1909" s="54" t="n"/>
      <c r="F1909" s="54" t="n"/>
      <c r="G1909" s="65" t="n"/>
      <c r="H1909" s="54" t="n"/>
      <c r="I1909" s="106">
        <f>IF($C1909="","",IFERROR(INDEX(Sens_Types,MATCH($C1909,Liste_Types,0)),""))</f>
        <v/>
      </c>
      <c r="J1909" s="107">
        <f>IF($I1909="▲ ENTRÉE",$U1909,"")</f>
        <v/>
      </c>
      <c r="K1909" s="108">
        <f>IF($I1909="▼ SORTIE",$U1909,"")</f>
        <v/>
      </c>
      <c r="L1909" s="109">
        <f>$L1908+N($J1909)-N($K1909)</f>
        <v/>
      </c>
      <c r="M1909" s="110" t="n"/>
      <c r="N1909" s="54" t="n"/>
      <c r="O1909" s="54" t="n"/>
      <c r="P1909" s="54" t="n"/>
      <c r="Q1909" s="110" t="n"/>
      <c r="R1909" s="110" t="n"/>
      <c r="S1909" s="54" t="n"/>
      <c r="T1909" s="111">
        <f>IF($G1909="","",IFERROR(INDEX(Taux_Devises,MATCH(IF($M1909="",Devise_Base,$M1909),Codes_Devises,0)),1))</f>
        <v/>
      </c>
      <c r="U1909" s="112">
        <f>IF($G1909="","",ROUND($G1909*$T1909,2))</f>
        <v/>
      </c>
      <c r="V1909" s="113">
        <f>IF($B1909="","",MONTH($B1909))</f>
        <v/>
      </c>
      <c r="W1909" s="113">
        <f>IF($B1909="","",YEAR($B1909))</f>
        <v/>
      </c>
    </row>
    <row r="1910">
      <c r="B1910" s="105" t="n"/>
      <c r="C1910" s="54" t="n"/>
      <c r="D1910" s="54" t="n"/>
      <c r="E1910" s="54" t="n"/>
      <c r="F1910" s="54" t="n"/>
      <c r="G1910" s="65" t="n"/>
      <c r="H1910" s="54" t="n"/>
      <c r="I1910" s="106">
        <f>IF($C1910="","",IFERROR(INDEX(Sens_Types,MATCH($C1910,Liste_Types,0)),""))</f>
        <v/>
      </c>
      <c r="J1910" s="107">
        <f>IF($I1910="▲ ENTRÉE",$U1910,"")</f>
        <v/>
      </c>
      <c r="K1910" s="108">
        <f>IF($I1910="▼ SORTIE",$U1910,"")</f>
        <v/>
      </c>
      <c r="L1910" s="109">
        <f>$L1909+N($J1910)-N($K1910)</f>
        <v/>
      </c>
      <c r="M1910" s="110" t="n"/>
      <c r="N1910" s="54" t="n"/>
      <c r="O1910" s="54" t="n"/>
      <c r="P1910" s="54" t="n"/>
      <c r="Q1910" s="110" t="n"/>
      <c r="R1910" s="110" t="n"/>
      <c r="S1910" s="54" t="n"/>
      <c r="T1910" s="111">
        <f>IF($G1910="","",IFERROR(INDEX(Taux_Devises,MATCH(IF($M1910="",Devise_Base,$M1910),Codes_Devises,0)),1))</f>
        <v/>
      </c>
      <c r="U1910" s="112">
        <f>IF($G1910="","",ROUND($G1910*$T1910,2))</f>
        <v/>
      </c>
      <c r="V1910" s="113">
        <f>IF($B1910="","",MONTH($B1910))</f>
        <v/>
      </c>
      <c r="W1910" s="113">
        <f>IF($B1910="","",YEAR($B1910))</f>
        <v/>
      </c>
    </row>
    <row r="1911">
      <c r="B1911" s="105" t="n"/>
      <c r="C1911" s="54" t="n"/>
      <c r="D1911" s="54" t="n"/>
      <c r="E1911" s="54" t="n"/>
      <c r="F1911" s="54" t="n"/>
      <c r="G1911" s="65" t="n"/>
      <c r="H1911" s="54" t="n"/>
      <c r="I1911" s="106">
        <f>IF($C1911="","",IFERROR(INDEX(Sens_Types,MATCH($C1911,Liste_Types,0)),""))</f>
        <v/>
      </c>
      <c r="J1911" s="107">
        <f>IF($I1911="▲ ENTRÉE",$U1911,"")</f>
        <v/>
      </c>
      <c r="K1911" s="108">
        <f>IF($I1911="▼ SORTIE",$U1911,"")</f>
        <v/>
      </c>
      <c r="L1911" s="109">
        <f>$L1910+N($J1911)-N($K1911)</f>
        <v/>
      </c>
      <c r="M1911" s="110" t="n"/>
      <c r="N1911" s="54" t="n"/>
      <c r="O1911" s="54" t="n"/>
      <c r="P1911" s="54" t="n"/>
      <c r="Q1911" s="110" t="n"/>
      <c r="R1911" s="110" t="n"/>
      <c r="S1911" s="54" t="n"/>
      <c r="T1911" s="111">
        <f>IF($G1911="","",IFERROR(INDEX(Taux_Devises,MATCH(IF($M1911="",Devise_Base,$M1911),Codes_Devises,0)),1))</f>
        <v/>
      </c>
      <c r="U1911" s="112">
        <f>IF($G1911="","",ROUND($G1911*$T1911,2))</f>
        <v/>
      </c>
      <c r="V1911" s="113">
        <f>IF($B1911="","",MONTH($B1911))</f>
        <v/>
      </c>
      <c r="W1911" s="113">
        <f>IF($B1911="","",YEAR($B1911))</f>
        <v/>
      </c>
    </row>
    <row r="1912">
      <c r="B1912" s="105" t="n"/>
      <c r="C1912" s="54" t="n"/>
      <c r="D1912" s="54" t="n"/>
      <c r="E1912" s="54" t="n"/>
      <c r="F1912" s="54" t="n"/>
      <c r="G1912" s="65" t="n"/>
      <c r="H1912" s="54" t="n"/>
      <c r="I1912" s="106">
        <f>IF($C1912="","",IFERROR(INDEX(Sens_Types,MATCH($C1912,Liste_Types,0)),""))</f>
        <v/>
      </c>
      <c r="J1912" s="107">
        <f>IF($I1912="▲ ENTRÉE",$U1912,"")</f>
        <v/>
      </c>
      <c r="K1912" s="108">
        <f>IF($I1912="▼ SORTIE",$U1912,"")</f>
        <v/>
      </c>
      <c r="L1912" s="109">
        <f>$L1911+N($J1912)-N($K1912)</f>
        <v/>
      </c>
      <c r="M1912" s="110" t="n"/>
      <c r="N1912" s="54" t="n"/>
      <c r="O1912" s="54" t="n"/>
      <c r="P1912" s="54" t="n"/>
      <c r="Q1912" s="110" t="n"/>
      <c r="R1912" s="110" t="n"/>
      <c r="S1912" s="54" t="n"/>
      <c r="T1912" s="111">
        <f>IF($G1912="","",IFERROR(INDEX(Taux_Devises,MATCH(IF($M1912="",Devise_Base,$M1912),Codes_Devises,0)),1))</f>
        <v/>
      </c>
      <c r="U1912" s="112">
        <f>IF($G1912="","",ROUND($G1912*$T1912,2))</f>
        <v/>
      </c>
      <c r="V1912" s="113">
        <f>IF($B1912="","",MONTH($B1912))</f>
        <v/>
      </c>
      <c r="W1912" s="113">
        <f>IF($B1912="","",YEAR($B1912))</f>
        <v/>
      </c>
    </row>
    <row r="1913">
      <c r="B1913" s="105" t="n"/>
      <c r="C1913" s="54" t="n"/>
      <c r="D1913" s="54" t="n"/>
      <c r="E1913" s="54" t="n"/>
      <c r="F1913" s="54" t="n"/>
      <c r="G1913" s="65" t="n"/>
      <c r="H1913" s="54" t="n"/>
      <c r="I1913" s="106">
        <f>IF($C1913="","",IFERROR(INDEX(Sens_Types,MATCH($C1913,Liste_Types,0)),""))</f>
        <v/>
      </c>
      <c r="J1913" s="107">
        <f>IF($I1913="▲ ENTRÉE",$U1913,"")</f>
        <v/>
      </c>
      <c r="K1913" s="108">
        <f>IF($I1913="▼ SORTIE",$U1913,"")</f>
        <v/>
      </c>
      <c r="L1913" s="109">
        <f>$L1912+N($J1913)-N($K1913)</f>
        <v/>
      </c>
      <c r="M1913" s="110" t="n"/>
      <c r="N1913" s="54" t="n"/>
      <c r="O1913" s="54" t="n"/>
      <c r="P1913" s="54" t="n"/>
      <c r="Q1913" s="110" t="n"/>
      <c r="R1913" s="110" t="n"/>
      <c r="S1913" s="54" t="n"/>
      <c r="T1913" s="111">
        <f>IF($G1913="","",IFERROR(INDEX(Taux_Devises,MATCH(IF($M1913="",Devise_Base,$M1913),Codes_Devises,0)),1))</f>
        <v/>
      </c>
      <c r="U1913" s="112">
        <f>IF($G1913="","",ROUND($G1913*$T1913,2))</f>
        <v/>
      </c>
      <c r="V1913" s="113">
        <f>IF($B1913="","",MONTH($B1913))</f>
        <v/>
      </c>
      <c r="W1913" s="113">
        <f>IF($B1913="","",YEAR($B1913))</f>
        <v/>
      </c>
    </row>
    <row r="1914">
      <c r="B1914" s="105" t="n"/>
      <c r="C1914" s="54" t="n"/>
      <c r="D1914" s="54" t="n"/>
      <c r="E1914" s="54" t="n"/>
      <c r="F1914" s="54" t="n"/>
      <c r="G1914" s="65" t="n"/>
      <c r="H1914" s="54" t="n"/>
      <c r="I1914" s="106">
        <f>IF($C1914="","",IFERROR(INDEX(Sens_Types,MATCH($C1914,Liste_Types,0)),""))</f>
        <v/>
      </c>
      <c r="J1914" s="107">
        <f>IF($I1914="▲ ENTRÉE",$U1914,"")</f>
        <v/>
      </c>
      <c r="K1914" s="108">
        <f>IF($I1914="▼ SORTIE",$U1914,"")</f>
        <v/>
      </c>
      <c r="L1914" s="109">
        <f>$L1913+N($J1914)-N($K1914)</f>
        <v/>
      </c>
      <c r="M1914" s="110" t="n"/>
      <c r="N1914" s="54" t="n"/>
      <c r="O1914" s="54" t="n"/>
      <c r="P1914" s="54" t="n"/>
      <c r="Q1914" s="110" t="n"/>
      <c r="R1914" s="110" t="n"/>
      <c r="S1914" s="54" t="n"/>
      <c r="T1914" s="111">
        <f>IF($G1914="","",IFERROR(INDEX(Taux_Devises,MATCH(IF($M1914="",Devise_Base,$M1914),Codes_Devises,0)),1))</f>
        <v/>
      </c>
      <c r="U1914" s="112">
        <f>IF($G1914="","",ROUND($G1914*$T1914,2))</f>
        <v/>
      </c>
      <c r="V1914" s="113">
        <f>IF($B1914="","",MONTH($B1914))</f>
        <v/>
      </c>
      <c r="W1914" s="113">
        <f>IF($B1914="","",YEAR($B1914))</f>
        <v/>
      </c>
    </row>
    <row r="1915">
      <c r="B1915" s="105" t="n"/>
      <c r="C1915" s="54" t="n"/>
      <c r="D1915" s="54" t="n"/>
      <c r="E1915" s="54" t="n"/>
      <c r="F1915" s="54" t="n"/>
      <c r="G1915" s="65" t="n"/>
      <c r="H1915" s="54" t="n"/>
      <c r="I1915" s="106">
        <f>IF($C1915="","",IFERROR(INDEX(Sens_Types,MATCH($C1915,Liste_Types,0)),""))</f>
        <v/>
      </c>
      <c r="J1915" s="107">
        <f>IF($I1915="▲ ENTRÉE",$U1915,"")</f>
        <v/>
      </c>
      <c r="K1915" s="108">
        <f>IF($I1915="▼ SORTIE",$U1915,"")</f>
        <v/>
      </c>
      <c r="L1915" s="109">
        <f>$L1914+N($J1915)-N($K1915)</f>
        <v/>
      </c>
      <c r="M1915" s="110" t="n"/>
      <c r="N1915" s="54" t="n"/>
      <c r="O1915" s="54" t="n"/>
      <c r="P1915" s="54" t="n"/>
      <c r="Q1915" s="110" t="n"/>
      <c r="R1915" s="110" t="n"/>
      <c r="S1915" s="54" t="n"/>
      <c r="T1915" s="111">
        <f>IF($G1915="","",IFERROR(INDEX(Taux_Devises,MATCH(IF($M1915="",Devise_Base,$M1915),Codes_Devises,0)),1))</f>
        <v/>
      </c>
      <c r="U1915" s="112">
        <f>IF($G1915="","",ROUND($G1915*$T1915,2))</f>
        <v/>
      </c>
      <c r="V1915" s="113">
        <f>IF($B1915="","",MONTH($B1915))</f>
        <v/>
      </c>
      <c r="W1915" s="113">
        <f>IF($B1915="","",YEAR($B1915))</f>
        <v/>
      </c>
    </row>
    <row r="1916">
      <c r="B1916" s="105" t="n"/>
      <c r="C1916" s="54" t="n"/>
      <c r="D1916" s="54" t="n"/>
      <c r="E1916" s="54" t="n"/>
      <c r="F1916" s="54" t="n"/>
      <c r="G1916" s="65" t="n"/>
      <c r="H1916" s="54" t="n"/>
      <c r="I1916" s="106">
        <f>IF($C1916="","",IFERROR(INDEX(Sens_Types,MATCH($C1916,Liste_Types,0)),""))</f>
        <v/>
      </c>
      <c r="J1916" s="107">
        <f>IF($I1916="▲ ENTRÉE",$U1916,"")</f>
        <v/>
      </c>
      <c r="K1916" s="108">
        <f>IF($I1916="▼ SORTIE",$U1916,"")</f>
        <v/>
      </c>
      <c r="L1916" s="109">
        <f>$L1915+N($J1916)-N($K1916)</f>
        <v/>
      </c>
      <c r="M1916" s="110" t="n"/>
      <c r="N1916" s="54" t="n"/>
      <c r="O1916" s="54" t="n"/>
      <c r="P1916" s="54" t="n"/>
      <c r="Q1916" s="110" t="n"/>
      <c r="R1916" s="110" t="n"/>
      <c r="S1916" s="54" t="n"/>
      <c r="T1916" s="111">
        <f>IF($G1916="","",IFERROR(INDEX(Taux_Devises,MATCH(IF($M1916="",Devise_Base,$M1916),Codes_Devises,0)),1))</f>
        <v/>
      </c>
      <c r="U1916" s="112">
        <f>IF($G1916="","",ROUND($G1916*$T1916,2))</f>
        <v/>
      </c>
      <c r="V1916" s="113">
        <f>IF($B1916="","",MONTH($B1916))</f>
        <v/>
      </c>
      <c r="W1916" s="113">
        <f>IF($B1916="","",YEAR($B1916))</f>
        <v/>
      </c>
    </row>
    <row r="1917">
      <c r="B1917" s="105" t="n"/>
      <c r="C1917" s="54" t="n"/>
      <c r="D1917" s="54" t="n"/>
      <c r="E1917" s="54" t="n"/>
      <c r="F1917" s="54" t="n"/>
      <c r="G1917" s="65" t="n"/>
      <c r="H1917" s="54" t="n"/>
      <c r="I1917" s="106">
        <f>IF($C1917="","",IFERROR(INDEX(Sens_Types,MATCH($C1917,Liste_Types,0)),""))</f>
        <v/>
      </c>
      <c r="J1917" s="107">
        <f>IF($I1917="▲ ENTRÉE",$U1917,"")</f>
        <v/>
      </c>
      <c r="K1917" s="108">
        <f>IF($I1917="▼ SORTIE",$U1917,"")</f>
        <v/>
      </c>
      <c r="L1917" s="109">
        <f>$L1916+N($J1917)-N($K1917)</f>
        <v/>
      </c>
      <c r="M1917" s="110" t="n"/>
      <c r="N1917" s="54" t="n"/>
      <c r="O1917" s="54" t="n"/>
      <c r="P1917" s="54" t="n"/>
      <c r="Q1917" s="110" t="n"/>
      <c r="R1917" s="110" t="n"/>
      <c r="S1917" s="54" t="n"/>
      <c r="T1917" s="111">
        <f>IF($G1917="","",IFERROR(INDEX(Taux_Devises,MATCH(IF($M1917="",Devise_Base,$M1917),Codes_Devises,0)),1))</f>
        <v/>
      </c>
      <c r="U1917" s="112">
        <f>IF($G1917="","",ROUND($G1917*$T1917,2))</f>
        <v/>
      </c>
      <c r="V1917" s="113">
        <f>IF($B1917="","",MONTH($B1917))</f>
        <v/>
      </c>
      <c r="W1917" s="113">
        <f>IF($B1917="","",YEAR($B1917))</f>
        <v/>
      </c>
    </row>
    <row r="1918">
      <c r="B1918" s="105" t="n"/>
      <c r="C1918" s="54" t="n"/>
      <c r="D1918" s="54" t="n"/>
      <c r="E1918" s="54" t="n"/>
      <c r="F1918" s="54" t="n"/>
      <c r="G1918" s="65" t="n"/>
      <c r="H1918" s="54" t="n"/>
      <c r="I1918" s="106">
        <f>IF($C1918="","",IFERROR(INDEX(Sens_Types,MATCH($C1918,Liste_Types,0)),""))</f>
        <v/>
      </c>
      <c r="J1918" s="107">
        <f>IF($I1918="▲ ENTRÉE",$U1918,"")</f>
        <v/>
      </c>
      <c r="K1918" s="108">
        <f>IF($I1918="▼ SORTIE",$U1918,"")</f>
        <v/>
      </c>
      <c r="L1918" s="109">
        <f>$L1917+N($J1918)-N($K1918)</f>
        <v/>
      </c>
      <c r="M1918" s="110" t="n"/>
      <c r="N1918" s="54" t="n"/>
      <c r="O1918" s="54" t="n"/>
      <c r="P1918" s="54" t="n"/>
      <c r="Q1918" s="110" t="n"/>
      <c r="R1918" s="110" t="n"/>
      <c r="S1918" s="54" t="n"/>
      <c r="T1918" s="111">
        <f>IF($G1918="","",IFERROR(INDEX(Taux_Devises,MATCH(IF($M1918="",Devise_Base,$M1918),Codes_Devises,0)),1))</f>
        <v/>
      </c>
      <c r="U1918" s="112">
        <f>IF($G1918="","",ROUND($G1918*$T1918,2))</f>
        <v/>
      </c>
      <c r="V1918" s="113">
        <f>IF($B1918="","",MONTH($B1918))</f>
        <v/>
      </c>
      <c r="W1918" s="113">
        <f>IF($B1918="","",YEAR($B1918))</f>
        <v/>
      </c>
    </row>
    <row r="1919">
      <c r="B1919" s="105" t="n"/>
      <c r="C1919" s="54" t="n"/>
      <c r="D1919" s="54" t="n"/>
      <c r="E1919" s="54" t="n"/>
      <c r="F1919" s="54" t="n"/>
      <c r="G1919" s="65" t="n"/>
      <c r="H1919" s="54" t="n"/>
      <c r="I1919" s="106">
        <f>IF($C1919="","",IFERROR(INDEX(Sens_Types,MATCH($C1919,Liste_Types,0)),""))</f>
        <v/>
      </c>
      <c r="J1919" s="107">
        <f>IF($I1919="▲ ENTRÉE",$U1919,"")</f>
        <v/>
      </c>
      <c r="K1919" s="108">
        <f>IF($I1919="▼ SORTIE",$U1919,"")</f>
        <v/>
      </c>
      <c r="L1919" s="109">
        <f>$L1918+N($J1919)-N($K1919)</f>
        <v/>
      </c>
      <c r="M1919" s="110" t="n"/>
      <c r="N1919" s="54" t="n"/>
      <c r="O1919" s="54" t="n"/>
      <c r="P1919" s="54" t="n"/>
      <c r="Q1919" s="110" t="n"/>
      <c r="R1919" s="110" t="n"/>
      <c r="S1919" s="54" t="n"/>
      <c r="T1919" s="111">
        <f>IF($G1919="","",IFERROR(INDEX(Taux_Devises,MATCH(IF($M1919="",Devise_Base,$M1919),Codes_Devises,0)),1))</f>
        <v/>
      </c>
      <c r="U1919" s="112">
        <f>IF($G1919="","",ROUND($G1919*$T1919,2))</f>
        <v/>
      </c>
      <c r="V1919" s="113">
        <f>IF($B1919="","",MONTH($B1919))</f>
        <v/>
      </c>
      <c r="W1919" s="113">
        <f>IF($B1919="","",YEAR($B1919))</f>
        <v/>
      </c>
    </row>
    <row r="1920">
      <c r="B1920" s="105" t="n"/>
      <c r="C1920" s="54" t="n"/>
      <c r="D1920" s="54" t="n"/>
      <c r="E1920" s="54" t="n"/>
      <c r="F1920" s="54" t="n"/>
      <c r="G1920" s="65" t="n"/>
      <c r="H1920" s="54" t="n"/>
      <c r="I1920" s="106">
        <f>IF($C1920="","",IFERROR(INDEX(Sens_Types,MATCH($C1920,Liste_Types,0)),""))</f>
        <v/>
      </c>
      <c r="J1920" s="107">
        <f>IF($I1920="▲ ENTRÉE",$U1920,"")</f>
        <v/>
      </c>
      <c r="K1920" s="108">
        <f>IF($I1920="▼ SORTIE",$U1920,"")</f>
        <v/>
      </c>
      <c r="L1920" s="109">
        <f>$L1919+N($J1920)-N($K1920)</f>
        <v/>
      </c>
      <c r="M1920" s="110" t="n"/>
      <c r="N1920" s="54" t="n"/>
      <c r="O1920" s="54" t="n"/>
      <c r="P1920" s="54" t="n"/>
      <c r="Q1920" s="110" t="n"/>
      <c r="R1920" s="110" t="n"/>
      <c r="S1920" s="54" t="n"/>
      <c r="T1920" s="111">
        <f>IF($G1920="","",IFERROR(INDEX(Taux_Devises,MATCH(IF($M1920="",Devise_Base,$M1920),Codes_Devises,0)),1))</f>
        <v/>
      </c>
      <c r="U1920" s="112">
        <f>IF($G1920="","",ROUND($G1920*$T1920,2))</f>
        <v/>
      </c>
      <c r="V1920" s="113">
        <f>IF($B1920="","",MONTH($B1920))</f>
        <v/>
      </c>
      <c r="W1920" s="113">
        <f>IF($B1920="","",YEAR($B1920))</f>
        <v/>
      </c>
    </row>
    <row r="1921">
      <c r="B1921" s="105" t="n"/>
      <c r="C1921" s="54" t="n"/>
      <c r="D1921" s="54" t="n"/>
      <c r="E1921" s="54" t="n"/>
      <c r="F1921" s="54" t="n"/>
      <c r="G1921" s="65" t="n"/>
      <c r="H1921" s="54" t="n"/>
      <c r="I1921" s="106">
        <f>IF($C1921="","",IFERROR(INDEX(Sens_Types,MATCH($C1921,Liste_Types,0)),""))</f>
        <v/>
      </c>
      <c r="J1921" s="107">
        <f>IF($I1921="▲ ENTRÉE",$U1921,"")</f>
        <v/>
      </c>
      <c r="K1921" s="108">
        <f>IF($I1921="▼ SORTIE",$U1921,"")</f>
        <v/>
      </c>
      <c r="L1921" s="109">
        <f>$L1920+N($J1921)-N($K1921)</f>
        <v/>
      </c>
      <c r="M1921" s="110" t="n"/>
      <c r="N1921" s="54" t="n"/>
      <c r="O1921" s="54" t="n"/>
      <c r="P1921" s="54" t="n"/>
      <c r="Q1921" s="110" t="n"/>
      <c r="R1921" s="110" t="n"/>
      <c r="S1921" s="54" t="n"/>
      <c r="T1921" s="111">
        <f>IF($G1921="","",IFERROR(INDEX(Taux_Devises,MATCH(IF($M1921="",Devise_Base,$M1921),Codes_Devises,0)),1))</f>
        <v/>
      </c>
      <c r="U1921" s="112">
        <f>IF($G1921="","",ROUND($G1921*$T1921,2))</f>
        <v/>
      </c>
      <c r="V1921" s="113">
        <f>IF($B1921="","",MONTH($B1921))</f>
        <v/>
      </c>
      <c r="W1921" s="113">
        <f>IF($B1921="","",YEAR($B1921))</f>
        <v/>
      </c>
    </row>
    <row r="1922">
      <c r="B1922" s="105" t="n"/>
      <c r="C1922" s="54" t="n"/>
      <c r="D1922" s="54" t="n"/>
      <c r="E1922" s="54" t="n"/>
      <c r="F1922" s="54" t="n"/>
      <c r="G1922" s="65" t="n"/>
      <c r="H1922" s="54" t="n"/>
      <c r="I1922" s="106">
        <f>IF($C1922="","",IFERROR(INDEX(Sens_Types,MATCH($C1922,Liste_Types,0)),""))</f>
        <v/>
      </c>
      <c r="J1922" s="107">
        <f>IF($I1922="▲ ENTRÉE",$U1922,"")</f>
        <v/>
      </c>
      <c r="K1922" s="108">
        <f>IF($I1922="▼ SORTIE",$U1922,"")</f>
        <v/>
      </c>
      <c r="L1922" s="109">
        <f>$L1921+N($J1922)-N($K1922)</f>
        <v/>
      </c>
      <c r="M1922" s="110" t="n"/>
      <c r="N1922" s="54" t="n"/>
      <c r="O1922" s="54" t="n"/>
      <c r="P1922" s="54" t="n"/>
      <c r="Q1922" s="110" t="n"/>
      <c r="R1922" s="110" t="n"/>
      <c r="S1922" s="54" t="n"/>
      <c r="T1922" s="111">
        <f>IF($G1922="","",IFERROR(INDEX(Taux_Devises,MATCH(IF($M1922="",Devise_Base,$M1922),Codes_Devises,0)),1))</f>
        <v/>
      </c>
      <c r="U1922" s="112">
        <f>IF($G1922="","",ROUND($G1922*$T1922,2))</f>
        <v/>
      </c>
      <c r="V1922" s="113">
        <f>IF($B1922="","",MONTH($B1922))</f>
        <v/>
      </c>
      <c r="W1922" s="113">
        <f>IF($B1922="","",YEAR($B1922))</f>
        <v/>
      </c>
    </row>
    <row r="1923">
      <c r="B1923" s="105" t="n"/>
      <c r="C1923" s="54" t="n"/>
      <c r="D1923" s="54" t="n"/>
      <c r="E1923" s="54" t="n"/>
      <c r="F1923" s="54" t="n"/>
      <c r="G1923" s="65" t="n"/>
      <c r="H1923" s="54" t="n"/>
      <c r="I1923" s="106">
        <f>IF($C1923="","",IFERROR(INDEX(Sens_Types,MATCH($C1923,Liste_Types,0)),""))</f>
        <v/>
      </c>
      <c r="J1923" s="107">
        <f>IF($I1923="▲ ENTRÉE",$U1923,"")</f>
        <v/>
      </c>
      <c r="K1923" s="108">
        <f>IF($I1923="▼ SORTIE",$U1923,"")</f>
        <v/>
      </c>
      <c r="L1923" s="109">
        <f>$L1922+N($J1923)-N($K1923)</f>
        <v/>
      </c>
      <c r="M1923" s="110" t="n"/>
      <c r="N1923" s="54" t="n"/>
      <c r="O1923" s="54" t="n"/>
      <c r="P1923" s="54" t="n"/>
      <c r="Q1923" s="110" t="n"/>
      <c r="R1923" s="110" t="n"/>
      <c r="S1923" s="54" t="n"/>
      <c r="T1923" s="111">
        <f>IF($G1923="","",IFERROR(INDEX(Taux_Devises,MATCH(IF($M1923="",Devise_Base,$M1923),Codes_Devises,0)),1))</f>
        <v/>
      </c>
      <c r="U1923" s="112">
        <f>IF($G1923="","",ROUND($G1923*$T1923,2))</f>
        <v/>
      </c>
      <c r="V1923" s="113">
        <f>IF($B1923="","",MONTH($B1923))</f>
        <v/>
      </c>
      <c r="W1923" s="113">
        <f>IF($B1923="","",YEAR($B1923))</f>
        <v/>
      </c>
    </row>
    <row r="1924">
      <c r="B1924" s="105" t="n"/>
      <c r="C1924" s="54" t="n"/>
      <c r="D1924" s="54" t="n"/>
      <c r="E1924" s="54" t="n"/>
      <c r="F1924" s="54" t="n"/>
      <c r="G1924" s="65" t="n"/>
      <c r="H1924" s="54" t="n"/>
      <c r="I1924" s="106">
        <f>IF($C1924="","",IFERROR(INDEX(Sens_Types,MATCH($C1924,Liste_Types,0)),""))</f>
        <v/>
      </c>
      <c r="J1924" s="107">
        <f>IF($I1924="▲ ENTRÉE",$U1924,"")</f>
        <v/>
      </c>
      <c r="K1924" s="108">
        <f>IF($I1924="▼ SORTIE",$U1924,"")</f>
        <v/>
      </c>
      <c r="L1924" s="109">
        <f>$L1923+N($J1924)-N($K1924)</f>
        <v/>
      </c>
      <c r="M1924" s="110" t="n"/>
      <c r="N1924" s="54" t="n"/>
      <c r="O1924" s="54" t="n"/>
      <c r="P1924" s="54" t="n"/>
      <c r="Q1924" s="110" t="n"/>
      <c r="R1924" s="110" t="n"/>
      <c r="S1924" s="54" t="n"/>
      <c r="T1924" s="111">
        <f>IF($G1924="","",IFERROR(INDEX(Taux_Devises,MATCH(IF($M1924="",Devise_Base,$M1924),Codes_Devises,0)),1))</f>
        <v/>
      </c>
      <c r="U1924" s="112">
        <f>IF($G1924="","",ROUND($G1924*$T1924,2))</f>
        <v/>
      </c>
      <c r="V1924" s="113">
        <f>IF($B1924="","",MONTH($B1924))</f>
        <v/>
      </c>
      <c r="W1924" s="113">
        <f>IF($B1924="","",YEAR($B1924))</f>
        <v/>
      </c>
    </row>
    <row r="1925">
      <c r="B1925" s="105" t="n"/>
      <c r="C1925" s="54" t="n"/>
      <c r="D1925" s="54" t="n"/>
      <c r="E1925" s="54" t="n"/>
      <c r="F1925" s="54" t="n"/>
      <c r="G1925" s="65" t="n"/>
      <c r="H1925" s="54" t="n"/>
      <c r="I1925" s="106">
        <f>IF($C1925="","",IFERROR(INDEX(Sens_Types,MATCH($C1925,Liste_Types,0)),""))</f>
        <v/>
      </c>
      <c r="J1925" s="107">
        <f>IF($I1925="▲ ENTRÉE",$U1925,"")</f>
        <v/>
      </c>
      <c r="K1925" s="108">
        <f>IF($I1925="▼ SORTIE",$U1925,"")</f>
        <v/>
      </c>
      <c r="L1925" s="109">
        <f>$L1924+N($J1925)-N($K1925)</f>
        <v/>
      </c>
      <c r="M1925" s="110" t="n"/>
      <c r="N1925" s="54" t="n"/>
      <c r="O1925" s="54" t="n"/>
      <c r="P1925" s="54" t="n"/>
      <c r="Q1925" s="110" t="n"/>
      <c r="R1925" s="110" t="n"/>
      <c r="S1925" s="54" t="n"/>
      <c r="T1925" s="111">
        <f>IF($G1925="","",IFERROR(INDEX(Taux_Devises,MATCH(IF($M1925="",Devise_Base,$M1925),Codes_Devises,0)),1))</f>
        <v/>
      </c>
      <c r="U1925" s="112">
        <f>IF($G1925="","",ROUND($G1925*$T1925,2))</f>
        <v/>
      </c>
      <c r="V1925" s="113">
        <f>IF($B1925="","",MONTH($B1925))</f>
        <v/>
      </c>
      <c r="W1925" s="113">
        <f>IF($B1925="","",YEAR($B1925))</f>
        <v/>
      </c>
    </row>
    <row r="1926">
      <c r="B1926" s="105" t="n"/>
      <c r="C1926" s="54" t="n"/>
      <c r="D1926" s="54" t="n"/>
      <c r="E1926" s="54" t="n"/>
      <c r="F1926" s="54" t="n"/>
      <c r="G1926" s="65" t="n"/>
      <c r="H1926" s="54" t="n"/>
      <c r="I1926" s="106">
        <f>IF($C1926="","",IFERROR(INDEX(Sens_Types,MATCH($C1926,Liste_Types,0)),""))</f>
        <v/>
      </c>
      <c r="J1926" s="107">
        <f>IF($I1926="▲ ENTRÉE",$U1926,"")</f>
        <v/>
      </c>
      <c r="K1926" s="108">
        <f>IF($I1926="▼ SORTIE",$U1926,"")</f>
        <v/>
      </c>
      <c r="L1926" s="109">
        <f>$L1925+N($J1926)-N($K1926)</f>
        <v/>
      </c>
      <c r="M1926" s="110" t="n"/>
      <c r="N1926" s="54" t="n"/>
      <c r="O1926" s="54" t="n"/>
      <c r="P1926" s="54" t="n"/>
      <c r="Q1926" s="110" t="n"/>
      <c r="R1926" s="110" t="n"/>
      <c r="S1926" s="54" t="n"/>
      <c r="T1926" s="111">
        <f>IF($G1926="","",IFERROR(INDEX(Taux_Devises,MATCH(IF($M1926="",Devise_Base,$M1926),Codes_Devises,0)),1))</f>
        <v/>
      </c>
      <c r="U1926" s="112">
        <f>IF($G1926="","",ROUND($G1926*$T1926,2))</f>
        <v/>
      </c>
      <c r="V1926" s="113">
        <f>IF($B1926="","",MONTH($B1926))</f>
        <v/>
      </c>
      <c r="W1926" s="113">
        <f>IF($B1926="","",YEAR($B1926))</f>
        <v/>
      </c>
    </row>
    <row r="1927">
      <c r="B1927" s="105" t="n"/>
      <c r="C1927" s="54" t="n"/>
      <c r="D1927" s="54" t="n"/>
      <c r="E1927" s="54" t="n"/>
      <c r="F1927" s="54" t="n"/>
      <c r="G1927" s="65" t="n"/>
      <c r="H1927" s="54" t="n"/>
      <c r="I1927" s="106">
        <f>IF($C1927="","",IFERROR(INDEX(Sens_Types,MATCH($C1927,Liste_Types,0)),""))</f>
        <v/>
      </c>
      <c r="J1927" s="107">
        <f>IF($I1927="▲ ENTRÉE",$U1927,"")</f>
        <v/>
      </c>
      <c r="K1927" s="108">
        <f>IF($I1927="▼ SORTIE",$U1927,"")</f>
        <v/>
      </c>
      <c r="L1927" s="109">
        <f>$L1926+N($J1927)-N($K1927)</f>
        <v/>
      </c>
      <c r="M1927" s="110" t="n"/>
      <c r="N1927" s="54" t="n"/>
      <c r="O1927" s="54" t="n"/>
      <c r="P1927" s="54" t="n"/>
      <c r="Q1927" s="110" t="n"/>
      <c r="R1927" s="110" t="n"/>
      <c r="S1927" s="54" t="n"/>
      <c r="T1927" s="111">
        <f>IF($G1927="","",IFERROR(INDEX(Taux_Devises,MATCH(IF($M1927="",Devise_Base,$M1927),Codes_Devises,0)),1))</f>
        <v/>
      </c>
      <c r="U1927" s="112">
        <f>IF($G1927="","",ROUND($G1927*$T1927,2))</f>
        <v/>
      </c>
      <c r="V1927" s="113">
        <f>IF($B1927="","",MONTH($B1927))</f>
        <v/>
      </c>
      <c r="W1927" s="113">
        <f>IF($B1927="","",YEAR($B1927))</f>
        <v/>
      </c>
    </row>
    <row r="1928">
      <c r="B1928" s="105" t="n"/>
      <c r="C1928" s="54" t="n"/>
      <c r="D1928" s="54" t="n"/>
      <c r="E1928" s="54" t="n"/>
      <c r="F1928" s="54" t="n"/>
      <c r="G1928" s="65" t="n"/>
      <c r="H1928" s="54" t="n"/>
      <c r="I1928" s="106">
        <f>IF($C1928="","",IFERROR(INDEX(Sens_Types,MATCH($C1928,Liste_Types,0)),""))</f>
        <v/>
      </c>
      <c r="J1928" s="107">
        <f>IF($I1928="▲ ENTRÉE",$U1928,"")</f>
        <v/>
      </c>
      <c r="K1928" s="108">
        <f>IF($I1928="▼ SORTIE",$U1928,"")</f>
        <v/>
      </c>
      <c r="L1928" s="109">
        <f>$L1927+N($J1928)-N($K1928)</f>
        <v/>
      </c>
      <c r="M1928" s="110" t="n"/>
      <c r="N1928" s="54" t="n"/>
      <c r="O1928" s="54" t="n"/>
      <c r="P1928" s="54" t="n"/>
      <c r="Q1928" s="110" t="n"/>
      <c r="R1928" s="110" t="n"/>
      <c r="S1928" s="54" t="n"/>
      <c r="T1928" s="111">
        <f>IF($G1928="","",IFERROR(INDEX(Taux_Devises,MATCH(IF($M1928="",Devise_Base,$M1928),Codes_Devises,0)),1))</f>
        <v/>
      </c>
      <c r="U1928" s="112">
        <f>IF($G1928="","",ROUND($G1928*$T1928,2))</f>
        <v/>
      </c>
      <c r="V1928" s="113">
        <f>IF($B1928="","",MONTH($B1928))</f>
        <v/>
      </c>
      <c r="W1928" s="113">
        <f>IF($B1928="","",YEAR($B1928))</f>
        <v/>
      </c>
    </row>
    <row r="1929">
      <c r="B1929" s="105" t="n"/>
      <c r="C1929" s="54" t="n"/>
      <c r="D1929" s="54" t="n"/>
      <c r="E1929" s="54" t="n"/>
      <c r="F1929" s="54" t="n"/>
      <c r="G1929" s="65" t="n"/>
      <c r="H1929" s="54" t="n"/>
      <c r="I1929" s="106">
        <f>IF($C1929="","",IFERROR(INDEX(Sens_Types,MATCH($C1929,Liste_Types,0)),""))</f>
        <v/>
      </c>
      <c r="J1929" s="107">
        <f>IF($I1929="▲ ENTRÉE",$U1929,"")</f>
        <v/>
      </c>
      <c r="K1929" s="108">
        <f>IF($I1929="▼ SORTIE",$U1929,"")</f>
        <v/>
      </c>
      <c r="L1929" s="109">
        <f>$L1928+N($J1929)-N($K1929)</f>
        <v/>
      </c>
      <c r="M1929" s="110" t="n"/>
      <c r="N1929" s="54" t="n"/>
      <c r="O1929" s="54" t="n"/>
      <c r="P1929" s="54" t="n"/>
      <c r="Q1929" s="110" t="n"/>
      <c r="R1929" s="110" t="n"/>
      <c r="S1929" s="54" t="n"/>
      <c r="T1929" s="111">
        <f>IF($G1929="","",IFERROR(INDEX(Taux_Devises,MATCH(IF($M1929="",Devise_Base,$M1929),Codes_Devises,0)),1))</f>
        <v/>
      </c>
      <c r="U1929" s="112">
        <f>IF($G1929="","",ROUND($G1929*$T1929,2))</f>
        <v/>
      </c>
      <c r="V1929" s="113">
        <f>IF($B1929="","",MONTH($B1929))</f>
        <v/>
      </c>
      <c r="W1929" s="113">
        <f>IF($B1929="","",YEAR($B1929))</f>
        <v/>
      </c>
    </row>
    <row r="1930">
      <c r="B1930" s="105" t="n"/>
      <c r="C1930" s="54" t="n"/>
      <c r="D1930" s="54" t="n"/>
      <c r="E1930" s="54" t="n"/>
      <c r="F1930" s="54" t="n"/>
      <c r="G1930" s="65" t="n"/>
      <c r="H1930" s="54" t="n"/>
      <c r="I1930" s="106">
        <f>IF($C1930="","",IFERROR(INDEX(Sens_Types,MATCH($C1930,Liste_Types,0)),""))</f>
        <v/>
      </c>
      <c r="J1930" s="107">
        <f>IF($I1930="▲ ENTRÉE",$U1930,"")</f>
        <v/>
      </c>
      <c r="K1930" s="108">
        <f>IF($I1930="▼ SORTIE",$U1930,"")</f>
        <v/>
      </c>
      <c r="L1930" s="109">
        <f>$L1929+N($J1930)-N($K1930)</f>
        <v/>
      </c>
      <c r="M1930" s="110" t="n"/>
      <c r="N1930" s="54" t="n"/>
      <c r="O1930" s="54" t="n"/>
      <c r="P1930" s="54" t="n"/>
      <c r="Q1930" s="110" t="n"/>
      <c r="R1930" s="110" t="n"/>
      <c r="S1930" s="54" t="n"/>
      <c r="T1930" s="111">
        <f>IF($G1930="","",IFERROR(INDEX(Taux_Devises,MATCH(IF($M1930="",Devise_Base,$M1930),Codes_Devises,0)),1))</f>
        <v/>
      </c>
      <c r="U1930" s="112">
        <f>IF($G1930="","",ROUND($G1930*$T1930,2))</f>
        <v/>
      </c>
      <c r="V1930" s="113">
        <f>IF($B1930="","",MONTH($B1930))</f>
        <v/>
      </c>
      <c r="W1930" s="113">
        <f>IF($B1930="","",YEAR($B1930))</f>
        <v/>
      </c>
    </row>
    <row r="1931">
      <c r="B1931" s="105" t="n"/>
      <c r="C1931" s="54" t="n"/>
      <c r="D1931" s="54" t="n"/>
      <c r="E1931" s="54" t="n"/>
      <c r="F1931" s="54" t="n"/>
      <c r="G1931" s="65" t="n"/>
      <c r="H1931" s="54" t="n"/>
      <c r="I1931" s="106">
        <f>IF($C1931="","",IFERROR(INDEX(Sens_Types,MATCH($C1931,Liste_Types,0)),""))</f>
        <v/>
      </c>
      <c r="J1931" s="107">
        <f>IF($I1931="▲ ENTRÉE",$U1931,"")</f>
        <v/>
      </c>
      <c r="K1931" s="108">
        <f>IF($I1931="▼ SORTIE",$U1931,"")</f>
        <v/>
      </c>
      <c r="L1931" s="109">
        <f>$L1930+N($J1931)-N($K1931)</f>
        <v/>
      </c>
      <c r="M1931" s="110" t="n"/>
      <c r="N1931" s="54" t="n"/>
      <c r="O1931" s="54" t="n"/>
      <c r="P1931" s="54" t="n"/>
      <c r="Q1931" s="110" t="n"/>
      <c r="R1931" s="110" t="n"/>
      <c r="S1931" s="54" t="n"/>
      <c r="T1931" s="111">
        <f>IF($G1931="","",IFERROR(INDEX(Taux_Devises,MATCH(IF($M1931="",Devise_Base,$M1931),Codes_Devises,0)),1))</f>
        <v/>
      </c>
      <c r="U1931" s="112">
        <f>IF($G1931="","",ROUND($G1931*$T1931,2))</f>
        <v/>
      </c>
      <c r="V1931" s="113">
        <f>IF($B1931="","",MONTH($B1931))</f>
        <v/>
      </c>
      <c r="W1931" s="113">
        <f>IF($B1931="","",YEAR($B1931))</f>
        <v/>
      </c>
    </row>
    <row r="1932">
      <c r="B1932" s="105" t="n"/>
      <c r="C1932" s="54" t="n"/>
      <c r="D1932" s="54" t="n"/>
      <c r="E1932" s="54" t="n"/>
      <c r="F1932" s="54" t="n"/>
      <c r="G1932" s="65" t="n"/>
      <c r="H1932" s="54" t="n"/>
      <c r="I1932" s="106">
        <f>IF($C1932="","",IFERROR(INDEX(Sens_Types,MATCH($C1932,Liste_Types,0)),""))</f>
        <v/>
      </c>
      <c r="J1932" s="107">
        <f>IF($I1932="▲ ENTRÉE",$U1932,"")</f>
        <v/>
      </c>
      <c r="K1932" s="108">
        <f>IF($I1932="▼ SORTIE",$U1932,"")</f>
        <v/>
      </c>
      <c r="L1932" s="109">
        <f>$L1931+N($J1932)-N($K1932)</f>
        <v/>
      </c>
      <c r="M1932" s="110" t="n"/>
      <c r="N1932" s="54" t="n"/>
      <c r="O1932" s="54" t="n"/>
      <c r="P1932" s="54" t="n"/>
      <c r="Q1932" s="110" t="n"/>
      <c r="R1932" s="110" t="n"/>
      <c r="S1932" s="54" t="n"/>
      <c r="T1932" s="111">
        <f>IF($G1932="","",IFERROR(INDEX(Taux_Devises,MATCH(IF($M1932="",Devise_Base,$M1932),Codes_Devises,0)),1))</f>
        <v/>
      </c>
      <c r="U1932" s="112">
        <f>IF($G1932="","",ROUND($G1932*$T1932,2))</f>
        <v/>
      </c>
      <c r="V1932" s="113">
        <f>IF($B1932="","",MONTH($B1932))</f>
        <v/>
      </c>
      <c r="W1932" s="113">
        <f>IF($B1932="","",YEAR($B1932))</f>
        <v/>
      </c>
    </row>
    <row r="1933">
      <c r="B1933" s="105" t="n"/>
      <c r="C1933" s="54" t="n"/>
      <c r="D1933" s="54" t="n"/>
      <c r="E1933" s="54" t="n"/>
      <c r="F1933" s="54" t="n"/>
      <c r="G1933" s="65" t="n"/>
      <c r="H1933" s="54" t="n"/>
      <c r="I1933" s="106">
        <f>IF($C1933="","",IFERROR(INDEX(Sens_Types,MATCH($C1933,Liste_Types,0)),""))</f>
        <v/>
      </c>
      <c r="J1933" s="107">
        <f>IF($I1933="▲ ENTRÉE",$U1933,"")</f>
        <v/>
      </c>
      <c r="K1933" s="108">
        <f>IF($I1933="▼ SORTIE",$U1933,"")</f>
        <v/>
      </c>
      <c r="L1933" s="109">
        <f>$L1932+N($J1933)-N($K1933)</f>
        <v/>
      </c>
      <c r="M1933" s="110" t="n"/>
      <c r="N1933" s="54" t="n"/>
      <c r="O1933" s="54" t="n"/>
      <c r="P1933" s="54" t="n"/>
      <c r="Q1933" s="110" t="n"/>
      <c r="R1933" s="110" t="n"/>
      <c r="S1933" s="54" t="n"/>
      <c r="T1933" s="111">
        <f>IF($G1933="","",IFERROR(INDEX(Taux_Devises,MATCH(IF($M1933="",Devise_Base,$M1933),Codes_Devises,0)),1))</f>
        <v/>
      </c>
      <c r="U1933" s="112">
        <f>IF($G1933="","",ROUND($G1933*$T1933,2))</f>
        <v/>
      </c>
      <c r="V1933" s="113">
        <f>IF($B1933="","",MONTH($B1933))</f>
        <v/>
      </c>
      <c r="W1933" s="113">
        <f>IF($B1933="","",YEAR($B1933))</f>
        <v/>
      </c>
    </row>
    <row r="1934">
      <c r="B1934" s="105" t="n"/>
      <c r="C1934" s="54" t="n"/>
      <c r="D1934" s="54" t="n"/>
      <c r="E1934" s="54" t="n"/>
      <c r="F1934" s="54" t="n"/>
      <c r="G1934" s="65" t="n"/>
      <c r="H1934" s="54" t="n"/>
      <c r="I1934" s="106">
        <f>IF($C1934="","",IFERROR(INDEX(Sens_Types,MATCH($C1934,Liste_Types,0)),""))</f>
        <v/>
      </c>
      <c r="J1934" s="107">
        <f>IF($I1934="▲ ENTRÉE",$U1934,"")</f>
        <v/>
      </c>
      <c r="K1934" s="108">
        <f>IF($I1934="▼ SORTIE",$U1934,"")</f>
        <v/>
      </c>
      <c r="L1934" s="109">
        <f>$L1933+N($J1934)-N($K1934)</f>
        <v/>
      </c>
      <c r="M1934" s="110" t="n"/>
      <c r="N1934" s="54" t="n"/>
      <c r="O1934" s="54" t="n"/>
      <c r="P1934" s="54" t="n"/>
      <c r="Q1934" s="110" t="n"/>
      <c r="R1934" s="110" t="n"/>
      <c r="S1934" s="54" t="n"/>
      <c r="T1934" s="111">
        <f>IF($G1934="","",IFERROR(INDEX(Taux_Devises,MATCH(IF($M1934="",Devise_Base,$M1934),Codes_Devises,0)),1))</f>
        <v/>
      </c>
      <c r="U1934" s="112">
        <f>IF($G1934="","",ROUND($G1934*$T1934,2))</f>
        <v/>
      </c>
      <c r="V1934" s="113">
        <f>IF($B1934="","",MONTH($B1934))</f>
        <v/>
      </c>
      <c r="W1934" s="113">
        <f>IF($B1934="","",YEAR($B1934))</f>
        <v/>
      </c>
    </row>
    <row r="1935">
      <c r="B1935" s="105" t="n"/>
      <c r="C1935" s="54" t="n"/>
      <c r="D1935" s="54" t="n"/>
      <c r="E1935" s="54" t="n"/>
      <c r="F1935" s="54" t="n"/>
      <c r="G1935" s="65" t="n"/>
      <c r="H1935" s="54" t="n"/>
      <c r="I1935" s="106">
        <f>IF($C1935="","",IFERROR(INDEX(Sens_Types,MATCH($C1935,Liste_Types,0)),""))</f>
        <v/>
      </c>
      <c r="J1935" s="107">
        <f>IF($I1935="▲ ENTRÉE",$U1935,"")</f>
        <v/>
      </c>
      <c r="K1935" s="108">
        <f>IF($I1935="▼ SORTIE",$U1935,"")</f>
        <v/>
      </c>
      <c r="L1935" s="109">
        <f>$L1934+N($J1935)-N($K1935)</f>
        <v/>
      </c>
      <c r="M1935" s="110" t="n"/>
      <c r="N1935" s="54" t="n"/>
      <c r="O1935" s="54" t="n"/>
      <c r="P1935" s="54" t="n"/>
      <c r="Q1935" s="110" t="n"/>
      <c r="R1935" s="110" t="n"/>
      <c r="S1935" s="54" t="n"/>
      <c r="T1935" s="111">
        <f>IF($G1935="","",IFERROR(INDEX(Taux_Devises,MATCH(IF($M1935="",Devise_Base,$M1935),Codes_Devises,0)),1))</f>
        <v/>
      </c>
      <c r="U1935" s="112">
        <f>IF($G1935="","",ROUND($G1935*$T1935,2))</f>
        <v/>
      </c>
      <c r="V1935" s="113">
        <f>IF($B1935="","",MONTH($B1935))</f>
        <v/>
      </c>
      <c r="W1935" s="113">
        <f>IF($B1935="","",YEAR($B1935))</f>
        <v/>
      </c>
    </row>
    <row r="1936">
      <c r="B1936" s="105" t="n"/>
      <c r="C1936" s="54" t="n"/>
      <c r="D1936" s="54" t="n"/>
      <c r="E1936" s="54" t="n"/>
      <c r="F1936" s="54" t="n"/>
      <c r="G1936" s="65" t="n"/>
      <c r="H1936" s="54" t="n"/>
      <c r="I1936" s="106">
        <f>IF($C1936="","",IFERROR(INDEX(Sens_Types,MATCH($C1936,Liste_Types,0)),""))</f>
        <v/>
      </c>
      <c r="J1936" s="107">
        <f>IF($I1936="▲ ENTRÉE",$U1936,"")</f>
        <v/>
      </c>
      <c r="K1936" s="108">
        <f>IF($I1936="▼ SORTIE",$U1936,"")</f>
        <v/>
      </c>
      <c r="L1936" s="109">
        <f>$L1935+N($J1936)-N($K1936)</f>
        <v/>
      </c>
      <c r="M1936" s="110" t="n"/>
      <c r="N1936" s="54" t="n"/>
      <c r="O1936" s="54" t="n"/>
      <c r="P1936" s="54" t="n"/>
      <c r="Q1936" s="110" t="n"/>
      <c r="R1936" s="110" t="n"/>
      <c r="S1936" s="54" t="n"/>
      <c r="T1936" s="111">
        <f>IF($G1936="","",IFERROR(INDEX(Taux_Devises,MATCH(IF($M1936="",Devise_Base,$M1936),Codes_Devises,0)),1))</f>
        <v/>
      </c>
      <c r="U1936" s="112">
        <f>IF($G1936="","",ROUND($G1936*$T1936,2))</f>
        <v/>
      </c>
      <c r="V1936" s="113">
        <f>IF($B1936="","",MONTH($B1936))</f>
        <v/>
      </c>
      <c r="W1936" s="113">
        <f>IF($B1936="","",YEAR($B1936))</f>
        <v/>
      </c>
    </row>
    <row r="1937">
      <c r="B1937" s="105" t="n"/>
      <c r="C1937" s="54" t="n"/>
      <c r="D1937" s="54" t="n"/>
      <c r="E1937" s="54" t="n"/>
      <c r="F1937" s="54" t="n"/>
      <c r="G1937" s="65" t="n"/>
      <c r="H1937" s="54" t="n"/>
      <c r="I1937" s="106">
        <f>IF($C1937="","",IFERROR(INDEX(Sens_Types,MATCH($C1937,Liste_Types,0)),""))</f>
        <v/>
      </c>
      <c r="J1937" s="107">
        <f>IF($I1937="▲ ENTRÉE",$U1937,"")</f>
        <v/>
      </c>
      <c r="K1937" s="108">
        <f>IF($I1937="▼ SORTIE",$U1937,"")</f>
        <v/>
      </c>
      <c r="L1937" s="109">
        <f>$L1936+N($J1937)-N($K1937)</f>
        <v/>
      </c>
      <c r="M1937" s="110" t="n"/>
      <c r="N1937" s="54" t="n"/>
      <c r="O1937" s="54" t="n"/>
      <c r="P1937" s="54" t="n"/>
      <c r="Q1937" s="110" t="n"/>
      <c r="R1937" s="110" t="n"/>
      <c r="S1937" s="54" t="n"/>
      <c r="T1937" s="111">
        <f>IF($G1937="","",IFERROR(INDEX(Taux_Devises,MATCH(IF($M1937="",Devise_Base,$M1937),Codes_Devises,0)),1))</f>
        <v/>
      </c>
      <c r="U1937" s="112">
        <f>IF($G1937="","",ROUND($G1937*$T1937,2))</f>
        <v/>
      </c>
      <c r="V1937" s="113">
        <f>IF($B1937="","",MONTH($B1937))</f>
        <v/>
      </c>
      <c r="W1937" s="113">
        <f>IF($B1937="","",YEAR($B1937))</f>
        <v/>
      </c>
    </row>
    <row r="1938">
      <c r="B1938" s="105" t="n"/>
      <c r="C1938" s="54" t="n"/>
      <c r="D1938" s="54" t="n"/>
      <c r="E1938" s="54" t="n"/>
      <c r="F1938" s="54" t="n"/>
      <c r="G1938" s="65" t="n"/>
      <c r="H1938" s="54" t="n"/>
      <c r="I1938" s="106">
        <f>IF($C1938="","",IFERROR(INDEX(Sens_Types,MATCH($C1938,Liste_Types,0)),""))</f>
        <v/>
      </c>
      <c r="J1938" s="107">
        <f>IF($I1938="▲ ENTRÉE",$U1938,"")</f>
        <v/>
      </c>
      <c r="K1938" s="108">
        <f>IF($I1938="▼ SORTIE",$U1938,"")</f>
        <v/>
      </c>
      <c r="L1938" s="109">
        <f>$L1937+N($J1938)-N($K1938)</f>
        <v/>
      </c>
      <c r="M1938" s="110" t="n"/>
      <c r="N1938" s="54" t="n"/>
      <c r="O1938" s="54" t="n"/>
      <c r="P1938" s="54" t="n"/>
      <c r="Q1938" s="110" t="n"/>
      <c r="R1938" s="110" t="n"/>
      <c r="S1938" s="54" t="n"/>
      <c r="T1938" s="111">
        <f>IF($G1938="","",IFERROR(INDEX(Taux_Devises,MATCH(IF($M1938="",Devise_Base,$M1938),Codes_Devises,0)),1))</f>
        <v/>
      </c>
      <c r="U1938" s="112">
        <f>IF($G1938="","",ROUND($G1938*$T1938,2))</f>
        <v/>
      </c>
      <c r="V1938" s="113">
        <f>IF($B1938="","",MONTH($B1938))</f>
        <v/>
      </c>
      <c r="W1938" s="113">
        <f>IF($B1938="","",YEAR($B1938))</f>
        <v/>
      </c>
    </row>
    <row r="1939">
      <c r="B1939" s="105" t="n"/>
      <c r="C1939" s="54" t="n"/>
      <c r="D1939" s="54" t="n"/>
      <c r="E1939" s="54" t="n"/>
      <c r="F1939" s="54" t="n"/>
      <c r="G1939" s="65" t="n"/>
      <c r="H1939" s="54" t="n"/>
      <c r="I1939" s="106">
        <f>IF($C1939="","",IFERROR(INDEX(Sens_Types,MATCH($C1939,Liste_Types,0)),""))</f>
        <v/>
      </c>
      <c r="J1939" s="107">
        <f>IF($I1939="▲ ENTRÉE",$U1939,"")</f>
        <v/>
      </c>
      <c r="K1939" s="108">
        <f>IF($I1939="▼ SORTIE",$U1939,"")</f>
        <v/>
      </c>
      <c r="L1939" s="109">
        <f>$L1938+N($J1939)-N($K1939)</f>
        <v/>
      </c>
      <c r="M1939" s="110" t="n"/>
      <c r="N1939" s="54" t="n"/>
      <c r="O1939" s="54" t="n"/>
      <c r="P1939" s="54" t="n"/>
      <c r="Q1939" s="110" t="n"/>
      <c r="R1939" s="110" t="n"/>
      <c r="S1939" s="54" t="n"/>
      <c r="T1939" s="111">
        <f>IF($G1939="","",IFERROR(INDEX(Taux_Devises,MATCH(IF($M1939="",Devise_Base,$M1939),Codes_Devises,0)),1))</f>
        <v/>
      </c>
      <c r="U1939" s="112">
        <f>IF($G1939="","",ROUND($G1939*$T1939,2))</f>
        <v/>
      </c>
      <c r="V1939" s="113">
        <f>IF($B1939="","",MONTH($B1939))</f>
        <v/>
      </c>
      <c r="W1939" s="113">
        <f>IF($B1939="","",YEAR($B1939))</f>
        <v/>
      </c>
    </row>
    <row r="1940">
      <c r="B1940" s="105" t="n"/>
      <c r="C1940" s="54" t="n"/>
      <c r="D1940" s="54" t="n"/>
      <c r="E1940" s="54" t="n"/>
      <c r="F1940" s="54" t="n"/>
      <c r="G1940" s="65" t="n"/>
      <c r="H1940" s="54" t="n"/>
      <c r="I1940" s="106">
        <f>IF($C1940="","",IFERROR(INDEX(Sens_Types,MATCH($C1940,Liste_Types,0)),""))</f>
        <v/>
      </c>
      <c r="J1940" s="107">
        <f>IF($I1940="▲ ENTRÉE",$U1940,"")</f>
        <v/>
      </c>
      <c r="K1940" s="108">
        <f>IF($I1940="▼ SORTIE",$U1940,"")</f>
        <v/>
      </c>
      <c r="L1940" s="109">
        <f>$L1939+N($J1940)-N($K1940)</f>
        <v/>
      </c>
      <c r="M1940" s="110" t="n"/>
      <c r="N1940" s="54" t="n"/>
      <c r="O1940" s="54" t="n"/>
      <c r="P1940" s="54" t="n"/>
      <c r="Q1940" s="110" t="n"/>
      <c r="R1940" s="110" t="n"/>
      <c r="S1940" s="54" t="n"/>
      <c r="T1940" s="111">
        <f>IF($G1940="","",IFERROR(INDEX(Taux_Devises,MATCH(IF($M1940="",Devise_Base,$M1940),Codes_Devises,0)),1))</f>
        <v/>
      </c>
      <c r="U1940" s="112">
        <f>IF($G1940="","",ROUND($G1940*$T1940,2))</f>
        <v/>
      </c>
      <c r="V1940" s="113">
        <f>IF($B1940="","",MONTH($B1940))</f>
        <v/>
      </c>
      <c r="W1940" s="113">
        <f>IF($B1940="","",YEAR($B1940))</f>
        <v/>
      </c>
    </row>
    <row r="1941">
      <c r="B1941" s="105" t="n"/>
      <c r="C1941" s="54" t="n"/>
      <c r="D1941" s="54" t="n"/>
      <c r="E1941" s="54" t="n"/>
      <c r="F1941" s="54" t="n"/>
      <c r="G1941" s="65" t="n"/>
      <c r="H1941" s="54" t="n"/>
      <c r="I1941" s="106">
        <f>IF($C1941="","",IFERROR(INDEX(Sens_Types,MATCH($C1941,Liste_Types,0)),""))</f>
        <v/>
      </c>
      <c r="J1941" s="107">
        <f>IF($I1941="▲ ENTRÉE",$U1941,"")</f>
        <v/>
      </c>
      <c r="K1941" s="108">
        <f>IF($I1941="▼ SORTIE",$U1941,"")</f>
        <v/>
      </c>
      <c r="L1941" s="109">
        <f>$L1940+N($J1941)-N($K1941)</f>
        <v/>
      </c>
      <c r="M1941" s="110" t="n"/>
      <c r="N1941" s="54" t="n"/>
      <c r="O1941" s="54" t="n"/>
      <c r="P1941" s="54" t="n"/>
      <c r="Q1941" s="110" t="n"/>
      <c r="R1941" s="110" t="n"/>
      <c r="S1941" s="54" t="n"/>
      <c r="T1941" s="111">
        <f>IF($G1941="","",IFERROR(INDEX(Taux_Devises,MATCH(IF($M1941="",Devise_Base,$M1941),Codes_Devises,0)),1))</f>
        <v/>
      </c>
      <c r="U1941" s="112">
        <f>IF($G1941="","",ROUND($G1941*$T1941,2))</f>
        <v/>
      </c>
      <c r="V1941" s="113">
        <f>IF($B1941="","",MONTH($B1941))</f>
        <v/>
      </c>
      <c r="W1941" s="113">
        <f>IF($B1941="","",YEAR($B1941))</f>
        <v/>
      </c>
    </row>
    <row r="1942">
      <c r="B1942" s="105" t="n"/>
      <c r="C1942" s="54" t="n"/>
      <c r="D1942" s="54" t="n"/>
      <c r="E1942" s="54" t="n"/>
      <c r="F1942" s="54" t="n"/>
      <c r="G1942" s="65" t="n"/>
      <c r="H1942" s="54" t="n"/>
      <c r="I1942" s="106">
        <f>IF($C1942="","",IFERROR(INDEX(Sens_Types,MATCH($C1942,Liste_Types,0)),""))</f>
        <v/>
      </c>
      <c r="J1942" s="107">
        <f>IF($I1942="▲ ENTRÉE",$U1942,"")</f>
        <v/>
      </c>
      <c r="K1942" s="108">
        <f>IF($I1942="▼ SORTIE",$U1942,"")</f>
        <v/>
      </c>
      <c r="L1942" s="109">
        <f>$L1941+N($J1942)-N($K1942)</f>
        <v/>
      </c>
      <c r="M1942" s="110" t="n"/>
      <c r="N1942" s="54" t="n"/>
      <c r="O1942" s="54" t="n"/>
      <c r="P1942" s="54" t="n"/>
      <c r="Q1942" s="110" t="n"/>
      <c r="R1942" s="110" t="n"/>
      <c r="S1942" s="54" t="n"/>
      <c r="T1942" s="111">
        <f>IF($G1942="","",IFERROR(INDEX(Taux_Devises,MATCH(IF($M1942="",Devise_Base,$M1942),Codes_Devises,0)),1))</f>
        <v/>
      </c>
      <c r="U1942" s="112">
        <f>IF($G1942="","",ROUND($G1942*$T1942,2))</f>
        <v/>
      </c>
      <c r="V1942" s="113">
        <f>IF($B1942="","",MONTH($B1942))</f>
        <v/>
      </c>
      <c r="W1942" s="113">
        <f>IF($B1942="","",YEAR($B1942))</f>
        <v/>
      </c>
    </row>
    <row r="1943">
      <c r="B1943" s="105" t="n"/>
      <c r="C1943" s="54" t="n"/>
      <c r="D1943" s="54" t="n"/>
      <c r="E1943" s="54" t="n"/>
      <c r="F1943" s="54" t="n"/>
      <c r="G1943" s="65" t="n"/>
      <c r="H1943" s="54" t="n"/>
      <c r="I1943" s="106">
        <f>IF($C1943="","",IFERROR(INDEX(Sens_Types,MATCH($C1943,Liste_Types,0)),""))</f>
        <v/>
      </c>
      <c r="J1943" s="107">
        <f>IF($I1943="▲ ENTRÉE",$U1943,"")</f>
        <v/>
      </c>
      <c r="K1943" s="108">
        <f>IF($I1943="▼ SORTIE",$U1943,"")</f>
        <v/>
      </c>
      <c r="L1943" s="109">
        <f>$L1942+N($J1943)-N($K1943)</f>
        <v/>
      </c>
      <c r="M1943" s="110" t="n"/>
      <c r="N1943" s="54" t="n"/>
      <c r="O1943" s="54" t="n"/>
      <c r="P1943" s="54" t="n"/>
      <c r="Q1943" s="110" t="n"/>
      <c r="R1943" s="110" t="n"/>
      <c r="S1943" s="54" t="n"/>
      <c r="T1943" s="111">
        <f>IF($G1943="","",IFERROR(INDEX(Taux_Devises,MATCH(IF($M1943="",Devise_Base,$M1943),Codes_Devises,0)),1))</f>
        <v/>
      </c>
      <c r="U1943" s="112">
        <f>IF($G1943="","",ROUND($G1943*$T1943,2))</f>
        <v/>
      </c>
      <c r="V1943" s="113">
        <f>IF($B1943="","",MONTH($B1943))</f>
        <v/>
      </c>
      <c r="W1943" s="113">
        <f>IF($B1943="","",YEAR($B1943))</f>
        <v/>
      </c>
    </row>
    <row r="1944">
      <c r="B1944" s="105" t="n"/>
      <c r="C1944" s="54" t="n"/>
      <c r="D1944" s="54" t="n"/>
      <c r="E1944" s="54" t="n"/>
      <c r="F1944" s="54" t="n"/>
      <c r="G1944" s="65" t="n"/>
      <c r="H1944" s="54" t="n"/>
      <c r="I1944" s="106">
        <f>IF($C1944="","",IFERROR(INDEX(Sens_Types,MATCH($C1944,Liste_Types,0)),""))</f>
        <v/>
      </c>
      <c r="J1944" s="107">
        <f>IF($I1944="▲ ENTRÉE",$U1944,"")</f>
        <v/>
      </c>
      <c r="K1944" s="108">
        <f>IF($I1944="▼ SORTIE",$U1944,"")</f>
        <v/>
      </c>
      <c r="L1944" s="109">
        <f>$L1943+N($J1944)-N($K1944)</f>
        <v/>
      </c>
      <c r="M1944" s="110" t="n"/>
      <c r="N1944" s="54" t="n"/>
      <c r="O1944" s="54" t="n"/>
      <c r="P1944" s="54" t="n"/>
      <c r="Q1944" s="110" t="n"/>
      <c r="R1944" s="110" t="n"/>
      <c r="S1944" s="54" t="n"/>
      <c r="T1944" s="111">
        <f>IF($G1944="","",IFERROR(INDEX(Taux_Devises,MATCH(IF($M1944="",Devise_Base,$M1944),Codes_Devises,0)),1))</f>
        <v/>
      </c>
      <c r="U1944" s="112">
        <f>IF($G1944="","",ROUND($G1944*$T1944,2))</f>
        <v/>
      </c>
      <c r="V1944" s="113">
        <f>IF($B1944="","",MONTH($B1944))</f>
        <v/>
      </c>
      <c r="W1944" s="113">
        <f>IF($B1944="","",YEAR($B1944))</f>
        <v/>
      </c>
    </row>
    <row r="1945">
      <c r="B1945" s="105" t="n"/>
      <c r="C1945" s="54" t="n"/>
      <c r="D1945" s="54" t="n"/>
      <c r="E1945" s="54" t="n"/>
      <c r="F1945" s="54" t="n"/>
      <c r="G1945" s="65" t="n"/>
      <c r="H1945" s="54" t="n"/>
      <c r="I1945" s="106">
        <f>IF($C1945="","",IFERROR(INDEX(Sens_Types,MATCH($C1945,Liste_Types,0)),""))</f>
        <v/>
      </c>
      <c r="J1945" s="107">
        <f>IF($I1945="▲ ENTRÉE",$U1945,"")</f>
        <v/>
      </c>
      <c r="K1945" s="108">
        <f>IF($I1945="▼ SORTIE",$U1945,"")</f>
        <v/>
      </c>
      <c r="L1945" s="109">
        <f>$L1944+N($J1945)-N($K1945)</f>
        <v/>
      </c>
      <c r="M1945" s="110" t="n"/>
      <c r="N1945" s="54" t="n"/>
      <c r="O1945" s="54" t="n"/>
      <c r="P1945" s="54" t="n"/>
      <c r="Q1945" s="110" t="n"/>
      <c r="R1945" s="110" t="n"/>
      <c r="S1945" s="54" t="n"/>
      <c r="T1945" s="111">
        <f>IF($G1945="","",IFERROR(INDEX(Taux_Devises,MATCH(IF($M1945="",Devise_Base,$M1945),Codes_Devises,0)),1))</f>
        <v/>
      </c>
      <c r="U1945" s="112">
        <f>IF($G1945="","",ROUND($G1945*$T1945,2))</f>
        <v/>
      </c>
      <c r="V1945" s="113">
        <f>IF($B1945="","",MONTH($B1945))</f>
        <v/>
      </c>
      <c r="W1945" s="113">
        <f>IF($B1945="","",YEAR($B1945))</f>
        <v/>
      </c>
    </row>
    <row r="1946">
      <c r="B1946" s="105" t="n"/>
      <c r="C1946" s="54" t="n"/>
      <c r="D1946" s="54" t="n"/>
      <c r="E1946" s="54" t="n"/>
      <c r="F1946" s="54" t="n"/>
      <c r="G1946" s="65" t="n"/>
      <c r="H1946" s="54" t="n"/>
      <c r="I1946" s="106">
        <f>IF($C1946="","",IFERROR(INDEX(Sens_Types,MATCH($C1946,Liste_Types,0)),""))</f>
        <v/>
      </c>
      <c r="J1946" s="107">
        <f>IF($I1946="▲ ENTRÉE",$U1946,"")</f>
        <v/>
      </c>
      <c r="K1946" s="108">
        <f>IF($I1946="▼ SORTIE",$U1946,"")</f>
        <v/>
      </c>
      <c r="L1946" s="109">
        <f>$L1945+N($J1946)-N($K1946)</f>
        <v/>
      </c>
      <c r="M1946" s="110" t="n"/>
      <c r="N1946" s="54" t="n"/>
      <c r="O1946" s="54" t="n"/>
      <c r="P1946" s="54" t="n"/>
      <c r="Q1946" s="110" t="n"/>
      <c r="R1946" s="110" t="n"/>
      <c r="S1946" s="54" t="n"/>
      <c r="T1946" s="111">
        <f>IF($G1946="","",IFERROR(INDEX(Taux_Devises,MATCH(IF($M1946="",Devise_Base,$M1946),Codes_Devises,0)),1))</f>
        <v/>
      </c>
      <c r="U1946" s="112">
        <f>IF($G1946="","",ROUND($G1946*$T1946,2))</f>
        <v/>
      </c>
      <c r="V1946" s="113">
        <f>IF($B1946="","",MONTH($B1946))</f>
        <v/>
      </c>
      <c r="W1946" s="113">
        <f>IF($B1946="","",YEAR($B1946))</f>
        <v/>
      </c>
    </row>
    <row r="1947">
      <c r="B1947" s="105" t="n"/>
      <c r="C1947" s="54" t="n"/>
      <c r="D1947" s="54" t="n"/>
      <c r="E1947" s="54" t="n"/>
      <c r="F1947" s="54" t="n"/>
      <c r="G1947" s="65" t="n"/>
      <c r="H1947" s="54" t="n"/>
      <c r="I1947" s="106">
        <f>IF($C1947="","",IFERROR(INDEX(Sens_Types,MATCH($C1947,Liste_Types,0)),""))</f>
        <v/>
      </c>
      <c r="J1947" s="107">
        <f>IF($I1947="▲ ENTRÉE",$U1947,"")</f>
        <v/>
      </c>
      <c r="K1947" s="108">
        <f>IF($I1947="▼ SORTIE",$U1947,"")</f>
        <v/>
      </c>
      <c r="L1947" s="109">
        <f>$L1946+N($J1947)-N($K1947)</f>
        <v/>
      </c>
      <c r="M1947" s="110" t="n"/>
      <c r="N1947" s="54" t="n"/>
      <c r="O1947" s="54" t="n"/>
      <c r="P1947" s="54" t="n"/>
      <c r="Q1947" s="110" t="n"/>
      <c r="R1947" s="110" t="n"/>
      <c r="S1947" s="54" t="n"/>
      <c r="T1947" s="111">
        <f>IF($G1947="","",IFERROR(INDEX(Taux_Devises,MATCH(IF($M1947="",Devise_Base,$M1947),Codes_Devises,0)),1))</f>
        <v/>
      </c>
      <c r="U1947" s="112">
        <f>IF($G1947="","",ROUND($G1947*$T1947,2))</f>
        <v/>
      </c>
      <c r="V1947" s="113">
        <f>IF($B1947="","",MONTH($B1947))</f>
        <v/>
      </c>
      <c r="W1947" s="113">
        <f>IF($B1947="","",YEAR($B1947))</f>
        <v/>
      </c>
    </row>
    <row r="1948">
      <c r="B1948" s="105" t="n"/>
      <c r="C1948" s="54" t="n"/>
      <c r="D1948" s="54" t="n"/>
      <c r="E1948" s="54" t="n"/>
      <c r="F1948" s="54" t="n"/>
      <c r="G1948" s="65" t="n"/>
      <c r="H1948" s="54" t="n"/>
      <c r="I1948" s="106">
        <f>IF($C1948="","",IFERROR(INDEX(Sens_Types,MATCH($C1948,Liste_Types,0)),""))</f>
        <v/>
      </c>
      <c r="J1948" s="107">
        <f>IF($I1948="▲ ENTRÉE",$U1948,"")</f>
        <v/>
      </c>
      <c r="K1948" s="108">
        <f>IF($I1948="▼ SORTIE",$U1948,"")</f>
        <v/>
      </c>
      <c r="L1948" s="109">
        <f>$L1947+N($J1948)-N($K1948)</f>
        <v/>
      </c>
      <c r="M1948" s="110" t="n"/>
      <c r="N1948" s="54" t="n"/>
      <c r="O1948" s="54" t="n"/>
      <c r="P1948" s="54" t="n"/>
      <c r="Q1948" s="110" t="n"/>
      <c r="R1948" s="110" t="n"/>
      <c r="S1948" s="54" t="n"/>
      <c r="T1948" s="111">
        <f>IF($G1948="","",IFERROR(INDEX(Taux_Devises,MATCH(IF($M1948="",Devise_Base,$M1948),Codes_Devises,0)),1))</f>
        <v/>
      </c>
      <c r="U1948" s="112">
        <f>IF($G1948="","",ROUND($G1948*$T1948,2))</f>
        <v/>
      </c>
      <c r="V1948" s="113">
        <f>IF($B1948="","",MONTH($B1948))</f>
        <v/>
      </c>
      <c r="W1948" s="113">
        <f>IF($B1948="","",YEAR($B1948))</f>
        <v/>
      </c>
    </row>
    <row r="1949">
      <c r="B1949" s="105" t="n"/>
      <c r="C1949" s="54" t="n"/>
      <c r="D1949" s="54" t="n"/>
      <c r="E1949" s="54" t="n"/>
      <c r="F1949" s="54" t="n"/>
      <c r="G1949" s="65" t="n"/>
      <c r="H1949" s="54" t="n"/>
      <c r="I1949" s="106">
        <f>IF($C1949="","",IFERROR(INDEX(Sens_Types,MATCH($C1949,Liste_Types,0)),""))</f>
        <v/>
      </c>
      <c r="J1949" s="107">
        <f>IF($I1949="▲ ENTRÉE",$U1949,"")</f>
        <v/>
      </c>
      <c r="K1949" s="108">
        <f>IF($I1949="▼ SORTIE",$U1949,"")</f>
        <v/>
      </c>
      <c r="L1949" s="109">
        <f>$L1948+N($J1949)-N($K1949)</f>
        <v/>
      </c>
      <c r="M1949" s="110" t="n"/>
      <c r="N1949" s="54" t="n"/>
      <c r="O1949" s="54" t="n"/>
      <c r="P1949" s="54" t="n"/>
      <c r="Q1949" s="110" t="n"/>
      <c r="R1949" s="110" t="n"/>
      <c r="S1949" s="54" t="n"/>
      <c r="T1949" s="111">
        <f>IF($G1949="","",IFERROR(INDEX(Taux_Devises,MATCH(IF($M1949="",Devise_Base,$M1949),Codes_Devises,0)),1))</f>
        <v/>
      </c>
      <c r="U1949" s="112">
        <f>IF($G1949="","",ROUND($G1949*$T1949,2))</f>
        <v/>
      </c>
      <c r="V1949" s="113">
        <f>IF($B1949="","",MONTH($B1949))</f>
        <v/>
      </c>
      <c r="W1949" s="113">
        <f>IF($B1949="","",YEAR($B1949))</f>
        <v/>
      </c>
    </row>
    <row r="1950">
      <c r="B1950" s="105" t="n"/>
      <c r="C1950" s="54" t="n"/>
      <c r="D1950" s="54" t="n"/>
      <c r="E1950" s="54" t="n"/>
      <c r="F1950" s="54" t="n"/>
      <c r="G1950" s="65" t="n"/>
      <c r="H1950" s="54" t="n"/>
      <c r="I1950" s="106">
        <f>IF($C1950="","",IFERROR(INDEX(Sens_Types,MATCH($C1950,Liste_Types,0)),""))</f>
        <v/>
      </c>
      <c r="J1950" s="107">
        <f>IF($I1950="▲ ENTRÉE",$U1950,"")</f>
        <v/>
      </c>
      <c r="K1950" s="108">
        <f>IF($I1950="▼ SORTIE",$U1950,"")</f>
        <v/>
      </c>
      <c r="L1950" s="109">
        <f>$L1949+N($J1950)-N($K1950)</f>
        <v/>
      </c>
      <c r="M1950" s="110" t="n"/>
      <c r="N1950" s="54" t="n"/>
      <c r="O1950" s="54" t="n"/>
      <c r="P1950" s="54" t="n"/>
      <c r="Q1950" s="110" t="n"/>
      <c r="R1950" s="110" t="n"/>
      <c r="S1950" s="54" t="n"/>
      <c r="T1950" s="111">
        <f>IF($G1950="","",IFERROR(INDEX(Taux_Devises,MATCH(IF($M1950="",Devise_Base,$M1950),Codes_Devises,0)),1))</f>
        <v/>
      </c>
      <c r="U1950" s="112">
        <f>IF($G1950="","",ROUND($G1950*$T1950,2))</f>
        <v/>
      </c>
      <c r="V1950" s="113">
        <f>IF($B1950="","",MONTH($B1950))</f>
        <v/>
      </c>
      <c r="W1950" s="113">
        <f>IF($B1950="","",YEAR($B1950))</f>
        <v/>
      </c>
    </row>
    <row r="1951">
      <c r="B1951" s="105" t="n"/>
      <c r="C1951" s="54" t="n"/>
      <c r="D1951" s="54" t="n"/>
      <c r="E1951" s="54" t="n"/>
      <c r="F1951" s="54" t="n"/>
      <c r="G1951" s="65" t="n"/>
      <c r="H1951" s="54" t="n"/>
      <c r="I1951" s="106">
        <f>IF($C1951="","",IFERROR(INDEX(Sens_Types,MATCH($C1951,Liste_Types,0)),""))</f>
        <v/>
      </c>
      <c r="J1951" s="107">
        <f>IF($I1951="▲ ENTRÉE",$U1951,"")</f>
        <v/>
      </c>
      <c r="K1951" s="108">
        <f>IF($I1951="▼ SORTIE",$U1951,"")</f>
        <v/>
      </c>
      <c r="L1951" s="109">
        <f>$L1950+N($J1951)-N($K1951)</f>
        <v/>
      </c>
      <c r="M1951" s="110" t="n"/>
      <c r="N1951" s="54" t="n"/>
      <c r="O1951" s="54" t="n"/>
      <c r="P1951" s="54" t="n"/>
      <c r="Q1951" s="110" t="n"/>
      <c r="R1951" s="110" t="n"/>
      <c r="S1951" s="54" t="n"/>
      <c r="T1951" s="111">
        <f>IF($G1951="","",IFERROR(INDEX(Taux_Devises,MATCH(IF($M1951="",Devise_Base,$M1951),Codes_Devises,0)),1))</f>
        <v/>
      </c>
      <c r="U1951" s="112">
        <f>IF($G1951="","",ROUND($G1951*$T1951,2))</f>
        <v/>
      </c>
      <c r="V1951" s="113">
        <f>IF($B1951="","",MONTH($B1951))</f>
        <v/>
      </c>
      <c r="W1951" s="113">
        <f>IF($B1951="","",YEAR($B1951))</f>
        <v/>
      </c>
    </row>
    <row r="1952">
      <c r="B1952" s="105" t="n"/>
      <c r="C1952" s="54" t="n"/>
      <c r="D1952" s="54" t="n"/>
      <c r="E1952" s="54" t="n"/>
      <c r="F1952" s="54" t="n"/>
      <c r="G1952" s="65" t="n"/>
      <c r="H1952" s="54" t="n"/>
      <c r="I1952" s="106">
        <f>IF($C1952="","",IFERROR(INDEX(Sens_Types,MATCH($C1952,Liste_Types,0)),""))</f>
        <v/>
      </c>
      <c r="J1952" s="107">
        <f>IF($I1952="▲ ENTRÉE",$U1952,"")</f>
        <v/>
      </c>
      <c r="K1952" s="108">
        <f>IF($I1952="▼ SORTIE",$U1952,"")</f>
        <v/>
      </c>
      <c r="L1952" s="109">
        <f>$L1951+N($J1952)-N($K1952)</f>
        <v/>
      </c>
      <c r="M1952" s="110" t="n"/>
      <c r="N1952" s="54" t="n"/>
      <c r="O1952" s="54" t="n"/>
      <c r="P1952" s="54" t="n"/>
      <c r="Q1952" s="110" t="n"/>
      <c r="R1952" s="110" t="n"/>
      <c r="S1952" s="54" t="n"/>
      <c r="T1952" s="111">
        <f>IF($G1952="","",IFERROR(INDEX(Taux_Devises,MATCH(IF($M1952="",Devise_Base,$M1952),Codes_Devises,0)),1))</f>
        <v/>
      </c>
      <c r="U1952" s="112">
        <f>IF($G1952="","",ROUND($G1952*$T1952,2))</f>
        <v/>
      </c>
      <c r="V1952" s="113">
        <f>IF($B1952="","",MONTH($B1952))</f>
        <v/>
      </c>
      <c r="W1952" s="113">
        <f>IF($B1952="","",YEAR($B1952))</f>
        <v/>
      </c>
    </row>
    <row r="1953">
      <c r="B1953" s="105" t="n"/>
      <c r="C1953" s="54" t="n"/>
      <c r="D1953" s="54" t="n"/>
      <c r="E1953" s="54" t="n"/>
      <c r="F1953" s="54" t="n"/>
      <c r="G1953" s="65" t="n"/>
      <c r="H1953" s="54" t="n"/>
      <c r="I1953" s="106">
        <f>IF($C1953="","",IFERROR(INDEX(Sens_Types,MATCH($C1953,Liste_Types,0)),""))</f>
        <v/>
      </c>
      <c r="J1953" s="107">
        <f>IF($I1953="▲ ENTRÉE",$U1953,"")</f>
        <v/>
      </c>
      <c r="K1953" s="108">
        <f>IF($I1953="▼ SORTIE",$U1953,"")</f>
        <v/>
      </c>
      <c r="L1953" s="109">
        <f>$L1952+N($J1953)-N($K1953)</f>
        <v/>
      </c>
      <c r="M1953" s="110" t="n"/>
      <c r="N1953" s="54" t="n"/>
      <c r="O1953" s="54" t="n"/>
      <c r="P1953" s="54" t="n"/>
      <c r="Q1953" s="110" t="n"/>
      <c r="R1953" s="110" t="n"/>
      <c r="S1953" s="54" t="n"/>
      <c r="T1953" s="111">
        <f>IF($G1953="","",IFERROR(INDEX(Taux_Devises,MATCH(IF($M1953="",Devise_Base,$M1953),Codes_Devises,0)),1))</f>
        <v/>
      </c>
      <c r="U1953" s="112">
        <f>IF($G1953="","",ROUND($G1953*$T1953,2))</f>
        <v/>
      </c>
      <c r="V1953" s="113">
        <f>IF($B1953="","",MONTH($B1953))</f>
        <v/>
      </c>
      <c r="W1953" s="113">
        <f>IF($B1953="","",YEAR($B1953))</f>
        <v/>
      </c>
    </row>
    <row r="1954">
      <c r="B1954" s="105" t="n"/>
      <c r="C1954" s="54" t="n"/>
      <c r="D1954" s="54" t="n"/>
      <c r="E1954" s="54" t="n"/>
      <c r="F1954" s="54" t="n"/>
      <c r="G1954" s="65" t="n"/>
      <c r="H1954" s="54" t="n"/>
      <c r="I1954" s="106">
        <f>IF($C1954="","",IFERROR(INDEX(Sens_Types,MATCH($C1954,Liste_Types,0)),""))</f>
        <v/>
      </c>
      <c r="J1954" s="107">
        <f>IF($I1954="▲ ENTRÉE",$U1954,"")</f>
        <v/>
      </c>
      <c r="K1954" s="108">
        <f>IF($I1954="▼ SORTIE",$U1954,"")</f>
        <v/>
      </c>
      <c r="L1954" s="109">
        <f>$L1953+N($J1954)-N($K1954)</f>
        <v/>
      </c>
      <c r="M1954" s="110" t="n"/>
      <c r="N1954" s="54" t="n"/>
      <c r="O1954" s="54" t="n"/>
      <c r="P1954" s="54" t="n"/>
      <c r="Q1954" s="110" t="n"/>
      <c r="R1954" s="110" t="n"/>
      <c r="S1954" s="54" t="n"/>
      <c r="T1954" s="111">
        <f>IF($G1954="","",IFERROR(INDEX(Taux_Devises,MATCH(IF($M1954="",Devise_Base,$M1954),Codes_Devises,0)),1))</f>
        <v/>
      </c>
      <c r="U1954" s="112">
        <f>IF($G1954="","",ROUND($G1954*$T1954,2))</f>
        <v/>
      </c>
      <c r="V1954" s="113">
        <f>IF($B1954="","",MONTH($B1954))</f>
        <v/>
      </c>
      <c r="W1954" s="113">
        <f>IF($B1954="","",YEAR($B1954))</f>
        <v/>
      </c>
    </row>
    <row r="1955">
      <c r="B1955" s="105" t="n"/>
      <c r="C1955" s="54" t="n"/>
      <c r="D1955" s="54" t="n"/>
      <c r="E1955" s="54" t="n"/>
      <c r="F1955" s="54" t="n"/>
      <c r="G1955" s="65" t="n"/>
      <c r="H1955" s="54" t="n"/>
      <c r="I1955" s="106">
        <f>IF($C1955="","",IFERROR(INDEX(Sens_Types,MATCH($C1955,Liste_Types,0)),""))</f>
        <v/>
      </c>
      <c r="J1955" s="107">
        <f>IF($I1955="▲ ENTRÉE",$U1955,"")</f>
        <v/>
      </c>
      <c r="K1955" s="108">
        <f>IF($I1955="▼ SORTIE",$U1955,"")</f>
        <v/>
      </c>
      <c r="L1955" s="109">
        <f>$L1954+N($J1955)-N($K1955)</f>
        <v/>
      </c>
      <c r="M1955" s="110" t="n"/>
      <c r="N1955" s="54" t="n"/>
      <c r="O1955" s="54" t="n"/>
      <c r="P1955" s="54" t="n"/>
      <c r="Q1955" s="110" t="n"/>
      <c r="R1955" s="110" t="n"/>
      <c r="S1955" s="54" t="n"/>
      <c r="T1955" s="111">
        <f>IF($G1955="","",IFERROR(INDEX(Taux_Devises,MATCH(IF($M1955="",Devise_Base,$M1955),Codes_Devises,0)),1))</f>
        <v/>
      </c>
      <c r="U1955" s="112">
        <f>IF($G1955="","",ROUND($G1955*$T1955,2))</f>
        <v/>
      </c>
      <c r="V1955" s="113">
        <f>IF($B1955="","",MONTH($B1955))</f>
        <v/>
      </c>
      <c r="W1955" s="113">
        <f>IF($B1955="","",YEAR($B1955))</f>
        <v/>
      </c>
    </row>
    <row r="1956">
      <c r="B1956" s="105" t="n"/>
      <c r="C1956" s="54" t="n"/>
      <c r="D1956" s="54" t="n"/>
      <c r="E1956" s="54" t="n"/>
      <c r="F1956" s="54" t="n"/>
      <c r="G1956" s="65" t="n"/>
      <c r="H1956" s="54" t="n"/>
      <c r="I1956" s="106">
        <f>IF($C1956="","",IFERROR(INDEX(Sens_Types,MATCH($C1956,Liste_Types,0)),""))</f>
        <v/>
      </c>
      <c r="J1956" s="107">
        <f>IF($I1956="▲ ENTRÉE",$U1956,"")</f>
        <v/>
      </c>
      <c r="K1956" s="108">
        <f>IF($I1956="▼ SORTIE",$U1956,"")</f>
        <v/>
      </c>
      <c r="L1956" s="109">
        <f>$L1955+N($J1956)-N($K1956)</f>
        <v/>
      </c>
      <c r="M1956" s="110" t="n"/>
      <c r="N1956" s="54" t="n"/>
      <c r="O1956" s="54" t="n"/>
      <c r="P1956" s="54" t="n"/>
      <c r="Q1956" s="110" t="n"/>
      <c r="R1956" s="110" t="n"/>
      <c r="S1956" s="54" t="n"/>
      <c r="T1956" s="111">
        <f>IF($G1956="","",IFERROR(INDEX(Taux_Devises,MATCH(IF($M1956="",Devise_Base,$M1956),Codes_Devises,0)),1))</f>
        <v/>
      </c>
      <c r="U1956" s="112">
        <f>IF($G1956="","",ROUND($G1956*$T1956,2))</f>
        <v/>
      </c>
      <c r="V1956" s="113">
        <f>IF($B1956="","",MONTH($B1956))</f>
        <v/>
      </c>
      <c r="W1956" s="113">
        <f>IF($B1956="","",YEAR($B1956))</f>
        <v/>
      </c>
    </row>
    <row r="1957">
      <c r="B1957" s="105" t="n"/>
      <c r="C1957" s="54" t="n"/>
      <c r="D1957" s="54" t="n"/>
      <c r="E1957" s="54" t="n"/>
      <c r="F1957" s="54" t="n"/>
      <c r="G1957" s="65" t="n"/>
      <c r="H1957" s="54" t="n"/>
      <c r="I1957" s="106">
        <f>IF($C1957="","",IFERROR(INDEX(Sens_Types,MATCH($C1957,Liste_Types,0)),""))</f>
        <v/>
      </c>
      <c r="J1957" s="107">
        <f>IF($I1957="▲ ENTRÉE",$U1957,"")</f>
        <v/>
      </c>
      <c r="K1957" s="108">
        <f>IF($I1957="▼ SORTIE",$U1957,"")</f>
        <v/>
      </c>
      <c r="L1957" s="109">
        <f>$L1956+N($J1957)-N($K1957)</f>
        <v/>
      </c>
      <c r="M1957" s="110" t="n"/>
      <c r="N1957" s="54" t="n"/>
      <c r="O1957" s="54" t="n"/>
      <c r="P1957" s="54" t="n"/>
      <c r="Q1957" s="110" t="n"/>
      <c r="R1957" s="110" t="n"/>
      <c r="S1957" s="54" t="n"/>
      <c r="T1957" s="111">
        <f>IF($G1957="","",IFERROR(INDEX(Taux_Devises,MATCH(IF($M1957="",Devise_Base,$M1957),Codes_Devises,0)),1))</f>
        <v/>
      </c>
      <c r="U1957" s="112">
        <f>IF($G1957="","",ROUND($G1957*$T1957,2))</f>
        <v/>
      </c>
      <c r="V1957" s="113">
        <f>IF($B1957="","",MONTH($B1957))</f>
        <v/>
      </c>
      <c r="W1957" s="113">
        <f>IF($B1957="","",YEAR($B1957))</f>
        <v/>
      </c>
    </row>
    <row r="1958">
      <c r="B1958" s="105" t="n"/>
      <c r="C1958" s="54" t="n"/>
      <c r="D1958" s="54" t="n"/>
      <c r="E1958" s="54" t="n"/>
      <c r="F1958" s="54" t="n"/>
      <c r="G1958" s="65" t="n"/>
      <c r="H1958" s="54" t="n"/>
      <c r="I1958" s="106">
        <f>IF($C1958="","",IFERROR(INDEX(Sens_Types,MATCH($C1958,Liste_Types,0)),""))</f>
        <v/>
      </c>
      <c r="J1958" s="107">
        <f>IF($I1958="▲ ENTRÉE",$U1958,"")</f>
        <v/>
      </c>
      <c r="K1958" s="108">
        <f>IF($I1958="▼ SORTIE",$U1958,"")</f>
        <v/>
      </c>
      <c r="L1958" s="109">
        <f>$L1957+N($J1958)-N($K1958)</f>
        <v/>
      </c>
      <c r="M1958" s="110" t="n"/>
      <c r="N1958" s="54" t="n"/>
      <c r="O1958" s="54" t="n"/>
      <c r="P1958" s="54" t="n"/>
      <c r="Q1958" s="110" t="n"/>
      <c r="R1958" s="110" t="n"/>
      <c r="S1958" s="54" t="n"/>
      <c r="T1958" s="111">
        <f>IF($G1958="","",IFERROR(INDEX(Taux_Devises,MATCH(IF($M1958="",Devise_Base,$M1958),Codes_Devises,0)),1))</f>
        <v/>
      </c>
      <c r="U1958" s="112">
        <f>IF($G1958="","",ROUND($G1958*$T1958,2))</f>
        <v/>
      </c>
      <c r="V1958" s="113">
        <f>IF($B1958="","",MONTH($B1958))</f>
        <v/>
      </c>
      <c r="W1958" s="113">
        <f>IF($B1958="","",YEAR($B1958))</f>
        <v/>
      </c>
    </row>
    <row r="1959">
      <c r="B1959" s="105" t="n"/>
      <c r="C1959" s="54" t="n"/>
      <c r="D1959" s="54" t="n"/>
      <c r="E1959" s="54" t="n"/>
      <c r="F1959" s="54" t="n"/>
      <c r="G1959" s="65" t="n"/>
      <c r="H1959" s="54" t="n"/>
      <c r="I1959" s="106">
        <f>IF($C1959="","",IFERROR(INDEX(Sens_Types,MATCH($C1959,Liste_Types,0)),""))</f>
        <v/>
      </c>
      <c r="J1959" s="107">
        <f>IF($I1959="▲ ENTRÉE",$U1959,"")</f>
        <v/>
      </c>
      <c r="K1959" s="108">
        <f>IF($I1959="▼ SORTIE",$U1959,"")</f>
        <v/>
      </c>
      <c r="L1959" s="109">
        <f>$L1958+N($J1959)-N($K1959)</f>
        <v/>
      </c>
      <c r="M1959" s="110" t="n"/>
      <c r="N1959" s="54" t="n"/>
      <c r="O1959" s="54" t="n"/>
      <c r="P1959" s="54" t="n"/>
      <c r="Q1959" s="110" t="n"/>
      <c r="R1959" s="110" t="n"/>
      <c r="S1959" s="54" t="n"/>
      <c r="T1959" s="111">
        <f>IF($G1959="","",IFERROR(INDEX(Taux_Devises,MATCH(IF($M1959="",Devise_Base,$M1959),Codes_Devises,0)),1))</f>
        <v/>
      </c>
      <c r="U1959" s="112">
        <f>IF($G1959="","",ROUND($G1959*$T1959,2))</f>
        <v/>
      </c>
      <c r="V1959" s="113">
        <f>IF($B1959="","",MONTH($B1959))</f>
        <v/>
      </c>
      <c r="W1959" s="113">
        <f>IF($B1959="","",YEAR($B1959))</f>
        <v/>
      </c>
    </row>
    <row r="1960">
      <c r="B1960" s="105" t="n"/>
      <c r="C1960" s="54" t="n"/>
      <c r="D1960" s="54" t="n"/>
      <c r="E1960" s="54" t="n"/>
      <c r="F1960" s="54" t="n"/>
      <c r="G1960" s="65" t="n"/>
      <c r="H1960" s="54" t="n"/>
      <c r="I1960" s="106">
        <f>IF($C1960="","",IFERROR(INDEX(Sens_Types,MATCH($C1960,Liste_Types,0)),""))</f>
        <v/>
      </c>
      <c r="J1960" s="107">
        <f>IF($I1960="▲ ENTRÉE",$U1960,"")</f>
        <v/>
      </c>
      <c r="K1960" s="108">
        <f>IF($I1960="▼ SORTIE",$U1960,"")</f>
        <v/>
      </c>
      <c r="L1960" s="109">
        <f>$L1959+N($J1960)-N($K1960)</f>
        <v/>
      </c>
      <c r="M1960" s="110" t="n"/>
      <c r="N1960" s="54" t="n"/>
      <c r="O1960" s="54" t="n"/>
      <c r="P1960" s="54" t="n"/>
      <c r="Q1960" s="110" t="n"/>
      <c r="R1960" s="110" t="n"/>
      <c r="S1960" s="54" t="n"/>
      <c r="T1960" s="111">
        <f>IF($G1960="","",IFERROR(INDEX(Taux_Devises,MATCH(IF($M1960="",Devise_Base,$M1960),Codes_Devises,0)),1))</f>
        <v/>
      </c>
      <c r="U1960" s="112">
        <f>IF($G1960="","",ROUND($G1960*$T1960,2))</f>
        <v/>
      </c>
      <c r="V1960" s="113">
        <f>IF($B1960="","",MONTH($B1960))</f>
        <v/>
      </c>
      <c r="W1960" s="113">
        <f>IF($B1960="","",YEAR($B1960))</f>
        <v/>
      </c>
    </row>
    <row r="1961">
      <c r="B1961" s="105" t="n"/>
      <c r="C1961" s="54" t="n"/>
      <c r="D1961" s="54" t="n"/>
      <c r="E1961" s="54" t="n"/>
      <c r="F1961" s="54" t="n"/>
      <c r="G1961" s="65" t="n"/>
      <c r="H1961" s="54" t="n"/>
      <c r="I1961" s="106">
        <f>IF($C1961="","",IFERROR(INDEX(Sens_Types,MATCH($C1961,Liste_Types,0)),""))</f>
        <v/>
      </c>
      <c r="J1961" s="107">
        <f>IF($I1961="▲ ENTRÉE",$U1961,"")</f>
        <v/>
      </c>
      <c r="K1961" s="108">
        <f>IF($I1961="▼ SORTIE",$U1961,"")</f>
        <v/>
      </c>
      <c r="L1961" s="109">
        <f>$L1960+N($J1961)-N($K1961)</f>
        <v/>
      </c>
      <c r="M1961" s="110" t="n"/>
      <c r="N1961" s="54" t="n"/>
      <c r="O1961" s="54" t="n"/>
      <c r="P1961" s="54" t="n"/>
      <c r="Q1961" s="110" t="n"/>
      <c r="R1961" s="110" t="n"/>
      <c r="S1961" s="54" t="n"/>
      <c r="T1961" s="111">
        <f>IF($G1961="","",IFERROR(INDEX(Taux_Devises,MATCH(IF($M1961="",Devise_Base,$M1961),Codes_Devises,0)),1))</f>
        <v/>
      </c>
      <c r="U1961" s="112">
        <f>IF($G1961="","",ROUND($G1961*$T1961,2))</f>
        <v/>
      </c>
      <c r="V1961" s="113">
        <f>IF($B1961="","",MONTH($B1961))</f>
        <v/>
      </c>
      <c r="W1961" s="113">
        <f>IF($B1961="","",YEAR($B1961))</f>
        <v/>
      </c>
    </row>
    <row r="1962">
      <c r="B1962" s="105" t="n"/>
      <c r="C1962" s="54" t="n"/>
      <c r="D1962" s="54" t="n"/>
      <c r="E1962" s="54" t="n"/>
      <c r="F1962" s="54" t="n"/>
      <c r="G1962" s="65" t="n"/>
      <c r="H1962" s="54" t="n"/>
      <c r="I1962" s="106">
        <f>IF($C1962="","",IFERROR(INDEX(Sens_Types,MATCH($C1962,Liste_Types,0)),""))</f>
        <v/>
      </c>
      <c r="J1962" s="107">
        <f>IF($I1962="▲ ENTRÉE",$U1962,"")</f>
        <v/>
      </c>
      <c r="K1962" s="108">
        <f>IF($I1962="▼ SORTIE",$U1962,"")</f>
        <v/>
      </c>
      <c r="L1962" s="109">
        <f>$L1961+N($J1962)-N($K1962)</f>
        <v/>
      </c>
      <c r="M1962" s="110" t="n"/>
      <c r="N1962" s="54" t="n"/>
      <c r="O1962" s="54" t="n"/>
      <c r="P1962" s="54" t="n"/>
      <c r="Q1962" s="110" t="n"/>
      <c r="R1962" s="110" t="n"/>
      <c r="S1962" s="54" t="n"/>
      <c r="T1962" s="111">
        <f>IF($G1962="","",IFERROR(INDEX(Taux_Devises,MATCH(IF($M1962="",Devise_Base,$M1962),Codes_Devises,0)),1))</f>
        <v/>
      </c>
      <c r="U1962" s="112">
        <f>IF($G1962="","",ROUND($G1962*$T1962,2))</f>
        <v/>
      </c>
      <c r="V1962" s="113">
        <f>IF($B1962="","",MONTH($B1962))</f>
        <v/>
      </c>
      <c r="W1962" s="113">
        <f>IF($B1962="","",YEAR($B1962))</f>
        <v/>
      </c>
    </row>
    <row r="1963">
      <c r="B1963" s="105" t="n"/>
      <c r="C1963" s="54" t="n"/>
      <c r="D1963" s="54" t="n"/>
      <c r="E1963" s="54" t="n"/>
      <c r="F1963" s="54" t="n"/>
      <c r="G1963" s="65" t="n"/>
      <c r="H1963" s="54" t="n"/>
      <c r="I1963" s="106">
        <f>IF($C1963="","",IFERROR(INDEX(Sens_Types,MATCH($C1963,Liste_Types,0)),""))</f>
        <v/>
      </c>
      <c r="J1963" s="107">
        <f>IF($I1963="▲ ENTRÉE",$U1963,"")</f>
        <v/>
      </c>
      <c r="K1963" s="108">
        <f>IF($I1963="▼ SORTIE",$U1963,"")</f>
        <v/>
      </c>
      <c r="L1963" s="109">
        <f>$L1962+N($J1963)-N($K1963)</f>
        <v/>
      </c>
      <c r="M1963" s="110" t="n"/>
      <c r="N1963" s="54" t="n"/>
      <c r="O1963" s="54" t="n"/>
      <c r="P1963" s="54" t="n"/>
      <c r="Q1963" s="110" t="n"/>
      <c r="R1963" s="110" t="n"/>
      <c r="S1963" s="54" t="n"/>
      <c r="T1963" s="111">
        <f>IF($G1963="","",IFERROR(INDEX(Taux_Devises,MATCH(IF($M1963="",Devise_Base,$M1963),Codes_Devises,0)),1))</f>
        <v/>
      </c>
      <c r="U1963" s="112">
        <f>IF($G1963="","",ROUND($G1963*$T1963,2))</f>
        <v/>
      </c>
      <c r="V1963" s="113">
        <f>IF($B1963="","",MONTH($B1963))</f>
        <v/>
      </c>
      <c r="W1963" s="113">
        <f>IF($B1963="","",YEAR($B1963))</f>
        <v/>
      </c>
    </row>
    <row r="1964">
      <c r="B1964" s="105" t="n"/>
      <c r="C1964" s="54" t="n"/>
      <c r="D1964" s="54" t="n"/>
      <c r="E1964" s="54" t="n"/>
      <c r="F1964" s="54" t="n"/>
      <c r="G1964" s="65" t="n"/>
      <c r="H1964" s="54" t="n"/>
      <c r="I1964" s="106">
        <f>IF($C1964="","",IFERROR(INDEX(Sens_Types,MATCH($C1964,Liste_Types,0)),""))</f>
        <v/>
      </c>
      <c r="J1964" s="107">
        <f>IF($I1964="▲ ENTRÉE",$U1964,"")</f>
        <v/>
      </c>
      <c r="K1964" s="108">
        <f>IF($I1964="▼ SORTIE",$U1964,"")</f>
        <v/>
      </c>
      <c r="L1964" s="109">
        <f>$L1963+N($J1964)-N($K1964)</f>
        <v/>
      </c>
      <c r="M1964" s="110" t="n"/>
      <c r="N1964" s="54" t="n"/>
      <c r="O1964" s="54" t="n"/>
      <c r="P1964" s="54" t="n"/>
      <c r="Q1964" s="110" t="n"/>
      <c r="R1964" s="110" t="n"/>
      <c r="S1964" s="54" t="n"/>
      <c r="T1964" s="111">
        <f>IF($G1964="","",IFERROR(INDEX(Taux_Devises,MATCH(IF($M1964="",Devise_Base,$M1964),Codes_Devises,0)),1))</f>
        <v/>
      </c>
      <c r="U1964" s="112">
        <f>IF($G1964="","",ROUND($G1964*$T1964,2))</f>
        <v/>
      </c>
      <c r="V1964" s="113">
        <f>IF($B1964="","",MONTH($B1964))</f>
        <v/>
      </c>
      <c r="W1964" s="113">
        <f>IF($B1964="","",YEAR($B1964))</f>
        <v/>
      </c>
    </row>
    <row r="1965">
      <c r="B1965" s="105" t="n"/>
      <c r="C1965" s="54" t="n"/>
      <c r="D1965" s="54" t="n"/>
      <c r="E1965" s="54" t="n"/>
      <c r="F1965" s="54" t="n"/>
      <c r="G1965" s="65" t="n"/>
      <c r="H1965" s="54" t="n"/>
      <c r="I1965" s="106">
        <f>IF($C1965="","",IFERROR(INDEX(Sens_Types,MATCH($C1965,Liste_Types,0)),""))</f>
        <v/>
      </c>
      <c r="J1965" s="107">
        <f>IF($I1965="▲ ENTRÉE",$U1965,"")</f>
        <v/>
      </c>
      <c r="K1965" s="108">
        <f>IF($I1965="▼ SORTIE",$U1965,"")</f>
        <v/>
      </c>
      <c r="L1965" s="109">
        <f>$L1964+N($J1965)-N($K1965)</f>
        <v/>
      </c>
      <c r="M1965" s="110" t="n"/>
      <c r="N1965" s="54" t="n"/>
      <c r="O1965" s="54" t="n"/>
      <c r="P1965" s="54" t="n"/>
      <c r="Q1965" s="110" t="n"/>
      <c r="R1965" s="110" t="n"/>
      <c r="S1965" s="54" t="n"/>
      <c r="T1965" s="111">
        <f>IF($G1965="","",IFERROR(INDEX(Taux_Devises,MATCH(IF($M1965="",Devise_Base,$M1965),Codes_Devises,0)),1))</f>
        <v/>
      </c>
      <c r="U1965" s="112">
        <f>IF($G1965="","",ROUND($G1965*$T1965,2))</f>
        <v/>
      </c>
      <c r="V1965" s="113">
        <f>IF($B1965="","",MONTH($B1965))</f>
        <v/>
      </c>
      <c r="W1965" s="113">
        <f>IF($B1965="","",YEAR($B1965))</f>
        <v/>
      </c>
    </row>
    <row r="1966">
      <c r="B1966" s="105" t="n"/>
      <c r="C1966" s="54" t="n"/>
      <c r="D1966" s="54" t="n"/>
      <c r="E1966" s="54" t="n"/>
      <c r="F1966" s="54" t="n"/>
      <c r="G1966" s="65" t="n"/>
      <c r="H1966" s="54" t="n"/>
      <c r="I1966" s="106">
        <f>IF($C1966="","",IFERROR(INDEX(Sens_Types,MATCH($C1966,Liste_Types,0)),""))</f>
        <v/>
      </c>
      <c r="J1966" s="107">
        <f>IF($I1966="▲ ENTRÉE",$U1966,"")</f>
        <v/>
      </c>
      <c r="K1966" s="108">
        <f>IF($I1966="▼ SORTIE",$U1966,"")</f>
        <v/>
      </c>
      <c r="L1966" s="109">
        <f>$L1965+N($J1966)-N($K1966)</f>
        <v/>
      </c>
      <c r="M1966" s="110" t="n"/>
      <c r="N1966" s="54" t="n"/>
      <c r="O1966" s="54" t="n"/>
      <c r="P1966" s="54" t="n"/>
      <c r="Q1966" s="110" t="n"/>
      <c r="R1966" s="110" t="n"/>
      <c r="S1966" s="54" t="n"/>
      <c r="T1966" s="111">
        <f>IF($G1966="","",IFERROR(INDEX(Taux_Devises,MATCH(IF($M1966="",Devise_Base,$M1966),Codes_Devises,0)),1))</f>
        <v/>
      </c>
      <c r="U1966" s="112">
        <f>IF($G1966="","",ROUND($G1966*$T1966,2))</f>
        <v/>
      </c>
      <c r="V1966" s="113">
        <f>IF($B1966="","",MONTH($B1966))</f>
        <v/>
      </c>
      <c r="W1966" s="113">
        <f>IF($B1966="","",YEAR($B1966))</f>
        <v/>
      </c>
    </row>
    <row r="1967">
      <c r="B1967" s="105" t="n"/>
      <c r="C1967" s="54" t="n"/>
      <c r="D1967" s="54" t="n"/>
      <c r="E1967" s="54" t="n"/>
      <c r="F1967" s="54" t="n"/>
      <c r="G1967" s="65" t="n"/>
      <c r="H1967" s="54" t="n"/>
      <c r="I1967" s="106">
        <f>IF($C1967="","",IFERROR(INDEX(Sens_Types,MATCH($C1967,Liste_Types,0)),""))</f>
        <v/>
      </c>
      <c r="J1967" s="107">
        <f>IF($I1967="▲ ENTRÉE",$U1967,"")</f>
        <v/>
      </c>
      <c r="K1967" s="108">
        <f>IF($I1967="▼ SORTIE",$U1967,"")</f>
        <v/>
      </c>
      <c r="L1967" s="109">
        <f>$L1966+N($J1967)-N($K1967)</f>
        <v/>
      </c>
      <c r="M1967" s="110" t="n"/>
      <c r="N1967" s="54" t="n"/>
      <c r="O1967" s="54" t="n"/>
      <c r="P1967" s="54" t="n"/>
      <c r="Q1967" s="110" t="n"/>
      <c r="R1967" s="110" t="n"/>
      <c r="S1967" s="54" t="n"/>
      <c r="T1967" s="111">
        <f>IF($G1967="","",IFERROR(INDEX(Taux_Devises,MATCH(IF($M1967="",Devise_Base,$M1967),Codes_Devises,0)),1))</f>
        <v/>
      </c>
      <c r="U1967" s="112">
        <f>IF($G1967="","",ROUND($G1967*$T1967,2))</f>
        <v/>
      </c>
      <c r="V1967" s="113">
        <f>IF($B1967="","",MONTH($B1967))</f>
        <v/>
      </c>
      <c r="W1967" s="113">
        <f>IF($B1967="","",YEAR($B1967))</f>
        <v/>
      </c>
    </row>
    <row r="1968">
      <c r="B1968" s="105" t="n"/>
      <c r="C1968" s="54" t="n"/>
      <c r="D1968" s="54" t="n"/>
      <c r="E1968" s="54" t="n"/>
      <c r="F1968" s="54" t="n"/>
      <c r="G1968" s="65" t="n"/>
      <c r="H1968" s="54" t="n"/>
      <c r="I1968" s="106">
        <f>IF($C1968="","",IFERROR(INDEX(Sens_Types,MATCH($C1968,Liste_Types,0)),""))</f>
        <v/>
      </c>
      <c r="J1968" s="107">
        <f>IF($I1968="▲ ENTRÉE",$U1968,"")</f>
        <v/>
      </c>
      <c r="K1968" s="108">
        <f>IF($I1968="▼ SORTIE",$U1968,"")</f>
        <v/>
      </c>
      <c r="L1968" s="109">
        <f>$L1967+N($J1968)-N($K1968)</f>
        <v/>
      </c>
      <c r="M1968" s="110" t="n"/>
      <c r="N1968" s="54" t="n"/>
      <c r="O1968" s="54" t="n"/>
      <c r="P1968" s="54" t="n"/>
      <c r="Q1968" s="110" t="n"/>
      <c r="R1968" s="110" t="n"/>
      <c r="S1968" s="54" t="n"/>
      <c r="T1968" s="111">
        <f>IF($G1968="","",IFERROR(INDEX(Taux_Devises,MATCH(IF($M1968="",Devise_Base,$M1968),Codes_Devises,0)),1))</f>
        <v/>
      </c>
      <c r="U1968" s="112">
        <f>IF($G1968="","",ROUND($G1968*$T1968,2))</f>
        <v/>
      </c>
      <c r="V1968" s="113">
        <f>IF($B1968="","",MONTH($B1968))</f>
        <v/>
      </c>
      <c r="W1968" s="113">
        <f>IF($B1968="","",YEAR($B1968))</f>
        <v/>
      </c>
    </row>
    <row r="1969">
      <c r="B1969" s="105" t="n"/>
      <c r="C1969" s="54" t="n"/>
      <c r="D1969" s="54" t="n"/>
      <c r="E1969" s="54" t="n"/>
      <c r="F1969" s="54" t="n"/>
      <c r="G1969" s="65" t="n"/>
      <c r="H1969" s="54" t="n"/>
      <c r="I1969" s="106">
        <f>IF($C1969="","",IFERROR(INDEX(Sens_Types,MATCH($C1969,Liste_Types,0)),""))</f>
        <v/>
      </c>
      <c r="J1969" s="107">
        <f>IF($I1969="▲ ENTRÉE",$U1969,"")</f>
        <v/>
      </c>
      <c r="K1969" s="108">
        <f>IF($I1969="▼ SORTIE",$U1969,"")</f>
        <v/>
      </c>
      <c r="L1969" s="109">
        <f>$L1968+N($J1969)-N($K1969)</f>
        <v/>
      </c>
      <c r="M1969" s="110" t="n"/>
      <c r="N1969" s="54" t="n"/>
      <c r="O1969" s="54" t="n"/>
      <c r="P1969" s="54" t="n"/>
      <c r="Q1969" s="110" t="n"/>
      <c r="R1969" s="110" t="n"/>
      <c r="S1969" s="54" t="n"/>
      <c r="T1969" s="111">
        <f>IF($G1969="","",IFERROR(INDEX(Taux_Devises,MATCH(IF($M1969="",Devise_Base,$M1969),Codes_Devises,0)),1))</f>
        <v/>
      </c>
      <c r="U1969" s="112">
        <f>IF($G1969="","",ROUND($G1969*$T1969,2))</f>
        <v/>
      </c>
      <c r="V1969" s="113">
        <f>IF($B1969="","",MONTH($B1969))</f>
        <v/>
      </c>
      <c r="W1969" s="113">
        <f>IF($B1969="","",YEAR($B1969))</f>
        <v/>
      </c>
    </row>
    <row r="1970">
      <c r="B1970" s="105" t="n"/>
      <c r="C1970" s="54" t="n"/>
      <c r="D1970" s="54" t="n"/>
      <c r="E1970" s="54" t="n"/>
      <c r="F1970" s="54" t="n"/>
      <c r="G1970" s="65" t="n"/>
      <c r="H1970" s="54" t="n"/>
      <c r="I1970" s="106">
        <f>IF($C1970="","",IFERROR(INDEX(Sens_Types,MATCH($C1970,Liste_Types,0)),""))</f>
        <v/>
      </c>
      <c r="J1970" s="107">
        <f>IF($I1970="▲ ENTRÉE",$U1970,"")</f>
        <v/>
      </c>
      <c r="K1970" s="108">
        <f>IF($I1970="▼ SORTIE",$U1970,"")</f>
        <v/>
      </c>
      <c r="L1970" s="109">
        <f>$L1969+N($J1970)-N($K1970)</f>
        <v/>
      </c>
      <c r="M1970" s="110" t="n"/>
      <c r="N1970" s="54" t="n"/>
      <c r="O1970" s="54" t="n"/>
      <c r="P1970" s="54" t="n"/>
      <c r="Q1970" s="110" t="n"/>
      <c r="R1970" s="110" t="n"/>
      <c r="S1970" s="54" t="n"/>
      <c r="T1970" s="111">
        <f>IF($G1970="","",IFERROR(INDEX(Taux_Devises,MATCH(IF($M1970="",Devise_Base,$M1970),Codes_Devises,0)),1))</f>
        <v/>
      </c>
      <c r="U1970" s="112">
        <f>IF($G1970="","",ROUND($G1970*$T1970,2))</f>
        <v/>
      </c>
      <c r="V1970" s="113">
        <f>IF($B1970="","",MONTH($B1970))</f>
        <v/>
      </c>
      <c r="W1970" s="113">
        <f>IF($B1970="","",YEAR($B1970))</f>
        <v/>
      </c>
    </row>
    <row r="1971">
      <c r="B1971" s="105" t="n"/>
      <c r="C1971" s="54" t="n"/>
      <c r="D1971" s="54" t="n"/>
      <c r="E1971" s="54" t="n"/>
      <c r="F1971" s="54" t="n"/>
      <c r="G1971" s="65" t="n"/>
      <c r="H1971" s="54" t="n"/>
      <c r="I1971" s="106">
        <f>IF($C1971="","",IFERROR(INDEX(Sens_Types,MATCH($C1971,Liste_Types,0)),""))</f>
        <v/>
      </c>
      <c r="J1971" s="107">
        <f>IF($I1971="▲ ENTRÉE",$U1971,"")</f>
        <v/>
      </c>
      <c r="K1971" s="108">
        <f>IF($I1971="▼ SORTIE",$U1971,"")</f>
        <v/>
      </c>
      <c r="L1971" s="109">
        <f>$L1970+N($J1971)-N($K1971)</f>
        <v/>
      </c>
      <c r="M1971" s="110" t="n"/>
      <c r="N1971" s="54" t="n"/>
      <c r="O1971" s="54" t="n"/>
      <c r="P1971" s="54" t="n"/>
      <c r="Q1971" s="110" t="n"/>
      <c r="R1971" s="110" t="n"/>
      <c r="S1971" s="54" t="n"/>
      <c r="T1971" s="111">
        <f>IF($G1971="","",IFERROR(INDEX(Taux_Devises,MATCH(IF($M1971="",Devise_Base,$M1971),Codes_Devises,0)),1))</f>
        <v/>
      </c>
      <c r="U1971" s="112">
        <f>IF($G1971="","",ROUND($G1971*$T1971,2))</f>
        <v/>
      </c>
      <c r="V1971" s="113">
        <f>IF($B1971="","",MONTH($B1971))</f>
        <v/>
      </c>
      <c r="W1971" s="113">
        <f>IF($B1971="","",YEAR($B1971))</f>
        <v/>
      </c>
    </row>
    <row r="1972">
      <c r="B1972" s="105" t="n"/>
      <c r="C1972" s="54" t="n"/>
      <c r="D1972" s="54" t="n"/>
      <c r="E1972" s="54" t="n"/>
      <c r="F1972" s="54" t="n"/>
      <c r="G1972" s="65" t="n"/>
      <c r="H1972" s="54" t="n"/>
      <c r="I1972" s="106">
        <f>IF($C1972="","",IFERROR(INDEX(Sens_Types,MATCH($C1972,Liste_Types,0)),""))</f>
        <v/>
      </c>
      <c r="J1972" s="107">
        <f>IF($I1972="▲ ENTRÉE",$U1972,"")</f>
        <v/>
      </c>
      <c r="K1972" s="108">
        <f>IF($I1972="▼ SORTIE",$U1972,"")</f>
        <v/>
      </c>
      <c r="L1972" s="109">
        <f>$L1971+N($J1972)-N($K1972)</f>
        <v/>
      </c>
      <c r="M1972" s="110" t="n"/>
      <c r="N1972" s="54" t="n"/>
      <c r="O1972" s="54" t="n"/>
      <c r="P1972" s="54" t="n"/>
      <c r="Q1972" s="110" t="n"/>
      <c r="R1972" s="110" t="n"/>
      <c r="S1972" s="54" t="n"/>
      <c r="T1972" s="111">
        <f>IF($G1972="","",IFERROR(INDEX(Taux_Devises,MATCH(IF($M1972="",Devise_Base,$M1972),Codes_Devises,0)),1))</f>
        <v/>
      </c>
      <c r="U1972" s="112">
        <f>IF($G1972="","",ROUND($G1972*$T1972,2))</f>
        <v/>
      </c>
      <c r="V1972" s="113">
        <f>IF($B1972="","",MONTH($B1972))</f>
        <v/>
      </c>
      <c r="W1972" s="113">
        <f>IF($B1972="","",YEAR($B1972))</f>
        <v/>
      </c>
    </row>
    <row r="1973">
      <c r="B1973" s="105" t="n"/>
      <c r="C1973" s="54" t="n"/>
      <c r="D1973" s="54" t="n"/>
      <c r="E1973" s="54" t="n"/>
      <c r="F1973" s="54" t="n"/>
      <c r="G1973" s="65" t="n"/>
      <c r="H1973" s="54" t="n"/>
      <c r="I1973" s="106">
        <f>IF($C1973="","",IFERROR(INDEX(Sens_Types,MATCH($C1973,Liste_Types,0)),""))</f>
        <v/>
      </c>
      <c r="J1973" s="107">
        <f>IF($I1973="▲ ENTRÉE",$U1973,"")</f>
        <v/>
      </c>
      <c r="K1973" s="108">
        <f>IF($I1973="▼ SORTIE",$U1973,"")</f>
        <v/>
      </c>
      <c r="L1973" s="109">
        <f>$L1972+N($J1973)-N($K1973)</f>
        <v/>
      </c>
      <c r="M1973" s="110" t="n"/>
      <c r="N1973" s="54" t="n"/>
      <c r="O1973" s="54" t="n"/>
      <c r="P1973" s="54" t="n"/>
      <c r="Q1973" s="110" t="n"/>
      <c r="R1973" s="110" t="n"/>
      <c r="S1973" s="54" t="n"/>
      <c r="T1973" s="111">
        <f>IF($G1973="","",IFERROR(INDEX(Taux_Devises,MATCH(IF($M1973="",Devise_Base,$M1973),Codes_Devises,0)),1))</f>
        <v/>
      </c>
      <c r="U1973" s="112">
        <f>IF($G1973="","",ROUND($G1973*$T1973,2))</f>
        <v/>
      </c>
      <c r="V1973" s="113">
        <f>IF($B1973="","",MONTH($B1973))</f>
        <v/>
      </c>
      <c r="W1973" s="113">
        <f>IF($B1973="","",YEAR($B1973))</f>
        <v/>
      </c>
    </row>
    <row r="1974">
      <c r="B1974" s="105" t="n"/>
      <c r="C1974" s="54" t="n"/>
      <c r="D1974" s="54" t="n"/>
      <c r="E1974" s="54" t="n"/>
      <c r="F1974" s="54" t="n"/>
      <c r="G1974" s="65" t="n"/>
      <c r="H1974" s="54" t="n"/>
      <c r="I1974" s="106">
        <f>IF($C1974="","",IFERROR(INDEX(Sens_Types,MATCH($C1974,Liste_Types,0)),""))</f>
        <v/>
      </c>
      <c r="J1974" s="107">
        <f>IF($I1974="▲ ENTRÉE",$U1974,"")</f>
        <v/>
      </c>
      <c r="K1974" s="108">
        <f>IF($I1974="▼ SORTIE",$U1974,"")</f>
        <v/>
      </c>
      <c r="L1974" s="109">
        <f>$L1973+N($J1974)-N($K1974)</f>
        <v/>
      </c>
      <c r="M1974" s="110" t="n"/>
      <c r="N1974" s="54" t="n"/>
      <c r="O1974" s="54" t="n"/>
      <c r="P1974" s="54" t="n"/>
      <c r="Q1974" s="110" t="n"/>
      <c r="R1974" s="110" t="n"/>
      <c r="S1974" s="54" t="n"/>
      <c r="T1974" s="111">
        <f>IF($G1974="","",IFERROR(INDEX(Taux_Devises,MATCH(IF($M1974="",Devise_Base,$M1974),Codes_Devises,0)),1))</f>
        <v/>
      </c>
      <c r="U1974" s="112">
        <f>IF($G1974="","",ROUND($G1974*$T1974,2))</f>
        <v/>
      </c>
      <c r="V1974" s="113">
        <f>IF($B1974="","",MONTH($B1974))</f>
        <v/>
      </c>
      <c r="W1974" s="113">
        <f>IF($B1974="","",YEAR($B1974))</f>
        <v/>
      </c>
    </row>
    <row r="1975">
      <c r="B1975" s="105" t="n"/>
      <c r="C1975" s="54" t="n"/>
      <c r="D1975" s="54" t="n"/>
      <c r="E1975" s="54" t="n"/>
      <c r="F1975" s="54" t="n"/>
      <c r="G1975" s="65" t="n"/>
      <c r="H1975" s="54" t="n"/>
      <c r="I1975" s="106">
        <f>IF($C1975="","",IFERROR(INDEX(Sens_Types,MATCH($C1975,Liste_Types,0)),""))</f>
        <v/>
      </c>
      <c r="J1975" s="107">
        <f>IF($I1975="▲ ENTRÉE",$U1975,"")</f>
        <v/>
      </c>
      <c r="K1975" s="108">
        <f>IF($I1975="▼ SORTIE",$U1975,"")</f>
        <v/>
      </c>
      <c r="L1975" s="109">
        <f>$L1974+N($J1975)-N($K1975)</f>
        <v/>
      </c>
      <c r="M1975" s="110" t="n"/>
      <c r="N1975" s="54" t="n"/>
      <c r="O1975" s="54" t="n"/>
      <c r="P1975" s="54" t="n"/>
      <c r="Q1975" s="110" t="n"/>
      <c r="R1975" s="110" t="n"/>
      <c r="S1975" s="54" t="n"/>
      <c r="T1975" s="111">
        <f>IF($G1975="","",IFERROR(INDEX(Taux_Devises,MATCH(IF($M1975="",Devise_Base,$M1975),Codes_Devises,0)),1))</f>
        <v/>
      </c>
      <c r="U1975" s="112">
        <f>IF($G1975="","",ROUND($G1975*$T1975,2))</f>
        <v/>
      </c>
      <c r="V1975" s="113">
        <f>IF($B1975="","",MONTH($B1975))</f>
        <v/>
      </c>
      <c r="W1975" s="113">
        <f>IF($B1975="","",YEAR($B1975))</f>
        <v/>
      </c>
    </row>
    <row r="1976">
      <c r="B1976" s="105" t="n"/>
      <c r="C1976" s="54" t="n"/>
      <c r="D1976" s="54" t="n"/>
      <c r="E1976" s="54" t="n"/>
      <c r="F1976" s="54" t="n"/>
      <c r="G1976" s="65" t="n"/>
      <c r="H1976" s="54" t="n"/>
      <c r="I1976" s="106">
        <f>IF($C1976="","",IFERROR(INDEX(Sens_Types,MATCH($C1976,Liste_Types,0)),""))</f>
        <v/>
      </c>
      <c r="J1976" s="107">
        <f>IF($I1976="▲ ENTRÉE",$U1976,"")</f>
        <v/>
      </c>
      <c r="K1976" s="108">
        <f>IF($I1976="▼ SORTIE",$U1976,"")</f>
        <v/>
      </c>
      <c r="L1976" s="109">
        <f>$L1975+N($J1976)-N($K1976)</f>
        <v/>
      </c>
      <c r="M1976" s="110" t="n"/>
      <c r="N1976" s="54" t="n"/>
      <c r="O1976" s="54" t="n"/>
      <c r="P1976" s="54" t="n"/>
      <c r="Q1976" s="110" t="n"/>
      <c r="R1976" s="110" t="n"/>
      <c r="S1976" s="54" t="n"/>
      <c r="T1976" s="111">
        <f>IF($G1976="","",IFERROR(INDEX(Taux_Devises,MATCH(IF($M1976="",Devise_Base,$M1976),Codes_Devises,0)),1))</f>
        <v/>
      </c>
      <c r="U1976" s="112">
        <f>IF($G1976="","",ROUND($G1976*$T1976,2))</f>
        <v/>
      </c>
      <c r="V1976" s="113">
        <f>IF($B1976="","",MONTH($B1976))</f>
        <v/>
      </c>
      <c r="W1976" s="113">
        <f>IF($B1976="","",YEAR($B1976))</f>
        <v/>
      </c>
    </row>
    <row r="1977">
      <c r="B1977" s="105" t="n"/>
      <c r="C1977" s="54" t="n"/>
      <c r="D1977" s="54" t="n"/>
      <c r="E1977" s="54" t="n"/>
      <c r="F1977" s="54" t="n"/>
      <c r="G1977" s="65" t="n"/>
      <c r="H1977" s="54" t="n"/>
      <c r="I1977" s="106">
        <f>IF($C1977="","",IFERROR(INDEX(Sens_Types,MATCH($C1977,Liste_Types,0)),""))</f>
        <v/>
      </c>
      <c r="J1977" s="107">
        <f>IF($I1977="▲ ENTRÉE",$U1977,"")</f>
        <v/>
      </c>
      <c r="K1977" s="108">
        <f>IF($I1977="▼ SORTIE",$U1977,"")</f>
        <v/>
      </c>
      <c r="L1977" s="109">
        <f>$L1976+N($J1977)-N($K1977)</f>
        <v/>
      </c>
      <c r="M1977" s="110" t="n"/>
      <c r="N1977" s="54" t="n"/>
      <c r="O1977" s="54" t="n"/>
      <c r="P1977" s="54" t="n"/>
      <c r="Q1977" s="110" t="n"/>
      <c r="R1977" s="110" t="n"/>
      <c r="S1977" s="54" t="n"/>
      <c r="T1977" s="111">
        <f>IF($G1977="","",IFERROR(INDEX(Taux_Devises,MATCH(IF($M1977="",Devise_Base,$M1977),Codes_Devises,0)),1))</f>
        <v/>
      </c>
      <c r="U1977" s="112">
        <f>IF($G1977="","",ROUND($G1977*$T1977,2))</f>
        <v/>
      </c>
      <c r="V1977" s="113">
        <f>IF($B1977="","",MONTH($B1977))</f>
        <v/>
      </c>
      <c r="W1977" s="113">
        <f>IF($B1977="","",YEAR($B1977))</f>
        <v/>
      </c>
    </row>
    <row r="1978">
      <c r="B1978" s="105" t="n"/>
      <c r="C1978" s="54" t="n"/>
      <c r="D1978" s="54" t="n"/>
      <c r="E1978" s="54" t="n"/>
      <c r="F1978" s="54" t="n"/>
      <c r="G1978" s="65" t="n"/>
      <c r="H1978" s="54" t="n"/>
      <c r="I1978" s="106">
        <f>IF($C1978="","",IFERROR(INDEX(Sens_Types,MATCH($C1978,Liste_Types,0)),""))</f>
        <v/>
      </c>
      <c r="J1978" s="107">
        <f>IF($I1978="▲ ENTRÉE",$U1978,"")</f>
        <v/>
      </c>
      <c r="K1978" s="108">
        <f>IF($I1978="▼ SORTIE",$U1978,"")</f>
        <v/>
      </c>
      <c r="L1978" s="109">
        <f>$L1977+N($J1978)-N($K1978)</f>
        <v/>
      </c>
      <c r="M1978" s="110" t="n"/>
      <c r="N1978" s="54" t="n"/>
      <c r="O1978" s="54" t="n"/>
      <c r="P1978" s="54" t="n"/>
      <c r="Q1978" s="110" t="n"/>
      <c r="R1978" s="110" t="n"/>
      <c r="S1978" s="54" t="n"/>
      <c r="T1978" s="111">
        <f>IF($G1978="","",IFERROR(INDEX(Taux_Devises,MATCH(IF($M1978="",Devise_Base,$M1978),Codes_Devises,0)),1))</f>
        <v/>
      </c>
      <c r="U1978" s="112">
        <f>IF($G1978="","",ROUND($G1978*$T1978,2))</f>
        <v/>
      </c>
      <c r="V1978" s="113">
        <f>IF($B1978="","",MONTH($B1978))</f>
        <v/>
      </c>
      <c r="W1978" s="113">
        <f>IF($B1978="","",YEAR($B1978))</f>
        <v/>
      </c>
    </row>
    <row r="1979">
      <c r="B1979" s="105" t="n"/>
      <c r="C1979" s="54" t="n"/>
      <c r="D1979" s="54" t="n"/>
      <c r="E1979" s="54" t="n"/>
      <c r="F1979" s="54" t="n"/>
      <c r="G1979" s="65" t="n"/>
      <c r="H1979" s="54" t="n"/>
      <c r="I1979" s="106">
        <f>IF($C1979="","",IFERROR(INDEX(Sens_Types,MATCH($C1979,Liste_Types,0)),""))</f>
        <v/>
      </c>
      <c r="J1979" s="107">
        <f>IF($I1979="▲ ENTRÉE",$U1979,"")</f>
        <v/>
      </c>
      <c r="K1979" s="108">
        <f>IF($I1979="▼ SORTIE",$U1979,"")</f>
        <v/>
      </c>
      <c r="L1979" s="109">
        <f>$L1978+N($J1979)-N($K1979)</f>
        <v/>
      </c>
      <c r="M1979" s="110" t="n"/>
      <c r="N1979" s="54" t="n"/>
      <c r="O1979" s="54" t="n"/>
      <c r="P1979" s="54" t="n"/>
      <c r="Q1979" s="110" t="n"/>
      <c r="R1979" s="110" t="n"/>
      <c r="S1979" s="54" t="n"/>
      <c r="T1979" s="111">
        <f>IF($G1979="","",IFERROR(INDEX(Taux_Devises,MATCH(IF($M1979="",Devise_Base,$M1979),Codes_Devises,0)),1))</f>
        <v/>
      </c>
      <c r="U1979" s="112">
        <f>IF($G1979="","",ROUND($G1979*$T1979,2))</f>
        <v/>
      </c>
      <c r="V1979" s="113">
        <f>IF($B1979="","",MONTH($B1979))</f>
        <v/>
      </c>
      <c r="W1979" s="113">
        <f>IF($B1979="","",YEAR($B1979))</f>
        <v/>
      </c>
    </row>
    <row r="1980">
      <c r="B1980" s="105" t="n"/>
      <c r="C1980" s="54" t="n"/>
      <c r="D1980" s="54" t="n"/>
      <c r="E1980" s="54" t="n"/>
      <c r="F1980" s="54" t="n"/>
      <c r="G1980" s="65" t="n"/>
      <c r="H1980" s="54" t="n"/>
      <c r="I1980" s="106">
        <f>IF($C1980="","",IFERROR(INDEX(Sens_Types,MATCH($C1980,Liste_Types,0)),""))</f>
        <v/>
      </c>
      <c r="J1980" s="107">
        <f>IF($I1980="▲ ENTRÉE",$U1980,"")</f>
        <v/>
      </c>
      <c r="K1980" s="108">
        <f>IF($I1980="▼ SORTIE",$U1980,"")</f>
        <v/>
      </c>
      <c r="L1980" s="109">
        <f>$L1979+N($J1980)-N($K1980)</f>
        <v/>
      </c>
      <c r="M1980" s="110" t="n"/>
      <c r="N1980" s="54" t="n"/>
      <c r="O1980" s="54" t="n"/>
      <c r="P1980" s="54" t="n"/>
      <c r="Q1980" s="110" t="n"/>
      <c r="R1980" s="110" t="n"/>
      <c r="S1980" s="54" t="n"/>
      <c r="T1980" s="111">
        <f>IF($G1980="","",IFERROR(INDEX(Taux_Devises,MATCH(IF($M1980="",Devise_Base,$M1980),Codes_Devises,0)),1))</f>
        <v/>
      </c>
      <c r="U1980" s="112">
        <f>IF($G1980="","",ROUND($G1980*$T1980,2))</f>
        <v/>
      </c>
      <c r="V1980" s="113">
        <f>IF($B1980="","",MONTH($B1980))</f>
        <v/>
      </c>
      <c r="W1980" s="113">
        <f>IF($B1980="","",YEAR($B1980))</f>
        <v/>
      </c>
    </row>
    <row r="1981">
      <c r="B1981" s="105" t="n"/>
      <c r="C1981" s="54" t="n"/>
      <c r="D1981" s="54" t="n"/>
      <c r="E1981" s="54" t="n"/>
      <c r="F1981" s="54" t="n"/>
      <c r="G1981" s="65" t="n"/>
      <c r="H1981" s="54" t="n"/>
      <c r="I1981" s="106">
        <f>IF($C1981="","",IFERROR(INDEX(Sens_Types,MATCH($C1981,Liste_Types,0)),""))</f>
        <v/>
      </c>
      <c r="J1981" s="107">
        <f>IF($I1981="▲ ENTRÉE",$U1981,"")</f>
        <v/>
      </c>
      <c r="K1981" s="108">
        <f>IF($I1981="▼ SORTIE",$U1981,"")</f>
        <v/>
      </c>
      <c r="L1981" s="109">
        <f>$L1980+N($J1981)-N($K1981)</f>
        <v/>
      </c>
      <c r="M1981" s="110" t="n"/>
      <c r="N1981" s="54" t="n"/>
      <c r="O1981" s="54" t="n"/>
      <c r="P1981" s="54" t="n"/>
      <c r="Q1981" s="110" t="n"/>
      <c r="R1981" s="110" t="n"/>
      <c r="S1981" s="54" t="n"/>
      <c r="T1981" s="111">
        <f>IF($G1981="","",IFERROR(INDEX(Taux_Devises,MATCH(IF($M1981="",Devise_Base,$M1981),Codes_Devises,0)),1))</f>
        <v/>
      </c>
      <c r="U1981" s="112">
        <f>IF($G1981="","",ROUND($G1981*$T1981,2))</f>
        <v/>
      </c>
      <c r="V1981" s="113">
        <f>IF($B1981="","",MONTH($B1981))</f>
        <v/>
      </c>
      <c r="W1981" s="113">
        <f>IF($B1981="","",YEAR($B1981))</f>
        <v/>
      </c>
    </row>
    <row r="1982">
      <c r="B1982" s="105" t="n"/>
      <c r="C1982" s="54" t="n"/>
      <c r="D1982" s="54" t="n"/>
      <c r="E1982" s="54" t="n"/>
      <c r="F1982" s="54" t="n"/>
      <c r="G1982" s="65" t="n"/>
      <c r="H1982" s="54" t="n"/>
      <c r="I1982" s="106">
        <f>IF($C1982="","",IFERROR(INDEX(Sens_Types,MATCH($C1982,Liste_Types,0)),""))</f>
        <v/>
      </c>
      <c r="J1982" s="107">
        <f>IF($I1982="▲ ENTRÉE",$U1982,"")</f>
        <v/>
      </c>
      <c r="K1982" s="108">
        <f>IF($I1982="▼ SORTIE",$U1982,"")</f>
        <v/>
      </c>
      <c r="L1982" s="109">
        <f>$L1981+N($J1982)-N($K1982)</f>
        <v/>
      </c>
      <c r="M1982" s="110" t="n"/>
      <c r="N1982" s="54" t="n"/>
      <c r="O1982" s="54" t="n"/>
      <c r="P1982" s="54" t="n"/>
      <c r="Q1982" s="110" t="n"/>
      <c r="R1982" s="110" t="n"/>
      <c r="S1982" s="54" t="n"/>
      <c r="T1982" s="111">
        <f>IF($G1982="","",IFERROR(INDEX(Taux_Devises,MATCH(IF($M1982="",Devise_Base,$M1982),Codes_Devises,0)),1))</f>
        <v/>
      </c>
      <c r="U1982" s="112">
        <f>IF($G1982="","",ROUND($G1982*$T1982,2))</f>
        <v/>
      </c>
      <c r="V1982" s="113">
        <f>IF($B1982="","",MONTH($B1982))</f>
        <v/>
      </c>
      <c r="W1982" s="113">
        <f>IF($B1982="","",YEAR($B1982))</f>
        <v/>
      </c>
    </row>
    <row r="1983">
      <c r="B1983" s="105" t="n"/>
      <c r="C1983" s="54" t="n"/>
      <c r="D1983" s="54" t="n"/>
      <c r="E1983" s="54" t="n"/>
      <c r="F1983" s="54" t="n"/>
      <c r="G1983" s="65" t="n"/>
      <c r="H1983" s="54" t="n"/>
      <c r="I1983" s="106">
        <f>IF($C1983="","",IFERROR(INDEX(Sens_Types,MATCH($C1983,Liste_Types,0)),""))</f>
        <v/>
      </c>
      <c r="J1983" s="107">
        <f>IF($I1983="▲ ENTRÉE",$U1983,"")</f>
        <v/>
      </c>
      <c r="K1983" s="108">
        <f>IF($I1983="▼ SORTIE",$U1983,"")</f>
        <v/>
      </c>
      <c r="L1983" s="109">
        <f>$L1982+N($J1983)-N($K1983)</f>
        <v/>
      </c>
      <c r="M1983" s="110" t="n"/>
      <c r="N1983" s="54" t="n"/>
      <c r="O1983" s="54" t="n"/>
      <c r="P1983" s="54" t="n"/>
      <c r="Q1983" s="110" t="n"/>
      <c r="R1983" s="110" t="n"/>
      <c r="S1983" s="54" t="n"/>
      <c r="T1983" s="111">
        <f>IF($G1983="","",IFERROR(INDEX(Taux_Devises,MATCH(IF($M1983="",Devise_Base,$M1983),Codes_Devises,0)),1))</f>
        <v/>
      </c>
      <c r="U1983" s="112">
        <f>IF($G1983="","",ROUND($G1983*$T1983,2))</f>
        <v/>
      </c>
      <c r="V1983" s="113">
        <f>IF($B1983="","",MONTH($B1983))</f>
        <v/>
      </c>
      <c r="W1983" s="113">
        <f>IF($B1983="","",YEAR($B1983))</f>
        <v/>
      </c>
    </row>
    <row r="1984">
      <c r="B1984" s="105" t="n"/>
      <c r="C1984" s="54" t="n"/>
      <c r="D1984" s="54" t="n"/>
      <c r="E1984" s="54" t="n"/>
      <c r="F1984" s="54" t="n"/>
      <c r="G1984" s="65" t="n"/>
      <c r="H1984" s="54" t="n"/>
      <c r="I1984" s="106">
        <f>IF($C1984="","",IFERROR(INDEX(Sens_Types,MATCH($C1984,Liste_Types,0)),""))</f>
        <v/>
      </c>
      <c r="J1984" s="107">
        <f>IF($I1984="▲ ENTRÉE",$U1984,"")</f>
        <v/>
      </c>
      <c r="K1984" s="108">
        <f>IF($I1984="▼ SORTIE",$U1984,"")</f>
        <v/>
      </c>
      <c r="L1984" s="109">
        <f>$L1983+N($J1984)-N($K1984)</f>
        <v/>
      </c>
      <c r="M1984" s="110" t="n"/>
      <c r="N1984" s="54" t="n"/>
      <c r="O1984" s="54" t="n"/>
      <c r="P1984" s="54" t="n"/>
      <c r="Q1984" s="110" t="n"/>
      <c r="R1984" s="110" t="n"/>
      <c r="S1984" s="54" t="n"/>
      <c r="T1984" s="111">
        <f>IF($G1984="","",IFERROR(INDEX(Taux_Devises,MATCH(IF($M1984="",Devise_Base,$M1984),Codes_Devises,0)),1))</f>
        <v/>
      </c>
      <c r="U1984" s="112">
        <f>IF($G1984="","",ROUND($G1984*$T1984,2))</f>
        <v/>
      </c>
      <c r="V1984" s="113">
        <f>IF($B1984="","",MONTH($B1984))</f>
        <v/>
      </c>
      <c r="W1984" s="113">
        <f>IF($B1984="","",YEAR($B1984))</f>
        <v/>
      </c>
    </row>
    <row r="1985">
      <c r="B1985" s="105" t="n"/>
      <c r="C1985" s="54" t="n"/>
      <c r="D1985" s="54" t="n"/>
      <c r="E1985" s="54" t="n"/>
      <c r="F1985" s="54" t="n"/>
      <c r="G1985" s="65" t="n"/>
      <c r="H1985" s="54" t="n"/>
      <c r="I1985" s="106">
        <f>IF($C1985="","",IFERROR(INDEX(Sens_Types,MATCH($C1985,Liste_Types,0)),""))</f>
        <v/>
      </c>
      <c r="J1985" s="107">
        <f>IF($I1985="▲ ENTRÉE",$U1985,"")</f>
        <v/>
      </c>
      <c r="K1985" s="108">
        <f>IF($I1985="▼ SORTIE",$U1985,"")</f>
        <v/>
      </c>
      <c r="L1985" s="109">
        <f>$L1984+N($J1985)-N($K1985)</f>
        <v/>
      </c>
      <c r="M1985" s="110" t="n"/>
      <c r="N1985" s="54" t="n"/>
      <c r="O1985" s="54" t="n"/>
      <c r="P1985" s="54" t="n"/>
      <c r="Q1985" s="110" t="n"/>
      <c r="R1985" s="110" t="n"/>
      <c r="S1985" s="54" t="n"/>
      <c r="T1985" s="111">
        <f>IF($G1985="","",IFERROR(INDEX(Taux_Devises,MATCH(IF($M1985="",Devise_Base,$M1985),Codes_Devises,0)),1))</f>
        <v/>
      </c>
      <c r="U1985" s="112">
        <f>IF($G1985="","",ROUND($G1985*$T1985,2))</f>
        <v/>
      </c>
      <c r="V1985" s="113">
        <f>IF($B1985="","",MONTH($B1985))</f>
        <v/>
      </c>
      <c r="W1985" s="113">
        <f>IF($B1985="","",YEAR($B1985))</f>
        <v/>
      </c>
    </row>
    <row r="1986">
      <c r="B1986" s="105" t="n"/>
      <c r="C1986" s="54" t="n"/>
      <c r="D1986" s="54" t="n"/>
      <c r="E1986" s="54" t="n"/>
      <c r="F1986" s="54" t="n"/>
      <c r="G1986" s="65" t="n"/>
      <c r="H1986" s="54" t="n"/>
      <c r="I1986" s="106">
        <f>IF($C1986="","",IFERROR(INDEX(Sens_Types,MATCH($C1986,Liste_Types,0)),""))</f>
        <v/>
      </c>
      <c r="J1986" s="107">
        <f>IF($I1986="▲ ENTRÉE",$U1986,"")</f>
        <v/>
      </c>
      <c r="K1986" s="108">
        <f>IF($I1986="▼ SORTIE",$U1986,"")</f>
        <v/>
      </c>
      <c r="L1986" s="109">
        <f>$L1985+N($J1986)-N($K1986)</f>
        <v/>
      </c>
      <c r="M1986" s="110" t="n"/>
      <c r="N1986" s="54" t="n"/>
      <c r="O1986" s="54" t="n"/>
      <c r="P1986" s="54" t="n"/>
      <c r="Q1986" s="110" t="n"/>
      <c r="R1986" s="110" t="n"/>
      <c r="S1986" s="54" t="n"/>
      <c r="T1986" s="111">
        <f>IF($G1986="","",IFERROR(INDEX(Taux_Devises,MATCH(IF($M1986="",Devise_Base,$M1986),Codes_Devises,0)),1))</f>
        <v/>
      </c>
      <c r="U1986" s="112">
        <f>IF($G1986="","",ROUND($G1986*$T1986,2))</f>
        <v/>
      </c>
      <c r="V1986" s="113">
        <f>IF($B1986="","",MONTH($B1986))</f>
        <v/>
      </c>
      <c r="W1986" s="113">
        <f>IF($B1986="","",YEAR($B1986))</f>
        <v/>
      </c>
    </row>
    <row r="1987">
      <c r="B1987" s="105" t="n"/>
      <c r="C1987" s="54" t="n"/>
      <c r="D1987" s="54" t="n"/>
      <c r="E1987" s="54" t="n"/>
      <c r="F1987" s="54" t="n"/>
      <c r="G1987" s="65" t="n"/>
      <c r="H1987" s="54" t="n"/>
      <c r="I1987" s="106">
        <f>IF($C1987="","",IFERROR(INDEX(Sens_Types,MATCH($C1987,Liste_Types,0)),""))</f>
        <v/>
      </c>
      <c r="J1987" s="107">
        <f>IF($I1987="▲ ENTRÉE",$U1987,"")</f>
        <v/>
      </c>
      <c r="K1987" s="108">
        <f>IF($I1987="▼ SORTIE",$U1987,"")</f>
        <v/>
      </c>
      <c r="L1987" s="109">
        <f>$L1986+N($J1987)-N($K1987)</f>
        <v/>
      </c>
      <c r="M1987" s="110" t="n"/>
      <c r="N1987" s="54" t="n"/>
      <c r="O1987" s="54" t="n"/>
      <c r="P1987" s="54" t="n"/>
      <c r="Q1987" s="110" t="n"/>
      <c r="R1987" s="110" t="n"/>
      <c r="S1987" s="54" t="n"/>
      <c r="T1987" s="111">
        <f>IF($G1987="","",IFERROR(INDEX(Taux_Devises,MATCH(IF($M1987="",Devise_Base,$M1987),Codes_Devises,0)),1))</f>
        <v/>
      </c>
      <c r="U1987" s="112">
        <f>IF($G1987="","",ROUND($G1987*$T1987,2))</f>
        <v/>
      </c>
      <c r="V1987" s="113">
        <f>IF($B1987="","",MONTH($B1987))</f>
        <v/>
      </c>
      <c r="W1987" s="113">
        <f>IF($B1987="","",YEAR($B1987))</f>
        <v/>
      </c>
    </row>
    <row r="1988">
      <c r="B1988" s="105" t="n"/>
      <c r="C1988" s="54" t="n"/>
      <c r="D1988" s="54" t="n"/>
      <c r="E1988" s="54" t="n"/>
      <c r="F1988" s="54" t="n"/>
      <c r="G1988" s="65" t="n"/>
      <c r="H1988" s="54" t="n"/>
      <c r="I1988" s="106">
        <f>IF($C1988="","",IFERROR(INDEX(Sens_Types,MATCH($C1988,Liste_Types,0)),""))</f>
        <v/>
      </c>
      <c r="J1988" s="107">
        <f>IF($I1988="▲ ENTRÉE",$U1988,"")</f>
        <v/>
      </c>
      <c r="K1988" s="108">
        <f>IF($I1988="▼ SORTIE",$U1988,"")</f>
        <v/>
      </c>
      <c r="L1988" s="109">
        <f>$L1987+N($J1988)-N($K1988)</f>
        <v/>
      </c>
      <c r="M1988" s="110" t="n"/>
      <c r="N1988" s="54" t="n"/>
      <c r="O1988" s="54" t="n"/>
      <c r="P1988" s="54" t="n"/>
      <c r="Q1988" s="110" t="n"/>
      <c r="R1988" s="110" t="n"/>
      <c r="S1988" s="54" t="n"/>
      <c r="T1988" s="111">
        <f>IF($G1988="","",IFERROR(INDEX(Taux_Devises,MATCH(IF($M1988="",Devise_Base,$M1988),Codes_Devises,0)),1))</f>
        <v/>
      </c>
      <c r="U1988" s="112">
        <f>IF($G1988="","",ROUND($G1988*$T1988,2))</f>
        <v/>
      </c>
      <c r="V1988" s="113">
        <f>IF($B1988="","",MONTH($B1988))</f>
        <v/>
      </c>
      <c r="W1988" s="113">
        <f>IF($B1988="","",YEAR($B1988))</f>
        <v/>
      </c>
    </row>
    <row r="1989">
      <c r="B1989" s="105" t="n"/>
      <c r="C1989" s="54" t="n"/>
      <c r="D1989" s="54" t="n"/>
      <c r="E1989" s="54" t="n"/>
      <c r="F1989" s="54" t="n"/>
      <c r="G1989" s="65" t="n"/>
      <c r="H1989" s="54" t="n"/>
      <c r="I1989" s="106">
        <f>IF($C1989="","",IFERROR(INDEX(Sens_Types,MATCH($C1989,Liste_Types,0)),""))</f>
        <v/>
      </c>
      <c r="J1989" s="107">
        <f>IF($I1989="▲ ENTRÉE",$U1989,"")</f>
        <v/>
      </c>
      <c r="K1989" s="108">
        <f>IF($I1989="▼ SORTIE",$U1989,"")</f>
        <v/>
      </c>
      <c r="L1989" s="109">
        <f>$L1988+N($J1989)-N($K1989)</f>
        <v/>
      </c>
      <c r="M1989" s="110" t="n"/>
      <c r="N1989" s="54" t="n"/>
      <c r="O1989" s="54" t="n"/>
      <c r="P1989" s="54" t="n"/>
      <c r="Q1989" s="110" t="n"/>
      <c r="R1989" s="110" t="n"/>
      <c r="S1989" s="54" t="n"/>
      <c r="T1989" s="111">
        <f>IF($G1989="","",IFERROR(INDEX(Taux_Devises,MATCH(IF($M1989="",Devise_Base,$M1989),Codes_Devises,0)),1))</f>
        <v/>
      </c>
      <c r="U1989" s="112">
        <f>IF($G1989="","",ROUND($G1989*$T1989,2))</f>
        <v/>
      </c>
      <c r="V1989" s="113">
        <f>IF($B1989="","",MONTH($B1989))</f>
        <v/>
      </c>
      <c r="W1989" s="113">
        <f>IF($B1989="","",YEAR($B1989))</f>
        <v/>
      </c>
    </row>
    <row r="1990">
      <c r="B1990" s="105" t="n"/>
      <c r="C1990" s="54" t="n"/>
      <c r="D1990" s="54" t="n"/>
      <c r="E1990" s="54" t="n"/>
      <c r="F1990" s="54" t="n"/>
      <c r="G1990" s="65" t="n"/>
      <c r="H1990" s="54" t="n"/>
      <c r="I1990" s="106">
        <f>IF($C1990="","",IFERROR(INDEX(Sens_Types,MATCH($C1990,Liste_Types,0)),""))</f>
        <v/>
      </c>
      <c r="J1990" s="107">
        <f>IF($I1990="▲ ENTRÉE",$U1990,"")</f>
        <v/>
      </c>
      <c r="K1990" s="108">
        <f>IF($I1990="▼ SORTIE",$U1990,"")</f>
        <v/>
      </c>
      <c r="L1990" s="109">
        <f>$L1989+N($J1990)-N($K1990)</f>
        <v/>
      </c>
      <c r="M1990" s="110" t="n"/>
      <c r="N1990" s="54" t="n"/>
      <c r="O1990" s="54" t="n"/>
      <c r="P1990" s="54" t="n"/>
      <c r="Q1990" s="110" t="n"/>
      <c r="R1990" s="110" t="n"/>
      <c r="S1990" s="54" t="n"/>
      <c r="T1990" s="111">
        <f>IF($G1990="","",IFERROR(INDEX(Taux_Devises,MATCH(IF($M1990="",Devise_Base,$M1990),Codes_Devises,0)),1))</f>
        <v/>
      </c>
      <c r="U1990" s="112">
        <f>IF($G1990="","",ROUND($G1990*$T1990,2))</f>
        <v/>
      </c>
      <c r="V1990" s="113">
        <f>IF($B1990="","",MONTH($B1990))</f>
        <v/>
      </c>
      <c r="W1990" s="113">
        <f>IF($B1990="","",YEAR($B1990))</f>
        <v/>
      </c>
    </row>
    <row r="1991">
      <c r="B1991" s="105" t="n"/>
      <c r="C1991" s="54" t="n"/>
      <c r="D1991" s="54" t="n"/>
      <c r="E1991" s="54" t="n"/>
      <c r="F1991" s="54" t="n"/>
      <c r="G1991" s="65" t="n"/>
      <c r="H1991" s="54" t="n"/>
      <c r="I1991" s="106">
        <f>IF($C1991="","",IFERROR(INDEX(Sens_Types,MATCH($C1991,Liste_Types,0)),""))</f>
        <v/>
      </c>
      <c r="J1991" s="107">
        <f>IF($I1991="▲ ENTRÉE",$U1991,"")</f>
        <v/>
      </c>
      <c r="K1991" s="108">
        <f>IF($I1991="▼ SORTIE",$U1991,"")</f>
        <v/>
      </c>
      <c r="L1991" s="109">
        <f>$L1990+N($J1991)-N($K1991)</f>
        <v/>
      </c>
      <c r="M1991" s="110" t="n"/>
      <c r="N1991" s="54" t="n"/>
      <c r="O1991" s="54" t="n"/>
      <c r="P1991" s="54" t="n"/>
      <c r="Q1991" s="110" t="n"/>
      <c r="R1991" s="110" t="n"/>
      <c r="S1991" s="54" t="n"/>
      <c r="T1991" s="111">
        <f>IF($G1991="","",IFERROR(INDEX(Taux_Devises,MATCH(IF($M1991="",Devise_Base,$M1991),Codes_Devises,0)),1))</f>
        <v/>
      </c>
      <c r="U1991" s="112">
        <f>IF($G1991="","",ROUND($G1991*$T1991,2))</f>
        <v/>
      </c>
      <c r="V1991" s="113">
        <f>IF($B1991="","",MONTH($B1991))</f>
        <v/>
      </c>
      <c r="W1991" s="113">
        <f>IF($B1991="","",YEAR($B1991))</f>
        <v/>
      </c>
    </row>
    <row r="1992">
      <c r="B1992" s="105" t="n"/>
      <c r="C1992" s="54" t="n"/>
      <c r="D1992" s="54" t="n"/>
      <c r="E1992" s="54" t="n"/>
      <c r="F1992" s="54" t="n"/>
      <c r="G1992" s="65" t="n"/>
      <c r="H1992" s="54" t="n"/>
      <c r="I1992" s="106">
        <f>IF($C1992="","",IFERROR(INDEX(Sens_Types,MATCH($C1992,Liste_Types,0)),""))</f>
        <v/>
      </c>
      <c r="J1992" s="107">
        <f>IF($I1992="▲ ENTRÉE",$U1992,"")</f>
        <v/>
      </c>
      <c r="K1992" s="108">
        <f>IF($I1992="▼ SORTIE",$U1992,"")</f>
        <v/>
      </c>
      <c r="L1992" s="109">
        <f>$L1991+N($J1992)-N($K1992)</f>
        <v/>
      </c>
      <c r="M1992" s="110" t="n"/>
      <c r="N1992" s="54" t="n"/>
      <c r="O1992" s="54" t="n"/>
      <c r="P1992" s="54" t="n"/>
      <c r="Q1992" s="110" t="n"/>
      <c r="R1992" s="110" t="n"/>
      <c r="S1992" s="54" t="n"/>
      <c r="T1992" s="111">
        <f>IF($G1992="","",IFERROR(INDEX(Taux_Devises,MATCH(IF($M1992="",Devise_Base,$M1992),Codes_Devises,0)),1))</f>
        <v/>
      </c>
      <c r="U1992" s="112">
        <f>IF($G1992="","",ROUND($G1992*$T1992,2))</f>
        <v/>
      </c>
      <c r="V1992" s="113">
        <f>IF($B1992="","",MONTH($B1992))</f>
        <v/>
      </c>
      <c r="W1992" s="113">
        <f>IF($B1992="","",YEAR($B1992))</f>
        <v/>
      </c>
    </row>
    <row r="1993">
      <c r="B1993" s="105" t="n"/>
      <c r="C1993" s="54" t="n"/>
      <c r="D1993" s="54" t="n"/>
      <c r="E1993" s="54" t="n"/>
      <c r="F1993" s="54" t="n"/>
      <c r="G1993" s="65" t="n"/>
      <c r="H1993" s="54" t="n"/>
      <c r="I1993" s="106">
        <f>IF($C1993="","",IFERROR(INDEX(Sens_Types,MATCH($C1993,Liste_Types,0)),""))</f>
        <v/>
      </c>
      <c r="J1993" s="107">
        <f>IF($I1993="▲ ENTRÉE",$U1993,"")</f>
        <v/>
      </c>
      <c r="K1993" s="108">
        <f>IF($I1993="▼ SORTIE",$U1993,"")</f>
        <v/>
      </c>
      <c r="L1993" s="109">
        <f>$L1992+N($J1993)-N($K1993)</f>
        <v/>
      </c>
      <c r="M1993" s="110" t="n"/>
      <c r="N1993" s="54" t="n"/>
      <c r="O1993" s="54" t="n"/>
      <c r="P1993" s="54" t="n"/>
      <c r="Q1993" s="110" t="n"/>
      <c r="R1993" s="110" t="n"/>
      <c r="S1993" s="54" t="n"/>
      <c r="T1993" s="111">
        <f>IF($G1993="","",IFERROR(INDEX(Taux_Devises,MATCH(IF($M1993="",Devise_Base,$M1993),Codes_Devises,0)),1))</f>
        <v/>
      </c>
      <c r="U1993" s="112">
        <f>IF($G1993="","",ROUND($G1993*$T1993,2))</f>
        <v/>
      </c>
      <c r="V1993" s="113">
        <f>IF($B1993="","",MONTH($B1993))</f>
        <v/>
      </c>
      <c r="W1993" s="113">
        <f>IF($B1993="","",YEAR($B1993))</f>
        <v/>
      </c>
    </row>
    <row r="1994">
      <c r="B1994" s="105" t="n"/>
      <c r="C1994" s="54" t="n"/>
      <c r="D1994" s="54" t="n"/>
      <c r="E1994" s="54" t="n"/>
      <c r="F1994" s="54" t="n"/>
      <c r="G1994" s="65" t="n"/>
      <c r="H1994" s="54" t="n"/>
      <c r="I1994" s="106">
        <f>IF($C1994="","",IFERROR(INDEX(Sens_Types,MATCH($C1994,Liste_Types,0)),""))</f>
        <v/>
      </c>
      <c r="J1994" s="107">
        <f>IF($I1994="▲ ENTRÉE",$U1994,"")</f>
        <v/>
      </c>
      <c r="K1994" s="108">
        <f>IF($I1994="▼ SORTIE",$U1994,"")</f>
        <v/>
      </c>
      <c r="L1994" s="109">
        <f>$L1993+N($J1994)-N($K1994)</f>
        <v/>
      </c>
      <c r="M1994" s="110" t="n"/>
      <c r="N1994" s="54" t="n"/>
      <c r="O1994" s="54" t="n"/>
      <c r="P1994" s="54" t="n"/>
      <c r="Q1994" s="110" t="n"/>
      <c r="R1994" s="110" t="n"/>
      <c r="S1994" s="54" t="n"/>
      <c r="T1994" s="111">
        <f>IF($G1994="","",IFERROR(INDEX(Taux_Devises,MATCH(IF($M1994="",Devise_Base,$M1994),Codes_Devises,0)),1))</f>
        <v/>
      </c>
      <c r="U1994" s="112">
        <f>IF($G1994="","",ROUND($G1994*$T1994,2))</f>
        <v/>
      </c>
      <c r="V1994" s="113">
        <f>IF($B1994="","",MONTH($B1994))</f>
        <v/>
      </c>
      <c r="W1994" s="113">
        <f>IF($B1994="","",YEAR($B1994))</f>
        <v/>
      </c>
    </row>
    <row r="1995">
      <c r="B1995" s="105" t="n"/>
      <c r="C1995" s="54" t="n"/>
      <c r="D1995" s="54" t="n"/>
      <c r="E1995" s="54" t="n"/>
      <c r="F1995" s="54" t="n"/>
      <c r="G1995" s="65" t="n"/>
      <c r="H1995" s="54" t="n"/>
      <c r="I1995" s="106">
        <f>IF($C1995="","",IFERROR(INDEX(Sens_Types,MATCH($C1995,Liste_Types,0)),""))</f>
        <v/>
      </c>
      <c r="J1995" s="107">
        <f>IF($I1995="▲ ENTRÉE",$U1995,"")</f>
        <v/>
      </c>
      <c r="K1995" s="108">
        <f>IF($I1995="▼ SORTIE",$U1995,"")</f>
        <v/>
      </c>
      <c r="L1995" s="109">
        <f>$L1994+N($J1995)-N($K1995)</f>
        <v/>
      </c>
      <c r="M1995" s="110" t="n"/>
      <c r="N1995" s="54" t="n"/>
      <c r="O1995" s="54" t="n"/>
      <c r="P1995" s="54" t="n"/>
      <c r="Q1995" s="110" t="n"/>
      <c r="R1995" s="110" t="n"/>
      <c r="S1995" s="54" t="n"/>
      <c r="T1995" s="111">
        <f>IF($G1995="","",IFERROR(INDEX(Taux_Devises,MATCH(IF($M1995="",Devise_Base,$M1995),Codes_Devises,0)),1))</f>
        <v/>
      </c>
      <c r="U1995" s="112">
        <f>IF($G1995="","",ROUND($G1995*$T1995,2))</f>
        <v/>
      </c>
      <c r="V1995" s="113">
        <f>IF($B1995="","",MONTH($B1995))</f>
        <v/>
      </c>
      <c r="W1995" s="113">
        <f>IF($B1995="","",YEAR($B1995))</f>
        <v/>
      </c>
    </row>
    <row r="1996">
      <c r="B1996" s="105" t="n"/>
      <c r="C1996" s="54" t="n"/>
      <c r="D1996" s="54" t="n"/>
      <c r="E1996" s="54" t="n"/>
      <c r="F1996" s="54" t="n"/>
      <c r="G1996" s="65" t="n"/>
      <c r="H1996" s="54" t="n"/>
      <c r="I1996" s="106">
        <f>IF($C1996="","",IFERROR(INDEX(Sens_Types,MATCH($C1996,Liste_Types,0)),""))</f>
        <v/>
      </c>
      <c r="J1996" s="107">
        <f>IF($I1996="▲ ENTRÉE",$U1996,"")</f>
        <v/>
      </c>
      <c r="K1996" s="108">
        <f>IF($I1996="▼ SORTIE",$U1996,"")</f>
        <v/>
      </c>
      <c r="L1996" s="109">
        <f>$L1995+N($J1996)-N($K1996)</f>
        <v/>
      </c>
      <c r="M1996" s="110" t="n"/>
      <c r="N1996" s="54" t="n"/>
      <c r="O1996" s="54" t="n"/>
      <c r="P1996" s="54" t="n"/>
      <c r="Q1996" s="110" t="n"/>
      <c r="R1996" s="110" t="n"/>
      <c r="S1996" s="54" t="n"/>
      <c r="T1996" s="111">
        <f>IF($G1996="","",IFERROR(INDEX(Taux_Devises,MATCH(IF($M1996="",Devise_Base,$M1996),Codes_Devises,0)),1))</f>
        <v/>
      </c>
      <c r="U1996" s="112">
        <f>IF($G1996="","",ROUND($G1996*$T1996,2))</f>
        <v/>
      </c>
      <c r="V1996" s="113">
        <f>IF($B1996="","",MONTH($B1996))</f>
        <v/>
      </c>
      <c r="W1996" s="113">
        <f>IF($B1996="","",YEAR($B1996))</f>
        <v/>
      </c>
    </row>
    <row r="1997">
      <c r="B1997" s="105" t="n"/>
      <c r="C1997" s="54" t="n"/>
      <c r="D1997" s="54" t="n"/>
      <c r="E1997" s="54" t="n"/>
      <c r="F1997" s="54" t="n"/>
      <c r="G1997" s="65" t="n"/>
      <c r="H1997" s="54" t="n"/>
      <c r="I1997" s="106">
        <f>IF($C1997="","",IFERROR(INDEX(Sens_Types,MATCH($C1997,Liste_Types,0)),""))</f>
        <v/>
      </c>
      <c r="J1997" s="107">
        <f>IF($I1997="▲ ENTRÉE",$U1997,"")</f>
        <v/>
      </c>
      <c r="K1997" s="108">
        <f>IF($I1997="▼ SORTIE",$U1997,"")</f>
        <v/>
      </c>
      <c r="L1997" s="109">
        <f>$L1996+N($J1997)-N($K1997)</f>
        <v/>
      </c>
      <c r="M1997" s="110" t="n"/>
      <c r="N1997" s="54" t="n"/>
      <c r="O1997" s="54" t="n"/>
      <c r="P1997" s="54" t="n"/>
      <c r="Q1997" s="110" t="n"/>
      <c r="R1997" s="110" t="n"/>
      <c r="S1997" s="54" t="n"/>
      <c r="T1997" s="111">
        <f>IF($G1997="","",IFERROR(INDEX(Taux_Devises,MATCH(IF($M1997="",Devise_Base,$M1997),Codes_Devises,0)),1))</f>
        <v/>
      </c>
      <c r="U1997" s="112">
        <f>IF($G1997="","",ROUND($G1997*$T1997,2))</f>
        <v/>
      </c>
      <c r="V1997" s="113">
        <f>IF($B1997="","",MONTH($B1997))</f>
        <v/>
      </c>
      <c r="W1997" s="113">
        <f>IF($B1997="","",YEAR($B1997))</f>
        <v/>
      </c>
    </row>
    <row r="1998">
      <c r="B1998" s="105" t="n"/>
      <c r="C1998" s="54" t="n"/>
      <c r="D1998" s="54" t="n"/>
      <c r="E1998" s="54" t="n"/>
      <c r="F1998" s="54" t="n"/>
      <c r="G1998" s="65" t="n"/>
      <c r="H1998" s="54" t="n"/>
      <c r="I1998" s="106">
        <f>IF($C1998="","",IFERROR(INDEX(Sens_Types,MATCH($C1998,Liste_Types,0)),""))</f>
        <v/>
      </c>
      <c r="J1998" s="107">
        <f>IF($I1998="▲ ENTRÉE",$U1998,"")</f>
        <v/>
      </c>
      <c r="K1998" s="108">
        <f>IF($I1998="▼ SORTIE",$U1998,"")</f>
        <v/>
      </c>
      <c r="L1998" s="109">
        <f>$L1997+N($J1998)-N($K1998)</f>
        <v/>
      </c>
      <c r="M1998" s="110" t="n"/>
      <c r="N1998" s="54" t="n"/>
      <c r="O1998" s="54" t="n"/>
      <c r="P1998" s="54" t="n"/>
      <c r="Q1998" s="110" t="n"/>
      <c r="R1998" s="110" t="n"/>
      <c r="S1998" s="54" t="n"/>
      <c r="T1998" s="111">
        <f>IF($G1998="","",IFERROR(INDEX(Taux_Devises,MATCH(IF($M1998="",Devise_Base,$M1998),Codes_Devises,0)),1))</f>
        <v/>
      </c>
      <c r="U1998" s="112">
        <f>IF($G1998="","",ROUND($G1998*$T1998,2))</f>
        <v/>
      </c>
      <c r="V1998" s="113">
        <f>IF($B1998="","",MONTH($B1998))</f>
        <v/>
      </c>
      <c r="W1998" s="113">
        <f>IF($B1998="","",YEAR($B1998))</f>
        <v/>
      </c>
    </row>
    <row r="1999">
      <c r="B1999" s="105" t="n"/>
      <c r="C1999" s="54" t="n"/>
      <c r="D1999" s="54" t="n"/>
      <c r="E1999" s="54" t="n"/>
      <c r="F1999" s="54" t="n"/>
      <c r="G1999" s="65" t="n"/>
      <c r="H1999" s="54" t="n"/>
      <c r="I1999" s="106">
        <f>IF($C1999="","",IFERROR(INDEX(Sens_Types,MATCH($C1999,Liste_Types,0)),""))</f>
        <v/>
      </c>
      <c r="J1999" s="107">
        <f>IF($I1999="▲ ENTRÉE",$U1999,"")</f>
        <v/>
      </c>
      <c r="K1999" s="108">
        <f>IF($I1999="▼ SORTIE",$U1999,"")</f>
        <v/>
      </c>
      <c r="L1999" s="109">
        <f>$L1998+N($J1999)-N($K1999)</f>
        <v/>
      </c>
      <c r="M1999" s="110" t="n"/>
      <c r="N1999" s="54" t="n"/>
      <c r="O1999" s="54" t="n"/>
      <c r="P1999" s="54" t="n"/>
      <c r="Q1999" s="110" t="n"/>
      <c r="R1999" s="110" t="n"/>
      <c r="S1999" s="54" t="n"/>
      <c r="T1999" s="111">
        <f>IF($G1999="","",IFERROR(INDEX(Taux_Devises,MATCH(IF($M1999="",Devise_Base,$M1999),Codes_Devises,0)),1))</f>
        <v/>
      </c>
      <c r="U1999" s="112">
        <f>IF($G1999="","",ROUND($G1999*$T1999,2))</f>
        <v/>
      </c>
      <c r="V1999" s="113">
        <f>IF($B1999="","",MONTH($B1999))</f>
        <v/>
      </c>
      <c r="W1999" s="113">
        <f>IF($B1999="","",YEAR($B1999))</f>
        <v/>
      </c>
    </row>
    <row r="2000">
      <c r="B2000" s="105" t="n"/>
      <c r="C2000" s="54" t="n"/>
      <c r="D2000" s="54" t="n"/>
      <c r="E2000" s="54" t="n"/>
      <c r="F2000" s="54" t="n"/>
      <c r="G2000" s="65" t="n"/>
      <c r="H2000" s="54" t="n"/>
      <c r="I2000" s="106">
        <f>IF($C2000="","",IFERROR(INDEX(Sens_Types,MATCH($C2000,Liste_Types,0)),""))</f>
        <v/>
      </c>
      <c r="J2000" s="107">
        <f>IF($I2000="▲ ENTRÉE",$U2000,"")</f>
        <v/>
      </c>
      <c r="K2000" s="108">
        <f>IF($I2000="▼ SORTIE",$U2000,"")</f>
        <v/>
      </c>
      <c r="L2000" s="109">
        <f>$L1999+N($J2000)-N($K2000)</f>
        <v/>
      </c>
      <c r="M2000" s="110" t="n"/>
      <c r="N2000" s="54" t="n"/>
      <c r="O2000" s="54" t="n"/>
      <c r="P2000" s="54" t="n"/>
      <c r="Q2000" s="110" t="n"/>
      <c r="R2000" s="110" t="n"/>
      <c r="S2000" s="54" t="n"/>
      <c r="T2000" s="111">
        <f>IF($G2000="","",IFERROR(INDEX(Taux_Devises,MATCH(IF($M2000="",Devise_Base,$M2000),Codes_Devises,0)),1))</f>
        <v/>
      </c>
      <c r="U2000" s="112">
        <f>IF($G2000="","",ROUND($G2000*$T2000,2))</f>
        <v/>
      </c>
      <c r="V2000" s="113">
        <f>IF($B2000="","",MONTH($B2000))</f>
        <v/>
      </c>
      <c r="W2000" s="113">
        <f>IF($B2000="","",YEAR($B2000))</f>
        <v/>
      </c>
    </row>
    <row r="2001">
      <c r="B2001" s="105" t="n"/>
      <c r="C2001" s="54" t="n"/>
      <c r="D2001" s="54" t="n"/>
      <c r="E2001" s="54" t="n"/>
      <c r="F2001" s="54" t="n"/>
      <c r="G2001" s="65" t="n"/>
      <c r="H2001" s="54" t="n"/>
      <c r="I2001" s="106">
        <f>IF($C2001="","",IFERROR(INDEX(Sens_Types,MATCH($C2001,Liste_Types,0)),""))</f>
        <v/>
      </c>
      <c r="J2001" s="107">
        <f>IF($I2001="▲ ENTRÉE",$U2001,"")</f>
        <v/>
      </c>
      <c r="K2001" s="108">
        <f>IF($I2001="▼ SORTIE",$U2001,"")</f>
        <v/>
      </c>
      <c r="L2001" s="109">
        <f>$L2000+N($J2001)-N($K2001)</f>
        <v/>
      </c>
      <c r="M2001" s="110" t="n"/>
      <c r="N2001" s="54" t="n"/>
      <c r="O2001" s="54" t="n"/>
      <c r="P2001" s="54" t="n"/>
      <c r="Q2001" s="110" t="n"/>
      <c r="R2001" s="110" t="n"/>
      <c r="S2001" s="54" t="n"/>
      <c r="T2001" s="111">
        <f>IF($G2001="","",IFERROR(INDEX(Taux_Devises,MATCH(IF($M2001="",Devise_Base,$M2001),Codes_Devises,0)),1))</f>
        <v/>
      </c>
      <c r="U2001" s="112">
        <f>IF($G2001="","",ROUND($G2001*$T2001,2))</f>
        <v/>
      </c>
      <c r="V2001" s="113">
        <f>IF($B2001="","",MONTH($B2001))</f>
        <v/>
      </c>
      <c r="W2001" s="113">
        <f>IF($B2001="","",YEAR($B2001))</f>
        <v/>
      </c>
    </row>
    <row r="2002">
      <c r="B2002" s="105" t="n"/>
      <c r="C2002" s="54" t="n"/>
      <c r="D2002" s="54" t="n"/>
      <c r="E2002" s="54" t="n"/>
      <c r="F2002" s="54" t="n"/>
      <c r="G2002" s="65" t="n"/>
      <c r="H2002" s="54" t="n"/>
      <c r="I2002" s="106">
        <f>IF($C2002="","",IFERROR(INDEX(Sens_Types,MATCH($C2002,Liste_Types,0)),""))</f>
        <v/>
      </c>
      <c r="J2002" s="107">
        <f>IF($I2002="▲ ENTRÉE",$U2002,"")</f>
        <v/>
      </c>
      <c r="K2002" s="108">
        <f>IF($I2002="▼ SORTIE",$U2002,"")</f>
        <v/>
      </c>
      <c r="L2002" s="109">
        <f>$L2001+N($J2002)-N($K2002)</f>
        <v/>
      </c>
      <c r="M2002" s="110" t="n"/>
      <c r="N2002" s="54" t="n"/>
      <c r="O2002" s="54" t="n"/>
      <c r="P2002" s="54" t="n"/>
      <c r="Q2002" s="110" t="n"/>
      <c r="R2002" s="110" t="n"/>
      <c r="S2002" s="54" t="n"/>
      <c r="T2002" s="111">
        <f>IF($G2002="","",IFERROR(INDEX(Taux_Devises,MATCH(IF($M2002="",Devise_Base,$M2002),Codes_Devises,0)),1))</f>
        <v/>
      </c>
      <c r="U2002" s="112">
        <f>IF($G2002="","",ROUND($G2002*$T2002,2))</f>
        <v/>
      </c>
      <c r="V2002" s="113">
        <f>IF($B2002="","",MONTH($B2002))</f>
        <v/>
      </c>
      <c r="W2002" s="113">
        <f>IF($B2002="","",YEAR($B2002))</f>
        <v/>
      </c>
    </row>
    <row r="2003">
      <c r="B2003" s="105" t="n"/>
      <c r="C2003" s="54" t="n"/>
      <c r="D2003" s="54" t="n"/>
      <c r="E2003" s="54" t="n"/>
      <c r="F2003" s="54" t="n"/>
      <c r="G2003" s="65" t="n"/>
      <c r="H2003" s="54" t="n"/>
      <c r="I2003" s="106">
        <f>IF($C2003="","",IFERROR(INDEX(Sens_Types,MATCH($C2003,Liste_Types,0)),""))</f>
        <v/>
      </c>
      <c r="J2003" s="107">
        <f>IF($I2003="▲ ENTRÉE",$U2003,"")</f>
        <v/>
      </c>
      <c r="K2003" s="108">
        <f>IF($I2003="▼ SORTIE",$U2003,"")</f>
        <v/>
      </c>
      <c r="L2003" s="109">
        <f>$L2002+N($J2003)-N($K2003)</f>
        <v/>
      </c>
      <c r="M2003" s="110" t="n"/>
      <c r="N2003" s="54" t="n"/>
      <c r="O2003" s="54" t="n"/>
      <c r="P2003" s="54" t="n"/>
      <c r="Q2003" s="110" t="n"/>
      <c r="R2003" s="110" t="n"/>
      <c r="S2003" s="54" t="n"/>
      <c r="T2003" s="111">
        <f>IF($G2003="","",IFERROR(INDEX(Taux_Devises,MATCH(IF($M2003="",Devise_Base,$M2003),Codes_Devises,0)),1))</f>
        <v/>
      </c>
      <c r="U2003" s="112">
        <f>IF($G2003="","",ROUND($G2003*$T2003,2))</f>
        <v/>
      </c>
      <c r="V2003" s="113">
        <f>IF($B2003="","",MONTH($B2003))</f>
        <v/>
      </c>
      <c r="W2003" s="113">
        <f>IF($B2003="","",YEAR($B2003))</f>
        <v/>
      </c>
    </row>
    <row r="2004">
      <c r="B2004" s="105" t="n"/>
      <c r="C2004" s="54" t="n"/>
      <c r="D2004" s="54" t="n"/>
      <c r="E2004" s="54" t="n"/>
      <c r="F2004" s="54" t="n"/>
      <c r="G2004" s="65" t="n"/>
      <c r="H2004" s="54" t="n"/>
      <c r="I2004" s="106">
        <f>IF($C2004="","",IFERROR(INDEX(Sens_Types,MATCH($C2004,Liste_Types,0)),""))</f>
        <v/>
      </c>
      <c r="J2004" s="107">
        <f>IF($I2004="▲ ENTRÉE",$U2004,"")</f>
        <v/>
      </c>
      <c r="K2004" s="108">
        <f>IF($I2004="▼ SORTIE",$U2004,"")</f>
        <v/>
      </c>
      <c r="L2004" s="109">
        <f>$L2003+N($J2004)-N($K2004)</f>
        <v/>
      </c>
      <c r="M2004" s="110" t="n"/>
      <c r="N2004" s="54" t="n"/>
      <c r="O2004" s="54" t="n"/>
      <c r="P2004" s="54" t="n"/>
      <c r="Q2004" s="110" t="n"/>
      <c r="R2004" s="110" t="n"/>
      <c r="S2004" s="54" t="n"/>
      <c r="T2004" s="111">
        <f>IF($G2004="","",IFERROR(INDEX(Taux_Devises,MATCH(IF($M2004="",Devise_Base,$M2004),Codes_Devises,0)),1))</f>
        <v/>
      </c>
      <c r="U2004" s="112">
        <f>IF($G2004="","",ROUND($G2004*$T2004,2))</f>
        <v/>
      </c>
      <c r="V2004" s="113">
        <f>IF($B2004="","",MONTH($B2004))</f>
        <v/>
      </c>
      <c r="W2004" s="113">
        <f>IF($B2004="","",YEAR($B2004))</f>
        <v/>
      </c>
    </row>
    <row r="2005">
      <c r="B2005" s="105" t="n"/>
      <c r="C2005" s="54" t="n"/>
      <c r="D2005" s="54" t="n"/>
      <c r="E2005" s="54" t="n"/>
      <c r="F2005" s="54" t="n"/>
      <c r="G2005" s="65" t="n"/>
      <c r="H2005" s="54" t="n"/>
      <c r="I2005" s="106">
        <f>IF($C2005="","",IFERROR(INDEX(Sens_Types,MATCH($C2005,Liste_Types,0)),""))</f>
        <v/>
      </c>
      <c r="J2005" s="107">
        <f>IF($I2005="▲ ENTRÉE",$U2005,"")</f>
        <v/>
      </c>
      <c r="K2005" s="108">
        <f>IF($I2005="▼ SORTIE",$U2005,"")</f>
        <v/>
      </c>
      <c r="L2005" s="109">
        <f>$L2004+N($J2005)-N($K2005)</f>
        <v/>
      </c>
      <c r="M2005" s="110" t="n"/>
      <c r="N2005" s="54" t="n"/>
      <c r="O2005" s="54" t="n"/>
      <c r="P2005" s="54" t="n"/>
      <c r="Q2005" s="110" t="n"/>
      <c r="R2005" s="110" t="n"/>
      <c r="S2005" s="54" t="n"/>
      <c r="T2005" s="111">
        <f>IF($G2005="","",IFERROR(INDEX(Taux_Devises,MATCH(IF($M2005="",Devise_Base,$M2005),Codes_Devises,0)),1))</f>
        <v/>
      </c>
      <c r="U2005" s="112">
        <f>IF($G2005="","",ROUND($G2005*$T2005,2))</f>
        <v/>
      </c>
      <c r="V2005" s="113">
        <f>IF($B2005="","",MONTH($B2005))</f>
        <v/>
      </c>
      <c r="W2005" s="113">
        <f>IF($B2005="","",YEAR($B2005))</f>
        <v/>
      </c>
    </row>
    <row r="2006">
      <c r="B2006" s="105" t="n"/>
      <c r="C2006" s="54" t="n"/>
      <c r="D2006" s="54" t="n"/>
      <c r="E2006" s="54" t="n"/>
      <c r="F2006" s="54" t="n"/>
      <c r="G2006" s="65" t="n"/>
      <c r="H2006" s="54" t="n"/>
      <c r="I2006" s="106">
        <f>IF($C2006="","",IFERROR(INDEX(Sens_Types,MATCH($C2006,Liste_Types,0)),""))</f>
        <v/>
      </c>
      <c r="J2006" s="107">
        <f>IF($I2006="▲ ENTRÉE",$U2006,"")</f>
        <v/>
      </c>
      <c r="K2006" s="108">
        <f>IF($I2006="▼ SORTIE",$U2006,"")</f>
        <v/>
      </c>
      <c r="L2006" s="109">
        <f>$L2005+N($J2006)-N($K2006)</f>
        <v/>
      </c>
      <c r="M2006" s="110" t="n"/>
      <c r="N2006" s="54" t="n"/>
      <c r="O2006" s="54" t="n"/>
      <c r="P2006" s="54" t="n"/>
      <c r="Q2006" s="110" t="n"/>
      <c r="R2006" s="110" t="n"/>
      <c r="S2006" s="54" t="n"/>
      <c r="T2006" s="111">
        <f>IF($G2006="","",IFERROR(INDEX(Taux_Devises,MATCH(IF($M2006="",Devise_Base,$M2006),Codes_Devises,0)),1))</f>
        <v/>
      </c>
      <c r="U2006" s="112">
        <f>IF($G2006="","",ROUND($G2006*$T2006,2))</f>
        <v/>
      </c>
      <c r="V2006" s="113">
        <f>IF($B2006="","",MONTH($B2006))</f>
        <v/>
      </c>
      <c r="W2006" s="113">
        <f>IF($B2006="","",YEAR($B2006))</f>
        <v/>
      </c>
    </row>
    <row r="2007">
      <c r="B2007" s="105" t="n"/>
      <c r="C2007" s="54" t="n"/>
      <c r="D2007" s="54" t="n"/>
      <c r="E2007" s="54" t="n"/>
      <c r="F2007" s="54" t="n"/>
      <c r="G2007" s="65" t="n"/>
      <c r="H2007" s="54" t="n"/>
      <c r="I2007" s="106">
        <f>IF($C2007="","",IFERROR(INDEX(Sens_Types,MATCH($C2007,Liste_Types,0)),""))</f>
        <v/>
      </c>
      <c r="J2007" s="107">
        <f>IF($I2007="▲ ENTRÉE",$U2007,"")</f>
        <v/>
      </c>
      <c r="K2007" s="108">
        <f>IF($I2007="▼ SORTIE",$U2007,"")</f>
        <v/>
      </c>
      <c r="L2007" s="109">
        <f>$L2006+N($J2007)-N($K2007)</f>
        <v/>
      </c>
      <c r="M2007" s="110" t="n"/>
      <c r="N2007" s="54" t="n"/>
      <c r="O2007" s="54" t="n"/>
      <c r="P2007" s="54" t="n"/>
      <c r="Q2007" s="110" t="n"/>
      <c r="R2007" s="110" t="n"/>
      <c r="S2007" s="54" t="n"/>
      <c r="T2007" s="111">
        <f>IF($G2007="","",IFERROR(INDEX(Taux_Devises,MATCH(IF($M2007="",Devise_Base,$M2007),Codes_Devises,0)),1))</f>
        <v/>
      </c>
      <c r="U2007" s="112">
        <f>IF($G2007="","",ROUND($G2007*$T2007,2))</f>
        <v/>
      </c>
      <c r="V2007" s="113">
        <f>IF($B2007="","",MONTH($B2007))</f>
        <v/>
      </c>
      <c r="W2007" s="113">
        <f>IF($B2007="","",YEAR($B2007))</f>
        <v/>
      </c>
    </row>
    <row r="2008">
      <c r="B2008" s="105" t="n"/>
      <c r="C2008" s="54" t="n"/>
      <c r="D2008" s="54" t="n"/>
      <c r="E2008" s="54" t="n"/>
      <c r="F2008" s="54" t="n"/>
      <c r="G2008" s="65" t="n"/>
      <c r="H2008" s="54" t="n"/>
      <c r="I2008" s="106">
        <f>IF($C2008="","",IFERROR(INDEX(Sens_Types,MATCH($C2008,Liste_Types,0)),""))</f>
        <v/>
      </c>
      <c r="J2008" s="107">
        <f>IF($I2008="▲ ENTRÉE",$U2008,"")</f>
        <v/>
      </c>
      <c r="K2008" s="108">
        <f>IF($I2008="▼ SORTIE",$U2008,"")</f>
        <v/>
      </c>
      <c r="L2008" s="109">
        <f>$L2007+N($J2008)-N($K2008)</f>
        <v/>
      </c>
      <c r="M2008" s="110" t="n"/>
      <c r="N2008" s="54" t="n"/>
      <c r="O2008" s="54" t="n"/>
      <c r="P2008" s="54" t="n"/>
      <c r="Q2008" s="110" t="n"/>
      <c r="R2008" s="110" t="n"/>
      <c r="S2008" s="54" t="n"/>
      <c r="T2008" s="111">
        <f>IF($G2008="","",IFERROR(INDEX(Taux_Devises,MATCH(IF($M2008="",Devise_Base,$M2008),Codes_Devises,0)),1))</f>
        <v/>
      </c>
      <c r="U2008" s="112">
        <f>IF($G2008="","",ROUND($G2008*$T2008,2))</f>
        <v/>
      </c>
      <c r="V2008" s="113">
        <f>IF($B2008="","",MONTH($B2008))</f>
        <v/>
      </c>
      <c r="W2008" s="113">
        <f>IF($B2008="","",YEAR($B2008))</f>
        <v/>
      </c>
    </row>
    <row r="2009">
      <c r="B2009" s="105" t="n"/>
      <c r="C2009" s="54" t="n"/>
      <c r="D2009" s="54" t="n"/>
      <c r="E2009" s="54" t="n"/>
      <c r="F2009" s="54" t="n"/>
      <c r="G2009" s="65" t="n"/>
      <c r="H2009" s="54" t="n"/>
      <c r="I2009" s="106">
        <f>IF($C2009="","",IFERROR(INDEX(Sens_Types,MATCH($C2009,Liste_Types,0)),""))</f>
        <v/>
      </c>
      <c r="J2009" s="107">
        <f>IF($I2009="▲ ENTRÉE",$U2009,"")</f>
        <v/>
      </c>
      <c r="K2009" s="108">
        <f>IF($I2009="▼ SORTIE",$U2009,"")</f>
        <v/>
      </c>
      <c r="L2009" s="109">
        <f>$L2008+N($J2009)-N($K2009)</f>
        <v/>
      </c>
      <c r="M2009" s="110" t="n"/>
      <c r="N2009" s="54" t="n"/>
      <c r="O2009" s="54" t="n"/>
      <c r="P2009" s="54" t="n"/>
      <c r="Q2009" s="110" t="n"/>
      <c r="R2009" s="110" t="n"/>
      <c r="S2009" s="54" t="n"/>
      <c r="T2009" s="111">
        <f>IF($G2009="","",IFERROR(INDEX(Taux_Devises,MATCH(IF($M2009="",Devise_Base,$M2009),Codes_Devises,0)),1))</f>
        <v/>
      </c>
      <c r="U2009" s="112">
        <f>IF($G2009="","",ROUND($G2009*$T2009,2))</f>
        <v/>
      </c>
      <c r="V2009" s="113">
        <f>IF($B2009="","",MONTH($B2009))</f>
        <v/>
      </c>
      <c r="W2009" s="113">
        <f>IF($B2009="","",YEAR($B2009))</f>
        <v/>
      </c>
    </row>
    <row r="2010">
      <c r="B2010" s="105" t="n"/>
      <c r="C2010" s="54" t="n"/>
      <c r="D2010" s="54" t="n"/>
      <c r="E2010" s="54" t="n"/>
      <c r="F2010" s="54" t="n"/>
      <c r="G2010" s="65" t="n"/>
      <c r="H2010" s="54" t="n"/>
      <c r="I2010" s="106">
        <f>IF($C2010="","",IFERROR(INDEX(Sens_Types,MATCH($C2010,Liste_Types,0)),""))</f>
        <v/>
      </c>
      <c r="J2010" s="107">
        <f>IF($I2010="▲ ENTRÉE",$U2010,"")</f>
        <v/>
      </c>
      <c r="K2010" s="108">
        <f>IF($I2010="▼ SORTIE",$U2010,"")</f>
        <v/>
      </c>
      <c r="L2010" s="109">
        <f>$L2009+N($J2010)-N($K2010)</f>
        <v/>
      </c>
      <c r="M2010" s="110" t="n"/>
      <c r="N2010" s="54" t="n"/>
      <c r="O2010" s="54" t="n"/>
      <c r="P2010" s="54" t="n"/>
      <c r="Q2010" s="110" t="n"/>
      <c r="R2010" s="110" t="n"/>
      <c r="S2010" s="54" t="n"/>
      <c r="T2010" s="111">
        <f>IF($G2010="","",IFERROR(INDEX(Taux_Devises,MATCH(IF($M2010="",Devise_Base,$M2010),Codes_Devises,0)),1))</f>
        <v/>
      </c>
      <c r="U2010" s="112">
        <f>IF($G2010="","",ROUND($G2010*$T2010,2))</f>
        <v/>
      </c>
      <c r="V2010" s="113">
        <f>IF($B2010="","",MONTH($B2010))</f>
        <v/>
      </c>
      <c r="W2010" s="113">
        <f>IF($B2010="","",YEAR($B2010))</f>
        <v/>
      </c>
    </row>
    <row r="2011">
      <c r="B2011" s="105" t="n"/>
      <c r="C2011" s="54" t="n"/>
      <c r="D2011" s="54" t="n"/>
      <c r="E2011" s="54" t="n"/>
      <c r="F2011" s="54" t="n"/>
      <c r="G2011" s="65" t="n"/>
      <c r="H2011" s="54" t="n"/>
      <c r="I2011" s="106">
        <f>IF($C2011="","",IFERROR(INDEX(Sens_Types,MATCH($C2011,Liste_Types,0)),""))</f>
        <v/>
      </c>
      <c r="J2011" s="107">
        <f>IF($I2011="▲ ENTRÉE",$U2011,"")</f>
        <v/>
      </c>
      <c r="K2011" s="108">
        <f>IF($I2011="▼ SORTIE",$U2011,"")</f>
        <v/>
      </c>
      <c r="L2011" s="109">
        <f>$L2010+N($J2011)-N($K2011)</f>
        <v/>
      </c>
      <c r="M2011" s="110" t="n"/>
      <c r="N2011" s="54" t="n"/>
      <c r="O2011" s="54" t="n"/>
      <c r="P2011" s="54" t="n"/>
      <c r="Q2011" s="110" t="n"/>
      <c r="R2011" s="110" t="n"/>
      <c r="S2011" s="54" t="n"/>
      <c r="T2011" s="111">
        <f>IF($G2011="","",IFERROR(INDEX(Taux_Devises,MATCH(IF($M2011="",Devise_Base,$M2011),Codes_Devises,0)),1))</f>
        <v/>
      </c>
      <c r="U2011" s="112">
        <f>IF($G2011="","",ROUND($G2011*$T2011,2))</f>
        <v/>
      </c>
      <c r="V2011" s="113">
        <f>IF($B2011="","",MONTH($B2011))</f>
        <v/>
      </c>
      <c r="W2011" s="113">
        <f>IF($B2011="","",YEAR($B2011))</f>
        <v/>
      </c>
    </row>
    <row r="2012">
      <c r="B2012" s="105" t="n"/>
      <c r="C2012" s="54" t="n"/>
      <c r="D2012" s="54" t="n"/>
      <c r="E2012" s="54" t="n"/>
      <c r="F2012" s="54" t="n"/>
      <c r="G2012" s="65" t="n"/>
      <c r="H2012" s="54" t="n"/>
      <c r="I2012" s="106">
        <f>IF($C2012="","",IFERROR(INDEX(Sens_Types,MATCH($C2012,Liste_Types,0)),""))</f>
        <v/>
      </c>
      <c r="J2012" s="107">
        <f>IF($I2012="▲ ENTRÉE",$U2012,"")</f>
        <v/>
      </c>
      <c r="K2012" s="108">
        <f>IF($I2012="▼ SORTIE",$U2012,"")</f>
        <v/>
      </c>
      <c r="L2012" s="109">
        <f>$L2011+N($J2012)-N($K2012)</f>
        <v/>
      </c>
      <c r="M2012" s="110" t="n"/>
      <c r="N2012" s="54" t="n"/>
      <c r="O2012" s="54" t="n"/>
      <c r="P2012" s="54" t="n"/>
      <c r="Q2012" s="110" t="n"/>
      <c r="R2012" s="110" t="n"/>
      <c r="S2012" s="54" t="n"/>
      <c r="T2012" s="111">
        <f>IF($G2012="","",IFERROR(INDEX(Taux_Devises,MATCH(IF($M2012="",Devise_Base,$M2012),Codes_Devises,0)),1))</f>
        <v/>
      </c>
      <c r="U2012" s="112">
        <f>IF($G2012="","",ROUND($G2012*$T2012,2))</f>
        <v/>
      </c>
      <c r="V2012" s="113">
        <f>IF($B2012="","",MONTH($B2012))</f>
        <v/>
      </c>
      <c r="W2012" s="113">
        <f>IF($B2012="","",YEAR($B2012))</f>
        <v/>
      </c>
    </row>
    <row r="2013">
      <c r="B2013" s="105" t="n"/>
      <c r="C2013" s="54" t="n"/>
      <c r="D2013" s="54" t="n"/>
      <c r="E2013" s="54" t="n"/>
      <c r="F2013" s="54" t="n"/>
      <c r="G2013" s="65" t="n"/>
      <c r="H2013" s="54" t="n"/>
      <c r="I2013" s="106">
        <f>IF($C2013="","",IFERROR(INDEX(Sens_Types,MATCH($C2013,Liste_Types,0)),""))</f>
        <v/>
      </c>
      <c r="J2013" s="107">
        <f>IF($I2013="▲ ENTRÉE",$U2013,"")</f>
        <v/>
      </c>
      <c r="K2013" s="108">
        <f>IF($I2013="▼ SORTIE",$U2013,"")</f>
        <v/>
      </c>
      <c r="L2013" s="109">
        <f>$L2012+N($J2013)-N($K2013)</f>
        <v/>
      </c>
      <c r="M2013" s="110" t="n"/>
      <c r="N2013" s="54" t="n"/>
      <c r="O2013" s="54" t="n"/>
      <c r="P2013" s="54" t="n"/>
      <c r="Q2013" s="110" t="n"/>
      <c r="R2013" s="110" t="n"/>
      <c r="S2013" s="54" t="n"/>
      <c r="T2013" s="111">
        <f>IF($G2013="","",IFERROR(INDEX(Taux_Devises,MATCH(IF($M2013="",Devise_Base,$M2013),Codes_Devises,0)),1))</f>
        <v/>
      </c>
      <c r="U2013" s="112">
        <f>IF($G2013="","",ROUND($G2013*$T2013,2))</f>
        <v/>
      </c>
      <c r="V2013" s="113">
        <f>IF($B2013="","",MONTH($B2013))</f>
        <v/>
      </c>
      <c r="W2013" s="113">
        <f>IF($B2013="","",YEAR($B2013))</f>
        <v/>
      </c>
    </row>
    <row r="2014">
      <c r="B2014" s="105" t="n"/>
      <c r="C2014" s="54" t="n"/>
      <c r="D2014" s="54" t="n"/>
      <c r="E2014" s="54" t="n"/>
      <c r="F2014" s="54" t="n"/>
      <c r="G2014" s="65" t="n"/>
      <c r="H2014" s="54" t="n"/>
      <c r="I2014" s="106">
        <f>IF($C2014="","",IFERROR(INDEX(Sens_Types,MATCH($C2014,Liste_Types,0)),""))</f>
        <v/>
      </c>
      <c r="J2014" s="107">
        <f>IF($I2014="▲ ENTRÉE",$U2014,"")</f>
        <v/>
      </c>
      <c r="K2014" s="108">
        <f>IF($I2014="▼ SORTIE",$U2014,"")</f>
        <v/>
      </c>
      <c r="L2014" s="109">
        <f>$L2013+N($J2014)-N($K2014)</f>
        <v/>
      </c>
      <c r="M2014" s="110" t="n"/>
      <c r="N2014" s="54" t="n"/>
      <c r="O2014" s="54" t="n"/>
      <c r="P2014" s="54" t="n"/>
      <c r="Q2014" s="110" t="n"/>
      <c r="R2014" s="110" t="n"/>
      <c r="S2014" s="54" t="n"/>
      <c r="T2014" s="111">
        <f>IF($G2014="","",IFERROR(INDEX(Taux_Devises,MATCH(IF($M2014="",Devise_Base,$M2014),Codes_Devises,0)),1))</f>
        <v/>
      </c>
      <c r="U2014" s="112">
        <f>IF($G2014="","",ROUND($G2014*$T2014,2))</f>
        <v/>
      </c>
      <c r="V2014" s="113">
        <f>IF($B2014="","",MONTH($B2014))</f>
        <v/>
      </c>
      <c r="W2014" s="113">
        <f>IF($B2014="","",YEAR($B2014))</f>
        <v/>
      </c>
    </row>
    <row r="2015">
      <c r="B2015" s="105" t="n"/>
      <c r="C2015" s="54" t="n"/>
      <c r="D2015" s="54" t="n"/>
      <c r="E2015" s="54" t="n"/>
      <c r="F2015" s="54" t="n"/>
      <c r="G2015" s="65" t="n"/>
      <c r="H2015" s="54" t="n"/>
      <c r="I2015" s="106">
        <f>IF($C2015="","",IFERROR(INDEX(Sens_Types,MATCH($C2015,Liste_Types,0)),""))</f>
        <v/>
      </c>
      <c r="J2015" s="107">
        <f>IF($I2015="▲ ENTRÉE",$U2015,"")</f>
        <v/>
      </c>
      <c r="K2015" s="108">
        <f>IF($I2015="▼ SORTIE",$U2015,"")</f>
        <v/>
      </c>
      <c r="L2015" s="109">
        <f>$L2014+N($J2015)-N($K2015)</f>
        <v/>
      </c>
      <c r="M2015" s="110" t="n"/>
      <c r="N2015" s="54" t="n"/>
      <c r="O2015" s="54" t="n"/>
      <c r="P2015" s="54" t="n"/>
      <c r="Q2015" s="110" t="n"/>
      <c r="R2015" s="110" t="n"/>
      <c r="S2015" s="54" t="n"/>
      <c r="T2015" s="111">
        <f>IF($G2015="","",IFERROR(INDEX(Taux_Devises,MATCH(IF($M2015="",Devise_Base,$M2015),Codes_Devises,0)),1))</f>
        <v/>
      </c>
      <c r="U2015" s="112">
        <f>IF($G2015="","",ROUND($G2015*$T2015,2))</f>
        <v/>
      </c>
      <c r="V2015" s="113">
        <f>IF($B2015="","",MONTH($B2015))</f>
        <v/>
      </c>
      <c r="W2015" s="113">
        <f>IF($B2015="","",YEAR($B2015))</f>
        <v/>
      </c>
    </row>
    <row r="2016">
      <c r="B2016" s="105" t="n"/>
      <c r="C2016" s="54" t="n"/>
      <c r="D2016" s="54" t="n"/>
      <c r="E2016" s="54" t="n"/>
      <c r="F2016" s="54" t="n"/>
      <c r="G2016" s="65" t="n"/>
      <c r="H2016" s="54" t="n"/>
      <c r="I2016" s="106">
        <f>IF($C2016="","",IFERROR(INDEX(Sens_Types,MATCH($C2016,Liste_Types,0)),""))</f>
        <v/>
      </c>
      <c r="J2016" s="107">
        <f>IF($I2016="▲ ENTRÉE",$U2016,"")</f>
        <v/>
      </c>
      <c r="K2016" s="108">
        <f>IF($I2016="▼ SORTIE",$U2016,"")</f>
        <v/>
      </c>
      <c r="L2016" s="109">
        <f>$L2015+N($J2016)-N($K2016)</f>
        <v/>
      </c>
      <c r="M2016" s="110" t="n"/>
      <c r="N2016" s="54" t="n"/>
      <c r="O2016" s="54" t="n"/>
      <c r="P2016" s="54" t="n"/>
      <c r="Q2016" s="110" t="n"/>
      <c r="R2016" s="110" t="n"/>
      <c r="S2016" s="54" t="n"/>
      <c r="T2016" s="111">
        <f>IF($G2016="","",IFERROR(INDEX(Taux_Devises,MATCH(IF($M2016="",Devise_Base,$M2016),Codes_Devises,0)),1))</f>
        <v/>
      </c>
      <c r="U2016" s="112">
        <f>IF($G2016="","",ROUND($G2016*$T2016,2))</f>
        <v/>
      </c>
      <c r="V2016" s="113">
        <f>IF($B2016="","",MONTH($B2016))</f>
        <v/>
      </c>
      <c r="W2016" s="113">
        <f>IF($B2016="","",YEAR($B2016))</f>
        <v/>
      </c>
    </row>
    <row r="2017">
      <c r="B2017" s="105" t="n"/>
      <c r="C2017" s="54" t="n"/>
      <c r="D2017" s="54" t="n"/>
      <c r="E2017" s="54" t="n"/>
      <c r="F2017" s="54" t="n"/>
      <c r="G2017" s="65" t="n"/>
      <c r="H2017" s="54" t="n"/>
      <c r="I2017" s="106">
        <f>IF($C2017="","",IFERROR(INDEX(Sens_Types,MATCH($C2017,Liste_Types,0)),""))</f>
        <v/>
      </c>
      <c r="J2017" s="107">
        <f>IF($I2017="▲ ENTRÉE",$U2017,"")</f>
        <v/>
      </c>
      <c r="K2017" s="108">
        <f>IF($I2017="▼ SORTIE",$U2017,"")</f>
        <v/>
      </c>
      <c r="L2017" s="109">
        <f>$L2016+N($J2017)-N($K2017)</f>
        <v/>
      </c>
      <c r="M2017" s="110" t="n"/>
      <c r="N2017" s="54" t="n"/>
      <c r="O2017" s="54" t="n"/>
      <c r="P2017" s="54" t="n"/>
      <c r="Q2017" s="110" t="n"/>
      <c r="R2017" s="110" t="n"/>
      <c r="S2017" s="54" t="n"/>
      <c r="T2017" s="111">
        <f>IF($G2017="","",IFERROR(INDEX(Taux_Devises,MATCH(IF($M2017="",Devise_Base,$M2017),Codes_Devises,0)),1))</f>
        <v/>
      </c>
      <c r="U2017" s="112">
        <f>IF($G2017="","",ROUND($G2017*$T2017,2))</f>
        <v/>
      </c>
      <c r="V2017" s="113">
        <f>IF($B2017="","",MONTH($B2017))</f>
        <v/>
      </c>
      <c r="W2017" s="113">
        <f>IF($B2017="","",YEAR($B2017))</f>
        <v/>
      </c>
    </row>
    <row r="2018">
      <c r="B2018" s="105" t="n"/>
      <c r="C2018" s="54" t="n"/>
      <c r="D2018" s="54" t="n"/>
      <c r="E2018" s="54" t="n"/>
      <c r="F2018" s="54" t="n"/>
      <c r="G2018" s="65" t="n"/>
      <c r="H2018" s="54" t="n"/>
      <c r="I2018" s="106">
        <f>IF($C2018="","",IFERROR(INDEX(Sens_Types,MATCH($C2018,Liste_Types,0)),""))</f>
        <v/>
      </c>
      <c r="J2018" s="107">
        <f>IF($I2018="▲ ENTRÉE",$U2018,"")</f>
        <v/>
      </c>
      <c r="K2018" s="108">
        <f>IF($I2018="▼ SORTIE",$U2018,"")</f>
        <v/>
      </c>
      <c r="L2018" s="109">
        <f>$L2017+N($J2018)-N($K2018)</f>
        <v/>
      </c>
      <c r="M2018" s="110" t="n"/>
      <c r="N2018" s="54" t="n"/>
      <c r="O2018" s="54" t="n"/>
      <c r="P2018" s="54" t="n"/>
      <c r="Q2018" s="110" t="n"/>
      <c r="R2018" s="110" t="n"/>
      <c r="S2018" s="54" t="n"/>
      <c r="T2018" s="111">
        <f>IF($G2018="","",IFERROR(INDEX(Taux_Devises,MATCH(IF($M2018="",Devise_Base,$M2018),Codes_Devises,0)),1))</f>
        <v/>
      </c>
      <c r="U2018" s="112">
        <f>IF($G2018="","",ROUND($G2018*$T2018,2))</f>
        <v/>
      </c>
      <c r="V2018" s="113">
        <f>IF($B2018="","",MONTH($B2018))</f>
        <v/>
      </c>
      <c r="W2018" s="113">
        <f>IF($B2018="","",YEAR($B2018))</f>
        <v/>
      </c>
    </row>
    <row r="2019">
      <c r="B2019" s="105" t="n"/>
      <c r="C2019" s="54" t="n"/>
      <c r="D2019" s="54" t="n"/>
      <c r="E2019" s="54" t="n"/>
      <c r="F2019" s="54" t="n"/>
      <c r="G2019" s="65" t="n"/>
      <c r="H2019" s="54" t="n"/>
      <c r="I2019" s="106">
        <f>IF($C2019="","",IFERROR(INDEX(Sens_Types,MATCH($C2019,Liste_Types,0)),""))</f>
        <v/>
      </c>
      <c r="J2019" s="107">
        <f>IF($I2019="▲ ENTRÉE",$U2019,"")</f>
        <v/>
      </c>
      <c r="K2019" s="108">
        <f>IF($I2019="▼ SORTIE",$U2019,"")</f>
        <v/>
      </c>
      <c r="L2019" s="109">
        <f>$L2018+N($J2019)-N($K2019)</f>
        <v/>
      </c>
      <c r="M2019" s="110" t="n"/>
      <c r="N2019" s="54" t="n"/>
      <c r="O2019" s="54" t="n"/>
      <c r="P2019" s="54" t="n"/>
      <c r="Q2019" s="110" t="n"/>
      <c r="R2019" s="110" t="n"/>
      <c r="S2019" s="54" t="n"/>
      <c r="T2019" s="111">
        <f>IF($G2019="","",IFERROR(INDEX(Taux_Devises,MATCH(IF($M2019="",Devise_Base,$M2019),Codes_Devises,0)),1))</f>
        <v/>
      </c>
      <c r="U2019" s="112">
        <f>IF($G2019="","",ROUND($G2019*$T2019,2))</f>
        <v/>
      </c>
      <c r="V2019" s="113">
        <f>IF($B2019="","",MONTH($B2019))</f>
        <v/>
      </c>
      <c r="W2019" s="113">
        <f>IF($B2019="","",YEAR($B2019))</f>
        <v/>
      </c>
    </row>
    <row r="2020">
      <c r="B2020" s="105" t="n"/>
      <c r="C2020" s="54" t="n"/>
      <c r="D2020" s="54" t="n"/>
      <c r="E2020" s="54" t="n"/>
      <c r="F2020" s="54" t="n"/>
      <c r="G2020" s="65" t="n"/>
      <c r="H2020" s="54" t="n"/>
      <c r="I2020" s="106">
        <f>IF($C2020="","",IFERROR(INDEX(Sens_Types,MATCH($C2020,Liste_Types,0)),""))</f>
        <v/>
      </c>
      <c r="J2020" s="107">
        <f>IF($I2020="▲ ENTRÉE",$U2020,"")</f>
        <v/>
      </c>
      <c r="K2020" s="108">
        <f>IF($I2020="▼ SORTIE",$U2020,"")</f>
        <v/>
      </c>
      <c r="L2020" s="109">
        <f>$L2019+N($J2020)-N($K2020)</f>
        <v/>
      </c>
      <c r="M2020" s="110" t="n"/>
      <c r="N2020" s="54" t="n"/>
      <c r="O2020" s="54" t="n"/>
      <c r="P2020" s="54" t="n"/>
      <c r="Q2020" s="110" t="n"/>
      <c r="R2020" s="110" t="n"/>
      <c r="S2020" s="54" t="n"/>
      <c r="T2020" s="111">
        <f>IF($G2020="","",IFERROR(INDEX(Taux_Devises,MATCH(IF($M2020="",Devise_Base,$M2020),Codes_Devises,0)),1))</f>
        <v/>
      </c>
      <c r="U2020" s="112">
        <f>IF($G2020="","",ROUND($G2020*$T2020,2))</f>
        <v/>
      </c>
      <c r="V2020" s="113">
        <f>IF($B2020="","",MONTH($B2020))</f>
        <v/>
      </c>
      <c r="W2020" s="113">
        <f>IF($B2020="","",YEAR($B2020))</f>
        <v/>
      </c>
    </row>
    <row r="2021">
      <c r="B2021" s="105" t="n"/>
      <c r="C2021" s="54" t="n"/>
      <c r="D2021" s="54" t="n"/>
      <c r="E2021" s="54" t="n"/>
      <c r="F2021" s="54" t="n"/>
      <c r="G2021" s="65" t="n"/>
      <c r="H2021" s="54" t="n"/>
      <c r="I2021" s="106">
        <f>IF($C2021="","",IFERROR(INDEX(Sens_Types,MATCH($C2021,Liste_Types,0)),""))</f>
        <v/>
      </c>
      <c r="J2021" s="107">
        <f>IF($I2021="▲ ENTRÉE",$U2021,"")</f>
        <v/>
      </c>
      <c r="K2021" s="108">
        <f>IF($I2021="▼ SORTIE",$U2021,"")</f>
        <v/>
      </c>
      <c r="L2021" s="109">
        <f>$L2020+N($J2021)-N($K2021)</f>
        <v/>
      </c>
      <c r="M2021" s="110" t="n"/>
      <c r="N2021" s="54" t="n"/>
      <c r="O2021" s="54" t="n"/>
      <c r="P2021" s="54" t="n"/>
      <c r="Q2021" s="110" t="n"/>
      <c r="R2021" s="110" t="n"/>
      <c r="S2021" s="54" t="n"/>
      <c r="T2021" s="111">
        <f>IF($G2021="","",IFERROR(INDEX(Taux_Devises,MATCH(IF($M2021="",Devise_Base,$M2021),Codes_Devises,0)),1))</f>
        <v/>
      </c>
      <c r="U2021" s="112">
        <f>IF($G2021="","",ROUND($G2021*$T2021,2))</f>
        <v/>
      </c>
      <c r="V2021" s="113">
        <f>IF($B2021="","",MONTH($B2021))</f>
        <v/>
      </c>
      <c r="W2021" s="113">
        <f>IF($B2021="","",YEAR($B2021))</f>
        <v/>
      </c>
    </row>
    <row r="2022">
      <c r="B2022" s="105" t="n"/>
      <c r="C2022" s="54" t="n"/>
      <c r="D2022" s="54" t="n"/>
      <c r="E2022" s="54" t="n"/>
      <c r="F2022" s="54" t="n"/>
      <c r="G2022" s="65" t="n"/>
      <c r="H2022" s="54" t="n"/>
      <c r="I2022" s="106">
        <f>IF($C2022="","",IFERROR(INDEX(Sens_Types,MATCH($C2022,Liste_Types,0)),""))</f>
        <v/>
      </c>
      <c r="J2022" s="107">
        <f>IF($I2022="▲ ENTRÉE",$U2022,"")</f>
        <v/>
      </c>
      <c r="K2022" s="108">
        <f>IF($I2022="▼ SORTIE",$U2022,"")</f>
        <v/>
      </c>
      <c r="L2022" s="109">
        <f>$L2021+N($J2022)-N($K2022)</f>
        <v/>
      </c>
      <c r="M2022" s="110" t="n"/>
      <c r="N2022" s="54" t="n"/>
      <c r="O2022" s="54" t="n"/>
      <c r="P2022" s="54" t="n"/>
      <c r="Q2022" s="110" t="n"/>
      <c r="R2022" s="110" t="n"/>
      <c r="S2022" s="54" t="n"/>
      <c r="T2022" s="111">
        <f>IF($G2022="","",IFERROR(INDEX(Taux_Devises,MATCH(IF($M2022="",Devise_Base,$M2022),Codes_Devises,0)),1))</f>
        <v/>
      </c>
      <c r="U2022" s="112">
        <f>IF($G2022="","",ROUND($G2022*$T2022,2))</f>
        <v/>
      </c>
      <c r="V2022" s="113">
        <f>IF($B2022="","",MONTH($B2022))</f>
        <v/>
      </c>
      <c r="W2022" s="113">
        <f>IF($B2022="","",YEAR($B2022))</f>
        <v/>
      </c>
    </row>
    <row r="2023">
      <c r="B2023" s="105" t="n"/>
      <c r="C2023" s="54" t="n"/>
      <c r="D2023" s="54" t="n"/>
      <c r="E2023" s="54" t="n"/>
      <c r="F2023" s="54" t="n"/>
      <c r="G2023" s="65" t="n"/>
      <c r="H2023" s="54" t="n"/>
      <c r="I2023" s="106">
        <f>IF($C2023="","",IFERROR(INDEX(Sens_Types,MATCH($C2023,Liste_Types,0)),""))</f>
        <v/>
      </c>
      <c r="J2023" s="107">
        <f>IF($I2023="▲ ENTRÉE",$U2023,"")</f>
        <v/>
      </c>
      <c r="K2023" s="108">
        <f>IF($I2023="▼ SORTIE",$U2023,"")</f>
        <v/>
      </c>
      <c r="L2023" s="109">
        <f>$L2022+N($J2023)-N($K2023)</f>
        <v/>
      </c>
      <c r="M2023" s="110" t="n"/>
      <c r="N2023" s="54" t="n"/>
      <c r="O2023" s="54" t="n"/>
      <c r="P2023" s="54" t="n"/>
      <c r="Q2023" s="110" t="n"/>
      <c r="R2023" s="110" t="n"/>
      <c r="S2023" s="54" t="n"/>
      <c r="T2023" s="111">
        <f>IF($G2023="","",IFERROR(INDEX(Taux_Devises,MATCH(IF($M2023="",Devise_Base,$M2023),Codes_Devises,0)),1))</f>
        <v/>
      </c>
      <c r="U2023" s="112">
        <f>IF($G2023="","",ROUND($G2023*$T2023,2))</f>
        <v/>
      </c>
      <c r="V2023" s="113">
        <f>IF($B2023="","",MONTH($B2023))</f>
        <v/>
      </c>
      <c r="W2023" s="113">
        <f>IF($B2023="","",YEAR($B2023))</f>
        <v/>
      </c>
    </row>
    <row r="2024">
      <c r="B2024" s="105" t="n"/>
      <c r="C2024" s="54" t="n"/>
      <c r="D2024" s="54" t="n"/>
      <c r="E2024" s="54" t="n"/>
      <c r="F2024" s="54" t="n"/>
      <c r="G2024" s="65" t="n"/>
      <c r="H2024" s="54" t="n"/>
      <c r="I2024" s="106">
        <f>IF($C2024="","",IFERROR(INDEX(Sens_Types,MATCH($C2024,Liste_Types,0)),""))</f>
        <v/>
      </c>
      <c r="J2024" s="107">
        <f>IF($I2024="▲ ENTRÉE",$U2024,"")</f>
        <v/>
      </c>
      <c r="K2024" s="108">
        <f>IF($I2024="▼ SORTIE",$U2024,"")</f>
        <v/>
      </c>
      <c r="L2024" s="109">
        <f>$L2023+N($J2024)-N($K2024)</f>
        <v/>
      </c>
      <c r="M2024" s="110" t="n"/>
      <c r="N2024" s="54" t="n"/>
      <c r="O2024" s="54" t="n"/>
      <c r="P2024" s="54" t="n"/>
      <c r="Q2024" s="110" t="n"/>
      <c r="R2024" s="110" t="n"/>
      <c r="S2024" s="54" t="n"/>
      <c r="T2024" s="111">
        <f>IF($G2024="","",IFERROR(INDEX(Taux_Devises,MATCH(IF($M2024="",Devise_Base,$M2024),Codes_Devises,0)),1))</f>
        <v/>
      </c>
      <c r="U2024" s="112">
        <f>IF($G2024="","",ROUND($G2024*$T2024,2))</f>
        <v/>
      </c>
      <c r="V2024" s="113">
        <f>IF($B2024="","",MONTH($B2024))</f>
        <v/>
      </c>
      <c r="W2024" s="113">
        <f>IF($B2024="","",YEAR($B2024))</f>
        <v/>
      </c>
    </row>
    <row r="2025">
      <c r="B2025" s="105" t="n"/>
      <c r="C2025" s="54" t="n"/>
      <c r="D2025" s="54" t="n"/>
      <c r="E2025" s="54" t="n"/>
      <c r="F2025" s="54" t="n"/>
      <c r="G2025" s="65" t="n"/>
      <c r="H2025" s="54" t="n"/>
      <c r="I2025" s="106">
        <f>IF($C2025="","",IFERROR(INDEX(Sens_Types,MATCH($C2025,Liste_Types,0)),""))</f>
        <v/>
      </c>
      <c r="J2025" s="107">
        <f>IF($I2025="▲ ENTRÉE",$U2025,"")</f>
        <v/>
      </c>
      <c r="K2025" s="108">
        <f>IF($I2025="▼ SORTIE",$U2025,"")</f>
        <v/>
      </c>
      <c r="L2025" s="109">
        <f>$L2024+N($J2025)-N($K2025)</f>
        <v/>
      </c>
      <c r="M2025" s="110" t="n"/>
      <c r="N2025" s="54" t="n"/>
      <c r="O2025" s="54" t="n"/>
      <c r="P2025" s="54" t="n"/>
      <c r="Q2025" s="110" t="n"/>
      <c r="R2025" s="110" t="n"/>
      <c r="S2025" s="54" t="n"/>
      <c r="T2025" s="111">
        <f>IF($G2025="","",IFERROR(INDEX(Taux_Devises,MATCH(IF($M2025="",Devise_Base,$M2025),Codes_Devises,0)),1))</f>
        <v/>
      </c>
      <c r="U2025" s="112">
        <f>IF($G2025="","",ROUND($G2025*$T2025,2))</f>
        <v/>
      </c>
      <c r="V2025" s="113">
        <f>IF($B2025="","",MONTH($B2025))</f>
        <v/>
      </c>
      <c r="W2025" s="113">
        <f>IF($B2025="","",YEAR($B2025))</f>
        <v/>
      </c>
    </row>
    <row r="2026">
      <c r="B2026" s="105" t="n"/>
      <c r="C2026" s="54" t="n"/>
      <c r="D2026" s="54" t="n"/>
      <c r="E2026" s="54" t="n"/>
      <c r="F2026" s="54" t="n"/>
      <c r="G2026" s="65" t="n"/>
      <c r="H2026" s="54" t="n"/>
      <c r="I2026" s="106">
        <f>IF($C2026="","",IFERROR(INDEX(Sens_Types,MATCH($C2026,Liste_Types,0)),""))</f>
        <v/>
      </c>
      <c r="J2026" s="107">
        <f>IF($I2026="▲ ENTRÉE",$U2026,"")</f>
        <v/>
      </c>
      <c r="K2026" s="108">
        <f>IF($I2026="▼ SORTIE",$U2026,"")</f>
        <v/>
      </c>
      <c r="L2026" s="109">
        <f>$L2025+N($J2026)-N($K2026)</f>
        <v/>
      </c>
      <c r="M2026" s="110" t="n"/>
      <c r="N2026" s="54" t="n"/>
      <c r="O2026" s="54" t="n"/>
      <c r="P2026" s="54" t="n"/>
      <c r="Q2026" s="110" t="n"/>
      <c r="R2026" s="110" t="n"/>
      <c r="S2026" s="54" t="n"/>
      <c r="T2026" s="111">
        <f>IF($G2026="","",IFERROR(INDEX(Taux_Devises,MATCH(IF($M2026="",Devise_Base,$M2026),Codes_Devises,0)),1))</f>
        <v/>
      </c>
      <c r="U2026" s="112">
        <f>IF($G2026="","",ROUND($G2026*$T2026,2))</f>
        <v/>
      </c>
      <c r="V2026" s="113">
        <f>IF($B2026="","",MONTH($B2026))</f>
        <v/>
      </c>
      <c r="W2026" s="113">
        <f>IF($B2026="","",YEAR($B2026))</f>
        <v/>
      </c>
    </row>
    <row r="2027">
      <c r="B2027" s="105" t="n"/>
      <c r="C2027" s="54" t="n"/>
      <c r="D2027" s="54" t="n"/>
      <c r="E2027" s="54" t="n"/>
      <c r="F2027" s="54" t="n"/>
      <c r="G2027" s="65" t="n"/>
      <c r="H2027" s="54" t="n"/>
      <c r="I2027" s="106">
        <f>IF($C2027="","",IFERROR(INDEX(Sens_Types,MATCH($C2027,Liste_Types,0)),""))</f>
        <v/>
      </c>
      <c r="J2027" s="107">
        <f>IF($I2027="▲ ENTRÉE",$U2027,"")</f>
        <v/>
      </c>
      <c r="K2027" s="108">
        <f>IF($I2027="▼ SORTIE",$U2027,"")</f>
        <v/>
      </c>
      <c r="L2027" s="109">
        <f>$L2026+N($J2027)-N($K2027)</f>
        <v/>
      </c>
      <c r="M2027" s="110" t="n"/>
      <c r="N2027" s="54" t="n"/>
      <c r="O2027" s="54" t="n"/>
      <c r="P2027" s="54" t="n"/>
      <c r="Q2027" s="110" t="n"/>
      <c r="R2027" s="110" t="n"/>
      <c r="S2027" s="54" t="n"/>
      <c r="T2027" s="111">
        <f>IF($G2027="","",IFERROR(INDEX(Taux_Devises,MATCH(IF($M2027="",Devise_Base,$M2027),Codes_Devises,0)),1))</f>
        <v/>
      </c>
      <c r="U2027" s="112">
        <f>IF($G2027="","",ROUND($G2027*$T2027,2))</f>
        <v/>
      </c>
      <c r="V2027" s="113">
        <f>IF($B2027="","",MONTH($B2027))</f>
        <v/>
      </c>
      <c r="W2027" s="113">
        <f>IF($B2027="","",YEAR($B2027))</f>
        <v/>
      </c>
    </row>
    <row r="2028">
      <c r="B2028" s="105" t="n"/>
      <c r="C2028" s="54" t="n"/>
      <c r="D2028" s="54" t="n"/>
      <c r="E2028" s="54" t="n"/>
      <c r="F2028" s="54" t="n"/>
      <c r="G2028" s="65" t="n"/>
      <c r="H2028" s="54" t="n"/>
      <c r="I2028" s="106">
        <f>IF($C2028="","",IFERROR(INDEX(Sens_Types,MATCH($C2028,Liste_Types,0)),""))</f>
        <v/>
      </c>
      <c r="J2028" s="107">
        <f>IF($I2028="▲ ENTRÉE",$U2028,"")</f>
        <v/>
      </c>
      <c r="K2028" s="108">
        <f>IF($I2028="▼ SORTIE",$U2028,"")</f>
        <v/>
      </c>
      <c r="L2028" s="109">
        <f>$L2027+N($J2028)-N($K2028)</f>
        <v/>
      </c>
      <c r="M2028" s="110" t="n"/>
      <c r="N2028" s="54" t="n"/>
      <c r="O2028" s="54" t="n"/>
      <c r="P2028" s="54" t="n"/>
      <c r="Q2028" s="110" t="n"/>
      <c r="R2028" s="110" t="n"/>
      <c r="S2028" s="54" t="n"/>
      <c r="T2028" s="111">
        <f>IF($G2028="","",IFERROR(INDEX(Taux_Devises,MATCH(IF($M2028="",Devise_Base,$M2028),Codes_Devises,0)),1))</f>
        <v/>
      </c>
      <c r="U2028" s="112">
        <f>IF($G2028="","",ROUND($G2028*$T2028,2))</f>
        <v/>
      </c>
      <c r="V2028" s="113">
        <f>IF($B2028="","",MONTH($B2028))</f>
        <v/>
      </c>
      <c r="W2028" s="113">
        <f>IF($B2028="","",YEAR($B2028))</f>
        <v/>
      </c>
    </row>
    <row r="2029">
      <c r="B2029" s="105" t="n"/>
      <c r="C2029" s="54" t="n"/>
      <c r="D2029" s="54" t="n"/>
      <c r="E2029" s="54" t="n"/>
      <c r="F2029" s="54" t="n"/>
      <c r="G2029" s="65" t="n"/>
      <c r="H2029" s="54" t="n"/>
      <c r="I2029" s="106">
        <f>IF($C2029="","",IFERROR(INDEX(Sens_Types,MATCH($C2029,Liste_Types,0)),""))</f>
        <v/>
      </c>
      <c r="J2029" s="107">
        <f>IF($I2029="▲ ENTRÉE",$U2029,"")</f>
        <v/>
      </c>
      <c r="K2029" s="108">
        <f>IF($I2029="▼ SORTIE",$U2029,"")</f>
        <v/>
      </c>
      <c r="L2029" s="109">
        <f>$L2028+N($J2029)-N($K2029)</f>
        <v/>
      </c>
      <c r="M2029" s="110" t="n"/>
      <c r="N2029" s="54" t="n"/>
      <c r="O2029" s="54" t="n"/>
      <c r="P2029" s="54" t="n"/>
      <c r="Q2029" s="110" t="n"/>
      <c r="R2029" s="110" t="n"/>
      <c r="S2029" s="54" t="n"/>
      <c r="T2029" s="111">
        <f>IF($G2029="","",IFERROR(INDEX(Taux_Devises,MATCH(IF($M2029="",Devise_Base,$M2029),Codes_Devises,0)),1))</f>
        <v/>
      </c>
      <c r="U2029" s="112">
        <f>IF($G2029="","",ROUND($G2029*$T2029,2))</f>
        <v/>
      </c>
      <c r="V2029" s="113">
        <f>IF($B2029="","",MONTH($B2029))</f>
        <v/>
      </c>
      <c r="W2029" s="113">
        <f>IF($B2029="","",YEAR($B2029))</f>
        <v/>
      </c>
    </row>
    <row r="2030">
      <c r="B2030" s="105" t="n"/>
      <c r="C2030" s="54" t="n"/>
      <c r="D2030" s="54" t="n"/>
      <c r="E2030" s="54" t="n"/>
      <c r="F2030" s="54" t="n"/>
      <c r="G2030" s="65" t="n"/>
      <c r="H2030" s="54" t="n"/>
      <c r="I2030" s="106">
        <f>IF($C2030="","",IFERROR(INDEX(Sens_Types,MATCH($C2030,Liste_Types,0)),""))</f>
        <v/>
      </c>
      <c r="J2030" s="107">
        <f>IF($I2030="▲ ENTRÉE",$U2030,"")</f>
        <v/>
      </c>
      <c r="K2030" s="108">
        <f>IF($I2030="▼ SORTIE",$U2030,"")</f>
        <v/>
      </c>
      <c r="L2030" s="109">
        <f>$L2029+N($J2030)-N($K2030)</f>
        <v/>
      </c>
      <c r="M2030" s="110" t="n"/>
      <c r="N2030" s="54" t="n"/>
      <c r="O2030" s="54" t="n"/>
      <c r="P2030" s="54" t="n"/>
      <c r="Q2030" s="110" t="n"/>
      <c r="R2030" s="110" t="n"/>
      <c r="S2030" s="54" t="n"/>
      <c r="T2030" s="111">
        <f>IF($G2030="","",IFERROR(INDEX(Taux_Devises,MATCH(IF($M2030="",Devise_Base,$M2030),Codes_Devises,0)),1))</f>
        <v/>
      </c>
      <c r="U2030" s="112">
        <f>IF($G2030="","",ROUND($G2030*$T2030,2))</f>
        <v/>
      </c>
      <c r="V2030" s="113">
        <f>IF($B2030="","",MONTH($B2030))</f>
        <v/>
      </c>
      <c r="W2030" s="113">
        <f>IF($B2030="","",YEAR($B2030))</f>
        <v/>
      </c>
    </row>
    <row r="2031">
      <c r="B2031" s="105" t="n"/>
      <c r="C2031" s="54" t="n"/>
      <c r="D2031" s="54" t="n"/>
      <c r="E2031" s="54" t="n"/>
      <c r="F2031" s="54" t="n"/>
      <c r="G2031" s="65" t="n"/>
      <c r="H2031" s="54" t="n"/>
      <c r="I2031" s="106">
        <f>IF($C2031="","",IFERROR(INDEX(Sens_Types,MATCH($C2031,Liste_Types,0)),""))</f>
        <v/>
      </c>
      <c r="J2031" s="107">
        <f>IF($I2031="▲ ENTRÉE",$U2031,"")</f>
        <v/>
      </c>
      <c r="K2031" s="108">
        <f>IF($I2031="▼ SORTIE",$U2031,"")</f>
        <v/>
      </c>
      <c r="L2031" s="109">
        <f>$L2030+N($J2031)-N($K2031)</f>
        <v/>
      </c>
      <c r="M2031" s="110" t="n"/>
      <c r="N2031" s="54" t="n"/>
      <c r="O2031" s="54" t="n"/>
      <c r="P2031" s="54" t="n"/>
      <c r="Q2031" s="110" t="n"/>
      <c r="R2031" s="110" t="n"/>
      <c r="S2031" s="54" t="n"/>
      <c r="T2031" s="111">
        <f>IF($G2031="","",IFERROR(INDEX(Taux_Devises,MATCH(IF($M2031="",Devise_Base,$M2031),Codes_Devises,0)),1))</f>
        <v/>
      </c>
      <c r="U2031" s="112">
        <f>IF($G2031="","",ROUND($G2031*$T2031,2))</f>
        <v/>
      </c>
      <c r="V2031" s="113">
        <f>IF($B2031="","",MONTH($B2031))</f>
        <v/>
      </c>
      <c r="W2031" s="113">
        <f>IF($B2031="","",YEAR($B2031))</f>
        <v/>
      </c>
    </row>
    <row r="2032">
      <c r="B2032" s="105" t="n"/>
      <c r="C2032" s="54" t="n"/>
      <c r="D2032" s="54" t="n"/>
      <c r="E2032" s="54" t="n"/>
      <c r="F2032" s="54" t="n"/>
      <c r="G2032" s="65" t="n"/>
      <c r="H2032" s="54" t="n"/>
      <c r="I2032" s="106">
        <f>IF($C2032="","",IFERROR(INDEX(Sens_Types,MATCH($C2032,Liste_Types,0)),""))</f>
        <v/>
      </c>
      <c r="J2032" s="107">
        <f>IF($I2032="▲ ENTRÉE",$U2032,"")</f>
        <v/>
      </c>
      <c r="K2032" s="108">
        <f>IF($I2032="▼ SORTIE",$U2032,"")</f>
        <v/>
      </c>
      <c r="L2032" s="109">
        <f>$L2031+N($J2032)-N($K2032)</f>
        <v/>
      </c>
      <c r="M2032" s="110" t="n"/>
      <c r="N2032" s="54" t="n"/>
      <c r="O2032" s="54" t="n"/>
      <c r="P2032" s="54" t="n"/>
      <c r="Q2032" s="110" t="n"/>
      <c r="R2032" s="110" t="n"/>
      <c r="S2032" s="54" t="n"/>
      <c r="T2032" s="111">
        <f>IF($G2032="","",IFERROR(INDEX(Taux_Devises,MATCH(IF($M2032="",Devise_Base,$M2032),Codes_Devises,0)),1))</f>
        <v/>
      </c>
      <c r="U2032" s="112">
        <f>IF($G2032="","",ROUND($G2032*$T2032,2))</f>
        <v/>
      </c>
      <c r="V2032" s="113">
        <f>IF($B2032="","",MONTH($B2032))</f>
        <v/>
      </c>
      <c r="W2032" s="113">
        <f>IF($B2032="","",YEAR($B2032))</f>
        <v/>
      </c>
    </row>
    <row r="2033">
      <c r="B2033" s="105" t="n"/>
      <c r="C2033" s="54" t="n"/>
      <c r="D2033" s="54" t="n"/>
      <c r="E2033" s="54" t="n"/>
      <c r="F2033" s="54" t="n"/>
      <c r="G2033" s="65" t="n"/>
      <c r="H2033" s="54" t="n"/>
      <c r="I2033" s="106">
        <f>IF($C2033="","",IFERROR(INDEX(Sens_Types,MATCH($C2033,Liste_Types,0)),""))</f>
        <v/>
      </c>
      <c r="J2033" s="107">
        <f>IF($I2033="▲ ENTRÉE",$U2033,"")</f>
        <v/>
      </c>
      <c r="K2033" s="108">
        <f>IF($I2033="▼ SORTIE",$U2033,"")</f>
        <v/>
      </c>
      <c r="L2033" s="109">
        <f>$L2032+N($J2033)-N($K2033)</f>
        <v/>
      </c>
      <c r="M2033" s="110" t="n"/>
      <c r="N2033" s="54" t="n"/>
      <c r="O2033" s="54" t="n"/>
      <c r="P2033" s="54" t="n"/>
      <c r="Q2033" s="110" t="n"/>
      <c r="R2033" s="110" t="n"/>
      <c r="S2033" s="54" t="n"/>
      <c r="T2033" s="111">
        <f>IF($G2033="","",IFERROR(INDEX(Taux_Devises,MATCH(IF($M2033="",Devise_Base,$M2033),Codes_Devises,0)),1))</f>
        <v/>
      </c>
      <c r="U2033" s="112">
        <f>IF($G2033="","",ROUND($G2033*$T2033,2))</f>
        <v/>
      </c>
      <c r="V2033" s="113">
        <f>IF($B2033="","",MONTH($B2033))</f>
        <v/>
      </c>
      <c r="W2033" s="113">
        <f>IF($B2033="","",YEAR($B2033))</f>
        <v/>
      </c>
    </row>
    <row r="2034">
      <c r="B2034" s="105" t="n"/>
      <c r="C2034" s="54" t="n"/>
      <c r="D2034" s="54" t="n"/>
      <c r="E2034" s="54" t="n"/>
      <c r="F2034" s="54" t="n"/>
      <c r="G2034" s="65" t="n"/>
      <c r="H2034" s="54" t="n"/>
      <c r="I2034" s="106">
        <f>IF($C2034="","",IFERROR(INDEX(Sens_Types,MATCH($C2034,Liste_Types,0)),""))</f>
        <v/>
      </c>
      <c r="J2034" s="107">
        <f>IF($I2034="▲ ENTRÉE",$U2034,"")</f>
        <v/>
      </c>
      <c r="K2034" s="108">
        <f>IF($I2034="▼ SORTIE",$U2034,"")</f>
        <v/>
      </c>
      <c r="L2034" s="109">
        <f>$L2033+N($J2034)-N($K2034)</f>
        <v/>
      </c>
      <c r="M2034" s="110" t="n"/>
      <c r="N2034" s="54" t="n"/>
      <c r="O2034" s="54" t="n"/>
      <c r="P2034" s="54" t="n"/>
      <c r="Q2034" s="110" t="n"/>
      <c r="R2034" s="110" t="n"/>
      <c r="S2034" s="54" t="n"/>
      <c r="T2034" s="111">
        <f>IF($G2034="","",IFERROR(INDEX(Taux_Devises,MATCH(IF($M2034="",Devise_Base,$M2034),Codes_Devises,0)),1))</f>
        <v/>
      </c>
      <c r="U2034" s="112">
        <f>IF($G2034="","",ROUND($G2034*$T2034,2))</f>
        <v/>
      </c>
      <c r="V2034" s="113">
        <f>IF($B2034="","",MONTH($B2034))</f>
        <v/>
      </c>
      <c r="W2034" s="113">
        <f>IF($B2034="","",YEAR($B2034))</f>
        <v/>
      </c>
    </row>
    <row r="2035">
      <c r="B2035" s="105" t="n"/>
      <c r="C2035" s="54" t="n"/>
      <c r="D2035" s="54" t="n"/>
      <c r="E2035" s="54" t="n"/>
      <c r="F2035" s="54" t="n"/>
      <c r="G2035" s="65" t="n"/>
      <c r="H2035" s="54" t="n"/>
      <c r="I2035" s="106">
        <f>IF($C2035="","",IFERROR(INDEX(Sens_Types,MATCH($C2035,Liste_Types,0)),""))</f>
        <v/>
      </c>
      <c r="J2035" s="107">
        <f>IF($I2035="▲ ENTRÉE",$U2035,"")</f>
        <v/>
      </c>
      <c r="K2035" s="108">
        <f>IF($I2035="▼ SORTIE",$U2035,"")</f>
        <v/>
      </c>
      <c r="L2035" s="109">
        <f>$L2034+N($J2035)-N($K2035)</f>
        <v/>
      </c>
      <c r="M2035" s="110" t="n"/>
      <c r="N2035" s="54" t="n"/>
      <c r="O2035" s="54" t="n"/>
      <c r="P2035" s="54" t="n"/>
      <c r="Q2035" s="110" t="n"/>
      <c r="R2035" s="110" t="n"/>
      <c r="S2035" s="54" t="n"/>
      <c r="T2035" s="111">
        <f>IF($G2035="","",IFERROR(INDEX(Taux_Devises,MATCH(IF($M2035="",Devise_Base,$M2035),Codes_Devises,0)),1))</f>
        <v/>
      </c>
      <c r="U2035" s="112">
        <f>IF($G2035="","",ROUND($G2035*$T2035,2))</f>
        <v/>
      </c>
      <c r="V2035" s="113">
        <f>IF($B2035="","",MONTH($B2035))</f>
        <v/>
      </c>
      <c r="W2035" s="113">
        <f>IF($B2035="","",YEAR($B2035))</f>
        <v/>
      </c>
    </row>
    <row r="2036">
      <c r="B2036" s="105" t="n"/>
      <c r="C2036" s="54" t="n"/>
      <c r="D2036" s="54" t="n"/>
      <c r="E2036" s="54" t="n"/>
      <c r="F2036" s="54" t="n"/>
      <c r="G2036" s="65" t="n"/>
      <c r="H2036" s="54" t="n"/>
      <c r="I2036" s="106">
        <f>IF($C2036="","",IFERROR(INDEX(Sens_Types,MATCH($C2036,Liste_Types,0)),""))</f>
        <v/>
      </c>
      <c r="J2036" s="107">
        <f>IF($I2036="▲ ENTRÉE",$U2036,"")</f>
        <v/>
      </c>
      <c r="K2036" s="108">
        <f>IF($I2036="▼ SORTIE",$U2036,"")</f>
        <v/>
      </c>
      <c r="L2036" s="109">
        <f>$L2035+N($J2036)-N($K2036)</f>
        <v/>
      </c>
      <c r="M2036" s="110" t="n"/>
      <c r="N2036" s="54" t="n"/>
      <c r="O2036" s="54" t="n"/>
      <c r="P2036" s="54" t="n"/>
      <c r="Q2036" s="110" t="n"/>
      <c r="R2036" s="110" t="n"/>
      <c r="S2036" s="54" t="n"/>
      <c r="T2036" s="111">
        <f>IF($G2036="","",IFERROR(INDEX(Taux_Devises,MATCH(IF($M2036="",Devise_Base,$M2036),Codes_Devises,0)),1))</f>
        <v/>
      </c>
      <c r="U2036" s="112">
        <f>IF($G2036="","",ROUND($G2036*$T2036,2))</f>
        <v/>
      </c>
      <c r="V2036" s="113">
        <f>IF($B2036="","",MONTH($B2036))</f>
        <v/>
      </c>
      <c r="W2036" s="113">
        <f>IF($B2036="","",YEAR($B2036))</f>
        <v/>
      </c>
    </row>
    <row r="2037">
      <c r="B2037" s="105" t="n"/>
      <c r="C2037" s="54" t="n"/>
      <c r="D2037" s="54" t="n"/>
      <c r="E2037" s="54" t="n"/>
      <c r="F2037" s="54" t="n"/>
      <c r="G2037" s="65" t="n"/>
      <c r="H2037" s="54" t="n"/>
      <c r="I2037" s="106">
        <f>IF($C2037="","",IFERROR(INDEX(Sens_Types,MATCH($C2037,Liste_Types,0)),""))</f>
        <v/>
      </c>
      <c r="J2037" s="107">
        <f>IF($I2037="▲ ENTRÉE",$U2037,"")</f>
        <v/>
      </c>
      <c r="K2037" s="108">
        <f>IF($I2037="▼ SORTIE",$U2037,"")</f>
        <v/>
      </c>
      <c r="L2037" s="109">
        <f>$L2036+N($J2037)-N($K2037)</f>
        <v/>
      </c>
      <c r="M2037" s="110" t="n"/>
      <c r="N2037" s="54" t="n"/>
      <c r="O2037" s="54" t="n"/>
      <c r="P2037" s="54" t="n"/>
      <c r="Q2037" s="110" t="n"/>
      <c r="R2037" s="110" t="n"/>
      <c r="S2037" s="54" t="n"/>
      <c r="T2037" s="111">
        <f>IF($G2037="","",IFERROR(INDEX(Taux_Devises,MATCH(IF($M2037="",Devise_Base,$M2037),Codes_Devises,0)),1))</f>
        <v/>
      </c>
      <c r="U2037" s="112">
        <f>IF($G2037="","",ROUND($G2037*$T2037,2))</f>
        <v/>
      </c>
      <c r="V2037" s="113">
        <f>IF($B2037="","",MONTH($B2037))</f>
        <v/>
      </c>
      <c r="W2037" s="113">
        <f>IF($B2037="","",YEAR($B2037))</f>
        <v/>
      </c>
    </row>
    <row r="2038">
      <c r="B2038" s="105" t="n"/>
      <c r="C2038" s="54" t="n"/>
      <c r="D2038" s="54" t="n"/>
      <c r="E2038" s="54" t="n"/>
      <c r="F2038" s="54" t="n"/>
      <c r="G2038" s="65" t="n"/>
      <c r="H2038" s="54" t="n"/>
      <c r="I2038" s="106">
        <f>IF($C2038="","",IFERROR(INDEX(Sens_Types,MATCH($C2038,Liste_Types,0)),""))</f>
        <v/>
      </c>
      <c r="J2038" s="107">
        <f>IF($I2038="▲ ENTRÉE",$U2038,"")</f>
        <v/>
      </c>
      <c r="K2038" s="108">
        <f>IF($I2038="▼ SORTIE",$U2038,"")</f>
        <v/>
      </c>
      <c r="L2038" s="109">
        <f>$L2037+N($J2038)-N($K2038)</f>
        <v/>
      </c>
      <c r="M2038" s="110" t="n"/>
      <c r="N2038" s="54" t="n"/>
      <c r="O2038" s="54" t="n"/>
      <c r="P2038" s="54" t="n"/>
      <c r="Q2038" s="110" t="n"/>
      <c r="R2038" s="110" t="n"/>
      <c r="S2038" s="54" t="n"/>
      <c r="T2038" s="111">
        <f>IF($G2038="","",IFERROR(INDEX(Taux_Devises,MATCH(IF($M2038="",Devise_Base,$M2038),Codes_Devises,0)),1))</f>
        <v/>
      </c>
      <c r="U2038" s="112">
        <f>IF($G2038="","",ROUND($G2038*$T2038,2))</f>
        <v/>
      </c>
      <c r="V2038" s="113">
        <f>IF($B2038="","",MONTH($B2038))</f>
        <v/>
      </c>
      <c r="W2038" s="113">
        <f>IF($B2038="","",YEAR($B2038))</f>
        <v/>
      </c>
    </row>
    <row r="2039">
      <c r="B2039" s="105" t="n"/>
      <c r="C2039" s="54" t="n"/>
      <c r="D2039" s="54" t="n"/>
      <c r="E2039" s="54" t="n"/>
      <c r="F2039" s="54" t="n"/>
      <c r="G2039" s="65" t="n"/>
      <c r="H2039" s="54" t="n"/>
      <c r="I2039" s="106">
        <f>IF($C2039="","",IFERROR(INDEX(Sens_Types,MATCH($C2039,Liste_Types,0)),""))</f>
        <v/>
      </c>
      <c r="J2039" s="107">
        <f>IF($I2039="▲ ENTRÉE",$U2039,"")</f>
        <v/>
      </c>
      <c r="K2039" s="108">
        <f>IF($I2039="▼ SORTIE",$U2039,"")</f>
        <v/>
      </c>
      <c r="L2039" s="109">
        <f>$L2038+N($J2039)-N($K2039)</f>
        <v/>
      </c>
      <c r="M2039" s="110" t="n"/>
      <c r="N2039" s="54" t="n"/>
      <c r="O2039" s="54" t="n"/>
      <c r="P2039" s="54" t="n"/>
      <c r="Q2039" s="110" t="n"/>
      <c r="R2039" s="110" t="n"/>
      <c r="S2039" s="54" t="n"/>
      <c r="T2039" s="111">
        <f>IF($G2039="","",IFERROR(INDEX(Taux_Devises,MATCH(IF($M2039="",Devise_Base,$M2039),Codes_Devises,0)),1))</f>
        <v/>
      </c>
      <c r="U2039" s="112">
        <f>IF($G2039="","",ROUND($G2039*$T2039,2))</f>
        <v/>
      </c>
      <c r="V2039" s="113">
        <f>IF($B2039="","",MONTH($B2039))</f>
        <v/>
      </c>
      <c r="W2039" s="113">
        <f>IF($B2039="","",YEAR($B2039))</f>
        <v/>
      </c>
    </row>
    <row r="2040">
      <c r="B2040" s="105" t="n"/>
      <c r="C2040" s="54" t="n"/>
      <c r="D2040" s="54" t="n"/>
      <c r="E2040" s="54" t="n"/>
      <c r="F2040" s="54" t="n"/>
      <c r="G2040" s="65" t="n"/>
      <c r="H2040" s="54" t="n"/>
      <c r="I2040" s="106">
        <f>IF($C2040="","",IFERROR(INDEX(Sens_Types,MATCH($C2040,Liste_Types,0)),""))</f>
        <v/>
      </c>
      <c r="J2040" s="107">
        <f>IF($I2040="▲ ENTRÉE",$U2040,"")</f>
        <v/>
      </c>
      <c r="K2040" s="108">
        <f>IF($I2040="▼ SORTIE",$U2040,"")</f>
        <v/>
      </c>
      <c r="L2040" s="109">
        <f>$L2039+N($J2040)-N($K2040)</f>
        <v/>
      </c>
      <c r="M2040" s="110" t="n"/>
      <c r="N2040" s="54" t="n"/>
      <c r="O2040" s="54" t="n"/>
      <c r="P2040" s="54" t="n"/>
      <c r="Q2040" s="110" t="n"/>
      <c r="R2040" s="110" t="n"/>
      <c r="S2040" s="54" t="n"/>
      <c r="T2040" s="111">
        <f>IF($G2040="","",IFERROR(INDEX(Taux_Devises,MATCH(IF($M2040="",Devise_Base,$M2040),Codes_Devises,0)),1))</f>
        <v/>
      </c>
      <c r="U2040" s="112">
        <f>IF($G2040="","",ROUND($G2040*$T2040,2))</f>
        <v/>
      </c>
      <c r="V2040" s="113">
        <f>IF($B2040="","",MONTH($B2040))</f>
        <v/>
      </c>
      <c r="W2040" s="113">
        <f>IF($B2040="","",YEAR($B2040))</f>
        <v/>
      </c>
    </row>
    <row r="2041">
      <c r="B2041" s="105" t="n"/>
      <c r="C2041" s="54" t="n"/>
      <c r="D2041" s="54" t="n"/>
      <c r="E2041" s="54" t="n"/>
      <c r="F2041" s="54" t="n"/>
      <c r="G2041" s="65" t="n"/>
      <c r="H2041" s="54" t="n"/>
      <c r="I2041" s="106">
        <f>IF($C2041="","",IFERROR(INDEX(Sens_Types,MATCH($C2041,Liste_Types,0)),""))</f>
        <v/>
      </c>
      <c r="J2041" s="107">
        <f>IF($I2041="▲ ENTRÉE",$U2041,"")</f>
        <v/>
      </c>
      <c r="K2041" s="108">
        <f>IF($I2041="▼ SORTIE",$U2041,"")</f>
        <v/>
      </c>
      <c r="L2041" s="109">
        <f>$L2040+N($J2041)-N($K2041)</f>
        <v/>
      </c>
      <c r="M2041" s="110" t="n"/>
      <c r="N2041" s="54" t="n"/>
      <c r="O2041" s="54" t="n"/>
      <c r="P2041" s="54" t="n"/>
      <c r="Q2041" s="110" t="n"/>
      <c r="R2041" s="110" t="n"/>
      <c r="S2041" s="54" t="n"/>
      <c r="T2041" s="111">
        <f>IF($G2041="","",IFERROR(INDEX(Taux_Devises,MATCH(IF($M2041="",Devise_Base,$M2041),Codes_Devises,0)),1))</f>
        <v/>
      </c>
      <c r="U2041" s="112">
        <f>IF($G2041="","",ROUND($G2041*$T2041,2))</f>
        <v/>
      </c>
      <c r="V2041" s="113">
        <f>IF($B2041="","",MONTH($B2041))</f>
        <v/>
      </c>
      <c r="W2041" s="113">
        <f>IF($B2041="","",YEAR($B2041))</f>
        <v/>
      </c>
    </row>
    <row r="2042">
      <c r="B2042" s="105" t="n"/>
      <c r="C2042" s="54" t="n"/>
      <c r="D2042" s="54" t="n"/>
      <c r="E2042" s="54" t="n"/>
      <c r="F2042" s="54" t="n"/>
      <c r="G2042" s="65" t="n"/>
      <c r="H2042" s="54" t="n"/>
      <c r="I2042" s="106">
        <f>IF($C2042="","",IFERROR(INDEX(Sens_Types,MATCH($C2042,Liste_Types,0)),""))</f>
        <v/>
      </c>
      <c r="J2042" s="107">
        <f>IF($I2042="▲ ENTRÉE",$U2042,"")</f>
        <v/>
      </c>
      <c r="K2042" s="108">
        <f>IF($I2042="▼ SORTIE",$U2042,"")</f>
        <v/>
      </c>
      <c r="L2042" s="109">
        <f>$L2041+N($J2042)-N($K2042)</f>
        <v/>
      </c>
      <c r="M2042" s="110" t="n"/>
      <c r="N2042" s="54" t="n"/>
      <c r="O2042" s="54" t="n"/>
      <c r="P2042" s="54" t="n"/>
      <c r="Q2042" s="110" t="n"/>
      <c r="R2042" s="110" t="n"/>
      <c r="S2042" s="54" t="n"/>
      <c r="T2042" s="111">
        <f>IF($G2042="","",IFERROR(INDEX(Taux_Devises,MATCH(IF($M2042="",Devise_Base,$M2042),Codes_Devises,0)),1))</f>
        <v/>
      </c>
      <c r="U2042" s="112">
        <f>IF($G2042="","",ROUND($G2042*$T2042,2))</f>
        <v/>
      </c>
      <c r="V2042" s="113">
        <f>IF($B2042="","",MONTH($B2042))</f>
        <v/>
      </c>
      <c r="W2042" s="113">
        <f>IF($B2042="","",YEAR($B2042))</f>
        <v/>
      </c>
    </row>
    <row r="2043">
      <c r="B2043" s="105" t="n"/>
      <c r="C2043" s="54" t="n"/>
      <c r="D2043" s="54" t="n"/>
      <c r="E2043" s="54" t="n"/>
      <c r="F2043" s="54" t="n"/>
      <c r="G2043" s="65" t="n"/>
      <c r="H2043" s="54" t="n"/>
      <c r="I2043" s="106">
        <f>IF($C2043="","",IFERROR(INDEX(Sens_Types,MATCH($C2043,Liste_Types,0)),""))</f>
        <v/>
      </c>
      <c r="J2043" s="107">
        <f>IF($I2043="▲ ENTRÉE",$U2043,"")</f>
        <v/>
      </c>
      <c r="K2043" s="108">
        <f>IF($I2043="▼ SORTIE",$U2043,"")</f>
        <v/>
      </c>
      <c r="L2043" s="109">
        <f>$L2042+N($J2043)-N($K2043)</f>
        <v/>
      </c>
      <c r="M2043" s="110" t="n"/>
      <c r="N2043" s="54" t="n"/>
      <c r="O2043" s="54" t="n"/>
      <c r="P2043" s="54" t="n"/>
      <c r="Q2043" s="110" t="n"/>
      <c r="R2043" s="110" t="n"/>
      <c r="S2043" s="54" t="n"/>
      <c r="T2043" s="111">
        <f>IF($G2043="","",IFERROR(INDEX(Taux_Devises,MATCH(IF($M2043="",Devise_Base,$M2043),Codes_Devises,0)),1))</f>
        <v/>
      </c>
      <c r="U2043" s="112">
        <f>IF($G2043="","",ROUND($G2043*$T2043,2))</f>
        <v/>
      </c>
      <c r="V2043" s="113">
        <f>IF($B2043="","",MONTH($B2043))</f>
        <v/>
      </c>
      <c r="W2043" s="113">
        <f>IF($B2043="","",YEAR($B2043))</f>
        <v/>
      </c>
    </row>
    <row r="2044">
      <c r="B2044" s="105" t="n"/>
      <c r="C2044" s="54" t="n"/>
      <c r="D2044" s="54" t="n"/>
      <c r="E2044" s="54" t="n"/>
      <c r="F2044" s="54" t="n"/>
      <c r="G2044" s="65" t="n"/>
      <c r="H2044" s="54" t="n"/>
      <c r="I2044" s="106">
        <f>IF($C2044="","",IFERROR(INDEX(Sens_Types,MATCH($C2044,Liste_Types,0)),""))</f>
        <v/>
      </c>
      <c r="J2044" s="107">
        <f>IF($I2044="▲ ENTRÉE",$U2044,"")</f>
        <v/>
      </c>
      <c r="K2044" s="108">
        <f>IF($I2044="▼ SORTIE",$U2044,"")</f>
        <v/>
      </c>
      <c r="L2044" s="109">
        <f>$L2043+N($J2044)-N($K2044)</f>
        <v/>
      </c>
      <c r="M2044" s="110" t="n"/>
      <c r="N2044" s="54" t="n"/>
      <c r="O2044" s="54" t="n"/>
      <c r="P2044" s="54" t="n"/>
      <c r="Q2044" s="110" t="n"/>
      <c r="R2044" s="110" t="n"/>
      <c r="S2044" s="54" t="n"/>
      <c r="T2044" s="111">
        <f>IF($G2044="","",IFERROR(INDEX(Taux_Devises,MATCH(IF($M2044="",Devise_Base,$M2044),Codes_Devises,0)),1))</f>
        <v/>
      </c>
      <c r="U2044" s="112">
        <f>IF($G2044="","",ROUND($G2044*$T2044,2))</f>
        <v/>
      </c>
      <c r="V2044" s="113">
        <f>IF($B2044="","",MONTH($B2044))</f>
        <v/>
      </c>
      <c r="W2044" s="113">
        <f>IF($B2044="","",YEAR($B2044))</f>
        <v/>
      </c>
    </row>
    <row r="2045">
      <c r="B2045" s="105" t="n"/>
      <c r="C2045" s="54" t="n"/>
      <c r="D2045" s="54" t="n"/>
      <c r="E2045" s="54" t="n"/>
      <c r="F2045" s="54" t="n"/>
      <c r="G2045" s="65" t="n"/>
      <c r="H2045" s="54" t="n"/>
      <c r="I2045" s="106">
        <f>IF($C2045="","",IFERROR(INDEX(Sens_Types,MATCH($C2045,Liste_Types,0)),""))</f>
        <v/>
      </c>
      <c r="J2045" s="107">
        <f>IF($I2045="▲ ENTRÉE",$U2045,"")</f>
        <v/>
      </c>
      <c r="K2045" s="108">
        <f>IF($I2045="▼ SORTIE",$U2045,"")</f>
        <v/>
      </c>
      <c r="L2045" s="109">
        <f>$L2044+N($J2045)-N($K2045)</f>
        <v/>
      </c>
      <c r="M2045" s="110" t="n"/>
      <c r="N2045" s="54" t="n"/>
      <c r="O2045" s="54" t="n"/>
      <c r="P2045" s="54" t="n"/>
      <c r="Q2045" s="110" t="n"/>
      <c r="R2045" s="110" t="n"/>
      <c r="S2045" s="54" t="n"/>
      <c r="T2045" s="111">
        <f>IF($G2045="","",IFERROR(INDEX(Taux_Devises,MATCH(IF($M2045="",Devise_Base,$M2045),Codes_Devises,0)),1))</f>
        <v/>
      </c>
      <c r="U2045" s="112">
        <f>IF($G2045="","",ROUND($G2045*$T2045,2))</f>
        <v/>
      </c>
      <c r="V2045" s="113">
        <f>IF($B2045="","",MONTH($B2045))</f>
        <v/>
      </c>
      <c r="W2045" s="113">
        <f>IF($B2045="","",YEAR($B2045))</f>
        <v/>
      </c>
    </row>
    <row r="2046">
      <c r="B2046" s="105" t="n"/>
      <c r="C2046" s="54" t="n"/>
      <c r="D2046" s="54" t="n"/>
      <c r="E2046" s="54" t="n"/>
      <c r="F2046" s="54" t="n"/>
      <c r="G2046" s="65" t="n"/>
      <c r="H2046" s="54" t="n"/>
      <c r="I2046" s="106">
        <f>IF($C2046="","",IFERROR(INDEX(Sens_Types,MATCH($C2046,Liste_Types,0)),""))</f>
        <v/>
      </c>
      <c r="J2046" s="107">
        <f>IF($I2046="▲ ENTRÉE",$U2046,"")</f>
        <v/>
      </c>
      <c r="K2046" s="108">
        <f>IF($I2046="▼ SORTIE",$U2046,"")</f>
        <v/>
      </c>
      <c r="L2046" s="109">
        <f>$L2045+N($J2046)-N($K2046)</f>
        <v/>
      </c>
      <c r="M2046" s="110" t="n"/>
      <c r="N2046" s="54" t="n"/>
      <c r="O2046" s="54" t="n"/>
      <c r="P2046" s="54" t="n"/>
      <c r="Q2046" s="110" t="n"/>
      <c r="R2046" s="110" t="n"/>
      <c r="S2046" s="54" t="n"/>
      <c r="T2046" s="111">
        <f>IF($G2046="","",IFERROR(INDEX(Taux_Devises,MATCH(IF($M2046="",Devise_Base,$M2046),Codes_Devises,0)),1))</f>
        <v/>
      </c>
      <c r="U2046" s="112">
        <f>IF($G2046="","",ROUND($G2046*$T2046,2))</f>
        <v/>
      </c>
      <c r="V2046" s="113">
        <f>IF($B2046="","",MONTH($B2046))</f>
        <v/>
      </c>
      <c r="W2046" s="113">
        <f>IF($B2046="","",YEAR($B2046))</f>
        <v/>
      </c>
    </row>
    <row r="2047">
      <c r="B2047" s="105" t="n"/>
      <c r="C2047" s="54" t="n"/>
      <c r="D2047" s="54" t="n"/>
      <c r="E2047" s="54" t="n"/>
      <c r="F2047" s="54" t="n"/>
      <c r="G2047" s="65" t="n"/>
      <c r="H2047" s="54" t="n"/>
      <c r="I2047" s="106">
        <f>IF($C2047="","",IFERROR(INDEX(Sens_Types,MATCH($C2047,Liste_Types,0)),""))</f>
        <v/>
      </c>
      <c r="J2047" s="107">
        <f>IF($I2047="▲ ENTRÉE",$U2047,"")</f>
        <v/>
      </c>
      <c r="K2047" s="108">
        <f>IF($I2047="▼ SORTIE",$U2047,"")</f>
        <v/>
      </c>
      <c r="L2047" s="109">
        <f>$L2046+N($J2047)-N($K2047)</f>
        <v/>
      </c>
      <c r="M2047" s="110" t="n"/>
      <c r="N2047" s="54" t="n"/>
      <c r="O2047" s="54" t="n"/>
      <c r="P2047" s="54" t="n"/>
      <c r="Q2047" s="110" t="n"/>
      <c r="R2047" s="110" t="n"/>
      <c r="S2047" s="54" t="n"/>
      <c r="T2047" s="111">
        <f>IF($G2047="","",IFERROR(INDEX(Taux_Devises,MATCH(IF($M2047="",Devise_Base,$M2047),Codes_Devises,0)),1))</f>
        <v/>
      </c>
      <c r="U2047" s="112">
        <f>IF($G2047="","",ROUND($G2047*$T2047,2))</f>
        <v/>
      </c>
      <c r="V2047" s="113">
        <f>IF($B2047="","",MONTH($B2047))</f>
        <v/>
      </c>
      <c r="W2047" s="113">
        <f>IF($B2047="","",YEAR($B2047))</f>
        <v/>
      </c>
    </row>
    <row r="2048">
      <c r="B2048" s="105" t="n"/>
      <c r="C2048" s="54" t="n"/>
      <c r="D2048" s="54" t="n"/>
      <c r="E2048" s="54" t="n"/>
      <c r="F2048" s="54" t="n"/>
      <c r="G2048" s="65" t="n"/>
      <c r="H2048" s="54" t="n"/>
      <c r="I2048" s="106">
        <f>IF($C2048="","",IFERROR(INDEX(Sens_Types,MATCH($C2048,Liste_Types,0)),""))</f>
        <v/>
      </c>
      <c r="J2048" s="107">
        <f>IF($I2048="▲ ENTRÉE",$U2048,"")</f>
        <v/>
      </c>
      <c r="K2048" s="108">
        <f>IF($I2048="▼ SORTIE",$U2048,"")</f>
        <v/>
      </c>
      <c r="L2048" s="109">
        <f>$L2047+N($J2048)-N($K2048)</f>
        <v/>
      </c>
      <c r="M2048" s="110" t="n"/>
      <c r="N2048" s="54" t="n"/>
      <c r="O2048" s="54" t="n"/>
      <c r="P2048" s="54" t="n"/>
      <c r="Q2048" s="110" t="n"/>
      <c r="R2048" s="110" t="n"/>
      <c r="S2048" s="54" t="n"/>
      <c r="T2048" s="111">
        <f>IF($G2048="","",IFERROR(INDEX(Taux_Devises,MATCH(IF($M2048="",Devise_Base,$M2048),Codes_Devises,0)),1))</f>
        <v/>
      </c>
      <c r="U2048" s="112">
        <f>IF($G2048="","",ROUND($G2048*$T2048,2))</f>
        <v/>
      </c>
      <c r="V2048" s="113">
        <f>IF($B2048="","",MONTH($B2048))</f>
        <v/>
      </c>
      <c r="W2048" s="113">
        <f>IF($B2048="","",YEAR($B2048))</f>
        <v/>
      </c>
    </row>
    <row r="2049">
      <c r="B2049" s="105" t="n"/>
      <c r="C2049" s="54" t="n"/>
      <c r="D2049" s="54" t="n"/>
      <c r="E2049" s="54" t="n"/>
      <c r="F2049" s="54" t="n"/>
      <c r="G2049" s="65" t="n"/>
      <c r="H2049" s="54" t="n"/>
      <c r="I2049" s="106">
        <f>IF($C2049="","",IFERROR(INDEX(Sens_Types,MATCH($C2049,Liste_Types,0)),""))</f>
        <v/>
      </c>
      <c r="J2049" s="107">
        <f>IF($I2049="▲ ENTRÉE",$U2049,"")</f>
        <v/>
      </c>
      <c r="K2049" s="108">
        <f>IF($I2049="▼ SORTIE",$U2049,"")</f>
        <v/>
      </c>
      <c r="L2049" s="109">
        <f>$L2048+N($J2049)-N($K2049)</f>
        <v/>
      </c>
      <c r="M2049" s="110" t="n"/>
      <c r="N2049" s="54" t="n"/>
      <c r="O2049" s="54" t="n"/>
      <c r="P2049" s="54" t="n"/>
      <c r="Q2049" s="110" t="n"/>
      <c r="R2049" s="110" t="n"/>
      <c r="S2049" s="54" t="n"/>
      <c r="T2049" s="111">
        <f>IF($G2049="","",IFERROR(INDEX(Taux_Devises,MATCH(IF($M2049="",Devise_Base,$M2049),Codes_Devises,0)),1))</f>
        <v/>
      </c>
      <c r="U2049" s="112">
        <f>IF($G2049="","",ROUND($G2049*$T2049,2))</f>
        <v/>
      </c>
      <c r="V2049" s="113">
        <f>IF($B2049="","",MONTH($B2049))</f>
        <v/>
      </c>
      <c r="W2049" s="113">
        <f>IF($B2049="","",YEAR($B2049))</f>
        <v/>
      </c>
    </row>
    <row r="2050">
      <c r="B2050" s="105" t="n"/>
      <c r="C2050" s="54" t="n"/>
      <c r="D2050" s="54" t="n"/>
      <c r="E2050" s="54" t="n"/>
      <c r="F2050" s="54" t="n"/>
      <c r="G2050" s="65" t="n"/>
      <c r="H2050" s="54" t="n"/>
      <c r="I2050" s="106">
        <f>IF($C2050="","",IFERROR(INDEX(Sens_Types,MATCH($C2050,Liste_Types,0)),""))</f>
        <v/>
      </c>
      <c r="J2050" s="107">
        <f>IF($I2050="▲ ENTRÉE",$U2050,"")</f>
        <v/>
      </c>
      <c r="K2050" s="108">
        <f>IF($I2050="▼ SORTIE",$U2050,"")</f>
        <v/>
      </c>
      <c r="L2050" s="109">
        <f>$L2049+N($J2050)-N($K2050)</f>
        <v/>
      </c>
      <c r="M2050" s="110" t="n"/>
      <c r="N2050" s="54" t="n"/>
      <c r="O2050" s="54" t="n"/>
      <c r="P2050" s="54" t="n"/>
      <c r="Q2050" s="110" t="n"/>
      <c r="R2050" s="110" t="n"/>
      <c r="S2050" s="54" t="n"/>
      <c r="T2050" s="111">
        <f>IF($G2050="","",IFERROR(INDEX(Taux_Devises,MATCH(IF($M2050="",Devise_Base,$M2050),Codes_Devises,0)),1))</f>
        <v/>
      </c>
      <c r="U2050" s="112">
        <f>IF($G2050="","",ROUND($G2050*$T2050,2))</f>
        <v/>
      </c>
      <c r="V2050" s="113">
        <f>IF($B2050="","",MONTH($B2050))</f>
        <v/>
      </c>
      <c r="W2050" s="113">
        <f>IF($B2050="","",YEAR($B2050))</f>
        <v/>
      </c>
    </row>
    <row r="2051">
      <c r="B2051" s="105" t="n"/>
      <c r="C2051" s="54" t="n"/>
      <c r="D2051" s="54" t="n"/>
      <c r="E2051" s="54" t="n"/>
      <c r="F2051" s="54" t="n"/>
      <c r="G2051" s="65" t="n"/>
      <c r="H2051" s="54" t="n"/>
      <c r="I2051" s="106">
        <f>IF($C2051="","",IFERROR(INDEX(Sens_Types,MATCH($C2051,Liste_Types,0)),""))</f>
        <v/>
      </c>
      <c r="J2051" s="107">
        <f>IF($I2051="▲ ENTRÉE",$U2051,"")</f>
        <v/>
      </c>
      <c r="K2051" s="108">
        <f>IF($I2051="▼ SORTIE",$U2051,"")</f>
        <v/>
      </c>
      <c r="L2051" s="109">
        <f>$L2050+N($J2051)-N($K2051)</f>
        <v/>
      </c>
      <c r="M2051" s="110" t="n"/>
      <c r="N2051" s="54" t="n"/>
      <c r="O2051" s="54" t="n"/>
      <c r="P2051" s="54" t="n"/>
      <c r="Q2051" s="110" t="n"/>
      <c r="R2051" s="110" t="n"/>
      <c r="S2051" s="54" t="n"/>
      <c r="T2051" s="111">
        <f>IF($G2051="","",IFERROR(INDEX(Taux_Devises,MATCH(IF($M2051="",Devise_Base,$M2051),Codes_Devises,0)),1))</f>
        <v/>
      </c>
      <c r="U2051" s="112">
        <f>IF($G2051="","",ROUND($G2051*$T2051,2))</f>
        <v/>
      </c>
      <c r="V2051" s="113">
        <f>IF($B2051="","",MONTH($B2051))</f>
        <v/>
      </c>
      <c r="W2051" s="113">
        <f>IF($B2051="","",YEAR($B2051))</f>
        <v/>
      </c>
    </row>
    <row r="2052">
      <c r="B2052" s="105" t="n"/>
      <c r="C2052" s="54" t="n"/>
      <c r="D2052" s="54" t="n"/>
      <c r="E2052" s="54" t="n"/>
      <c r="F2052" s="54" t="n"/>
      <c r="G2052" s="65" t="n"/>
      <c r="H2052" s="54" t="n"/>
      <c r="I2052" s="106">
        <f>IF($C2052="","",IFERROR(INDEX(Sens_Types,MATCH($C2052,Liste_Types,0)),""))</f>
        <v/>
      </c>
      <c r="J2052" s="107">
        <f>IF($I2052="▲ ENTRÉE",$U2052,"")</f>
        <v/>
      </c>
      <c r="K2052" s="108">
        <f>IF($I2052="▼ SORTIE",$U2052,"")</f>
        <v/>
      </c>
      <c r="L2052" s="109">
        <f>$L2051+N($J2052)-N($K2052)</f>
        <v/>
      </c>
      <c r="M2052" s="110" t="n"/>
      <c r="N2052" s="54" t="n"/>
      <c r="O2052" s="54" t="n"/>
      <c r="P2052" s="54" t="n"/>
      <c r="Q2052" s="110" t="n"/>
      <c r="R2052" s="110" t="n"/>
      <c r="S2052" s="54" t="n"/>
      <c r="T2052" s="111">
        <f>IF($G2052="","",IFERROR(INDEX(Taux_Devises,MATCH(IF($M2052="",Devise_Base,$M2052),Codes_Devises,0)),1))</f>
        <v/>
      </c>
      <c r="U2052" s="112">
        <f>IF($G2052="","",ROUND($G2052*$T2052,2))</f>
        <v/>
      </c>
      <c r="V2052" s="113">
        <f>IF($B2052="","",MONTH($B2052))</f>
        <v/>
      </c>
      <c r="W2052" s="113">
        <f>IF($B2052="","",YEAR($B2052))</f>
        <v/>
      </c>
    </row>
    <row r="2053">
      <c r="B2053" s="105" t="n"/>
      <c r="C2053" s="54" t="n"/>
      <c r="D2053" s="54" t="n"/>
      <c r="E2053" s="54" t="n"/>
      <c r="F2053" s="54" t="n"/>
      <c r="G2053" s="65" t="n"/>
      <c r="H2053" s="54" t="n"/>
      <c r="I2053" s="106">
        <f>IF($C2053="","",IFERROR(INDEX(Sens_Types,MATCH($C2053,Liste_Types,0)),""))</f>
        <v/>
      </c>
      <c r="J2053" s="107">
        <f>IF($I2053="▲ ENTRÉE",$U2053,"")</f>
        <v/>
      </c>
      <c r="K2053" s="108">
        <f>IF($I2053="▼ SORTIE",$U2053,"")</f>
        <v/>
      </c>
      <c r="L2053" s="109">
        <f>$L2052+N($J2053)-N($K2053)</f>
        <v/>
      </c>
      <c r="M2053" s="110" t="n"/>
      <c r="N2053" s="54" t="n"/>
      <c r="O2053" s="54" t="n"/>
      <c r="P2053" s="54" t="n"/>
      <c r="Q2053" s="110" t="n"/>
      <c r="R2053" s="110" t="n"/>
      <c r="S2053" s="54" t="n"/>
      <c r="T2053" s="111">
        <f>IF($G2053="","",IFERROR(INDEX(Taux_Devises,MATCH(IF($M2053="",Devise_Base,$M2053),Codes_Devises,0)),1))</f>
        <v/>
      </c>
      <c r="U2053" s="112">
        <f>IF($G2053="","",ROUND($G2053*$T2053,2))</f>
        <v/>
      </c>
      <c r="V2053" s="113">
        <f>IF($B2053="","",MONTH($B2053))</f>
        <v/>
      </c>
      <c r="W2053" s="113">
        <f>IF($B2053="","",YEAR($B2053))</f>
        <v/>
      </c>
    </row>
    <row r="2054">
      <c r="B2054" s="105" t="n"/>
      <c r="C2054" s="54" t="n"/>
      <c r="D2054" s="54" t="n"/>
      <c r="E2054" s="54" t="n"/>
      <c r="F2054" s="54" t="n"/>
      <c r="G2054" s="65" t="n"/>
      <c r="H2054" s="54" t="n"/>
      <c r="I2054" s="106">
        <f>IF($C2054="","",IFERROR(INDEX(Sens_Types,MATCH($C2054,Liste_Types,0)),""))</f>
        <v/>
      </c>
      <c r="J2054" s="107">
        <f>IF($I2054="▲ ENTRÉE",$U2054,"")</f>
        <v/>
      </c>
      <c r="K2054" s="108">
        <f>IF($I2054="▼ SORTIE",$U2054,"")</f>
        <v/>
      </c>
      <c r="L2054" s="109">
        <f>$L2053+N($J2054)-N($K2054)</f>
        <v/>
      </c>
      <c r="M2054" s="110" t="n"/>
      <c r="N2054" s="54" t="n"/>
      <c r="O2054" s="54" t="n"/>
      <c r="P2054" s="54" t="n"/>
      <c r="Q2054" s="110" t="n"/>
      <c r="R2054" s="110" t="n"/>
      <c r="S2054" s="54" t="n"/>
      <c r="T2054" s="111">
        <f>IF($G2054="","",IFERROR(INDEX(Taux_Devises,MATCH(IF($M2054="",Devise_Base,$M2054),Codes_Devises,0)),1))</f>
        <v/>
      </c>
      <c r="U2054" s="112">
        <f>IF($G2054="","",ROUND($G2054*$T2054,2))</f>
        <v/>
      </c>
      <c r="V2054" s="113">
        <f>IF($B2054="","",MONTH($B2054))</f>
        <v/>
      </c>
      <c r="W2054" s="113">
        <f>IF($B2054="","",YEAR($B2054))</f>
        <v/>
      </c>
    </row>
    <row r="2055">
      <c r="B2055" s="105" t="n"/>
      <c r="C2055" s="54" t="n"/>
      <c r="D2055" s="54" t="n"/>
      <c r="E2055" s="54" t="n"/>
      <c r="F2055" s="54" t="n"/>
      <c r="G2055" s="65" t="n"/>
      <c r="H2055" s="54" t="n"/>
      <c r="I2055" s="106">
        <f>IF($C2055="","",IFERROR(INDEX(Sens_Types,MATCH($C2055,Liste_Types,0)),""))</f>
        <v/>
      </c>
      <c r="J2055" s="107">
        <f>IF($I2055="▲ ENTRÉE",$U2055,"")</f>
        <v/>
      </c>
      <c r="K2055" s="108">
        <f>IF($I2055="▼ SORTIE",$U2055,"")</f>
        <v/>
      </c>
      <c r="L2055" s="109">
        <f>$L2054+N($J2055)-N($K2055)</f>
        <v/>
      </c>
      <c r="M2055" s="110" t="n"/>
      <c r="N2055" s="54" t="n"/>
      <c r="O2055" s="54" t="n"/>
      <c r="P2055" s="54" t="n"/>
      <c r="Q2055" s="110" t="n"/>
      <c r="R2055" s="110" t="n"/>
      <c r="S2055" s="54" t="n"/>
      <c r="T2055" s="111">
        <f>IF($G2055="","",IFERROR(INDEX(Taux_Devises,MATCH(IF($M2055="",Devise_Base,$M2055),Codes_Devises,0)),1))</f>
        <v/>
      </c>
      <c r="U2055" s="112">
        <f>IF($G2055="","",ROUND($G2055*$T2055,2))</f>
        <v/>
      </c>
      <c r="V2055" s="113">
        <f>IF($B2055="","",MONTH($B2055))</f>
        <v/>
      </c>
      <c r="W2055" s="113">
        <f>IF($B2055="","",YEAR($B2055))</f>
        <v/>
      </c>
    </row>
    <row r="2056">
      <c r="B2056" s="105" t="n"/>
      <c r="C2056" s="54" t="n"/>
      <c r="D2056" s="54" t="n"/>
      <c r="E2056" s="54" t="n"/>
      <c r="F2056" s="54" t="n"/>
      <c r="G2056" s="65" t="n"/>
      <c r="H2056" s="54" t="n"/>
      <c r="I2056" s="106">
        <f>IF($C2056="","",IFERROR(INDEX(Sens_Types,MATCH($C2056,Liste_Types,0)),""))</f>
        <v/>
      </c>
      <c r="J2056" s="107">
        <f>IF($I2056="▲ ENTRÉE",$U2056,"")</f>
        <v/>
      </c>
      <c r="K2056" s="108">
        <f>IF($I2056="▼ SORTIE",$U2056,"")</f>
        <v/>
      </c>
      <c r="L2056" s="109">
        <f>$L2055+N($J2056)-N($K2056)</f>
        <v/>
      </c>
      <c r="M2056" s="110" t="n"/>
      <c r="N2056" s="54" t="n"/>
      <c r="O2056" s="54" t="n"/>
      <c r="P2056" s="54" t="n"/>
      <c r="Q2056" s="110" t="n"/>
      <c r="R2056" s="110" t="n"/>
      <c r="S2056" s="54" t="n"/>
      <c r="T2056" s="111">
        <f>IF($G2056="","",IFERROR(INDEX(Taux_Devises,MATCH(IF($M2056="",Devise_Base,$M2056),Codes_Devises,0)),1))</f>
        <v/>
      </c>
      <c r="U2056" s="112">
        <f>IF($G2056="","",ROUND($G2056*$T2056,2))</f>
        <v/>
      </c>
      <c r="V2056" s="113">
        <f>IF($B2056="","",MONTH($B2056))</f>
        <v/>
      </c>
      <c r="W2056" s="113">
        <f>IF($B2056="","",YEAR($B2056))</f>
        <v/>
      </c>
    </row>
    <row r="2057">
      <c r="B2057" s="105" t="n"/>
      <c r="C2057" s="54" t="n"/>
      <c r="D2057" s="54" t="n"/>
      <c r="E2057" s="54" t="n"/>
      <c r="F2057" s="54" t="n"/>
      <c r="G2057" s="65" t="n"/>
      <c r="H2057" s="54" t="n"/>
      <c r="I2057" s="106">
        <f>IF($C2057="","",IFERROR(INDEX(Sens_Types,MATCH($C2057,Liste_Types,0)),""))</f>
        <v/>
      </c>
      <c r="J2057" s="107">
        <f>IF($I2057="▲ ENTRÉE",$U2057,"")</f>
        <v/>
      </c>
      <c r="K2057" s="108">
        <f>IF($I2057="▼ SORTIE",$U2057,"")</f>
        <v/>
      </c>
      <c r="L2057" s="109">
        <f>$L2056+N($J2057)-N($K2057)</f>
        <v/>
      </c>
      <c r="M2057" s="110" t="n"/>
      <c r="N2057" s="54" t="n"/>
      <c r="O2057" s="54" t="n"/>
      <c r="P2057" s="54" t="n"/>
      <c r="Q2057" s="110" t="n"/>
      <c r="R2057" s="110" t="n"/>
      <c r="S2057" s="54" t="n"/>
      <c r="T2057" s="111">
        <f>IF($G2057="","",IFERROR(INDEX(Taux_Devises,MATCH(IF($M2057="",Devise_Base,$M2057),Codes_Devises,0)),1))</f>
        <v/>
      </c>
      <c r="U2057" s="112">
        <f>IF($G2057="","",ROUND($G2057*$T2057,2))</f>
        <v/>
      </c>
      <c r="V2057" s="113">
        <f>IF($B2057="","",MONTH($B2057))</f>
        <v/>
      </c>
      <c r="W2057" s="113">
        <f>IF($B2057="","",YEAR($B2057))</f>
        <v/>
      </c>
    </row>
    <row r="2058">
      <c r="B2058" s="105" t="n"/>
      <c r="C2058" s="54" t="n"/>
      <c r="D2058" s="54" t="n"/>
      <c r="E2058" s="54" t="n"/>
      <c r="F2058" s="54" t="n"/>
      <c r="G2058" s="65" t="n"/>
      <c r="H2058" s="54" t="n"/>
      <c r="I2058" s="106">
        <f>IF($C2058="","",IFERROR(INDEX(Sens_Types,MATCH($C2058,Liste_Types,0)),""))</f>
        <v/>
      </c>
      <c r="J2058" s="107">
        <f>IF($I2058="▲ ENTRÉE",$U2058,"")</f>
        <v/>
      </c>
      <c r="K2058" s="108">
        <f>IF($I2058="▼ SORTIE",$U2058,"")</f>
        <v/>
      </c>
      <c r="L2058" s="109">
        <f>$L2057+N($J2058)-N($K2058)</f>
        <v/>
      </c>
      <c r="M2058" s="110" t="n"/>
      <c r="N2058" s="54" t="n"/>
      <c r="O2058" s="54" t="n"/>
      <c r="P2058" s="54" t="n"/>
      <c r="Q2058" s="110" t="n"/>
      <c r="R2058" s="110" t="n"/>
      <c r="S2058" s="54" t="n"/>
      <c r="T2058" s="111">
        <f>IF($G2058="","",IFERROR(INDEX(Taux_Devises,MATCH(IF($M2058="",Devise_Base,$M2058),Codes_Devises,0)),1))</f>
        <v/>
      </c>
      <c r="U2058" s="112">
        <f>IF($G2058="","",ROUND($G2058*$T2058,2))</f>
        <v/>
      </c>
      <c r="V2058" s="113">
        <f>IF($B2058="","",MONTH($B2058))</f>
        <v/>
      </c>
      <c r="W2058" s="113">
        <f>IF($B2058="","",YEAR($B2058))</f>
        <v/>
      </c>
    </row>
    <row r="2059">
      <c r="B2059" s="105" t="n"/>
      <c r="C2059" s="54" t="n"/>
      <c r="D2059" s="54" t="n"/>
      <c r="E2059" s="54" t="n"/>
      <c r="F2059" s="54" t="n"/>
      <c r="G2059" s="65" t="n"/>
      <c r="H2059" s="54" t="n"/>
      <c r="I2059" s="106">
        <f>IF($C2059="","",IFERROR(INDEX(Sens_Types,MATCH($C2059,Liste_Types,0)),""))</f>
        <v/>
      </c>
      <c r="J2059" s="107">
        <f>IF($I2059="▲ ENTRÉE",$U2059,"")</f>
        <v/>
      </c>
      <c r="K2059" s="108">
        <f>IF($I2059="▼ SORTIE",$U2059,"")</f>
        <v/>
      </c>
      <c r="L2059" s="109">
        <f>$L2058+N($J2059)-N($K2059)</f>
        <v/>
      </c>
      <c r="M2059" s="110" t="n"/>
      <c r="N2059" s="54" t="n"/>
      <c r="O2059" s="54" t="n"/>
      <c r="P2059" s="54" t="n"/>
      <c r="Q2059" s="110" t="n"/>
      <c r="R2059" s="110" t="n"/>
      <c r="S2059" s="54" t="n"/>
      <c r="T2059" s="111">
        <f>IF($G2059="","",IFERROR(INDEX(Taux_Devises,MATCH(IF($M2059="",Devise_Base,$M2059),Codes_Devises,0)),1))</f>
        <v/>
      </c>
      <c r="U2059" s="112">
        <f>IF($G2059="","",ROUND($G2059*$T2059,2))</f>
        <v/>
      </c>
      <c r="V2059" s="113">
        <f>IF($B2059="","",MONTH($B2059))</f>
        <v/>
      </c>
      <c r="W2059" s="113">
        <f>IF($B2059="","",YEAR($B2059))</f>
        <v/>
      </c>
    </row>
    <row r="2060">
      <c r="B2060" s="105" t="n"/>
      <c r="C2060" s="54" t="n"/>
      <c r="D2060" s="54" t="n"/>
      <c r="E2060" s="54" t="n"/>
      <c r="F2060" s="54" t="n"/>
      <c r="G2060" s="65" t="n"/>
      <c r="H2060" s="54" t="n"/>
      <c r="I2060" s="106">
        <f>IF($C2060="","",IFERROR(INDEX(Sens_Types,MATCH($C2060,Liste_Types,0)),""))</f>
        <v/>
      </c>
      <c r="J2060" s="107">
        <f>IF($I2060="▲ ENTRÉE",$U2060,"")</f>
        <v/>
      </c>
      <c r="K2060" s="108">
        <f>IF($I2060="▼ SORTIE",$U2060,"")</f>
        <v/>
      </c>
      <c r="L2060" s="109">
        <f>$L2059+N($J2060)-N($K2060)</f>
        <v/>
      </c>
      <c r="M2060" s="110" t="n"/>
      <c r="N2060" s="54" t="n"/>
      <c r="O2060" s="54" t="n"/>
      <c r="P2060" s="54" t="n"/>
      <c r="Q2060" s="110" t="n"/>
      <c r="R2060" s="110" t="n"/>
      <c r="S2060" s="54" t="n"/>
      <c r="T2060" s="111">
        <f>IF($G2060="","",IFERROR(INDEX(Taux_Devises,MATCH(IF($M2060="",Devise_Base,$M2060),Codes_Devises,0)),1))</f>
        <v/>
      </c>
      <c r="U2060" s="112">
        <f>IF($G2060="","",ROUND($G2060*$T2060,2))</f>
        <v/>
      </c>
      <c r="V2060" s="113">
        <f>IF($B2060="","",MONTH($B2060))</f>
        <v/>
      </c>
      <c r="W2060" s="113">
        <f>IF($B2060="","",YEAR($B2060))</f>
        <v/>
      </c>
    </row>
    <row r="2061">
      <c r="B2061" s="105" t="n"/>
      <c r="C2061" s="54" t="n"/>
      <c r="D2061" s="54" t="n"/>
      <c r="E2061" s="54" t="n"/>
      <c r="F2061" s="54" t="n"/>
      <c r="G2061" s="65" t="n"/>
      <c r="H2061" s="54" t="n"/>
      <c r="I2061" s="106">
        <f>IF($C2061="","",IFERROR(INDEX(Sens_Types,MATCH($C2061,Liste_Types,0)),""))</f>
        <v/>
      </c>
      <c r="J2061" s="107">
        <f>IF($I2061="▲ ENTRÉE",$U2061,"")</f>
        <v/>
      </c>
      <c r="K2061" s="108">
        <f>IF($I2061="▼ SORTIE",$U2061,"")</f>
        <v/>
      </c>
      <c r="L2061" s="109">
        <f>$L2060+N($J2061)-N($K2061)</f>
        <v/>
      </c>
      <c r="M2061" s="110" t="n"/>
      <c r="N2061" s="54" t="n"/>
      <c r="O2061" s="54" t="n"/>
      <c r="P2061" s="54" t="n"/>
      <c r="Q2061" s="110" t="n"/>
      <c r="R2061" s="110" t="n"/>
      <c r="S2061" s="54" t="n"/>
      <c r="T2061" s="111">
        <f>IF($G2061="","",IFERROR(INDEX(Taux_Devises,MATCH(IF($M2061="",Devise_Base,$M2061),Codes_Devises,0)),1))</f>
        <v/>
      </c>
      <c r="U2061" s="112">
        <f>IF($G2061="","",ROUND($G2061*$T2061,2))</f>
        <v/>
      </c>
      <c r="V2061" s="113">
        <f>IF($B2061="","",MONTH($B2061))</f>
        <v/>
      </c>
      <c r="W2061" s="113">
        <f>IF($B2061="","",YEAR($B2061))</f>
        <v/>
      </c>
    </row>
    <row r="2062">
      <c r="B2062" s="105" t="n"/>
      <c r="C2062" s="54" t="n"/>
      <c r="D2062" s="54" t="n"/>
      <c r="E2062" s="54" t="n"/>
      <c r="F2062" s="54" t="n"/>
      <c r="G2062" s="65" t="n"/>
      <c r="H2062" s="54" t="n"/>
      <c r="I2062" s="106">
        <f>IF($C2062="","",IFERROR(INDEX(Sens_Types,MATCH($C2062,Liste_Types,0)),""))</f>
        <v/>
      </c>
      <c r="J2062" s="107">
        <f>IF($I2062="▲ ENTRÉE",$U2062,"")</f>
        <v/>
      </c>
      <c r="K2062" s="108">
        <f>IF($I2062="▼ SORTIE",$U2062,"")</f>
        <v/>
      </c>
      <c r="L2062" s="109">
        <f>$L2061+N($J2062)-N($K2062)</f>
        <v/>
      </c>
      <c r="M2062" s="110" t="n"/>
      <c r="N2062" s="54" t="n"/>
      <c r="O2062" s="54" t="n"/>
      <c r="P2062" s="54" t="n"/>
      <c r="Q2062" s="110" t="n"/>
      <c r="R2062" s="110" t="n"/>
      <c r="S2062" s="54" t="n"/>
      <c r="T2062" s="111">
        <f>IF($G2062="","",IFERROR(INDEX(Taux_Devises,MATCH(IF($M2062="",Devise_Base,$M2062),Codes_Devises,0)),1))</f>
        <v/>
      </c>
      <c r="U2062" s="112">
        <f>IF($G2062="","",ROUND($G2062*$T2062,2))</f>
        <v/>
      </c>
      <c r="V2062" s="113">
        <f>IF($B2062="","",MONTH($B2062))</f>
        <v/>
      </c>
      <c r="W2062" s="113">
        <f>IF($B2062="","",YEAR($B2062))</f>
        <v/>
      </c>
    </row>
    <row r="2063">
      <c r="B2063" s="105" t="n"/>
      <c r="C2063" s="54" t="n"/>
      <c r="D2063" s="54" t="n"/>
      <c r="E2063" s="54" t="n"/>
      <c r="F2063" s="54" t="n"/>
      <c r="G2063" s="65" t="n"/>
      <c r="H2063" s="54" t="n"/>
      <c r="I2063" s="106">
        <f>IF($C2063="","",IFERROR(INDEX(Sens_Types,MATCH($C2063,Liste_Types,0)),""))</f>
        <v/>
      </c>
      <c r="J2063" s="107">
        <f>IF($I2063="▲ ENTRÉE",$U2063,"")</f>
        <v/>
      </c>
      <c r="K2063" s="108">
        <f>IF($I2063="▼ SORTIE",$U2063,"")</f>
        <v/>
      </c>
      <c r="L2063" s="109">
        <f>$L2062+N($J2063)-N($K2063)</f>
        <v/>
      </c>
      <c r="M2063" s="110" t="n"/>
      <c r="N2063" s="54" t="n"/>
      <c r="O2063" s="54" t="n"/>
      <c r="P2063" s="54" t="n"/>
      <c r="Q2063" s="110" t="n"/>
      <c r="R2063" s="110" t="n"/>
      <c r="S2063" s="54" t="n"/>
      <c r="T2063" s="111">
        <f>IF($G2063="","",IFERROR(INDEX(Taux_Devises,MATCH(IF($M2063="",Devise_Base,$M2063),Codes_Devises,0)),1))</f>
        <v/>
      </c>
      <c r="U2063" s="112">
        <f>IF($G2063="","",ROUND($G2063*$T2063,2))</f>
        <v/>
      </c>
      <c r="V2063" s="113">
        <f>IF($B2063="","",MONTH($B2063))</f>
        <v/>
      </c>
      <c r="W2063" s="113">
        <f>IF($B2063="","",YEAR($B2063))</f>
        <v/>
      </c>
    </row>
    <row r="2064">
      <c r="B2064" s="105" t="n"/>
      <c r="C2064" s="54" t="n"/>
      <c r="D2064" s="54" t="n"/>
      <c r="E2064" s="54" t="n"/>
      <c r="F2064" s="54" t="n"/>
      <c r="G2064" s="65" t="n"/>
      <c r="H2064" s="54" t="n"/>
      <c r="I2064" s="106">
        <f>IF($C2064="","",IFERROR(INDEX(Sens_Types,MATCH($C2064,Liste_Types,0)),""))</f>
        <v/>
      </c>
      <c r="J2064" s="107">
        <f>IF($I2064="▲ ENTRÉE",$U2064,"")</f>
        <v/>
      </c>
      <c r="K2064" s="108">
        <f>IF($I2064="▼ SORTIE",$U2064,"")</f>
        <v/>
      </c>
      <c r="L2064" s="109">
        <f>$L2063+N($J2064)-N($K2064)</f>
        <v/>
      </c>
      <c r="M2064" s="110" t="n"/>
      <c r="N2064" s="54" t="n"/>
      <c r="O2064" s="54" t="n"/>
      <c r="P2064" s="54" t="n"/>
      <c r="Q2064" s="110" t="n"/>
      <c r="R2064" s="110" t="n"/>
      <c r="S2064" s="54" t="n"/>
      <c r="T2064" s="111">
        <f>IF($G2064="","",IFERROR(INDEX(Taux_Devises,MATCH(IF($M2064="",Devise_Base,$M2064),Codes_Devises,0)),1))</f>
        <v/>
      </c>
      <c r="U2064" s="112">
        <f>IF($G2064="","",ROUND($G2064*$T2064,2))</f>
        <v/>
      </c>
      <c r="V2064" s="113">
        <f>IF($B2064="","",MONTH($B2064))</f>
        <v/>
      </c>
      <c r="W2064" s="113">
        <f>IF($B2064="","",YEAR($B2064))</f>
        <v/>
      </c>
    </row>
    <row r="2065">
      <c r="B2065" s="105" t="n"/>
      <c r="C2065" s="54" t="n"/>
      <c r="D2065" s="54" t="n"/>
      <c r="E2065" s="54" t="n"/>
      <c r="F2065" s="54" t="n"/>
      <c r="G2065" s="65" t="n"/>
      <c r="H2065" s="54" t="n"/>
      <c r="I2065" s="106">
        <f>IF($C2065="","",IFERROR(INDEX(Sens_Types,MATCH($C2065,Liste_Types,0)),""))</f>
        <v/>
      </c>
      <c r="J2065" s="107">
        <f>IF($I2065="▲ ENTRÉE",$U2065,"")</f>
        <v/>
      </c>
      <c r="K2065" s="108">
        <f>IF($I2065="▼ SORTIE",$U2065,"")</f>
        <v/>
      </c>
      <c r="L2065" s="109">
        <f>$L2064+N($J2065)-N($K2065)</f>
        <v/>
      </c>
      <c r="M2065" s="110" t="n"/>
      <c r="N2065" s="54" t="n"/>
      <c r="O2065" s="54" t="n"/>
      <c r="P2065" s="54" t="n"/>
      <c r="Q2065" s="110" t="n"/>
      <c r="R2065" s="110" t="n"/>
      <c r="S2065" s="54" t="n"/>
      <c r="T2065" s="111">
        <f>IF($G2065="","",IFERROR(INDEX(Taux_Devises,MATCH(IF($M2065="",Devise_Base,$M2065),Codes_Devises,0)),1))</f>
        <v/>
      </c>
      <c r="U2065" s="112">
        <f>IF($G2065="","",ROUND($G2065*$T2065,2))</f>
        <v/>
      </c>
      <c r="V2065" s="113">
        <f>IF($B2065="","",MONTH($B2065))</f>
        <v/>
      </c>
      <c r="W2065" s="113">
        <f>IF($B2065="","",YEAR($B2065))</f>
        <v/>
      </c>
    </row>
    <row r="2066">
      <c r="B2066" s="105" t="n"/>
      <c r="C2066" s="54" t="n"/>
      <c r="D2066" s="54" t="n"/>
      <c r="E2066" s="54" t="n"/>
      <c r="F2066" s="54" t="n"/>
      <c r="G2066" s="65" t="n"/>
      <c r="H2066" s="54" t="n"/>
      <c r="I2066" s="106">
        <f>IF($C2066="","",IFERROR(INDEX(Sens_Types,MATCH($C2066,Liste_Types,0)),""))</f>
        <v/>
      </c>
      <c r="J2066" s="107">
        <f>IF($I2066="▲ ENTRÉE",$U2066,"")</f>
        <v/>
      </c>
      <c r="K2066" s="108">
        <f>IF($I2066="▼ SORTIE",$U2066,"")</f>
        <v/>
      </c>
      <c r="L2066" s="109">
        <f>$L2065+N($J2066)-N($K2066)</f>
        <v/>
      </c>
      <c r="M2066" s="110" t="n"/>
      <c r="N2066" s="54" t="n"/>
      <c r="O2066" s="54" t="n"/>
      <c r="P2066" s="54" t="n"/>
      <c r="Q2066" s="110" t="n"/>
      <c r="R2066" s="110" t="n"/>
      <c r="S2066" s="54" t="n"/>
      <c r="T2066" s="111">
        <f>IF($G2066="","",IFERROR(INDEX(Taux_Devises,MATCH(IF($M2066="",Devise_Base,$M2066),Codes_Devises,0)),1))</f>
        <v/>
      </c>
      <c r="U2066" s="112">
        <f>IF($G2066="","",ROUND($G2066*$T2066,2))</f>
        <v/>
      </c>
      <c r="V2066" s="113">
        <f>IF($B2066="","",MONTH($B2066))</f>
        <v/>
      </c>
      <c r="W2066" s="113">
        <f>IF($B2066="","",YEAR($B2066))</f>
        <v/>
      </c>
    </row>
    <row r="2067">
      <c r="B2067" s="105" t="n"/>
      <c r="C2067" s="54" t="n"/>
      <c r="D2067" s="54" t="n"/>
      <c r="E2067" s="54" t="n"/>
      <c r="F2067" s="54" t="n"/>
      <c r="G2067" s="65" t="n"/>
      <c r="H2067" s="54" t="n"/>
      <c r="I2067" s="106">
        <f>IF($C2067="","",IFERROR(INDEX(Sens_Types,MATCH($C2067,Liste_Types,0)),""))</f>
        <v/>
      </c>
      <c r="J2067" s="107">
        <f>IF($I2067="▲ ENTRÉE",$U2067,"")</f>
        <v/>
      </c>
      <c r="K2067" s="108">
        <f>IF($I2067="▼ SORTIE",$U2067,"")</f>
        <v/>
      </c>
      <c r="L2067" s="109">
        <f>$L2066+N($J2067)-N($K2067)</f>
        <v/>
      </c>
      <c r="M2067" s="110" t="n"/>
      <c r="N2067" s="54" t="n"/>
      <c r="O2067" s="54" t="n"/>
      <c r="P2067" s="54" t="n"/>
      <c r="Q2067" s="110" t="n"/>
      <c r="R2067" s="110" t="n"/>
      <c r="S2067" s="54" t="n"/>
      <c r="T2067" s="111">
        <f>IF($G2067="","",IFERROR(INDEX(Taux_Devises,MATCH(IF($M2067="",Devise_Base,$M2067),Codes_Devises,0)),1))</f>
        <v/>
      </c>
      <c r="U2067" s="112">
        <f>IF($G2067="","",ROUND($G2067*$T2067,2))</f>
        <v/>
      </c>
      <c r="V2067" s="113">
        <f>IF($B2067="","",MONTH($B2067))</f>
        <v/>
      </c>
      <c r="W2067" s="113">
        <f>IF($B2067="","",YEAR($B2067))</f>
        <v/>
      </c>
    </row>
    <row r="2068">
      <c r="B2068" s="105" t="n"/>
      <c r="C2068" s="54" t="n"/>
      <c r="D2068" s="54" t="n"/>
      <c r="E2068" s="54" t="n"/>
      <c r="F2068" s="54" t="n"/>
      <c r="G2068" s="65" t="n"/>
      <c r="H2068" s="54" t="n"/>
      <c r="I2068" s="106">
        <f>IF($C2068="","",IFERROR(INDEX(Sens_Types,MATCH($C2068,Liste_Types,0)),""))</f>
        <v/>
      </c>
      <c r="J2068" s="107">
        <f>IF($I2068="▲ ENTRÉE",$U2068,"")</f>
        <v/>
      </c>
      <c r="K2068" s="108">
        <f>IF($I2068="▼ SORTIE",$U2068,"")</f>
        <v/>
      </c>
      <c r="L2068" s="109">
        <f>$L2067+N($J2068)-N($K2068)</f>
        <v/>
      </c>
      <c r="M2068" s="110" t="n"/>
      <c r="N2068" s="54" t="n"/>
      <c r="O2068" s="54" t="n"/>
      <c r="P2068" s="54" t="n"/>
      <c r="Q2068" s="110" t="n"/>
      <c r="R2068" s="110" t="n"/>
      <c r="S2068" s="54" t="n"/>
      <c r="T2068" s="111">
        <f>IF($G2068="","",IFERROR(INDEX(Taux_Devises,MATCH(IF($M2068="",Devise_Base,$M2068),Codes_Devises,0)),1))</f>
        <v/>
      </c>
      <c r="U2068" s="112">
        <f>IF($G2068="","",ROUND($G2068*$T2068,2))</f>
        <v/>
      </c>
      <c r="V2068" s="113">
        <f>IF($B2068="","",MONTH($B2068))</f>
        <v/>
      </c>
      <c r="W2068" s="113">
        <f>IF($B2068="","",YEAR($B2068))</f>
        <v/>
      </c>
    </row>
    <row r="2069">
      <c r="B2069" s="105" t="n"/>
      <c r="C2069" s="54" t="n"/>
      <c r="D2069" s="54" t="n"/>
      <c r="E2069" s="54" t="n"/>
      <c r="F2069" s="54" t="n"/>
      <c r="G2069" s="65" t="n"/>
      <c r="H2069" s="54" t="n"/>
      <c r="I2069" s="106">
        <f>IF($C2069="","",IFERROR(INDEX(Sens_Types,MATCH($C2069,Liste_Types,0)),""))</f>
        <v/>
      </c>
      <c r="J2069" s="107">
        <f>IF($I2069="▲ ENTRÉE",$U2069,"")</f>
        <v/>
      </c>
      <c r="K2069" s="108">
        <f>IF($I2069="▼ SORTIE",$U2069,"")</f>
        <v/>
      </c>
      <c r="L2069" s="109">
        <f>$L2068+N($J2069)-N($K2069)</f>
        <v/>
      </c>
      <c r="M2069" s="110" t="n"/>
      <c r="N2069" s="54" t="n"/>
      <c r="O2069" s="54" t="n"/>
      <c r="P2069" s="54" t="n"/>
      <c r="Q2069" s="110" t="n"/>
      <c r="R2069" s="110" t="n"/>
      <c r="S2069" s="54" t="n"/>
      <c r="T2069" s="111">
        <f>IF($G2069="","",IFERROR(INDEX(Taux_Devises,MATCH(IF($M2069="",Devise_Base,$M2069),Codes_Devises,0)),1))</f>
        <v/>
      </c>
      <c r="U2069" s="112">
        <f>IF($G2069="","",ROUND($G2069*$T2069,2))</f>
        <v/>
      </c>
      <c r="V2069" s="113">
        <f>IF($B2069="","",MONTH($B2069))</f>
        <v/>
      </c>
      <c r="W2069" s="113">
        <f>IF($B2069="","",YEAR($B2069))</f>
        <v/>
      </c>
    </row>
    <row r="2070">
      <c r="B2070" s="105" t="n"/>
      <c r="C2070" s="54" t="n"/>
      <c r="D2070" s="54" t="n"/>
      <c r="E2070" s="54" t="n"/>
      <c r="F2070" s="54" t="n"/>
      <c r="G2070" s="65" t="n"/>
      <c r="H2070" s="54" t="n"/>
      <c r="I2070" s="106">
        <f>IF($C2070="","",IFERROR(INDEX(Sens_Types,MATCH($C2070,Liste_Types,0)),""))</f>
        <v/>
      </c>
      <c r="J2070" s="107">
        <f>IF($I2070="▲ ENTRÉE",$U2070,"")</f>
        <v/>
      </c>
      <c r="K2070" s="108">
        <f>IF($I2070="▼ SORTIE",$U2070,"")</f>
        <v/>
      </c>
      <c r="L2070" s="109">
        <f>$L2069+N($J2070)-N($K2070)</f>
        <v/>
      </c>
      <c r="M2070" s="110" t="n"/>
      <c r="N2070" s="54" t="n"/>
      <c r="O2070" s="54" t="n"/>
      <c r="P2070" s="54" t="n"/>
      <c r="Q2070" s="110" t="n"/>
      <c r="R2070" s="110" t="n"/>
      <c r="S2070" s="54" t="n"/>
      <c r="T2070" s="111">
        <f>IF($G2070="","",IFERROR(INDEX(Taux_Devises,MATCH(IF($M2070="",Devise_Base,$M2070),Codes_Devises,0)),1))</f>
        <v/>
      </c>
      <c r="U2070" s="112">
        <f>IF($G2070="","",ROUND($G2070*$T2070,2))</f>
        <v/>
      </c>
      <c r="V2070" s="113">
        <f>IF($B2070="","",MONTH($B2070))</f>
        <v/>
      </c>
      <c r="W2070" s="113">
        <f>IF($B2070="","",YEAR($B2070))</f>
        <v/>
      </c>
    </row>
    <row r="2071">
      <c r="B2071" s="105" t="n"/>
      <c r="C2071" s="54" t="n"/>
      <c r="D2071" s="54" t="n"/>
      <c r="E2071" s="54" t="n"/>
      <c r="F2071" s="54" t="n"/>
      <c r="G2071" s="65" t="n"/>
      <c r="H2071" s="54" t="n"/>
      <c r="I2071" s="106">
        <f>IF($C2071="","",IFERROR(INDEX(Sens_Types,MATCH($C2071,Liste_Types,0)),""))</f>
        <v/>
      </c>
      <c r="J2071" s="107">
        <f>IF($I2071="▲ ENTRÉE",$U2071,"")</f>
        <v/>
      </c>
      <c r="K2071" s="108">
        <f>IF($I2071="▼ SORTIE",$U2071,"")</f>
        <v/>
      </c>
      <c r="L2071" s="109">
        <f>$L2070+N($J2071)-N($K2071)</f>
        <v/>
      </c>
      <c r="M2071" s="110" t="n"/>
      <c r="N2071" s="54" t="n"/>
      <c r="O2071" s="54" t="n"/>
      <c r="P2071" s="54" t="n"/>
      <c r="Q2071" s="110" t="n"/>
      <c r="R2071" s="110" t="n"/>
      <c r="S2071" s="54" t="n"/>
      <c r="T2071" s="111">
        <f>IF($G2071="","",IFERROR(INDEX(Taux_Devises,MATCH(IF($M2071="",Devise_Base,$M2071),Codes_Devises,0)),1))</f>
        <v/>
      </c>
      <c r="U2071" s="112">
        <f>IF($G2071="","",ROUND($G2071*$T2071,2))</f>
        <v/>
      </c>
      <c r="V2071" s="113">
        <f>IF($B2071="","",MONTH($B2071))</f>
        <v/>
      </c>
      <c r="W2071" s="113">
        <f>IF($B2071="","",YEAR($B2071))</f>
        <v/>
      </c>
    </row>
    <row r="2072">
      <c r="B2072" s="105" t="n"/>
      <c r="C2072" s="54" t="n"/>
      <c r="D2072" s="54" t="n"/>
      <c r="E2072" s="54" t="n"/>
      <c r="F2072" s="54" t="n"/>
      <c r="G2072" s="65" t="n"/>
      <c r="H2072" s="54" t="n"/>
      <c r="I2072" s="106">
        <f>IF($C2072="","",IFERROR(INDEX(Sens_Types,MATCH($C2072,Liste_Types,0)),""))</f>
        <v/>
      </c>
      <c r="J2072" s="107">
        <f>IF($I2072="▲ ENTRÉE",$U2072,"")</f>
        <v/>
      </c>
      <c r="K2072" s="108">
        <f>IF($I2072="▼ SORTIE",$U2072,"")</f>
        <v/>
      </c>
      <c r="L2072" s="109">
        <f>$L2071+N($J2072)-N($K2072)</f>
        <v/>
      </c>
      <c r="M2072" s="110" t="n"/>
      <c r="N2072" s="54" t="n"/>
      <c r="O2072" s="54" t="n"/>
      <c r="P2072" s="54" t="n"/>
      <c r="Q2072" s="110" t="n"/>
      <c r="R2072" s="110" t="n"/>
      <c r="S2072" s="54" t="n"/>
      <c r="T2072" s="111">
        <f>IF($G2072="","",IFERROR(INDEX(Taux_Devises,MATCH(IF($M2072="",Devise_Base,$M2072),Codes_Devises,0)),1))</f>
        <v/>
      </c>
      <c r="U2072" s="112">
        <f>IF($G2072="","",ROUND($G2072*$T2072,2))</f>
        <v/>
      </c>
      <c r="V2072" s="113">
        <f>IF($B2072="","",MONTH($B2072))</f>
        <v/>
      </c>
      <c r="W2072" s="113">
        <f>IF($B2072="","",YEAR($B2072))</f>
        <v/>
      </c>
    </row>
    <row r="2073">
      <c r="B2073" s="105" t="n"/>
      <c r="C2073" s="54" t="n"/>
      <c r="D2073" s="54" t="n"/>
      <c r="E2073" s="54" t="n"/>
      <c r="F2073" s="54" t="n"/>
      <c r="G2073" s="65" t="n"/>
      <c r="H2073" s="54" t="n"/>
      <c r="I2073" s="106">
        <f>IF($C2073="","",IFERROR(INDEX(Sens_Types,MATCH($C2073,Liste_Types,0)),""))</f>
        <v/>
      </c>
      <c r="J2073" s="107">
        <f>IF($I2073="▲ ENTRÉE",$U2073,"")</f>
        <v/>
      </c>
      <c r="K2073" s="108">
        <f>IF($I2073="▼ SORTIE",$U2073,"")</f>
        <v/>
      </c>
      <c r="L2073" s="109">
        <f>$L2072+N($J2073)-N($K2073)</f>
        <v/>
      </c>
      <c r="M2073" s="110" t="n"/>
      <c r="N2073" s="54" t="n"/>
      <c r="O2073" s="54" t="n"/>
      <c r="P2073" s="54" t="n"/>
      <c r="Q2073" s="110" t="n"/>
      <c r="R2073" s="110" t="n"/>
      <c r="S2073" s="54" t="n"/>
      <c r="T2073" s="111">
        <f>IF($G2073="","",IFERROR(INDEX(Taux_Devises,MATCH(IF($M2073="",Devise_Base,$M2073),Codes_Devises,0)),1))</f>
        <v/>
      </c>
      <c r="U2073" s="112">
        <f>IF($G2073="","",ROUND($G2073*$T2073,2))</f>
        <v/>
      </c>
      <c r="V2073" s="113">
        <f>IF($B2073="","",MONTH($B2073))</f>
        <v/>
      </c>
      <c r="W2073" s="113">
        <f>IF($B2073="","",YEAR($B2073))</f>
        <v/>
      </c>
    </row>
    <row r="2074">
      <c r="B2074" s="105" t="n"/>
      <c r="C2074" s="54" t="n"/>
      <c r="D2074" s="54" t="n"/>
      <c r="E2074" s="54" t="n"/>
      <c r="F2074" s="54" t="n"/>
      <c r="G2074" s="65" t="n"/>
      <c r="H2074" s="54" t="n"/>
      <c r="I2074" s="106">
        <f>IF($C2074="","",IFERROR(INDEX(Sens_Types,MATCH($C2074,Liste_Types,0)),""))</f>
        <v/>
      </c>
      <c r="J2074" s="107">
        <f>IF($I2074="▲ ENTRÉE",$U2074,"")</f>
        <v/>
      </c>
      <c r="K2074" s="108">
        <f>IF($I2074="▼ SORTIE",$U2074,"")</f>
        <v/>
      </c>
      <c r="L2074" s="109">
        <f>$L2073+N($J2074)-N($K2074)</f>
        <v/>
      </c>
      <c r="M2074" s="110" t="n"/>
      <c r="N2074" s="54" t="n"/>
      <c r="O2074" s="54" t="n"/>
      <c r="P2074" s="54" t="n"/>
      <c r="Q2074" s="110" t="n"/>
      <c r="R2074" s="110" t="n"/>
      <c r="S2074" s="54" t="n"/>
      <c r="T2074" s="111">
        <f>IF($G2074="","",IFERROR(INDEX(Taux_Devises,MATCH(IF($M2074="",Devise_Base,$M2074),Codes_Devises,0)),1))</f>
        <v/>
      </c>
      <c r="U2074" s="112">
        <f>IF($G2074="","",ROUND($G2074*$T2074,2))</f>
        <v/>
      </c>
      <c r="V2074" s="113">
        <f>IF($B2074="","",MONTH($B2074))</f>
        <v/>
      </c>
      <c r="W2074" s="113">
        <f>IF($B2074="","",YEAR($B2074))</f>
        <v/>
      </c>
    </row>
    <row r="2075">
      <c r="B2075" s="105" t="n"/>
      <c r="C2075" s="54" t="n"/>
      <c r="D2075" s="54" t="n"/>
      <c r="E2075" s="54" t="n"/>
      <c r="F2075" s="54" t="n"/>
      <c r="G2075" s="65" t="n"/>
      <c r="H2075" s="54" t="n"/>
      <c r="I2075" s="106">
        <f>IF($C2075="","",IFERROR(INDEX(Sens_Types,MATCH($C2075,Liste_Types,0)),""))</f>
        <v/>
      </c>
      <c r="J2075" s="107">
        <f>IF($I2075="▲ ENTRÉE",$U2075,"")</f>
        <v/>
      </c>
      <c r="K2075" s="108">
        <f>IF($I2075="▼ SORTIE",$U2075,"")</f>
        <v/>
      </c>
      <c r="L2075" s="109">
        <f>$L2074+N($J2075)-N($K2075)</f>
        <v/>
      </c>
      <c r="M2075" s="110" t="n"/>
      <c r="N2075" s="54" t="n"/>
      <c r="O2075" s="54" t="n"/>
      <c r="P2075" s="54" t="n"/>
      <c r="Q2075" s="110" t="n"/>
      <c r="R2075" s="110" t="n"/>
      <c r="S2075" s="54" t="n"/>
      <c r="T2075" s="111">
        <f>IF($G2075="","",IFERROR(INDEX(Taux_Devises,MATCH(IF($M2075="",Devise_Base,$M2075),Codes_Devises,0)),1))</f>
        <v/>
      </c>
      <c r="U2075" s="112">
        <f>IF($G2075="","",ROUND($G2075*$T2075,2))</f>
        <v/>
      </c>
      <c r="V2075" s="113">
        <f>IF($B2075="","",MONTH($B2075))</f>
        <v/>
      </c>
      <c r="W2075" s="113">
        <f>IF($B2075="","",YEAR($B2075))</f>
        <v/>
      </c>
    </row>
    <row r="2076">
      <c r="B2076" s="105" t="n"/>
      <c r="C2076" s="54" t="n"/>
      <c r="D2076" s="54" t="n"/>
      <c r="E2076" s="54" t="n"/>
      <c r="F2076" s="54" t="n"/>
      <c r="G2076" s="65" t="n"/>
      <c r="H2076" s="54" t="n"/>
      <c r="I2076" s="106">
        <f>IF($C2076="","",IFERROR(INDEX(Sens_Types,MATCH($C2076,Liste_Types,0)),""))</f>
        <v/>
      </c>
      <c r="J2076" s="107">
        <f>IF($I2076="▲ ENTRÉE",$U2076,"")</f>
        <v/>
      </c>
      <c r="K2076" s="108">
        <f>IF($I2076="▼ SORTIE",$U2076,"")</f>
        <v/>
      </c>
      <c r="L2076" s="109">
        <f>$L2075+N($J2076)-N($K2076)</f>
        <v/>
      </c>
      <c r="M2076" s="110" t="n"/>
      <c r="N2076" s="54" t="n"/>
      <c r="O2076" s="54" t="n"/>
      <c r="P2076" s="54" t="n"/>
      <c r="Q2076" s="110" t="n"/>
      <c r="R2076" s="110" t="n"/>
      <c r="S2076" s="54" t="n"/>
      <c r="T2076" s="111">
        <f>IF($G2076="","",IFERROR(INDEX(Taux_Devises,MATCH(IF($M2076="",Devise_Base,$M2076),Codes_Devises,0)),1))</f>
        <v/>
      </c>
      <c r="U2076" s="112">
        <f>IF($G2076="","",ROUND($G2076*$T2076,2))</f>
        <v/>
      </c>
      <c r="V2076" s="113">
        <f>IF($B2076="","",MONTH($B2076))</f>
        <v/>
      </c>
      <c r="W2076" s="113">
        <f>IF($B2076="","",YEAR($B2076))</f>
        <v/>
      </c>
    </row>
    <row r="2077">
      <c r="B2077" s="105" t="n"/>
      <c r="C2077" s="54" t="n"/>
      <c r="D2077" s="54" t="n"/>
      <c r="E2077" s="54" t="n"/>
      <c r="F2077" s="54" t="n"/>
      <c r="G2077" s="65" t="n"/>
      <c r="H2077" s="54" t="n"/>
      <c r="I2077" s="106">
        <f>IF($C2077="","",IFERROR(INDEX(Sens_Types,MATCH($C2077,Liste_Types,0)),""))</f>
        <v/>
      </c>
      <c r="J2077" s="107">
        <f>IF($I2077="▲ ENTRÉE",$U2077,"")</f>
        <v/>
      </c>
      <c r="K2077" s="108">
        <f>IF($I2077="▼ SORTIE",$U2077,"")</f>
        <v/>
      </c>
      <c r="L2077" s="109">
        <f>$L2076+N($J2077)-N($K2077)</f>
        <v/>
      </c>
      <c r="M2077" s="110" t="n"/>
      <c r="N2077" s="54" t="n"/>
      <c r="O2077" s="54" t="n"/>
      <c r="P2077" s="54" t="n"/>
      <c r="Q2077" s="110" t="n"/>
      <c r="R2077" s="110" t="n"/>
      <c r="S2077" s="54" t="n"/>
      <c r="T2077" s="111">
        <f>IF($G2077="","",IFERROR(INDEX(Taux_Devises,MATCH(IF($M2077="",Devise_Base,$M2077),Codes_Devises,0)),1))</f>
        <v/>
      </c>
      <c r="U2077" s="112">
        <f>IF($G2077="","",ROUND($G2077*$T2077,2))</f>
        <v/>
      </c>
      <c r="V2077" s="113">
        <f>IF($B2077="","",MONTH($B2077))</f>
        <v/>
      </c>
      <c r="W2077" s="113">
        <f>IF($B2077="","",YEAR($B2077))</f>
        <v/>
      </c>
    </row>
    <row r="2078">
      <c r="B2078" s="105" t="n"/>
      <c r="C2078" s="54" t="n"/>
      <c r="D2078" s="54" t="n"/>
      <c r="E2078" s="54" t="n"/>
      <c r="F2078" s="54" t="n"/>
      <c r="G2078" s="65" t="n"/>
      <c r="H2078" s="54" t="n"/>
      <c r="I2078" s="106">
        <f>IF($C2078="","",IFERROR(INDEX(Sens_Types,MATCH($C2078,Liste_Types,0)),""))</f>
        <v/>
      </c>
      <c r="J2078" s="107">
        <f>IF($I2078="▲ ENTRÉE",$U2078,"")</f>
        <v/>
      </c>
      <c r="K2078" s="108">
        <f>IF($I2078="▼ SORTIE",$U2078,"")</f>
        <v/>
      </c>
      <c r="L2078" s="109">
        <f>$L2077+N($J2078)-N($K2078)</f>
        <v/>
      </c>
      <c r="M2078" s="110" t="n"/>
      <c r="N2078" s="54" t="n"/>
      <c r="O2078" s="54" t="n"/>
      <c r="P2078" s="54" t="n"/>
      <c r="Q2078" s="110" t="n"/>
      <c r="R2078" s="110" t="n"/>
      <c r="S2078" s="54" t="n"/>
      <c r="T2078" s="111">
        <f>IF($G2078="","",IFERROR(INDEX(Taux_Devises,MATCH(IF($M2078="",Devise_Base,$M2078),Codes_Devises,0)),1))</f>
        <v/>
      </c>
      <c r="U2078" s="112">
        <f>IF($G2078="","",ROUND($G2078*$T2078,2))</f>
        <v/>
      </c>
      <c r="V2078" s="113">
        <f>IF($B2078="","",MONTH($B2078))</f>
        <v/>
      </c>
      <c r="W2078" s="113">
        <f>IF($B2078="","",YEAR($B2078))</f>
        <v/>
      </c>
    </row>
    <row r="2079">
      <c r="B2079" s="105" t="n"/>
      <c r="C2079" s="54" t="n"/>
      <c r="D2079" s="54" t="n"/>
      <c r="E2079" s="54" t="n"/>
      <c r="F2079" s="54" t="n"/>
      <c r="G2079" s="65" t="n"/>
      <c r="H2079" s="54" t="n"/>
      <c r="I2079" s="106">
        <f>IF($C2079="","",IFERROR(INDEX(Sens_Types,MATCH($C2079,Liste_Types,0)),""))</f>
        <v/>
      </c>
      <c r="J2079" s="107">
        <f>IF($I2079="▲ ENTRÉE",$U2079,"")</f>
        <v/>
      </c>
      <c r="K2079" s="108">
        <f>IF($I2079="▼ SORTIE",$U2079,"")</f>
        <v/>
      </c>
      <c r="L2079" s="109">
        <f>$L2078+N($J2079)-N($K2079)</f>
        <v/>
      </c>
      <c r="M2079" s="110" t="n"/>
      <c r="N2079" s="54" t="n"/>
      <c r="O2079" s="54" t="n"/>
      <c r="P2079" s="54" t="n"/>
      <c r="Q2079" s="110" t="n"/>
      <c r="R2079" s="110" t="n"/>
      <c r="S2079" s="54" t="n"/>
      <c r="T2079" s="111">
        <f>IF($G2079="","",IFERROR(INDEX(Taux_Devises,MATCH(IF($M2079="",Devise_Base,$M2079),Codes_Devises,0)),1))</f>
        <v/>
      </c>
      <c r="U2079" s="112">
        <f>IF($G2079="","",ROUND($G2079*$T2079,2))</f>
        <v/>
      </c>
      <c r="V2079" s="113">
        <f>IF($B2079="","",MONTH($B2079))</f>
        <v/>
      </c>
      <c r="W2079" s="113">
        <f>IF($B2079="","",YEAR($B2079))</f>
        <v/>
      </c>
    </row>
    <row r="2080">
      <c r="B2080" s="105" t="n"/>
      <c r="C2080" s="54" t="n"/>
      <c r="D2080" s="54" t="n"/>
      <c r="E2080" s="54" t="n"/>
      <c r="F2080" s="54" t="n"/>
      <c r="G2080" s="65" t="n"/>
      <c r="H2080" s="54" t="n"/>
      <c r="I2080" s="106">
        <f>IF($C2080="","",IFERROR(INDEX(Sens_Types,MATCH($C2080,Liste_Types,0)),""))</f>
        <v/>
      </c>
      <c r="J2080" s="107">
        <f>IF($I2080="▲ ENTRÉE",$U2080,"")</f>
        <v/>
      </c>
      <c r="K2080" s="108">
        <f>IF($I2080="▼ SORTIE",$U2080,"")</f>
        <v/>
      </c>
      <c r="L2080" s="109">
        <f>$L2079+N($J2080)-N($K2080)</f>
        <v/>
      </c>
      <c r="M2080" s="110" t="n"/>
      <c r="N2080" s="54" t="n"/>
      <c r="O2080" s="54" t="n"/>
      <c r="P2080" s="54" t="n"/>
      <c r="Q2080" s="110" t="n"/>
      <c r="R2080" s="110" t="n"/>
      <c r="S2080" s="54" t="n"/>
      <c r="T2080" s="111">
        <f>IF($G2080="","",IFERROR(INDEX(Taux_Devises,MATCH(IF($M2080="",Devise_Base,$M2080),Codes_Devises,0)),1))</f>
        <v/>
      </c>
      <c r="U2080" s="112">
        <f>IF($G2080="","",ROUND($G2080*$T2080,2))</f>
        <v/>
      </c>
      <c r="V2080" s="113">
        <f>IF($B2080="","",MONTH($B2080))</f>
        <v/>
      </c>
      <c r="W2080" s="113">
        <f>IF($B2080="","",YEAR($B2080))</f>
        <v/>
      </c>
    </row>
    <row r="2081">
      <c r="B2081" s="105" t="n"/>
      <c r="C2081" s="54" t="n"/>
      <c r="D2081" s="54" t="n"/>
      <c r="E2081" s="54" t="n"/>
      <c r="F2081" s="54" t="n"/>
      <c r="G2081" s="65" t="n"/>
      <c r="H2081" s="54" t="n"/>
      <c r="I2081" s="106">
        <f>IF($C2081="","",IFERROR(INDEX(Sens_Types,MATCH($C2081,Liste_Types,0)),""))</f>
        <v/>
      </c>
      <c r="J2081" s="107">
        <f>IF($I2081="▲ ENTRÉE",$U2081,"")</f>
        <v/>
      </c>
      <c r="K2081" s="108">
        <f>IF($I2081="▼ SORTIE",$U2081,"")</f>
        <v/>
      </c>
      <c r="L2081" s="109">
        <f>$L2080+N($J2081)-N($K2081)</f>
        <v/>
      </c>
      <c r="M2081" s="110" t="n"/>
      <c r="N2081" s="54" t="n"/>
      <c r="O2081" s="54" t="n"/>
      <c r="P2081" s="54" t="n"/>
      <c r="Q2081" s="110" t="n"/>
      <c r="R2081" s="110" t="n"/>
      <c r="S2081" s="54" t="n"/>
      <c r="T2081" s="111">
        <f>IF($G2081="","",IFERROR(INDEX(Taux_Devises,MATCH(IF($M2081="",Devise_Base,$M2081),Codes_Devises,0)),1))</f>
        <v/>
      </c>
      <c r="U2081" s="112">
        <f>IF($G2081="","",ROUND($G2081*$T2081,2))</f>
        <v/>
      </c>
      <c r="V2081" s="113">
        <f>IF($B2081="","",MONTH($B2081))</f>
        <v/>
      </c>
      <c r="W2081" s="113">
        <f>IF($B2081="","",YEAR($B2081))</f>
        <v/>
      </c>
    </row>
    <row r="2082">
      <c r="B2082" s="105" t="n"/>
      <c r="C2082" s="54" t="n"/>
      <c r="D2082" s="54" t="n"/>
      <c r="E2082" s="54" t="n"/>
      <c r="F2082" s="54" t="n"/>
      <c r="G2082" s="65" t="n"/>
      <c r="H2082" s="54" t="n"/>
      <c r="I2082" s="106">
        <f>IF($C2082="","",IFERROR(INDEX(Sens_Types,MATCH($C2082,Liste_Types,0)),""))</f>
        <v/>
      </c>
      <c r="J2082" s="107">
        <f>IF($I2082="▲ ENTRÉE",$U2082,"")</f>
        <v/>
      </c>
      <c r="K2082" s="108">
        <f>IF($I2082="▼ SORTIE",$U2082,"")</f>
        <v/>
      </c>
      <c r="L2082" s="109">
        <f>$L2081+N($J2082)-N($K2082)</f>
        <v/>
      </c>
      <c r="M2082" s="110" t="n"/>
      <c r="N2082" s="54" t="n"/>
      <c r="O2082" s="54" t="n"/>
      <c r="P2082" s="54" t="n"/>
      <c r="Q2082" s="110" t="n"/>
      <c r="R2082" s="110" t="n"/>
      <c r="S2082" s="54" t="n"/>
      <c r="T2082" s="111">
        <f>IF($G2082="","",IFERROR(INDEX(Taux_Devises,MATCH(IF($M2082="",Devise_Base,$M2082),Codes_Devises,0)),1))</f>
        <v/>
      </c>
      <c r="U2082" s="112">
        <f>IF($G2082="","",ROUND($G2082*$T2082,2))</f>
        <v/>
      </c>
      <c r="V2082" s="113">
        <f>IF($B2082="","",MONTH($B2082))</f>
        <v/>
      </c>
      <c r="W2082" s="113">
        <f>IF($B2082="","",YEAR($B2082))</f>
        <v/>
      </c>
    </row>
    <row r="2083">
      <c r="B2083" s="105" t="n"/>
      <c r="C2083" s="54" t="n"/>
      <c r="D2083" s="54" t="n"/>
      <c r="E2083" s="54" t="n"/>
      <c r="F2083" s="54" t="n"/>
      <c r="G2083" s="65" t="n"/>
      <c r="H2083" s="54" t="n"/>
      <c r="I2083" s="106">
        <f>IF($C2083="","",IFERROR(INDEX(Sens_Types,MATCH($C2083,Liste_Types,0)),""))</f>
        <v/>
      </c>
      <c r="J2083" s="107">
        <f>IF($I2083="▲ ENTRÉE",$U2083,"")</f>
        <v/>
      </c>
      <c r="K2083" s="108">
        <f>IF($I2083="▼ SORTIE",$U2083,"")</f>
        <v/>
      </c>
      <c r="L2083" s="109">
        <f>$L2082+N($J2083)-N($K2083)</f>
        <v/>
      </c>
      <c r="M2083" s="110" t="n"/>
      <c r="N2083" s="54" t="n"/>
      <c r="O2083" s="54" t="n"/>
      <c r="P2083" s="54" t="n"/>
      <c r="Q2083" s="110" t="n"/>
      <c r="R2083" s="110" t="n"/>
      <c r="S2083" s="54" t="n"/>
      <c r="T2083" s="111">
        <f>IF($G2083="","",IFERROR(INDEX(Taux_Devises,MATCH(IF($M2083="",Devise_Base,$M2083),Codes_Devises,0)),1))</f>
        <v/>
      </c>
      <c r="U2083" s="112">
        <f>IF($G2083="","",ROUND($G2083*$T2083,2))</f>
        <v/>
      </c>
      <c r="V2083" s="113">
        <f>IF($B2083="","",MONTH($B2083))</f>
        <v/>
      </c>
      <c r="W2083" s="113">
        <f>IF($B2083="","",YEAR($B2083))</f>
        <v/>
      </c>
    </row>
    <row r="2084">
      <c r="B2084" s="105" t="n"/>
      <c r="C2084" s="54" t="n"/>
      <c r="D2084" s="54" t="n"/>
      <c r="E2084" s="54" t="n"/>
      <c r="F2084" s="54" t="n"/>
      <c r="G2084" s="65" t="n"/>
      <c r="H2084" s="54" t="n"/>
      <c r="I2084" s="106">
        <f>IF($C2084="","",IFERROR(INDEX(Sens_Types,MATCH($C2084,Liste_Types,0)),""))</f>
        <v/>
      </c>
      <c r="J2084" s="107">
        <f>IF($I2084="▲ ENTRÉE",$U2084,"")</f>
        <v/>
      </c>
      <c r="K2084" s="108">
        <f>IF($I2084="▼ SORTIE",$U2084,"")</f>
        <v/>
      </c>
      <c r="L2084" s="109">
        <f>$L2083+N($J2084)-N($K2084)</f>
        <v/>
      </c>
      <c r="M2084" s="110" t="n"/>
      <c r="N2084" s="54" t="n"/>
      <c r="O2084" s="54" t="n"/>
      <c r="P2084" s="54" t="n"/>
      <c r="Q2084" s="110" t="n"/>
      <c r="R2084" s="110" t="n"/>
      <c r="S2084" s="54" t="n"/>
      <c r="T2084" s="111">
        <f>IF($G2084="","",IFERROR(INDEX(Taux_Devises,MATCH(IF($M2084="",Devise_Base,$M2084),Codes_Devises,0)),1))</f>
        <v/>
      </c>
      <c r="U2084" s="112">
        <f>IF($G2084="","",ROUND($G2084*$T2084,2))</f>
        <v/>
      </c>
      <c r="V2084" s="113">
        <f>IF($B2084="","",MONTH($B2084))</f>
        <v/>
      </c>
      <c r="W2084" s="113">
        <f>IF($B2084="","",YEAR($B2084))</f>
        <v/>
      </c>
    </row>
    <row r="2085">
      <c r="B2085" s="105" t="n"/>
      <c r="C2085" s="54" t="n"/>
      <c r="D2085" s="54" t="n"/>
      <c r="E2085" s="54" t="n"/>
      <c r="F2085" s="54" t="n"/>
      <c r="G2085" s="65" t="n"/>
      <c r="H2085" s="54" t="n"/>
      <c r="I2085" s="106">
        <f>IF($C2085="","",IFERROR(INDEX(Sens_Types,MATCH($C2085,Liste_Types,0)),""))</f>
        <v/>
      </c>
      <c r="J2085" s="107">
        <f>IF($I2085="▲ ENTRÉE",$U2085,"")</f>
        <v/>
      </c>
      <c r="K2085" s="108">
        <f>IF($I2085="▼ SORTIE",$U2085,"")</f>
        <v/>
      </c>
      <c r="L2085" s="109">
        <f>$L2084+N($J2085)-N($K2085)</f>
        <v/>
      </c>
      <c r="M2085" s="110" t="n"/>
      <c r="N2085" s="54" t="n"/>
      <c r="O2085" s="54" t="n"/>
      <c r="P2085" s="54" t="n"/>
      <c r="Q2085" s="110" t="n"/>
      <c r="R2085" s="110" t="n"/>
      <c r="S2085" s="54" t="n"/>
      <c r="T2085" s="111">
        <f>IF($G2085="","",IFERROR(INDEX(Taux_Devises,MATCH(IF($M2085="",Devise_Base,$M2085),Codes_Devises,0)),1))</f>
        <v/>
      </c>
      <c r="U2085" s="112">
        <f>IF($G2085="","",ROUND($G2085*$T2085,2))</f>
        <v/>
      </c>
      <c r="V2085" s="113">
        <f>IF($B2085="","",MONTH($B2085))</f>
        <v/>
      </c>
      <c r="W2085" s="113">
        <f>IF($B2085="","",YEAR($B2085))</f>
        <v/>
      </c>
    </row>
    <row r="2086">
      <c r="B2086" s="105" t="n"/>
      <c r="C2086" s="54" t="n"/>
      <c r="D2086" s="54" t="n"/>
      <c r="E2086" s="54" t="n"/>
      <c r="F2086" s="54" t="n"/>
      <c r="G2086" s="65" t="n"/>
      <c r="H2086" s="54" t="n"/>
      <c r="I2086" s="106">
        <f>IF($C2086="","",IFERROR(INDEX(Sens_Types,MATCH($C2086,Liste_Types,0)),""))</f>
        <v/>
      </c>
      <c r="J2086" s="107">
        <f>IF($I2086="▲ ENTRÉE",$U2086,"")</f>
        <v/>
      </c>
      <c r="K2086" s="108">
        <f>IF($I2086="▼ SORTIE",$U2086,"")</f>
        <v/>
      </c>
      <c r="L2086" s="109">
        <f>$L2085+N($J2086)-N($K2086)</f>
        <v/>
      </c>
      <c r="M2086" s="110" t="n"/>
      <c r="N2086" s="54" t="n"/>
      <c r="O2086" s="54" t="n"/>
      <c r="P2086" s="54" t="n"/>
      <c r="Q2086" s="110" t="n"/>
      <c r="R2086" s="110" t="n"/>
      <c r="S2086" s="54" t="n"/>
      <c r="T2086" s="111">
        <f>IF($G2086="","",IFERROR(INDEX(Taux_Devises,MATCH(IF($M2086="",Devise_Base,$M2086),Codes_Devises,0)),1))</f>
        <v/>
      </c>
      <c r="U2086" s="112">
        <f>IF($G2086="","",ROUND($G2086*$T2086,2))</f>
        <v/>
      </c>
      <c r="V2086" s="113">
        <f>IF($B2086="","",MONTH($B2086))</f>
        <v/>
      </c>
      <c r="W2086" s="113">
        <f>IF($B2086="","",YEAR($B2086))</f>
        <v/>
      </c>
    </row>
    <row r="2087">
      <c r="B2087" s="105" t="n"/>
      <c r="C2087" s="54" t="n"/>
      <c r="D2087" s="54" t="n"/>
      <c r="E2087" s="54" t="n"/>
      <c r="F2087" s="54" t="n"/>
      <c r="G2087" s="65" t="n"/>
      <c r="H2087" s="54" t="n"/>
      <c r="I2087" s="106">
        <f>IF($C2087="","",IFERROR(INDEX(Sens_Types,MATCH($C2087,Liste_Types,0)),""))</f>
        <v/>
      </c>
      <c r="J2087" s="107">
        <f>IF($I2087="▲ ENTRÉE",$U2087,"")</f>
        <v/>
      </c>
      <c r="K2087" s="108">
        <f>IF($I2087="▼ SORTIE",$U2087,"")</f>
        <v/>
      </c>
      <c r="L2087" s="109">
        <f>$L2086+N($J2087)-N($K2087)</f>
        <v/>
      </c>
      <c r="M2087" s="110" t="n"/>
      <c r="N2087" s="54" t="n"/>
      <c r="O2087" s="54" t="n"/>
      <c r="P2087" s="54" t="n"/>
      <c r="Q2087" s="110" t="n"/>
      <c r="R2087" s="110" t="n"/>
      <c r="S2087" s="54" t="n"/>
      <c r="T2087" s="111">
        <f>IF($G2087="","",IFERROR(INDEX(Taux_Devises,MATCH(IF($M2087="",Devise_Base,$M2087),Codes_Devises,0)),1))</f>
        <v/>
      </c>
      <c r="U2087" s="112">
        <f>IF($G2087="","",ROUND($G2087*$T2087,2))</f>
        <v/>
      </c>
      <c r="V2087" s="113">
        <f>IF($B2087="","",MONTH($B2087))</f>
        <v/>
      </c>
      <c r="W2087" s="113">
        <f>IF($B2087="","",YEAR($B2087))</f>
        <v/>
      </c>
    </row>
    <row r="2088">
      <c r="B2088" s="105" t="n"/>
      <c r="C2088" s="54" t="n"/>
      <c r="D2088" s="54" t="n"/>
      <c r="E2088" s="54" t="n"/>
      <c r="F2088" s="54" t="n"/>
      <c r="G2088" s="65" t="n"/>
      <c r="H2088" s="54" t="n"/>
      <c r="I2088" s="106">
        <f>IF($C2088="","",IFERROR(INDEX(Sens_Types,MATCH($C2088,Liste_Types,0)),""))</f>
        <v/>
      </c>
      <c r="J2088" s="107">
        <f>IF($I2088="▲ ENTRÉE",$U2088,"")</f>
        <v/>
      </c>
      <c r="K2088" s="108">
        <f>IF($I2088="▼ SORTIE",$U2088,"")</f>
        <v/>
      </c>
      <c r="L2088" s="109">
        <f>$L2087+N($J2088)-N($K2088)</f>
        <v/>
      </c>
      <c r="M2088" s="110" t="n"/>
      <c r="N2088" s="54" t="n"/>
      <c r="O2088" s="54" t="n"/>
      <c r="P2088" s="54" t="n"/>
      <c r="Q2088" s="110" t="n"/>
      <c r="R2088" s="110" t="n"/>
      <c r="S2088" s="54" t="n"/>
      <c r="T2088" s="111">
        <f>IF($G2088="","",IFERROR(INDEX(Taux_Devises,MATCH(IF($M2088="",Devise_Base,$M2088),Codes_Devises,0)),1))</f>
        <v/>
      </c>
      <c r="U2088" s="112">
        <f>IF($G2088="","",ROUND($G2088*$T2088,2))</f>
        <v/>
      </c>
      <c r="V2088" s="113">
        <f>IF($B2088="","",MONTH($B2088))</f>
        <v/>
      </c>
      <c r="W2088" s="113">
        <f>IF($B2088="","",YEAR($B2088))</f>
        <v/>
      </c>
    </row>
    <row r="2089">
      <c r="B2089" s="105" t="n"/>
      <c r="C2089" s="54" t="n"/>
      <c r="D2089" s="54" t="n"/>
      <c r="E2089" s="54" t="n"/>
      <c r="F2089" s="54" t="n"/>
      <c r="G2089" s="65" t="n"/>
      <c r="H2089" s="54" t="n"/>
      <c r="I2089" s="106">
        <f>IF($C2089="","",IFERROR(INDEX(Sens_Types,MATCH($C2089,Liste_Types,0)),""))</f>
        <v/>
      </c>
      <c r="J2089" s="107">
        <f>IF($I2089="▲ ENTRÉE",$U2089,"")</f>
        <v/>
      </c>
      <c r="K2089" s="108">
        <f>IF($I2089="▼ SORTIE",$U2089,"")</f>
        <v/>
      </c>
      <c r="L2089" s="109">
        <f>$L2088+N($J2089)-N($K2089)</f>
        <v/>
      </c>
      <c r="M2089" s="110" t="n"/>
      <c r="N2089" s="54" t="n"/>
      <c r="O2089" s="54" t="n"/>
      <c r="P2089" s="54" t="n"/>
      <c r="Q2089" s="110" t="n"/>
      <c r="R2089" s="110" t="n"/>
      <c r="S2089" s="54" t="n"/>
      <c r="T2089" s="111">
        <f>IF($G2089="","",IFERROR(INDEX(Taux_Devises,MATCH(IF($M2089="",Devise_Base,$M2089),Codes_Devises,0)),1))</f>
        <v/>
      </c>
      <c r="U2089" s="112">
        <f>IF($G2089="","",ROUND($G2089*$T2089,2))</f>
        <v/>
      </c>
      <c r="V2089" s="113">
        <f>IF($B2089="","",MONTH($B2089))</f>
        <v/>
      </c>
      <c r="W2089" s="113">
        <f>IF($B2089="","",YEAR($B2089))</f>
        <v/>
      </c>
    </row>
    <row r="2090">
      <c r="B2090" s="105" t="n"/>
      <c r="C2090" s="54" t="n"/>
      <c r="D2090" s="54" t="n"/>
      <c r="E2090" s="54" t="n"/>
      <c r="F2090" s="54" t="n"/>
      <c r="G2090" s="65" t="n"/>
      <c r="H2090" s="54" t="n"/>
      <c r="I2090" s="106">
        <f>IF($C2090="","",IFERROR(INDEX(Sens_Types,MATCH($C2090,Liste_Types,0)),""))</f>
        <v/>
      </c>
      <c r="J2090" s="107">
        <f>IF($I2090="▲ ENTRÉE",$U2090,"")</f>
        <v/>
      </c>
      <c r="K2090" s="108">
        <f>IF($I2090="▼ SORTIE",$U2090,"")</f>
        <v/>
      </c>
      <c r="L2090" s="109">
        <f>$L2089+N($J2090)-N($K2090)</f>
        <v/>
      </c>
      <c r="M2090" s="110" t="n"/>
      <c r="N2090" s="54" t="n"/>
      <c r="O2090" s="54" t="n"/>
      <c r="P2090" s="54" t="n"/>
      <c r="Q2090" s="110" t="n"/>
      <c r="R2090" s="110" t="n"/>
      <c r="S2090" s="54" t="n"/>
      <c r="T2090" s="111">
        <f>IF($G2090="","",IFERROR(INDEX(Taux_Devises,MATCH(IF($M2090="",Devise_Base,$M2090),Codes_Devises,0)),1))</f>
        <v/>
      </c>
      <c r="U2090" s="112">
        <f>IF($G2090="","",ROUND($G2090*$T2090,2))</f>
        <v/>
      </c>
      <c r="V2090" s="113">
        <f>IF($B2090="","",MONTH($B2090))</f>
        <v/>
      </c>
      <c r="W2090" s="113">
        <f>IF($B2090="","",YEAR($B2090))</f>
        <v/>
      </c>
    </row>
    <row r="2091">
      <c r="B2091" s="105" t="n"/>
      <c r="C2091" s="54" t="n"/>
      <c r="D2091" s="54" t="n"/>
      <c r="E2091" s="54" t="n"/>
      <c r="F2091" s="54" t="n"/>
      <c r="G2091" s="65" t="n"/>
      <c r="H2091" s="54" t="n"/>
      <c r="I2091" s="106">
        <f>IF($C2091="","",IFERROR(INDEX(Sens_Types,MATCH($C2091,Liste_Types,0)),""))</f>
        <v/>
      </c>
      <c r="J2091" s="107">
        <f>IF($I2091="▲ ENTRÉE",$U2091,"")</f>
        <v/>
      </c>
      <c r="K2091" s="108">
        <f>IF($I2091="▼ SORTIE",$U2091,"")</f>
        <v/>
      </c>
      <c r="L2091" s="109">
        <f>$L2090+N($J2091)-N($K2091)</f>
        <v/>
      </c>
      <c r="M2091" s="110" t="n"/>
      <c r="N2091" s="54" t="n"/>
      <c r="O2091" s="54" t="n"/>
      <c r="P2091" s="54" t="n"/>
      <c r="Q2091" s="110" t="n"/>
      <c r="R2091" s="110" t="n"/>
      <c r="S2091" s="54" t="n"/>
      <c r="T2091" s="111">
        <f>IF($G2091="","",IFERROR(INDEX(Taux_Devises,MATCH(IF($M2091="",Devise_Base,$M2091),Codes_Devises,0)),1))</f>
        <v/>
      </c>
      <c r="U2091" s="112">
        <f>IF($G2091="","",ROUND($G2091*$T2091,2))</f>
        <v/>
      </c>
      <c r="V2091" s="113">
        <f>IF($B2091="","",MONTH($B2091))</f>
        <v/>
      </c>
      <c r="W2091" s="113">
        <f>IF($B2091="","",YEAR($B2091))</f>
        <v/>
      </c>
    </row>
    <row r="2092">
      <c r="B2092" s="105" t="n"/>
      <c r="C2092" s="54" t="n"/>
      <c r="D2092" s="54" t="n"/>
      <c r="E2092" s="54" t="n"/>
      <c r="F2092" s="54" t="n"/>
      <c r="G2092" s="65" t="n"/>
      <c r="H2092" s="54" t="n"/>
      <c r="I2092" s="106">
        <f>IF($C2092="","",IFERROR(INDEX(Sens_Types,MATCH($C2092,Liste_Types,0)),""))</f>
        <v/>
      </c>
      <c r="J2092" s="107">
        <f>IF($I2092="▲ ENTRÉE",$U2092,"")</f>
        <v/>
      </c>
      <c r="K2092" s="108">
        <f>IF($I2092="▼ SORTIE",$U2092,"")</f>
        <v/>
      </c>
      <c r="L2092" s="109">
        <f>$L2091+N($J2092)-N($K2092)</f>
        <v/>
      </c>
      <c r="M2092" s="110" t="n"/>
      <c r="N2092" s="54" t="n"/>
      <c r="O2092" s="54" t="n"/>
      <c r="P2092" s="54" t="n"/>
      <c r="Q2092" s="110" t="n"/>
      <c r="R2092" s="110" t="n"/>
      <c r="S2092" s="54" t="n"/>
      <c r="T2092" s="111">
        <f>IF($G2092="","",IFERROR(INDEX(Taux_Devises,MATCH(IF($M2092="",Devise_Base,$M2092),Codes_Devises,0)),1))</f>
        <v/>
      </c>
      <c r="U2092" s="112">
        <f>IF($G2092="","",ROUND($G2092*$T2092,2))</f>
        <v/>
      </c>
      <c r="V2092" s="113">
        <f>IF($B2092="","",MONTH($B2092))</f>
        <v/>
      </c>
      <c r="W2092" s="113">
        <f>IF($B2092="","",YEAR($B2092))</f>
        <v/>
      </c>
    </row>
    <row r="2093">
      <c r="B2093" s="105" t="n"/>
      <c r="C2093" s="54" t="n"/>
      <c r="D2093" s="54" t="n"/>
      <c r="E2093" s="54" t="n"/>
      <c r="F2093" s="54" t="n"/>
      <c r="G2093" s="65" t="n"/>
      <c r="H2093" s="54" t="n"/>
      <c r="I2093" s="106">
        <f>IF($C2093="","",IFERROR(INDEX(Sens_Types,MATCH($C2093,Liste_Types,0)),""))</f>
        <v/>
      </c>
      <c r="J2093" s="107">
        <f>IF($I2093="▲ ENTRÉE",$U2093,"")</f>
        <v/>
      </c>
      <c r="K2093" s="108">
        <f>IF($I2093="▼ SORTIE",$U2093,"")</f>
        <v/>
      </c>
      <c r="L2093" s="109">
        <f>$L2092+N($J2093)-N($K2093)</f>
        <v/>
      </c>
      <c r="M2093" s="110" t="n"/>
      <c r="N2093" s="54" t="n"/>
      <c r="O2093" s="54" t="n"/>
      <c r="P2093" s="54" t="n"/>
      <c r="Q2093" s="110" t="n"/>
      <c r="R2093" s="110" t="n"/>
      <c r="S2093" s="54" t="n"/>
      <c r="T2093" s="111">
        <f>IF($G2093="","",IFERROR(INDEX(Taux_Devises,MATCH(IF($M2093="",Devise_Base,$M2093),Codes_Devises,0)),1))</f>
        <v/>
      </c>
      <c r="U2093" s="112">
        <f>IF($G2093="","",ROUND($G2093*$T2093,2))</f>
        <v/>
      </c>
      <c r="V2093" s="113">
        <f>IF($B2093="","",MONTH($B2093))</f>
        <v/>
      </c>
      <c r="W2093" s="113">
        <f>IF($B2093="","",YEAR($B2093))</f>
        <v/>
      </c>
    </row>
    <row r="2094">
      <c r="B2094" s="105" t="n"/>
      <c r="C2094" s="54" t="n"/>
      <c r="D2094" s="54" t="n"/>
      <c r="E2094" s="54" t="n"/>
      <c r="F2094" s="54" t="n"/>
      <c r="G2094" s="65" t="n"/>
      <c r="H2094" s="54" t="n"/>
      <c r="I2094" s="106">
        <f>IF($C2094="","",IFERROR(INDEX(Sens_Types,MATCH($C2094,Liste_Types,0)),""))</f>
        <v/>
      </c>
      <c r="J2094" s="107">
        <f>IF($I2094="▲ ENTRÉE",$U2094,"")</f>
        <v/>
      </c>
      <c r="K2094" s="108">
        <f>IF($I2094="▼ SORTIE",$U2094,"")</f>
        <v/>
      </c>
      <c r="L2094" s="109">
        <f>$L2093+N($J2094)-N($K2094)</f>
        <v/>
      </c>
      <c r="M2094" s="110" t="n"/>
      <c r="N2094" s="54" t="n"/>
      <c r="O2094" s="54" t="n"/>
      <c r="P2094" s="54" t="n"/>
      <c r="Q2094" s="110" t="n"/>
      <c r="R2094" s="110" t="n"/>
      <c r="S2094" s="54" t="n"/>
      <c r="T2094" s="111">
        <f>IF($G2094="","",IFERROR(INDEX(Taux_Devises,MATCH(IF($M2094="",Devise_Base,$M2094),Codes_Devises,0)),1))</f>
        <v/>
      </c>
      <c r="U2094" s="112">
        <f>IF($G2094="","",ROUND($G2094*$T2094,2))</f>
        <v/>
      </c>
      <c r="V2094" s="113">
        <f>IF($B2094="","",MONTH($B2094))</f>
        <v/>
      </c>
      <c r="W2094" s="113">
        <f>IF($B2094="","",YEAR($B2094))</f>
        <v/>
      </c>
    </row>
    <row r="2095">
      <c r="B2095" s="105" t="n"/>
      <c r="C2095" s="54" t="n"/>
      <c r="D2095" s="54" t="n"/>
      <c r="E2095" s="54" t="n"/>
      <c r="F2095" s="54" t="n"/>
      <c r="G2095" s="65" t="n"/>
      <c r="H2095" s="54" t="n"/>
      <c r="I2095" s="106">
        <f>IF($C2095="","",IFERROR(INDEX(Sens_Types,MATCH($C2095,Liste_Types,0)),""))</f>
        <v/>
      </c>
      <c r="J2095" s="107">
        <f>IF($I2095="▲ ENTRÉE",$U2095,"")</f>
        <v/>
      </c>
      <c r="K2095" s="108">
        <f>IF($I2095="▼ SORTIE",$U2095,"")</f>
        <v/>
      </c>
      <c r="L2095" s="109">
        <f>$L2094+N($J2095)-N($K2095)</f>
        <v/>
      </c>
      <c r="M2095" s="110" t="n"/>
      <c r="N2095" s="54" t="n"/>
      <c r="O2095" s="54" t="n"/>
      <c r="P2095" s="54" t="n"/>
      <c r="Q2095" s="110" t="n"/>
      <c r="R2095" s="110" t="n"/>
      <c r="S2095" s="54" t="n"/>
      <c r="T2095" s="111">
        <f>IF($G2095="","",IFERROR(INDEX(Taux_Devises,MATCH(IF($M2095="",Devise_Base,$M2095),Codes_Devises,0)),1))</f>
        <v/>
      </c>
      <c r="U2095" s="112">
        <f>IF($G2095="","",ROUND($G2095*$T2095,2))</f>
        <v/>
      </c>
      <c r="V2095" s="113">
        <f>IF($B2095="","",MONTH($B2095))</f>
        <v/>
      </c>
      <c r="W2095" s="113">
        <f>IF($B2095="","",YEAR($B2095))</f>
        <v/>
      </c>
    </row>
    <row r="2096">
      <c r="B2096" s="105" t="n"/>
      <c r="C2096" s="54" t="n"/>
      <c r="D2096" s="54" t="n"/>
      <c r="E2096" s="54" t="n"/>
      <c r="F2096" s="54" t="n"/>
      <c r="G2096" s="65" t="n"/>
      <c r="H2096" s="54" t="n"/>
      <c r="I2096" s="106">
        <f>IF($C2096="","",IFERROR(INDEX(Sens_Types,MATCH($C2096,Liste_Types,0)),""))</f>
        <v/>
      </c>
      <c r="J2096" s="107">
        <f>IF($I2096="▲ ENTRÉE",$U2096,"")</f>
        <v/>
      </c>
      <c r="K2096" s="108">
        <f>IF($I2096="▼ SORTIE",$U2096,"")</f>
        <v/>
      </c>
      <c r="L2096" s="109">
        <f>$L2095+N($J2096)-N($K2096)</f>
        <v/>
      </c>
      <c r="M2096" s="110" t="n"/>
      <c r="N2096" s="54" t="n"/>
      <c r="O2096" s="54" t="n"/>
      <c r="P2096" s="54" t="n"/>
      <c r="Q2096" s="110" t="n"/>
      <c r="R2096" s="110" t="n"/>
      <c r="S2096" s="54" t="n"/>
      <c r="T2096" s="111">
        <f>IF($G2096="","",IFERROR(INDEX(Taux_Devises,MATCH(IF($M2096="",Devise_Base,$M2096),Codes_Devises,0)),1))</f>
        <v/>
      </c>
      <c r="U2096" s="112">
        <f>IF($G2096="","",ROUND($G2096*$T2096,2))</f>
        <v/>
      </c>
      <c r="V2096" s="113">
        <f>IF($B2096="","",MONTH($B2096))</f>
        <v/>
      </c>
      <c r="W2096" s="113">
        <f>IF($B2096="","",YEAR($B2096))</f>
        <v/>
      </c>
    </row>
    <row r="2097">
      <c r="B2097" s="105" t="n"/>
      <c r="C2097" s="54" t="n"/>
      <c r="D2097" s="54" t="n"/>
      <c r="E2097" s="54" t="n"/>
      <c r="F2097" s="54" t="n"/>
      <c r="G2097" s="65" t="n"/>
      <c r="H2097" s="54" t="n"/>
      <c r="I2097" s="106">
        <f>IF($C2097="","",IFERROR(INDEX(Sens_Types,MATCH($C2097,Liste_Types,0)),""))</f>
        <v/>
      </c>
      <c r="J2097" s="107">
        <f>IF($I2097="▲ ENTRÉE",$U2097,"")</f>
        <v/>
      </c>
      <c r="K2097" s="108">
        <f>IF($I2097="▼ SORTIE",$U2097,"")</f>
        <v/>
      </c>
      <c r="L2097" s="109">
        <f>$L2096+N($J2097)-N($K2097)</f>
        <v/>
      </c>
      <c r="M2097" s="110" t="n"/>
      <c r="N2097" s="54" t="n"/>
      <c r="O2097" s="54" t="n"/>
      <c r="P2097" s="54" t="n"/>
      <c r="Q2097" s="110" t="n"/>
      <c r="R2097" s="110" t="n"/>
      <c r="S2097" s="54" t="n"/>
      <c r="T2097" s="111">
        <f>IF($G2097="","",IFERROR(INDEX(Taux_Devises,MATCH(IF($M2097="",Devise_Base,$M2097),Codes_Devises,0)),1))</f>
        <v/>
      </c>
      <c r="U2097" s="112">
        <f>IF($G2097="","",ROUND($G2097*$T2097,2))</f>
        <v/>
      </c>
      <c r="V2097" s="113">
        <f>IF($B2097="","",MONTH($B2097))</f>
        <v/>
      </c>
      <c r="W2097" s="113">
        <f>IF($B2097="","",YEAR($B2097))</f>
        <v/>
      </c>
    </row>
    <row r="2098">
      <c r="B2098" s="105" t="n"/>
      <c r="C2098" s="54" t="n"/>
      <c r="D2098" s="54" t="n"/>
      <c r="E2098" s="54" t="n"/>
      <c r="F2098" s="54" t="n"/>
      <c r="G2098" s="65" t="n"/>
      <c r="H2098" s="54" t="n"/>
      <c r="I2098" s="106">
        <f>IF($C2098="","",IFERROR(INDEX(Sens_Types,MATCH($C2098,Liste_Types,0)),""))</f>
        <v/>
      </c>
      <c r="J2098" s="107">
        <f>IF($I2098="▲ ENTRÉE",$U2098,"")</f>
        <v/>
      </c>
      <c r="K2098" s="108">
        <f>IF($I2098="▼ SORTIE",$U2098,"")</f>
        <v/>
      </c>
      <c r="L2098" s="109">
        <f>$L2097+N($J2098)-N($K2098)</f>
        <v/>
      </c>
      <c r="M2098" s="110" t="n"/>
      <c r="N2098" s="54" t="n"/>
      <c r="O2098" s="54" t="n"/>
      <c r="P2098" s="54" t="n"/>
      <c r="Q2098" s="110" t="n"/>
      <c r="R2098" s="110" t="n"/>
      <c r="S2098" s="54" t="n"/>
      <c r="T2098" s="111">
        <f>IF($G2098="","",IFERROR(INDEX(Taux_Devises,MATCH(IF($M2098="",Devise_Base,$M2098),Codes_Devises,0)),1))</f>
        <v/>
      </c>
      <c r="U2098" s="112">
        <f>IF($G2098="","",ROUND($G2098*$T2098,2))</f>
        <v/>
      </c>
      <c r="V2098" s="113">
        <f>IF($B2098="","",MONTH($B2098))</f>
        <v/>
      </c>
      <c r="W2098" s="113">
        <f>IF($B2098="","",YEAR($B2098))</f>
        <v/>
      </c>
    </row>
    <row r="2099">
      <c r="B2099" s="105" t="n"/>
      <c r="C2099" s="54" t="n"/>
      <c r="D2099" s="54" t="n"/>
      <c r="E2099" s="54" t="n"/>
      <c r="F2099" s="54" t="n"/>
      <c r="G2099" s="65" t="n"/>
      <c r="H2099" s="54" t="n"/>
      <c r="I2099" s="106">
        <f>IF($C2099="","",IFERROR(INDEX(Sens_Types,MATCH($C2099,Liste_Types,0)),""))</f>
        <v/>
      </c>
      <c r="J2099" s="107">
        <f>IF($I2099="▲ ENTRÉE",$U2099,"")</f>
        <v/>
      </c>
      <c r="K2099" s="108">
        <f>IF($I2099="▼ SORTIE",$U2099,"")</f>
        <v/>
      </c>
      <c r="L2099" s="109">
        <f>$L2098+N($J2099)-N($K2099)</f>
        <v/>
      </c>
      <c r="M2099" s="110" t="n"/>
      <c r="N2099" s="54" t="n"/>
      <c r="O2099" s="54" t="n"/>
      <c r="P2099" s="54" t="n"/>
      <c r="Q2099" s="110" t="n"/>
      <c r="R2099" s="110" t="n"/>
      <c r="S2099" s="54" t="n"/>
      <c r="T2099" s="111">
        <f>IF($G2099="","",IFERROR(INDEX(Taux_Devises,MATCH(IF($M2099="",Devise_Base,$M2099),Codes_Devises,0)),1))</f>
        <v/>
      </c>
      <c r="U2099" s="112">
        <f>IF($G2099="","",ROUND($G2099*$T2099,2))</f>
        <v/>
      </c>
      <c r="V2099" s="113">
        <f>IF($B2099="","",MONTH($B2099))</f>
        <v/>
      </c>
      <c r="W2099" s="113">
        <f>IF($B2099="","",YEAR($B2099))</f>
        <v/>
      </c>
    </row>
    <row r="2100">
      <c r="B2100" s="105" t="n"/>
      <c r="C2100" s="54" t="n"/>
      <c r="D2100" s="54" t="n"/>
      <c r="E2100" s="54" t="n"/>
      <c r="F2100" s="54" t="n"/>
      <c r="G2100" s="65" t="n"/>
      <c r="H2100" s="54" t="n"/>
      <c r="I2100" s="106">
        <f>IF($C2100="","",IFERROR(INDEX(Sens_Types,MATCH($C2100,Liste_Types,0)),""))</f>
        <v/>
      </c>
      <c r="J2100" s="107">
        <f>IF($I2100="▲ ENTRÉE",$U2100,"")</f>
        <v/>
      </c>
      <c r="K2100" s="108">
        <f>IF($I2100="▼ SORTIE",$U2100,"")</f>
        <v/>
      </c>
      <c r="L2100" s="109">
        <f>$L2099+N($J2100)-N($K2100)</f>
        <v/>
      </c>
      <c r="M2100" s="110" t="n"/>
      <c r="N2100" s="54" t="n"/>
      <c r="O2100" s="54" t="n"/>
      <c r="P2100" s="54" t="n"/>
      <c r="Q2100" s="110" t="n"/>
      <c r="R2100" s="110" t="n"/>
      <c r="S2100" s="54" t="n"/>
      <c r="T2100" s="111">
        <f>IF($G2100="","",IFERROR(INDEX(Taux_Devises,MATCH(IF($M2100="",Devise_Base,$M2100),Codes_Devises,0)),1))</f>
        <v/>
      </c>
      <c r="U2100" s="112">
        <f>IF($G2100="","",ROUND($G2100*$T2100,2))</f>
        <v/>
      </c>
      <c r="V2100" s="113">
        <f>IF($B2100="","",MONTH($B2100))</f>
        <v/>
      </c>
      <c r="W2100" s="113">
        <f>IF($B2100="","",YEAR($B2100))</f>
        <v/>
      </c>
    </row>
    <row r="2101">
      <c r="B2101" s="105" t="n"/>
      <c r="C2101" s="54" t="n"/>
      <c r="D2101" s="54" t="n"/>
      <c r="E2101" s="54" t="n"/>
      <c r="F2101" s="54" t="n"/>
      <c r="G2101" s="65" t="n"/>
      <c r="H2101" s="54" t="n"/>
      <c r="I2101" s="106">
        <f>IF($C2101="","",IFERROR(INDEX(Sens_Types,MATCH($C2101,Liste_Types,0)),""))</f>
        <v/>
      </c>
      <c r="J2101" s="107">
        <f>IF($I2101="▲ ENTRÉE",$U2101,"")</f>
        <v/>
      </c>
      <c r="K2101" s="108">
        <f>IF($I2101="▼ SORTIE",$U2101,"")</f>
        <v/>
      </c>
      <c r="L2101" s="109">
        <f>$L2100+N($J2101)-N($K2101)</f>
        <v/>
      </c>
      <c r="M2101" s="110" t="n"/>
      <c r="N2101" s="54" t="n"/>
      <c r="O2101" s="54" t="n"/>
      <c r="P2101" s="54" t="n"/>
      <c r="Q2101" s="110" t="n"/>
      <c r="R2101" s="110" t="n"/>
      <c r="S2101" s="54" t="n"/>
      <c r="T2101" s="111">
        <f>IF($G2101="","",IFERROR(INDEX(Taux_Devises,MATCH(IF($M2101="",Devise_Base,$M2101),Codes_Devises,0)),1))</f>
        <v/>
      </c>
      <c r="U2101" s="112">
        <f>IF($G2101="","",ROUND($G2101*$T2101,2))</f>
        <v/>
      </c>
      <c r="V2101" s="113">
        <f>IF($B2101="","",MONTH($B2101))</f>
        <v/>
      </c>
      <c r="W2101" s="113">
        <f>IF($B2101="","",YEAR($B2101))</f>
        <v/>
      </c>
    </row>
    <row r="2102">
      <c r="B2102" s="105" t="n"/>
      <c r="C2102" s="54" t="n"/>
      <c r="D2102" s="54" t="n"/>
      <c r="E2102" s="54" t="n"/>
      <c r="F2102" s="54" t="n"/>
      <c r="G2102" s="65" t="n"/>
      <c r="H2102" s="54" t="n"/>
      <c r="I2102" s="106">
        <f>IF($C2102="","",IFERROR(INDEX(Sens_Types,MATCH($C2102,Liste_Types,0)),""))</f>
        <v/>
      </c>
      <c r="J2102" s="107">
        <f>IF($I2102="▲ ENTRÉE",$U2102,"")</f>
        <v/>
      </c>
      <c r="K2102" s="108">
        <f>IF($I2102="▼ SORTIE",$U2102,"")</f>
        <v/>
      </c>
      <c r="L2102" s="109">
        <f>$L2101+N($J2102)-N($K2102)</f>
        <v/>
      </c>
      <c r="M2102" s="110" t="n"/>
      <c r="N2102" s="54" t="n"/>
      <c r="O2102" s="54" t="n"/>
      <c r="P2102" s="54" t="n"/>
      <c r="Q2102" s="110" t="n"/>
      <c r="R2102" s="110" t="n"/>
      <c r="S2102" s="54" t="n"/>
      <c r="T2102" s="111">
        <f>IF($G2102="","",IFERROR(INDEX(Taux_Devises,MATCH(IF($M2102="",Devise_Base,$M2102),Codes_Devises,0)),1))</f>
        <v/>
      </c>
      <c r="U2102" s="112">
        <f>IF($G2102="","",ROUND($G2102*$T2102,2))</f>
        <v/>
      </c>
      <c r="V2102" s="113">
        <f>IF($B2102="","",MONTH($B2102))</f>
        <v/>
      </c>
      <c r="W2102" s="113">
        <f>IF($B2102="","",YEAR($B2102))</f>
        <v/>
      </c>
    </row>
    <row r="2103">
      <c r="B2103" s="105" t="n"/>
      <c r="C2103" s="54" t="n"/>
      <c r="D2103" s="54" t="n"/>
      <c r="E2103" s="54" t="n"/>
      <c r="F2103" s="54" t="n"/>
      <c r="G2103" s="65" t="n"/>
      <c r="H2103" s="54" t="n"/>
      <c r="I2103" s="106">
        <f>IF($C2103="","",IFERROR(INDEX(Sens_Types,MATCH($C2103,Liste_Types,0)),""))</f>
        <v/>
      </c>
      <c r="J2103" s="107">
        <f>IF($I2103="▲ ENTRÉE",$U2103,"")</f>
        <v/>
      </c>
      <c r="K2103" s="108">
        <f>IF($I2103="▼ SORTIE",$U2103,"")</f>
        <v/>
      </c>
      <c r="L2103" s="109">
        <f>$L2102+N($J2103)-N($K2103)</f>
        <v/>
      </c>
      <c r="M2103" s="110" t="n"/>
      <c r="N2103" s="54" t="n"/>
      <c r="O2103" s="54" t="n"/>
      <c r="P2103" s="54" t="n"/>
      <c r="Q2103" s="110" t="n"/>
      <c r="R2103" s="110" t="n"/>
      <c r="S2103" s="54" t="n"/>
      <c r="T2103" s="111">
        <f>IF($G2103="","",IFERROR(INDEX(Taux_Devises,MATCH(IF($M2103="",Devise_Base,$M2103),Codes_Devises,0)),1))</f>
        <v/>
      </c>
      <c r="U2103" s="112">
        <f>IF($G2103="","",ROUND($G2103*$T2103,2))</f>
        <v/>
      </c>
      <c r="V2103" s="113">
        <f>IF($B2103="","",MONTH($B2103))</f>
        <v/>
      </c>
      <c r="W2103" s="113">
        <f>IF($B2103="","",YEAR($B2103))</f>
        <v/>
      </c>
    </row>
    <row r="2104">
      <c r="B2104" s="105" t="n"/>
      <c r="C2104" s="54" t="n"/>
      <c r="D2104" s="54" t="n"/>
      <c r="E2104" s="54" t="n"/>
      <c r="F2104" s="54" t="n"/>
      <c r="G2104" s="65" t="n"/>
      <c r="H2104" s="54" t="n"/>
      <c r="I2104" s="106">
        <f>IF($C2104="","",IFERROR(INDEX(Sens_Types,MATCH($C2104,Liste_Types,0)),""))</f>
        <v/>
      </c>
      <c r="J2104" s="107">
        <f>IF($I2104="▲ ENTRÉE",$U2104,"")</f>
        <v/>
      </c>
      <c r="K2104" s="108">
        <f>IF($I2104="▼ SORTIE",$U2104,"")</f>
        <v/>
      </c>
      <c r="L2104" s="109">
        <f>$L2103+N($J2104)-N($K2104)</f>
        <v/>
      </c>
      <c r="M2104" s="110" t="n"/>
      <c r="N2104" s="54" t="n"/>
      <c r="O2104" s="54" t="n"/>
      <c r="P2104" s="54" t="n"/>
      <c r="Q2104" s="110" t="n"/>
      <c r="R2104" s="110" t="n"/>
      <c r="S2104" s="54" t="n"/>
      <c r="T2104" s="111">
        <f>IF($G2104="","",IFERROR(INDEX(Taux_Devises,MATCH(IF($M2104="",Devise_Base,$M2104),Codes_Devises,0)),1))</f>
        <v/>
      </c>
      <c r="U2104" s="112">
        <f>IF($G2104="","",ROUND($G2104*$T2104,2))</f>
        <v/>
      </c>
      <c r="V2104" s="113">
        <f>IF($B2104="","",MONTH($B2104))</f>
        <v/>
      </c>
      <c r="W2104" s="113">
        <f>IF($B2104="","",YEAR($B2104))</f>
        <v/>
      </c>
    </row>
    <row r="2105">
      <c r="B2105" s="105" t="n"/>
      <c r="C2105" s="54" t="n"/>
      <c r="D2105" s="54" t="n"/>
      <c r="E2105" s="54" t="n"/>
      <c r="F2105" s="54" t="n"/>
      <c r="G2105" s="65" t="n"/>
      <c r="H2105" s="54" t="n"/>
      <c r="I2105" s="106">
        <f>IF($C2105="","",IFERROR(INDEX(Sens_Types,MATCH($C2105,Liste_Types,0)),""))</f>
        <v/>
      </c>
      <c r="J2105" s="107">
        <f>IF($I2105="▲ ENTRÉE",$U2105,"")</f>
        <v/>
      </c>
      <c r="K2105" s="108">
        <f>IF($I2105="▼ SORTIE",$U2105,"")</f>
        <v/>
      </c>
      <c r="L2105" s="109">
        <f>$L2104+N($J2105)-N($K2105)</f>
        <v/>
      </c>
      <c r="M2105" s="110" t="n"/>
      <c r="N2105" s="54" t="n"/>
      <c r="O2105" s="54" t="n"/>
      <c r="P2105" s="54" t="n"/>
      <c r="Q2105" s="110" t="n"/>
      <c r="R2105" s="110" t="n"/>
      <c r="S2105" s="54" t="n"/>
      <c r="T2105" s="111">
        <f>IF($G2105="","",IFERROR(INDEX(Taux_Devises,MATCH(IF($M2105="",Devise_Base,$M2105),Codes_Devises,0)),1))</f>
        <v/>
      </c>
      <c r="U2105" s="112">
        <f>IF($G2105="","",ROUND($G2105*$T2105,2))</f>
        <v/>
      </c>
      <c r="V2105" s="113">
        <f>IF($B2105="","",MONTH($B2105))</f>
        <v/>
      </c>
      <c r="W2105" s="113">
        <f>IF($B2105="","",YEAR($B2105))</f>
        <v/>
      </c>
    </row>
    <row r="2106">
      <c r="B2106" s="105" t="n"/>
      <c r="C2106" s="54" t="n"/>
      <c r="D2106" s="54" t="n"/>
      <c r="E2106" s="54" t="n"/>
      <c r="F2106" s="54" t="n"/>
      <c r="G2106" s="65" t="n"/>
      <c r="H2106" s="54" t="n"/>
      <c r="I2106" s="106">
        <f>IF($C2106="","",IFERROR(INDEX(Sens_Types,MATCH($C2106,Liste_Types,0)),""))</f>
        <v/>
      </c>
      <c r="J2106" s="107">
        <f>IF($I2106="▲ ENTRÉE",$U2106,"")</f>
        <v/>
      </c>
      <c r="K2106" s="108">
        <f>IF($I2106="▼ SORTIE",$U2106,"")</f>
        <v/>
      </c>
      <c r="L2106" s="109">
        <f>$L2105+N($J2106)-N($K2106)</f>
        <v/>
      </c>
      <c r="M2106" s="110" t="n"/>
      <c r="N2106" s="54" t="n"/>
      <c r="O2106" s="54" t="n"/>
      <c r="P2106" s="54" t="n"/>
      <c r="Q2106" s="110" t="n"/>
      <c r="R2106" s="110" t="n"/>
      <c r="S2106" s="54" t="n"/>
      <c r="T2106" s="111">
        <f>IF($G2106="","",IFERROR(INDEX(Taux_Devises,MATCH(IF($M2106="",Devise_Base,$M2106),Codes_Devises,0)),1))</f>
        <v/>
      </c>
      <c r="U2106" s="112">
        <f>IF($G2106="","",ROUND($G2106*$T2106,2))</f>
        <v/>
      </c>
      <c r="V2106" s="113">
        <f>IF($B2106="","",MONTH($B2106))</f>
        <v/>
      </c>
      <c r="W2106" s="113">
        <f>IF($B2106="","",YEAR($B2106))</f>
        <v/>
      </c>
    </row>
    <row r="2107">
      <c r="B2107" s="105" t="n"/>
      <c r="C2107" s="54" t="n"/>
      <c r="D2107" s="54" t="n"/>
      <c r="E2107" s="54" t="n"/>
      <c r="F2107" s="54" t="n"/>
      <c r="G2107" s="65" t="n"/>
      <c r="H2107" s="54" t="n"/>
      <c r="I2107" s="106">
        <f>IF($C2107="","",IFERROR(INDEX(Sens_Types,MATCH($C2107,Liste_Types,0)),""))</f>
        <v/>
      </c>
      <c r="J2107" s="107">
        <f>IF($I2107="▲ ENTRÉE",$U2107,"")</f>
        <v/>
      </c>
      <c r="K2107" s="108">
        <f>IF($I2107="▼ SORTIE",$U2107,"")</f>
        <v/>
      </c>
      <c r="L2107" s="109">
        <f>$L2106+N($J2107)-N($K2107)</f>
        <v/>
      </c>
      <c r="M2107" s="110" t="n"/>
      <c r="N2107" s="54" t="n"/>
      <c r="O2107" s="54" t="n"/>
      <c r="P2107" s="54" t="n"/>
      <c r="Q2107" s="110" t="n"/>
      <c r="R2107" s="110" t="n"/>
      <c r="S2107" s="54" t="n"/>
      <c r="T2107" s="111">
        <f>IF($G2107="","",IFERROR(INDEX(Taux_Devises,MATCH(IF($M2107="",Devise_Base,$M2107),Codes_Devises,0)),1))</f>
        <v/>
      </c>
      <c r="U2107" s="112">
        <f>IF($G2107="","",ROUND($G2107*$T2107,2))</f>
        <v/>
      </c>
      <c r="V2107" s="113">
        <f>IF($B2107="","",MONTH($B2107))</f>
        <v/>
      </c>
      <c r="W2107" s="113">
        <f>IF($B2107="","",YEAR($B2107))</f>
        <v/>
      </c>
    </row>
    <row r="2108">
      <c r="B2108" s="105" t="n"/>
      <c r="C2108" s="54" t="n"/>
      <c r="D2108" s="54" t="n"/>
      <c r="E2108" s="54" t="n"/>
      <c r="F2108" s="54" t="n"/>
      <c r="G2108" s="65" t="n"/>
      <c r="H2108" s="54" t="n"/>
      <c r="I2108" s="106">
        <f>IF($C2108="","",IFERROR(INDEX(Sens_Types,MATCH($C2108,Liste_Types,0)),""))</f>
        <v/>
      </c>
      <c r="J2108" s="107">
        <f>IF($I2108="▲ ENTRÉE",$U2108,"")</f>
        <v/>
      </c>
      <c r="K2108" s="108">
        <f>IF($I2108="▼ SORTIE",$U2108,"")</f>
        <v/>
      </c>
      <c r="L2108" s="109">
        <f>$L2107+N($J2108)-N($K2108)</f>
        <v/>
      </c>
      <c r="M2108" s="110" t="n"/>
      <c r="N2108" s="54" t="n"/>
      <c r="O2108" s="54" t="n"/>
      <c r="P2108" s="54" t="n"/>
      <c r="Q2108" s="110" t="n"/>
      <c r="R2108" s="110" t="n"/>
      <c r="S2108" s="54" t="n"/>
      <c r="T2108" s="111">
        <f>IF($G2108="","",IFERROR(INDEX(Taux_Devises,MATCH(IF($M2108="",Devise_Base,$M2108),Codes_Devises,0)),1))</f>
        <v/>
      </c>
      <c r="U2108" s="112">
        <f>IF($G2108="","",ROUND($G2108*$T2108,2))</f>
        <v/>
      </c>
      <c r="V2108" s="113">
        <f>IF($B2108="","",MONTH($B2108))</f>
        <v/>
      </c>
      <c r="W2108" s="113">
        <f>IF($B2108="","",YEAR($B2108))</f>
        <v/>
      </c>
    </row>
    <row r="2109">
      <c r="B2109" s="105" t="n"/>
      <c r="C2109" s="54" t="n"/>
      <c r="D2109" s="54" t="n"/>
      <c r="E2109" s="54" t="n"/>
      <c r="F2109" s="54" t="n"/>
      <c r="G2109" s="65" t="n"/>
      <c r="H2109" s="54" t="n"/>
      <c r="I2109" s="106">
        <f>IF($C2109="","",IFERROR(INDEX(Sens_Types,MATCH($C2109,Liste_Types,0)),""))</f>
        <v/>
      </c>
      <c r="J2109" s="107">
        <f>IF($I2109="▲ ENTRÉE",$U2109,"")</f>
        <v/>
      </c>
      <c r="K2109" s="108">
        <f>IF($I2109="▼ SORTIE",$U2109,"")</f>
        <v/>
      </c>
      <c r="L2109" s="109">
        <f>$L2108+N($J2109)-N($K2109)</f>
        <v/>
      </c>
      <c r="M2109" s="110" t="n"/>
      <c r="N2109" s="54" t="n"/>
      <c r="O2109" s="54" t="n"/>
      <c r="P2109" s="54" t="n"/>
      <c r="Q2109" s="110" t="n"/>
      <c r="R2109" s="110" t="n"/>
      <c r="S2109" s="54" t="n"/>
      <c r="T2109" s="111">
        <f>IF($G2109="","",IFERROR(INDEX(Taux_Devises,MATCH(IF($M2109="",Devise_Base,$M2109),Codes_Devises,0)),1))</f>
        <v/>
      </c>
      <c r="U2109" s="112">
        <f>IF($G2109="","",ROUND($G2109*$T2109,2))</f>
        <v/>
      </c>
      <c r="V2109" s="113">
        <f>IF($B2109="","",MONTH($B2109))</f>
        <v/>
      </c>
      <c r="W2109" s="113">
        <f>IF($B2109="","",YEAR($B2109))</f>
        <v/>
      </c>
    </row>
    <row r="2110">
      <c r="B2110" s="105" t="n"/>
      <c r="C2110" s="54" t="n"/>
      <c r="D2110" s="54" t="n"/>
      <c r="E2110" s="54" t="n"/>
      <c r="F2110" s="54" t="n"/>
      <c r="G2110" s="65" t="n"/>
      <c r="H2110" s="54" t="n"/>
      <c r="I2110" s="106">
        <f>IF($C2110="","",IFERROR(INDEX(Sens_Types,MATCH($C2110,Liste_Types,0)),""))</f>
        <v/>
      </c>
      <c r="J2110" s="107">
        <f>IF($I2110="▲ ENTRÉE",$U2110,"")</f>
        <v/>
      </c>
      <c r="K2110" s="108">
        <f>IF($I2110="▼ SORTIE",$U2110,"")</f>
        <v/>
      </c>
      <c r="L2110" s="109">
        <f>$L2109+N($J2110)-N($K2110)</f>
        <v/>
      </c>
      <c r="M2110" s="110" t="n"/>
      <c r="N2110" s="54" t="n"/>
      <c r="O2110" s="54" t="n"/>
      <c r="P2110" s="54" t="n"/>
      <c r="Q2110" s="110" t="n"/>
      <c r="R2110" s="110" t="n"/>
      <c r="S2110" s="54" t="n"/>
      <c r="T2110" s="111">
        <f>IF($G2110="","",IFERROR(INDEX(Taux_Devises,MATCH(IF($M2110="",Devise_Base,$M2110),Codes_Devises,0)),1))</f>
        <v/>
      </c>
      <c r="U2110" s="112">
        <f>IF($G2110="","",ROUND($G2110*$T2110,2))</f>
        <v/>
      </c>
      <c r="V2110" s="113">
        <f>IF($B2110="","",MONTH($B2110))</f>
        <v/>
      </c>
      <c r="W2110" s="113">
        <f>IF($B2110="","",YEAR($B2110))</f>
        <v/>
      </c>
    </row>
    <row r="2111">
      <c r="B2111" s="105" t="n"/>
      <c r="C2111" s="54" t="n"/>
      <c r="D2111" s="54" t="n"/>
      <c r="E2111" s="54" t="n"/>
      <c r="F2111" s="54" t="n"/>
      <c r="G2111" s="65" t="n"/>
      <c r="H2111" s="54" t="n"/>
      <c r="I2111" s="106">
        <f>IF($C2111="","",IFERROR(INDEX(Sens_Types,MATCH($C2111,Liste_Types,0)),""))</f>
        <v/>
      </c>
      <c r="J2111" s="107">
        <f>IF($I2111="▲ ENTRÉE",$U2111,"")</f>
        <v/>
      </c>
      <c r="K2111" s="108">
        <f>IF($I2111="▼ SORTIE",$U2111,"")</f>
        <v/>
      </c>
      <c r="L2111" s="109">
        <f>$L2110+N($J2111)-N($K2111)</f>
        <v/>
      </c>
      <c r="M2111" s="110" t="n"/>
      <c r="N2111" s="54" t="n"/>
      <c r="O2111" s="54" t="n"/>
      <c r="P2111" s="54" t="n"/>
      <c r="Q2111" s="110" t="n"/>
      <c r="R2111" s="110" t="n"/>
      <c r="S2111" s="54" t="n"/>
      <c r="T2111" s="111">
        <f>IF($G2111="","",IFERROR(INDEX(Taux_Devises,MATCH(IF($M2111="",Devise_Base,$M2111),Codes_Devises,0)),1))</f>
        <v/>
      </c>
      <c r="U2111" s="112">
        <f>IF($G2111="","",ROUND($G2111*$T2111,2))</f>
        <v/>
      </c>
      <c r="V2111" s="113">
        <f>IF($B2111="","",MONTH($B2111))</f>
        <v/>
      </c>
      <c r="W2111" s="113">
        <f>IF($B2111="","",YEAR($B2111))</f>
        <v/>
      </c>
    </row>
    <row r="2112">
      <c r="B2112" s="105" t="n"/>
      <c r="C2112" s="54" t="n"/>
      <c r="D2112" s="54" t="n"/>
      <c r="E2112" s="54" t="n"/>
      <c r="F2112" s="54" t="n"/>
      <c r="G2112" s="65" t="n"/>
      <c r="H2112" s="54" t="n"/>
      <c r="I2112" s="106">
        <f>IF($C2112="","",IFERROR(INDEX(Sens_Types,MATCH($C2112,Liste_Types,0)),""))</f>
        <v/>
      </c>
      <c r="J2112" s="107">
        <f>IF($I2112="▲ ENTRÉE",$U2112,"")</f>
        <v/>
      </c>
      <c r="K2112" s="108">
        <f>IF($I2112="▼ SORTIE",$U2112,"")</f>
        <v/>
      </c>
      <c r="L2112" s="109">
        <f>$L2111+N($J2112)-N($K2112)</f>
        <v/>
      </c>
      <c r="M2112" s="110" t="n"/>
      <c r="N2112" s="54" t="n"/>
      <c r="O2112" s="54" t="n"/>
      <c r="P2112" s="54" t="n"/>
      <c r="Q2112" s="110" t="n"/>
      <c r="R2112" s="110" t="n"/>
      <c r="S2112" s="54" t="n"/>
      <c r="T2112" s="111">
        <f>IF($G2112="","",IFERROR(INDEX(Taux_Devises,MATCH(IF($M2112="",Devise_Base,$M2112),Codes_Devises,0)),1))</f>
        <v/>
      </c>
      <c r="U2112" s="112">
        <f>IF($G2112="","",ROUND($G2112*$T2112,2))</f>
        <v/>
      </c>
      <c r="V2112" s="113">
        <f>IF($B2112="","",MONTH($B2112))</f>
        <v/>
      </c>
      <c r="W2112" s="113">
        <f>IF($B2112="","",YEAR($B2112))</f>
        <v/>
      </c>
    </row>
    <row r="2113">
      <c r="B2113" s="105" t="n"/>
      <c r="C2113" s="54" t="n"/>
      <c r="D2113" s="54" t="n"/>
      <c r="E2113" s="54" t="n"/>
      <c r="F2113" s="54" t="n"/>
      <c r="G2113" s="65" t="n"/>
      <c r="H2113" s="54" t="n"/>
      <c r="I2113" s="106">
        <f>IF($C2113="","",IFERROR(INDEX(Sens_Types,MATCH($C2113,Liste_Types,0)),""))</f>
        <v/>
      </c>
      <c r="J2113" s="107">
        <f>IF($I2113="▲ ENTRÉE",$U2113,"")</f>
        <v/>
      </c>
      <c r="K2113" s="108">
        <f>IF($I2113="▼ SORTIE",$U2113,"")</f>
        <v/>
      </c>
      <c r="L2113" s="109">
        <f>$L2112+N($J2113)-N($K2113)</f>
        <v/>
      </c>
      <c r="M2113" s="110" t="n"/>
      <c r="N2113" s="54" t="n"/>
      <c r="O2113" s="54" t="n"/>
      <c r="P2113" s="54" t="n"/>
      <c r="Q2113" s="110" t="n"/>
      <c r="R2113" s="110" t="n"/>
      <c r="S2113" s="54" t="n"/>
      <c r="T2113" s="111">
        <f>IF($G2113="","",IFERROR(INDEX(Taux_Devises,MATCH(IF($M2113="",Devise_Base,$M2113),Codes_Devises,0)),1))</f>
        <v/>
      </c>
      <c r="U2113" s="112">
        <f>IF($G2113="","",ROUND($G2113*$T2113,2))</f>
        <v/>
      </c>
      <c r="V2113" s="113">
        <f>IF($B2113="","",MONTH($B2113))</f>
        <v/>
      </c>
      <c r="W2113" s="113">
        <f>IF($B2113="","",YEAR($B2113))</f>
        <v/>
      </c>
    </row>
    <row r="2114">
      <c r="B2114" s="105" t="n"/>
      <c r="C2114" s="54" t="n"/>
      <c r="D2114" s="54" t="n"/>
      <c r="E2114" s="54" t="n"/>
      <c r="F2114" s="54" t="n"/>
      <c r="G2114" s="65" t="n"/>
      <c r="H2114" s="54" t="n"/>
      <c r="I2114" s="106">
        <f>IF($C2114="","",IFERROR(INDEX(Sens_Types,MATCH($C2114,Liste_Types,0)),""))</f>
        <v/>
      </c>
      <c r="J2114" s="107">
        <f>IF($I2114="▲ ENTRÉE",$U2114,"")</f>
        <v/>
      </c>
      <c r="K2114" s="108">
        <f>IF($I2114="▼ SORTIE",$U2114,"")</f>
        <v/>
      </c>
      <c r="L2114" s="109">
        <f>$L2113+N($J2114)-N($K2114)</f>
        <v/>
      </c>
      <c r="M2114" s="110" t="n"/>
      <c r="N2114" s="54" t="n"/>
      <c r="O2114" s="54" t="n"/>
      <c r="P2114" s="54" t="n"/>
      <c r="Q2114" s="110" t="n"/>
      <c r="R2114" s="110" t="n"/>
      <c r="S2114" s="54" t="n"/>
      <c r="T2114" s="111">
        <f>IF($G2114="","",IFERROR(INDEX(Taux_Devises,MATCH(IF($M2114="",Devise_Base,$M2114),Codes_Devises,0)),1))</f>
        <v/>
      </c>
      <c r="U2114" s="112">
        <f>IF($G2114="","",ROUND($G2114*$T2114,2))</f>
        <v/>
      </c>
      <c r="V2114" s="113">
        <f>IF($B2114="","",MONTH($B2114))</f>
        <v/>
      </c>
      <c r="W2114" s="113">
        <f>IF($B2114="","",YEAR($B2114))</f>
        <v/>
      </c>
    </row>
    <row r="2115">
      <c r="B2115" s="105" t="n"/>
      <c r="C2115" s="54" t="n"/>
      <c r="D2115" s="54" t="n"/>
      <c r="E2115" s="54" t="n"/>
      <c r="F2115" s="54" t="n"/>
      <c r="G2115" s="65" t="n"/>
      <c r="H2115" s="54" t="n"/>
      <c r="I2115" s="106">
        <f>IF($C2115="","",IFERROR(INDEX(Sens_Types,MATCH($C2115,Liste_Types,0)),""))</f>
        <v/>
      </c>
      <c r="J2115" s="107">
        <f>IF($I2115="▲ ENTRÉE",$U2115,"")</f>
        <v/>
      </c>
      <c r="K2115" s="108">
        <f>IF($I2115="▼ SORTIE",$U2115,"")</f>
        <v/>
      </c>
      <c r="L2115" s="109">
        <f>$L2114+N($J2115)-N($K2115)</f>
        <v/>
      </c>
      <c r="M2115" s="110" t="n"/>
      <c r="N2115" s="54" t="n"/>
      <c r="O2115" s="54" t="n"/>
      <c r="P2115" s="54" t="n"/>
      <c r="Q2115" s="110" t="n"/>
      <c r="R2115" s="110" t="n"/>
      <c r="S2115" s="54" t="n"/>
      <c r="T2115" s="111">
        <f>IF($G2115="","",IFERROR(INDEX(Taux_Devises,MATCH(IF($M2115="",Devise_Base,$M2115),Codes_Devises,0)),1))</f>
        <v/>
      </c>
      <c r="U2115" s="112">
        <f>IF($G2115="","",ROUND($G2115*$T2115,2))</f>
        <v/>
      </c>
      <c r="V2115" s="113">
        <f>IF($B2115="","",MONTH($B2115))</f>
        <v/>
      </c>
      <c r="W2115" s="113">
        <f>IF($B2115="","",YEAR($B2115))</f>
        <v/>
      </c>
    </row>
    <row r="2116">
      <c r="B2116" s="105" t="n"/>
      <c r="C2116" s="54" t="n"/>
      <c r="D2116" s="54" t="n"/>
      <c r="E2116" s="54" t="n"/>
      <c r="F2116" s="54" t="n"/>
      <c r="G2116" s="65" t="n"/>
      <c r="H2116" s="54" t="n"/>
      <c r="I2116" s="106">
        <f>IF($C2116="","",IFERROR(INDEX(Sens_Types,MATCH($C2116,Liste_Types,0)),""))</f>
        <v/>
      </c>
      <c r="J2116" s="107">
        <f>IF($I2116="▲ ENTRÉE",$U2116,"")</f>
        <v/>
      </c>
      <c r="K2116" s="108">
        <f>IF($I2116="▼ SORTIE",$U2116,"")</f>
        <v/>
      </c>
      <c r="L2116" s="109">
        <f>$L2115+N($J2116)-N($K2116)</f>
        <v/>
      </c>
      <c r="M2116" s="110" t="n"/>
      <c r="N2116" s="54" t="n"/>
      <c r="O2116" s="54" t="n"/>
      <c r="P2116" s="54" t="n"/>
      <c r="Q2116" s="110" t="n"/>
      <c r="R2116" s="110" t="n"/>
      <c r="S2116" s="54" t="n"/>
      <c r="T2116" s="111">
        <f>IF($G2116="","",IFERROR(INDEX(Taux_Devises,MATCH(IF($M2116="",Devise_Base,$M2116),Codes_Devises,0)),1))</f>
        <v/>
      </c>
      <c r="U2116" s="112">
        <f>IF($G2116="","",ROUND($G2116*$T2116,2))</f>
        <v/>
      </c>
      <c r="V2116" s="113">
        <f>IF($B2116="","",MONTH($B2116))</f>
        <v/>
      </c>
      <c r="W2116" s="113">
        <f>IF($B2116="","",YEAR($B2116))</f>
        <v/>
      </c>
    </row>
    <row r="2117">
      <c r="B2117" s="105" t="n"/>
      <c r="C2117" s="54" t="n"/>
      <c r="D2117" s="54" t="n"/>
      <c r="E2117" s="54" t="n"/>
      <c r="F2117" s="54" t="n"/>
      <c r="G2117" s="65" t="n"/>
      <c r="H2117" s="54" t="n"/>
      <c r="I2117" s="106">
        <f>IF($C2117="","",IFERROR(INDEX(Sens_Types,MATCH($C2117,Liste_Types,0)),""))</f>
        <v/>
      </c>
      <c r="J2117" s="107">
        <f>IF($I2117="▲ ENTRÉE",$U2117,"")</f>
        <v/>
      </c>
      <c r="K2117" s="108">
        <f>IF($I2117="▼ SORTIE",$U2117,"")</f>
        <v/>
      </c>
      <c r="L2117" s="109">
        <f>$L2116+N($J2117)-N($K2117)</f>
        <v/>
      </c>
      <c r="M2117" s="110" t="n"/>
      <c r="N2117" s="54" t="n"/>
      <c r="O2117" s="54" t="n"/>
      <c r="P2117" s="54" t="n"/>
      <c r="Q2117" s="110" t="n"/>
      <c r="R2117" s="110" t="n"/>
      <c r="S2117" s="54" t="n"/>
      <c r="T2117" s="111">
        <f>IF($G2117="","",IFERROR(INDEX(Taux_Devises,MATCH(IF($M2117="",Devise_Base,$M2117),Codes_Devises,0)),1))</f>
        <v/>
      </c>
      <c r="U2117" s="112">
        <f>IF($G2117="","",ROUND($G2117*$T2117,2))</f>
        <v/>
      </c>
      <c r="V2117" s="113">
        <f>IF($B2117="","",MONTH($B2117))</f>
        <v/>
      </c>
      <c r="W2117" s="113">
        <f>IF($B2117="","",YEAR($B2117))</f>
        <v/>
      </c>
    </row>
    <row r="2118">
      <c r="B2118" s="105" t="n"/>
      <c r="C2118" s="54" t="n"/>
      <c r="D2118" s="54" t="n"/>
      <c r="E2118" s="54" t="n"/>
      <c r="F2118" s="54" t="n"/>
      <c r="G2118" s="65" t="n"/>
      <c r="H2118" s="54" t="n"/>
      <c r="I2118" s="106">
        <f>IF($C2118="","",IFERROR(INDEX(Sens_Types,MATCH($C2118,Liste_Types,0)),""))</f>
        <v/>
      </c>
      <c r="J2118" s="107">
        <f>IF($I2118="▲ ENTRÉE",$U2118,"")</f>
        <v/>
      </c>
      <c r="K2118" s="108">
        <f>IF($I2118="▼ SORTIE",$U2118,"")</f>
        <v/>
      </c>
      <c r="L2118" s="109">
        <f>$L2117+N($J2118)-N($K2118)</f>
        <v/>
      </c>
      <c r="M2118" s="110" t="n"/>
      <c r="N2118" s="54" t="n"/>
      <c r="O2118" s="54" t="n"/>
      <c r="P2118" s="54" t="n"/>
      <c r="Q2118" s="110" t="n"/>
      <c r="R2118" s="110" t="n"/>
      <c r="S2118" s="54" t="n"/>
      <c r="T2118" s="111">
        <f>IF($G2118="","",IFERROR(INDEX(Taux_Devises,MATCH(IF($M2118="",Devise_Base,$M2118),Codes_Devises,0)),1))</f>
        <v/>
      </c>
      <c r="U2118" s="112">
        <f>IF($G2118="","",ROUND($G2118*$T2118,2))</f>
        <v/>
      </c>
      <c r="V2118" s="113">
        <f>IF($B2118="","",MONTH($B2118))</f>
        <v/>
      </c>
      <c r="W2118" s="113">
        <f>IF($B2118="","",YEAR($B2118))</f>
        <v/>
      </c>
    </row>
    <row r="2119">
      <c r="B2119" s="105" t="n"/>
      <c r="C2119" s="54" t="n"/>
      <c r="D2119" s="54" t="n"/>
      <c r="E2119" s="54" t="n"/>
      <c r="F2119" s="54" t="n"/>
      <c r="G2119" s="65" t="n"/>
      <c r="H2119" s="54" t="n"/>
      <c r="I2119" s="106">
        <f>IF($C2119="","",IFERROR(INDEX(Sens_Types,MATCH($C2119,Liste_Types,0)),""))</f>
        <v/>
      </c>
      <c r="J2119" s="107">
        <f>IF($I2119="▲ ENTRÉE",$U2119,"")</f>
        <v/>
      </c>
      <c r="K2119" s="108">
        <f>IF($I2119="▼ SORTIE",$U2119,"")</f>
        <v/>
      </c>
      <c r="L2119" s="109">
        <f>$L2118+N($J2119)-N($K2119)</f>
        <v/>
      </c>
      <c r="M2119" s="110" t="n"/>
      <c r="N2119" s="54" t="n"/>
      <c r="O2119" s="54" t="n"/>
      <c r="P2119" s="54" t="n"/>
      <c r="Q2119" s="110" t="n"/>
      <c r="R2119" s="110" t="n"/>
      <c r="S2119" s="54" t="n"/>
      <c r="T2119" s="111">
        <f>IF($G2119="","",IFERROR(INDEX(Taux_Devises,MATCH(IF($M2119="",Devise_Base,$M2119),Codes_Devises,0)),1))</f>
        <v/>
      </c>
      <c r="U2119" s="112">
        <f>IF($G2119="","",ROUND($G2119*$T2119,2))</f>
        <v/>
      </c>
      <c r="V2119" s="113">
        <f>IF($B2119="","",MONTH($B2119))</f>
        <v/>
      </c>
      <c r="W2119" s="113">
        <f>IF($B2119="","",YEAR($B2119))</f>
        <v/>
      </c>
    </row>
    <row r="2120">
      <c r="B2120" s="105" t="n"/>
      <c r="C2120" s="54" t="n"/>
      <c r="D2120" s="54" t="n"/>
      <c r="E2120" s="54" t="n"/>
      <c r="F2120" s="54" t="n"/>
      <c r="G2120" s="65" t="n"/>
      <c r="H2120" s="54" t="n"/>
      <c r="I2120" s="106">
        <f>IF($C2120="","",IFERROR(INDEX(Sens_Types,MATCH($C2120,Liste_Types,0)),""))</f>
        <v/>
      </c>
      <c r="J2120" s="107">
        <f>IF($I2120="▲ ENTRÉE",$U2120,"")</f>
        <v/>
      </c>
      <c r="K2120" s="108">
        <f>IF($I2120="▼ SORTIE",$U2120,"")</f>
        <v/>
      </c>
      <c r="L2120" s="109">
        <f>$L2119+N($J2120)-N($K2120)</f>
        <v/>
      </c>
      <c r="M2120" s="110" t="n"/>
      <c r="N2120" s="54" t="n"/>
      <c r="O2120" s="54" t="n"/>
      <c r="P2120" s="54" t="n"/>
      <c r="Q2120" s="110" t="n"/>
      <c r="R2120" s="110" t="n"/>
      <c r="S2120" s="54" t="n"/>
      <c r="T2120" s="111">
        <f>IF($G2120="","",IFERROR(INDEX(Taux_Devises,MATCH(IF($M2120="",Devise_Base,$M2120),Codes_Devises,0)),1))</f>
        <v/>
      </c>
      <c r="U2120" s="112">
        <f>IF($G2120="","",ROUND($G2120*$T2120,2))</f>
        <v/>
      </c>
      <c r="V2120" s="113">
        <f>IF($B2120="","",MONTH($B2120))</f>
        <v/>
      </c>
      <c r="W2120" s="113">
        <f>IF($B2120="","",YEAR($B2120))</f>
        <v/>
      </c>
    </row>
    <row r="2121">
      <c r="B2121" s="105" t="n"/>
      <c r="C2121" s="54" t="n"/>
      <c r="D2121" s="54" t="n"/>
      <c r="E2121" s="54" t="n"/>
      <c r="F2121" s="54" t="n"/>
      <c r="G2121" s="65" t="n"/>
      <c r="H2121" s="54" t="n"/>
      <c r="I2121" s="106">
        <f>IF($C2121="","",IFERROR(INDEX(Sens_Types,MATCH($C2121,Liste_Types,0)),""))</f>
        <v/>
      </c>
      <c r="J2121" s="107">
        <f>IF($I2121="▲ ENTRÉE",$U2121,"")</f>
        <v/>
      </c>
      <c r="K2121" s="108">
        <f>IF($I2121="▼ SORTIE",$U2121,"")</f>
        <v/>
      </c>
      <c r="L2121" s="109">
        <f>$L2120+N($J2121)-N($K2121)</f>
        <v/>
      </c>
      <c r="M2121" s="110" t="n"/>
      <c r="N2121" s="54" t="n"/>
      <c r="O2121" s="54" t="n"/>
      <c r="P2121" s="54" t="n"/>
      <c r="Q2121" s="110" t="n"/>
      <c r="R2121" s="110" t="n"/>
      <c r="S2121" s="54" t="n"/>
      <c r="T2121" s="111">
        <f>IF($G2121="","",IFERROR(INDEX(Taux_Devises,MATCH(IF($M2121="",Devise_Base,$M2121),Codes_Devises,0)),1))</f>
        <v/>
      </c>
      <c r="U2121" s="112">
        <f>IF($G2121="","",ROUND($G2121*$T2121,2))</f>
        <v/>
      </c>
      <c r="V2121" s="113">
        <f>IF($B2121="","",MONTH($B2121))</f>
        <v/>
      </c>
      <c r="W2121" s="113">
        <f>IF($B2121="","",YEAR($B2121))</f>
        <v/>
      </c>
    </row>
    <row r="2122">
      <c r="B2122" s="105" t="n"/>
      <c r="C2122" s="54" t="n"/>
      <c r="D2122" s="54" t="n"/>
      <c r="E2122" s="54" t="n"/>
      <c r="F2122" s="54" t="n"/>
      <c r="G2122" s="65" t="n"/>
      <c r="H2122" s="54" t="n"/>
      <c r="I2122" s="106">
        <f>IF($C2122="","",IFERROR(INDEX(Sens_Types,MATCH($C2122,Liste_Types,0)),""))</f>
        <v/>
      </c>
      <c r="J2122" s="107">
        <f>IF($I2122="▲ ENTRÉE",$U2122,"")</f>
        <v/>
      </c>
      <c r="K2122" s="108">
        <f>IF($I2122="▼ SORTIE",$U2122,"")</f>
        <v/>
      </c>
      <c r="L2122" s="109">
        <f>$L2121+N($J2122)-N($K2122)</f>
        <v/>
      </c>
      <c r="M2122" s="110" t="n"/>
      <c r="N2122" s="54" t="n"/>
      <c r="O2122" s="54" t="n"/>
      <c r="P2122" s="54" t="n"/>
      <c r="Q2122" s="110" t="n"/>
      <c r="R2122" s="110" t="n"/>
      <c r="S2122" s="54" t="n"/>
      <c r="T2122" s="111">
        <f>IF($G2122="","",IFERROR(INDEX(Taux_Devises,MATCH(IF($M2122="",Devise_Base,$M2122),Codes_Devises,0)),1))</f>
        <v/>
      </c>
      <c r="U2122" s="112">
        <f>IF($G2122="","",ROUND($G2122*$T2122,2))</f>
        <v/>
      </c>
      <c r="V2122" s="113">
        <f>IF($B2122="","",MONTH($B2122))</f>
        <v/>
      </c>
      <c r="W2122" s="113">
        <f>IF($B2122="","",YEAR($B2122))</f>
        <v/>
      </c>
    </row>
    <row r="2123">
      <c r="B2123" s="105" t="n"/>
      <c r="C2123" s="54" t="n"/>
      <c r="D2123" s="54" t="n"/>
      <c r="E2123" s="54" t="n"/>
      <c r="F2123" s="54" t="n"/>
      <c r="G2123" s="65" t="n"/>
      <c r="H2123" s="54" t="n"/>
      <c r="I2123" s="106">
        <f>IF($C2123="","",IFERROR(INDEX(Sens_Types,MATCH($C2123,Liste_Types,0)),""))</f>
        <v/>
      </c>
      <c r="J2123" s="107">
        <f>IF($I2123="▲ ENTRÉE",$U2123,"")</f>
        <v/>
      </c>
      <c r="K2123" s="108">
        <f>IF($I2123="▼ SORTIE",$U2123,"")</f>
        <v/>
      </c>
      <c r="L2123" s="109">
        <f>$L2122+N($J2123)-N($K2123)</f>
        <v/>
      </c>
      <c r="M2123" s="110" t="n"/>
      <c r="N2123" s="54" t="n"/>
      <c r="O2123" s="54" t="n"/>
      <c r="P2123" s="54" t="n"/>
      <c r="Q2123" s="110" t="n"/>
      <c r="R2123" s="110" t="n"/>
      <c r="S2123" s="54" t="n"/>
      <c r="T2123" s="111">
        <f>IF($G2123="","",IFERROR(INDEX(Taux_Devises,MATCH(IF($M2123="",Devise_Base,$M2123),Codes_Devises,0)),1))</f>
        <v/>
      </c>
      <c r="U2123" s="112">
        <f>IF($G2123="","",ROUND($G2123*$T2123,2))</f>
        <v/>
      </c>
      <c r="V2123" s="113">
        <f>IF($B2123="","",MONTH($B2123))</f>
        <v/>
      </c>
      <c r="W2123" s="113">
        <f>IF($B2123="","",YEAR($B2123))</f>
        <v/>
      </c>
    </row>
    <row r="2124">
      <c r="B2124" s="105" t="n"/>
      <c r="C2124" s="54" t="n"/>
      <c r="D2124" s="54" t="n"/>
      <c r="E2124" s="54" t="n"/>
      <c r="F2124" s="54" t="n"/>
      <c r="G2124" s="65" t="n"/>
      <c r="H2124" s="54" t="n"/>
      <c r="I2124" s="106">
        <f>IF($C2124="","",IFERROR(INDEX(Sens_Types,MATCH($C2124,Liste_Types,0)),""))</f>
        <v/>
      </c>
      <c r="J2124" s="107">
        <f>IF($I2124="▲ ENTRÉE",$U2124,"")</f>
        <v/>
      </c>
      <c r="K2124" s="108">
        <f>IF($I2124="▼ SORTIE",$U2124,"")</f>
        <v/>
      </c>
      <c r="L2124" s="109">
        <f>$L2123+N($J2124)-N($K2124)</f>
        <v/>
      </c>
      <c r="M2124" s="110" t="n"/>
      <c r="N2124" s="54" t="n"/>
      <c r="O2124" s="54" t="n"/>
      <c r="P2124" s="54" t="n"/>
      <c r="Q2124" s="110" t="n"/>
      <c r="R2124" s="110" t="n"/>
      <c r="S2124" s="54" t="n"/>
      <c r="T2124" s="111">
        <f>IF($G2124="","",IFERROR(INDEX(Taux_Devises,MATCH(IF($M2124="",Devise_Base,$M2124),Codes_Devises,0)),1))</f>
        <v/>
      </c>
      <c r="U2124" s="112">
        <f>IF($G2124="","",ROUND($G2124*$T2124,2))</f>
        <v/>
      </c>
      <c r="V2124" s="113">
        <f>IF($B2124="","",MONTH($B2124))</f>
        <v/>
      </c>
      <c r="W2124" s="113">
        <f>IF($B2124="","",YEAR($B2124))</f>
        <v/>
      </c>
    </row>
    <row r="2125">
      <c r="B2125" s="105" t="n"/>
      <c r="C2125" s="54" t="n"/>
      <c r="D2125" s="54" t="n"/>
      <c r="E2125" s="54" t="n"/>
      <c r="F2125" s="54" t="n"/>
      <c r="G2125" s="65" t="n"/>
      <c r="H2125" s="54" t="n"/>
      <c r="I2125" s="106">
        <f>IF($C2125="","",IFERROR(INDEX(Sens_Types,MATCH($C2125,Liste_Types,0)),""))</f>
        <v/>
      </c>
      <c r="J2125" s="107">
        <f>IF($I2125="▲ ENTRÉE",$U2125,"")</f>
        <v/>
      </c>
      <c r="K2125" s="108">
        <f>IF($I2125="▼ SORTIE",$U2125,"")</f>
        <v/>
      </c>
      <c r="L2125" s="109">
        <f>$L2124+N($J2125)-N($K2125)</f>
        <v/>
      </c>
      <c r="M2125" s="110" t="n"/>
      <c r="N2125" s="54" t="n"/>
      <c r="O2125" s="54" t="n"/>
      <c r="P2125" s="54" t="n"/>
      <c r="Q2125" s="110" t="n"/>
      <c r="R2125" s="110" t="n"/>
      <c r="S2125" s="54" t="n"/>
      <c r="T2125" s="111">
        <f>IF($G2125="","",IFERROR(INDEX(Taux_Devises,MATCH(IF($M2125="",Devise_Base,$M2125),Codes_Devises,0)),1))</f>
        <v/>
      </c>
      <c r="U2125" s="112">
        <f>IF($G2125="","",ROUND($G2125*$T2125,2))</f>
        <v/>
      </c>
      <c r="V2125" s="113">
        <f>IF($B2125="","",MONTH($B2125))</f>
        <v/>
      </c>
      <c r="W2125" s="113">
        <f>IF($B2125="","",YEAR($B2125))</f>
        <v/>
      </c>
    </row>
    <row r="2126">
      <c r="B2126" s="105" t="n"/>
      <c r="C2126" s="54" t="n"/>
      <c r="D2126" s="54" t="n"/>
      <c r="E2126" s="54" t="n"/>
      <c r="F2126" s="54" t="n"/>
      <c r="G2126" s="65" t="n"/>
      <c r="H2126" s="54" t="n"/>
      <c r="I2126" s="106">
        <f>IF($C2126="","",IFERROR(INDEX(Sens_Types,MATCH($C2126,Liste_Types,0)),""))</f>
        <v/>
      </c>
      <c r="J2126" s="107">
        <f>IF($I2126="▲ ENTRÉE",$U2126,"")</f>
        <v/>
      </c>
      <c r="K2126" s="108">
        <f>IF($I2126="▼ SORTIE",$U2126,"")</f>
        <v/>
      </c>
      <c r="L2126" s="109">
        <f>$L2125+N($J2126)-N($K2126)</f>
        <v/>
      </c>
      <c r="M2126" s="110" t="n"/>
      <c r="N2126" s="54" t="n"/>
      <c r="O2126" s="54" t="n"/>
      <c r="P2126" s="54" t="n"/>
      <c r="Q2126" s="110" t="n"/>
      <c r="R2126" s="110" t="n"/>
      <c r="S2126" s="54" t="n"/>
      <c r="T2126" s="111">
        <f>IF($G2126="","",IFERROR(INDEX(Taux_Devises,MATCH(IF($M2126="",Devise_Base,$M2126),Codes_Devises,0)),1))</f>
        <v/>
      </c>
      <c r="U2126" s="112">
        <f>IF($G2126="","",ROUND($G2126*$T2126,2))</f>
        <v/>
      </c>
      <c r="V2126" s="113">
        <f>IF($B2126="","",MONTH($B2126))</f>
        <v/>
      </c>
      <c r="W2126" s="113">
        <f>IF($B2126="","",YEAR($B2126))</f>
        <v/>
      </c>
    </row>
    <row r="2127">
      <c r="B2127" s="105" t="n"/>
      <c r="C2127" s="54" t="n"/>
      <c r="D2127" s="54" t="n"/>
      <c r="E2127" s="54" t="n"/>
      <c r="F2127" s="54" t="n"/>
      <c r="G2127" s="65" t="n"/>
      <c r="H2127" s="54" t="n"/>
      <c r="I2127" s="106">
        <f>IF($C2127="","",IFERROR(INDEX(Sens_Types,MATCH($C2127,Liste_Types,0)),""))</f>
        <v/>
      </c>
      <c r="J2127" s="107">
        <f>IF($I2127="▲ ENTRÉE",$U2127,"")</f>
        <v/>
      </c>
      <c r="K2127" s="108">
        <f>IF($I2127="▼ SORTIE",$U2127,"")</f>
        <v/>
      </c>
      <c r="L2127" s="109">
        <f>$L2126+N($J2127)-N($K2127)</f>
        <v/>
      </c>
      <c r="M2127" s="110" t="n"/>
      <c r="N2127" s="54" t="n"/>
      <c r="O2127" s="54" t="n"/>
      <c r="P2127" s="54" t="n"/>
      <c r="Q2127" s="110" t="n"/>
      <c r="R2127" s="110" t="n"/>
      <c r="S2127" s="54" t="n"/>
      <c r="T2127" s="111">
        <f>IF($G2127="","",IFERROR(INDEX(Taux_Devises,MATCH(IF($M2127="",Devise_Base,$M2127),Codes_Devises,0)),1))</f>
        <v/>
      </c>
      <c r="U2127" s="112">
        <f>IF($G2127="","",ROUND($G2127*$T2127,2))</f>
        <v/>
      </c>
      <c r="V2127" s="113">
        <f>IF($B2127="","",MONTH($B2127))</f>
        <v/>
      </c>
      <c r="W2127" s="113">
        <f>IF($B2127="","",YEAR($B2127))</f>
        <v/>
      </c>
    </row>
    <row r="2128">
      <c r="B2128" s="105" t="n"/>
      <c r="C2128" s="54" t="n"/>
      <c r="D2128" s="54" t="n"/>
      <c r="E2128" s="54" t="n"/>
      <c r="F2128" s="54" t="n"/>
      <c r="G2128" s="65" t="n"/>
      <c r="H2128" s="54" t="n"/>
      <c r="I2128" s="106">
        <f>IF($C2128="","",IFERROR(INDEX(Sens_Types,MATCH($C2128,Liste_Types,0)),""))</f>
        <v/>
      </c>
      <c r="J2128" s="107">
        <f>IF($I2128="▲ ENTRÉE",$U2128,"")</f>
        <v/>
      </c>
      <c r="K2128" s="108">
        <f>IF($I2128="▼ SORTIE",$U2128,"")</f>
        <v/>
      </c>
      <c r="L2128" s="109">
        <f>$L2127+N($J2128)-N($K2128)</f>
        <v/>
      </c>
      <c r="M2128" s="110" t="n"/>
      <c r="N2128" s="54" t="n"/>
      <c r="O2128" s="54" t="n"/>
      <c r="P2128" s="54" t="n"/>
      <c r="Q2128" s="110" t="n"/>
      <c r="R2128" s="110" t="n"/>
      <c r="S2128" s="54" t="n"/>
      <c r="T2128" s="111">
        <f>IF($G2128="","",IFERROR(INDEX(Taux_Devises,MATCH(IF($M2128="",Devise_Base,$M2128),Codes_Devises,0)),1))</f>
        <v/>
      </c>
      <c r="U2128" s="112">
        <f>IF($G2128="","",ROUND($G2128*$T2128,2))</f>
        <v/>
      </c>
      <c r="V2128" s="113">
        <f>IF($B2128="","",MONTH($B2128))</f>
        <v/>
      </c>
      <c r="W2128" s="113">
        <f>IF($B2128="","",YEAR($B2128))</f>
        <v/>
      </c>
    </row>
    <row r="2129">
      <c r="B2129" s="105" t="n"/>
      <c r="C2129" s="54" t="n"/>
      <c r="D2129" s="54" t="n"/>
      <c r="E2129" s="54" t="n"/>
      <c r="F2129" s="54" t="n"/>
      <c r="G2129" s="65" t="n"/>
      <c r="H2129" s="54" t="n"/>
      <c r="I2129" s="106">
        <f>IF($C2129="","",IFERROR(INDEX(Sens_Types,MATCH($C2129,Liste_Types,0)),""))</f>
        <v/>
      </c>
      <c r="J2129" s="107">
        <f>IF($I2129="▲ ENTRÉE",$U2129,"")</f>
        <v/>
      </c>
      <c r="K2129" s="108">
        <f>IF($I2129="▼ SORTIE",$U2129,"")</f>
        <v/>
      </c>
      <c r="L2129" s="109">
        <f>$L2128+N($J2129)-N($K2129)</f>
        <v/>
      </c>
      <c r="M2129" s="110" t="n"/>
      <c r="N2129" s="54" t="n"/>
      <c r="O2129" s="54" t="n"/>
      <c r="P2129" s="54" t="n"/>
      <c r="Q2129" s="110" t="n"/>
      <c r="R2129" s="110" t="n"/>
      <c r="S2129" s="54" t="n"/>
      <c r="T2129" s="111">
        <f>IF($G2129="","",IFERROR(INDEX(Taux_Devises,MATCH(IF($M2129="",Devise_Base,$M2129),Codes_Devises,0)),1))</f>
        <v/>
      </c>
      <c r="U2129" s="112">
        <f>IF($G2129="","",ROUND($G2129*$T2129,2))</f>
        <v/>
      </c>
      <c r="V2129" s="113">
        <f>IF($B2129="","",MONTH($B2129))</f>
        <v/>
      </c>
      <c r="W2129" s="113">
        <f>IF($B2129="","",YEAR($B2129))</f>
        <v/>
      </c>
    </row>
    <row r="2130">
      <c r="B2130" s="105" t="n"/>
      <c r="C2130" s="54" t="n"/>
      <c r="D2130" s="54" t="n"/>
      <c r="E2130" s="54" t="n"/>
      <c r="F2130" s="54" t="n"/>
      <c r="G2130" s="65" t="n"/>
      <c r="H2130" s="54" t="n"/>
      <c r="I2130" s="106">
        <f>IF($C2130="","",IFERROR(INDEX(Sens_Types,MATCH($C2130,Liste_Types,0)),""))</f>
        <v/>
      </c>
      <c r="J2130" s="107">
        <f>IF($I2130="▲ ENTRÉE",$U2130,"")</f>
        <v/>
      </c>
      <c r="K2130" s="108">
        <f>IF($I2130="▼ SORTIE",$U2130,"")</f>
        <v/>
      </c>
      <c r="L2130" s="109">
        <f>$L2129+N($J2130)-N($K2130)</f>
        <v/>
      </c>
      <c r="M2130" s="110" t="n"/>
      <c r="N2130" s="54" t="n"/>
      <c r="O2130" s="54" t="n"/>
      <c r="P2130" s="54" t="n"/>
      <c r="Q2130" s="110" t="n"/>
      <c r="R2130" s="110" t="n"/>
      <c r="S2130" s="54" t="n"/>
      <c r="T2130" s="111">
        <f>IF($G2130="","",IFERROR(INDEX(Taux_Devises,MATCH(IF($M2130="",Devise_Base,$M2130),Codes_Devises,0)),1))</f>
        <v/>
      </c>
      <c r="U2130" s="112">
        <f>IF($G2130="","",ROUND($G2130*$T2130,2))</f>
        <v/>
      </c>
      <c r="V2130" s="113">
        <f>IF($B2130="","",MONTH($B2130))</f>
        <v/>
      </c>
      <c r="W2130" s="113">
        <f>IF($B2130="","",YEAR($B2130))</f>
        <v/>
      </c>
    </row>
    <row r="2131">
      <c r="B2131" s="105" t="n"/>
      <c r="C2131" s="54" t="n"/>
      <c r="D2131" s="54" t="n"/>
      <c r="E2131" s="54" t="n"/>
      <c r="F2131" s="54" t="n"/>
      <c r="G2131" s="65" t="n"/>
      <c r="H2131" s="54" t="n"/>
      <c r="I2131" s="106">
        <f>IF($C2131="","",IFERROR(INDEX(Sens_Types,MATCH($C2131,Liste_Types,0)),""))</f>
        <v/>
      </c>
      <c r="J2131" s="107">
        <f>IF($I2131="▲ ENTRÉE",$U2131,"")</f>
        <v/>
      </c>
      <c r="K2131" s="108">
        <f>IF($I2131="▼ SORTIE",$U2131,"")</f>
        <v/>
      </c>
      <c r="L2131" s="109">
        <f>$L2130+N($J2131)-N($K2131)</f>
        <v/>
      </c>
      <c r="M2131" s="110" t="n"/>
      <c r="N2131" s="54" t="n"/>
      <c r="O2131" s="54" t="n"/>
      <c r="P2131" s="54" t="n"/>
      <c r="Q2131" s="110" t="n"/>
      <c r="R2131" s="110" t="n"/>
      <c r="S2131" s="54" t="n"/>
      <c r="T2131" s="111">
        <f>IF($G2131="","",IFERROR(INDEX(Taux_Devises,MATCH(IF($M2131="",Devise_Base,$M2131),Codes_Devises,0)),1))</f>
        <v/>
      </c>
      <c r="U2131" s="112">
        <f>IF($G2131="","",ROUND($G2131*$T2131,2))</f>
        <v/>
      </c>
      <c r="V2131" s="113">
        <f>IF($B2131="","",MONTH($B2131))</f>
        <v/>
      </c>
      <c r="W2131" s="113">
        <f>IF($B2131="","",YEAR($B2131))</f>
        <v/>
      </c>
    </row>
    <row r="2132">
      <c r="B2132" s="105" t="n"/>
      <c r="C2132" s="54" t="n"/>
      <c r="D2132" s="54" t="n"/>
      <c r="E2132" s="54" t="n"/>
      <c r="F2132" s="54" t="n"/>
      <c r="G2132" s="65" t="n"/>
      <c r="H2132" s="54" t="n"/>
      <c r="I2132" s="106">
        <f>IF($C2132="","",IFERROR(INDEX(Sens_Types,MATCH($C2132,Liste_Types,0)),""))</f>
        <v/>
      </c>
      <c r="J2132" s="107">
        <f>IF($I2132="▲ ENTRÉE",$U2132,"")</f>
        <v/>
      </c>
      <c r="K2132" s="108">
        <f>IF($I2132="▼ SORTIE",$U2132,"")</f>
        <v/>
      </c>
      <c r="L2132" s="109">
        <f>$L2131+N($J2132)-N($K2132)</f>
        <v/>
      </c>
      <c r="M2132" s="110" t="n"/>
      <c r="N2132" s="54" t="n"/>
      <c r="O2132" s="54" t="n"/>
      <c r="P2132" s="54" t="n"/>
      <c r="Q2132" s="110" t="n"/>
      <c r="R2132" s="110" t="n"/>
      <c r="S2132" s="54" t="n"/>
      <c r="T2132" s="111">
        <f>IF($G2132="","",IFERROR(INDEX(Taux_Devises,MATCH(IF($M2132="",Devise_Base,$M2132),Codes_Devises,0)),1))</f>
        <v/>
      </c>
      <c r="U2132" s="112">
        <f>IF($G2132="","",ROUND($G2132*$T2132,2))</f>
        <v/>
      </c>
      <c r="V2132" s="113">
        <f>IF($B2132="","",MONTH($B2132))</f>
        <v/>
      </c>
      <c r="W2132" s="113">
        <f>IF($B2132="","",YEAR($B2132))</f>
        <v/>
      </c>
    </row>
    <row r="2133">
      <c r="B2133" s="105" t="n"/>
      <c r="C2133" s="54" t="n"/>
      <c r="D2133" s="54" t="n"/>
      <c r="E2133" s="54" t="n"/>
      <c r="F2133" s="54" t="n"/>
      <c r="G2133" s="65" t="n"/>
      <c r="H2133" s="54" t="n"/>
      <c r="I2133" s="106">
        <f>IF($C2133="","",IFERROR(INDEX(Sens_Types,MATCH($C2133,Liste_Types,0)),""))</f>
        <v/>
      </c>
      <c r="J2133" s="107">
        <f>IF($I2133="▲ ENTRÉE",$U2133,"")</f>
        <v/>
      </c>
      <c r="K2133" s="108">
        <f>IF($I2133="▼ SORTIE",$U2133,"")</f>
        <v/>
      </c>
      <c r="L2133" s="109">
        <f>$L2132+N($J2133)-N($K2133)</f>
        <v/>
      </c>
      <c r="M2133" s="110" t="n"/>
      <c r="N2133" s="54" t="n"/>
      <c r="O2133" s="54" t="n"/>
      <c r="P2133" s="54" t="n"/>
      <c r="Q2133" s="110" t="n"/>
      <c r="R2133" s="110" t="n"/>
      <c r="S2133" s="54" t="n"/>
      <c r="T2133" s="111">
        <f>IF($G2133="","",IFERROR(INDEX(Taux_Devises,MATCH(IF($M2133="",Devise_Base,$M2133),Codes_Devises,0)),1))</f>
        <v/>
      </c>
      <c r="U2133" s="112">
        <f>IF($G2133="","",ROUND($G2133*$T2133,2))</f>
        <v/>
      </c>
      <c r="V2133" s="113">
        <f>IF($B2133="","",MONTH($B2133))</f>
        <v/>
      </c>
      <c r="W2133" s="113">
        <f>IF($B2133="","",YEAR($B2133))</f>
        <v/>
      </c>
    </row>
    <row r="2134">
      <c r="B2134" s="105" t="n"/>
      <c r="C2134" s="54" t="n"/>
      <c r="D2134" s="54" t="n"/>
      <c r="E2134" s="54" t="n"/>
      <c r="F2134" s="54" t="n"/>
      <c r="G2134" s="65" t="n"/>
      <c r="H2134" s="54" t="n"/>
      <c r="I2134" s="106">
        <f>IF($C2134="","",IFERROR(INDEX(Sens_Types,MATCH($C2134,Liste_Types,0)),""))</f>
        <v/>
      </c>
      <c r="J2134" s="107">
        <f>IF($I2134="▲ ENTRÉE",$U2134,"")</f>
        <v/>
      </c>
      <c r="K2134" s="108">
        <f>IF($I2134="▼ SORTIE",$U2134,"")</f>
        <v/>
      </c>
      <c r="L2134" s="109">
        <f>$L2133+N($J2134)-N($K2134)</f>
        <v/>
      </c>
      <c r="M2134" s="110" t="n"/>
      <c r="N2134" s="54" t="n"/>
      <c r="O2134" s="54" t="n"/>
      <c r="P2134" s="54" t="n"/>
      <c r="Q2134" s="110" t="n"/>
      <c r="R2134" s="110" t="n"/>
      <c r="S2134" s="54" t="n"/>
      <c r="T2134" s="111">
        <f>IF($G2134="","",IFERROR(INDEX(Taux_Devises,MATCH(IF($M2134="",Devise_Base,$M2134),Codes_Devises,0)),1))</f>
        <v/>
      </c>
      <c r="U2134" s="112">
        <f>IF($G2134="","",ROUND($G2134*$T2134,2))</f>
        <v/>
      </c>
      <c r="V2134" s="113">
        <f>IF($B2134="","",MONTH($B2134))</f>
        <v/>
      </c>
      <c r="W2134" s="113">
        <f>IF($B2134="","",YEAR($B2134))</f>
        <v/>
      </c>
    </row>
    <row r="2135">
      <c r="B2135" s="105" t="n"/>
      <c r="C2135" s="54" t="n"/>
      <c r="D2135" s="54" t="n"/>
      <c r="E2135" s="54" t="n"/>
      <c r="F2135" s="54" t="n"/>
      <c r="G2135" s="65" t="n"/>
      <c r="H2135" s="54" t="n"/>
      <c r="I2135" s="106">
        <f>IF($C2135="","",IFERROR(INDEX(Sens_Types,MATCH($C2135,Liste_Types,0)),""))</f>
        <v/>
      </c>
      <c r="J2135" s="107">
        <f>IF($I2135="▲ ENTRÉE",$U2135,"")</f>
        <v/>
      </c>
      <c r="K2135" s="108">
        <f>IF($I2135="▼ SORTIE",$U2135,"")</f>
        <v/>
      </c>
      <c r="L2135" s="109">
        <f>$L2134+N($J2135)-N($K2135)</f>
        <v/>
      </c>
      <c r="M2135" s="110" t="n"/>
      <c r="N2135" s="54" t="n"/>
      <c r="O2135" s="54" t="n"/>
      <c r="P2135" s="54" t="n"/>
      <c r="Q2135" s="110" t="n"/>
      <c r="R2135" s="110" t="n"/>
      <c r="S2135" s="54" t="n"/>
      <c r="T2135" s="111">
        <f>IF($G2135="","",IFERROR(INDEX(Taux_Devises,MATCH(IF($M2135="",Devise_Base,$M2135),Codes_Devises,0)),1))</f>
        <v/>
      </c>
      <c r="U2135" s="112">
        <f>IF($G2135="","",ROUND($G2135*$T2135,2))</f>
        <v/>
      </c>
      <c r="V2135" s="113">
        <f>IF($B2135="","",MONTH($B2135))</f>
        <v/>
      </c>
      <c r="W2135" s="113">
        <f>IF($B2135="","",YEAR($B2135))</f>
        <v/>
      </c>
    </row>
    <row r="2136">
      <c r="B2136" s="105" t="n"/>
      <c r="C2136" s="54" t="n"/>
      <c r="D2136" s="54" t="n"/>
      <c r="E2136" s="54" t="n"/>
      <c r="F2136" s="54" t="n"/>
      <c r="G2136" s="65" t="n"/>
      <c r="H2136" s="54" t="n"/>
      <c r="I2136" s="106">
        <f>IF($C2136="","",IFERROR(INDEX(Sens_Types,MATCH($C2136,Liste_Types,0)),""))</f>
        <v/>
      </c>
      <c r="J2136" s="107">
        <f>IF($I2136="▲ ENTRÉE",$U2136,"")</f>
        <v/>
      </c>
      <c r="K2136" s="108">
        <f>IF($I2136="▼ SORTIE",$U2136,"")</f>
        <v/>
      </c>
      <c r="L2136" s="109">
        <f>$L2135+N($J2136)-N($K2136)</f>
        <v/>
      </c>
      <c r="M2136" s="110" t="n"/>
      <c r="N2136" s="54" t="n"/>
      <c r="O2136" s="54" t="n"/>
      <c r="P2136" s="54" t="n"/>
      <c r="Q2136" s="110" t="n"/>
      <c r="R2136" s="110" t="n"/>
      <c r="S2136" s="54" t="n"/>
      <c r="T2136" s="111">
        <f>IF($G2136="","",IFERROR(INDEX(Taux_Devises,MATCH(IF($M2136="",Devise_Base,$M2136),Codes_Devises,0)),1))</f>
        <v/>
      </c>
      <c r="U2136" s="112">
        <f>IF($G2136="","",ROUND($G2136*$T2136,2))</f>
        <v/>
      </c>
      <c r="V2136" s="113">
        <f>IF($B2136="","",MONTH($B2136))</f>
        <v/>
      </c>
      <c r="W2136" s="113">
        <f>IF($B2136="","",YEAR($B2136))</f>
        <v/>
      </c>
    </row>
    <row r="2137">
      <c r="B2137" s="105" t="n"/>
      <c r="C2137" s="54" t="n"/>
      <c r="D2137" s="54" t="n"/>
      <c r="E2137" s="54" t="n"/>
      <c r="F2137" s="54" t="n"/>
      <c r="G2137" s="65" t="n"/>
      <c r="H2137" s="54" t="n"/>
      <c r="I2137" s="106">
        <f>IF($C2137="","",IFERROR(INDEX(Sens_Types,MATCH($C2137,Liste_Types,0)),""))</f>
        <v/>
      </c>
      <c r="J2137" s="107">
        <f>IF($I2137="▲ ENTRÉE",$U2137,"")</f>
        <v/>
      </c>
      <c r="K2137" s="108">
        <f>IF($I2137="▼ SORTIE",$U2137,"")</f>
        <v/>
      </c>
      <c r="L2137" s="109">
        <f>$L2136+N($J2137)-N($K2137)</f>
        <v/>
      </c>
      <c r="M2137" s="110" t="n"/>
      <c r="N2137" s="54" t="n"/>
      <c r="O2137" s="54" t="n"/>
      <c r="P2137" s="54" t="n"/>
      <c r="Q2137" s="110" t="n"/>
      <c r="R2137" s="110" t="n"/>
      <c r="S2137" s="54" t="n"/>
      <c r="T2137" s="111">
        <f>IF($G2137="","",IFERROR(INDEX(Taux_Devises,MATCH(IF($M2137="",Devise_Base,$M2137),Codes_Devises,0)),1))</f>
        <v/>
      </c>
      <c r="U2137" s="112">
        <f>IF($G2137="","",ROUND($G2137*$T2137,2))</f>
        <v/>
      </c>
      <c r="V2137" s="113">
        <f>IF($B2137="","",MONTH($B2137))</f>
        <v/>
      </c>
      <c r="W2137" s="113">
        <f>IF($B2137="","",YEAR($B2137))</f>
        <v/>
      </c>
    </row>
    <row r="2138">
      <c r="B2138" s="105" t="n"/>
      <c r="C2138" s="54" t="n"/>
      <c r="D2138" s="54" t="n"/>
      <c r="E2138" s="54" t="n"/>
      <c r="F2138" s="54" t="n"/>
      <c r="G2138" s="65" t="n"/>
      <c r="H2138" s="54" t="n"/>
      <c r="I2138" s="106">
        <f>IF($C2138="","",IFERROR(INDEX(Sens_Types,MATCH($C2138,Liste_Types,0)),""))</f>
        <v/>
      </c>
      <c r="J2138" s="107">
        <f>IF($I2138="▲ ENTRÉE",$U2138,"")</f>
        <v/>
      </c>
      <c r="K2138" s="108">
        <f>IF($I2138="▼ SORTIE",$U2138,"")</f>
        <v/>
      </c>
      <c r="L2138" s="109">
        <f>$L2137+N($J2138)-N($K2138)</f>
        <v/>
      </c>
      <c r="M2138" s="110" t="n"/>
      <c r="N2138" s="54" t="n"/>
      <c r="O2138" s="54" t="n"/>
      <c r="P2138" s="54" t="n"/>
      <c r="Q2138" s="110" t="n"/>
      <c r="R2138" s="110" t="n"/>
      <c r="S2138" s="54" t="n"/>
      <c r="T2138" s="111">
        <f>IF($G2138="","",IFERROR(INDEX(Taux_Devises,MATCH(IF($M2138="",Devise_Base,$M2138),Codes_Devises,0)),1))</f>
        <v/>
      </c>
      <c r="U2138" s="112">
        <f>IF($G2138="","",ROUND($G2138*$T2138,2))</f>
        <v/>
      </c>
      <c r="V2138" s="113">
        <f>IF($B2138="","",MONTH($B2138))</f>
        <v/>
      </c>
      <c r="W2138" s="113">
        <f>IF($B2138="","",YEAR($B2138))</f>
        <v/>
      </c>
    </row>
    <row r="2139">
      <c r="B2139" s="105" t="n"/>
      <c r="C2139" s="54" t="n"/>
      <c r="D2139" s="54" t="n"/>
      <c r="E2139" s="54" t="n"/>
      <c r="F2139" s="54" t="n"/>
      <c r="G2139" s="65" t="n"/>
      <c r="H2139" s="54" t="n"/>
      <c r="I2139" s="106">
        <f>IF($C2139="","",IFERROR(INDEX(Sens_Types,MATCH($C2139,Liste_Types,0)),""))</f>
        <v/>
      </c>
      <c r="J2139" s="107">
        <f>IF($I2139="▲ ENTRÉE",$U2139,"")</f>
        <v/>
      </c>
      <c r="K2139" s="108">
        <f>IF($I2139="▼ SORTIE",$U2139,"")</f>
        <v/>
      </c>
      <c r="L2139" s="109">
        <f>$L2138+N($J2139)-N($K2139)</f>
        <v/>
      </c>
      <c r="M2139" s="110" t="n"/>
      <c r="N2139" s="54" t="n"/>
      <c r="O2139" s="54" t="n"/>
      <c r="P2139" s="54" t="n"/>
      <c r="Q2139" s="110" t="n"/>
      <c r="R2139" s="110" t="n"/>
      <c r="S2139" s="54" t="n"/>
      <c r="T2139" s="111">
        <f>IF($G2139="","",IFERROR(INDEX(Taux_Devises,MATCH(IF($M2139="",Devise_Base,$M2139),Codes_Devises,0)),1))</f>
        <v/>
      </c>
      <c r="U2139" s="112">
        <f>IF($G2139="","",ROUND($G2139*$T2139,2))</f>
        <v/>
      </c>
      <c r="V2139" s="113">
        <f>IF($B2139="","",MONTH($B2139))</f>
        <v/>
      </c>
      <c r="W2139" s="113">
        <f>IF($B2139="","",YEAR($B2139))</f>
        <v/>
      </c>
    </row>
    <row r="2140">
      <c r="B2140" s="105" t="n"/>
      <c r="C2140" s="54" t="n"/>
      <c r="D2140" s="54" t="n"/>
      <c r="E2140" s="54" t="n"/>
      <c r="F2140" s="54" t="n"/>
      <c r="G2140" s="65" t="n"/>
      <c r="H2140" s="54" t="n"/>
      <c r="I2140" s="106">
        <f>IF($C2140="","",IFERROR(INDEX(Sens_Types,MATCH($C2140,Liste_Types,0)),""))</f>
        <v/>
      </c>
      <c r="J2140" s="107">
        <f>IF($I2140="▲ ENTRÉE",$U2140,"")</f>
        <v/>
      </c>
      <c r="K2140" s="108">
        <f>IF($I2140="▼ SORTIE",$U2140,"")</f>
        <v/>
      </c>
      <c r="L2140" s="109">
        <f>$L2139+N($J2140)-N($K2140)</f>
        <v/>
      </c>
      <c r="M2140" s="110" t="n"/>
      <c r="N2140" s="54" t="n"/>
      <c r="O2140" s="54" t="n"/>
      <c r="P2140" s="54" t="n"/>
      <c r="Q2140" s="110" t="n"/>
      <c r="R2140" s="110" t="n"/>
      <c r="S2140" s="54" t="n"/>
      <c r="T2140" s="111">
        <f>IF($G2140="","",IFERROR(INDEX(Taux_Devises,MATCH(IF($M2140="",Devise_Base,$M2140),Codes_Devises,0)),1))</f>
        <v/>
      </c>
      <c r="U2140" s="112">
        <f>IF($G2140="","",ROUND($G2140*$T2140,2))</f>
        <v/>
      </c>
      <c r="V2140" s="113">
        <f>IF($B2140="","",MONTH($B2140))</f>
        <v/>
      </c>
      <c r="W2140" s="113">
        <f>IF($B2140="","",YEAR($B2140))</f>
        <v/>
      </c>
    </row>
    <row r="2141">
      <c r="B2141" s="105" t="n"/>
      <c r="C2141" s="54" t="n"/>
      <c r="D2141" s="54" t="n"/>
      <c r="E2141" s="54" t="n"/>
      <c r="F2141" s="54" t="n"/>
      <c r="G2141" s="65" t="n"/>
      <c r="H2141" s="54" t="n"/>
      <c r="I2141" s="106">
        <f>IF($C2141="","",IFERROR(INDEX(Sens_Types,MATCH($C2141,Liste_Types,0)),""))</f>
        <v/>
      </c>
      <c r="J2141" s="107">
        <f>IF($I2141="▲ ENTRÉE",$U2141,"")</f>
        <v/>
      </c>
      <c r="K2141" s="108">
        <f>IF($I2141="▼ SORTIE",$U2141,"")</f>
        <v/>
      </c>
      <c r="L2141" s="109">
        <f>$L2140+N($J2141)-N($K2141)</f>
        <v/>
      </c>
      <c r="M2141" s="110" t="n"/>
      <c r="N2141" s="54" t="n"/>
      <c r="O2141" s="54" t="n"/>
      <c r="P2141" s="54" t="n"/>
      <c r="Q2141" s="110" t="n"/>
      <c r="R2141" s="110" t="n"/>
      <c r="S2141" s="54" t="n"/>
      <c r="T2141" s="111">
        <f>IF($G2141="","",IFERROR(INDEX(Taux_Devises,MATCH(IF($M2141="",Devise_Base,$M2141),Codes_Devises,0)),1))</f>
        <v/>
      </c>
      <c r="U2141" s="112">
        <f>IF($G2141="","",ROUND($G2141*$T2141,2))</f>
        <v/>
      </c>
      <c r="V2141" s="113">
        <f>IF($B2141="","",MONTH($B2141))</f>
        <v/>
      </c>
      <c r="W2141" s="113">
        <f>IF($B2141="","",YEAR($B2141))</f>
        <v/>
      </c>
    </row>
    <row r="2142">
      <c r="B2142" s="105" t="n"/>
      <c r="C2142" s="54" t="n"/>
      <c r="D2142" s="54" t="n"/>
      <c r="E2142" s="54" t="n"/>
      <c r="F2142" s="54" t="n"/>
      <c r="G2142" s="65" t="n"/>
      <c r="H2142" s="54" t="n"/>
      <c r="I2142" s="106">
        <f>IF($C2142="","",IFERROR(INDEX(Sens_Types,MATCH($C2142,Liste_Types,0)),""))</f>
        <v/>
      </c>
      <c r="J2142" s="107">
        <f>IF($I2142="▲ ENTRÉE",$U2142,"")</f>
        <v/>
      </c>
      <c r="K2142" s="108">
        <f>IF($I2142="▼ SORTIE",$U2142,"")</f>
        <v/>
      </c>
      <c r="L2142" s="109">
        <f>$L2141+N($J2142)-N($K2142)</f>
        <v/>
      </c>
      <c r="M2142" s="110" t="n"/>
      <c r="N2142" s="54" t="n"/>
      <c r="O2142" s="54" t="n"/>
      <c r="P2142" s="54" t="n"/>
      <c r="Q2142" s="110" t="n"/>
      <c r="R2142" s="110" t="n"/>
      <c r="S2142" s="54" t="n"/>
      <c r="T2142" s="111">
        <f>IF($G2142="","",IFERROR(INDEX(Taux_Devises,MATCH(IF($M2142="",Devise_Base,$M2142),Codes_Devises,0)),1))</f>
        <v/>
      </c>
      <c r="U2142" s="112">
        <f>IF($G2142="","",ROUND($G2142*$T2142,2))</f>
        <v/>
      </c>
      <c r="V2142" s="113">
        <f>IF($B2142="","",MONTH($B2142))</f>
        <v/>
      </c>
      <c r="W2142" s="113">
        <f>IF($B2142="","",YEAR($B2142))</f>
        <v/>
      </c>
    </row>
    <row r="2143">
      <c r="B2143" s="105" t="n"/>
      <c r="C2143" s="54" t="n"/>
      <c r="D2143" s="54" t="n"/>
      <c r="E2143" s="54" t="n"/>
      <c r="F2143" s="54" t="n"/>
      <c r="G2143" s="65" t="n"/>
      <c r="H2143" s="54" t="n"/>
      <c r="I2143" s="106">
        <f>IF($C2143="","",IFERROR(INDEX(Sens_Types,MATCH($C2143,Liste_Types,0)),""))</f>
        <v/>
      </c>
      <c r="J2143" s="107">
        <f>IF($I2143="▲ ENTRÉE",$U2143,"")</f>
        <v/>
      </c>
      <c r="K2143" s="108">
        <f>IF($I2143="▼ SORTIE",$U2143,"")</f>
        <v/>
      </c>
      <c r="L2143" s="109">
        <f>$L2142+N($J2143)-N($K2143)</f>
        <v/>
      </c>
      <c r="M2143" s="110" t="n"/>
      <c r="N2143" s="54" t="n"/>
      <c r="O2143" s="54" t="n"/>
      <c r="P2143" s="54" t="n"/>
      <c r="Q2143" s="110" t="n"/>
      <c r="R2143" s="110" t="n"/>
      <c r="S2143" s="54" t="n"/>
      <c r="T2143" s="111">
        <f>IF($G2143="","",IFERROR(INDEX(Taux_Devises,MATCH(IF($M2143="",Devise_Base,$M2143),Codes_Devises,0)),1))</f>
        <v/>
      </c>
      <c r="U2143" s="112">
        <f>IF($G2143="","",ROUND($G2143*$T2143,2))</f>
        <v/>
      </c>
      <c r="V2143" s="113">
        <f>IF($B2143="","",MONTH($B2143))</f>
        <v/>
      </c>
      <c r="W2143" s="113">
        <f>IF($B2143="","",YEAR($B2143))</f>
        <v/>
      </c>
    </row>
    <row r="2144">
      <c r="B2144" s="105" t="n"/>
      <c r="C2144" s="54" t="n"/>
      <c r="D2144" s="54" t="n"/>
      <c r="E2144" s="54" t="n"/>
      <c r="F2144" s="54" t="n"/>
      <c r="G2144" s="65" t="n"/>
      <c r="H2144" s="54" t="n"/>
      <c r="I2144" s="106">
        <f>IF($C2144="","",IFERROR(INDEX(Sens_Types,MATCH($C2144,Liste_Types,0)),""))</f>
        <v/>
      </c>
      <c r="J2144" s="107">
        <f>IF($I2144="▲ ENTRÉE",$U2144,"")</f>
        <v/>
      </c>
      <c r="K2144" s="108">
        <f>IF($I2144="▼ SORTIE",$U2144,"")</f>
        <v/>
      </c>
      <c r="L2144" s="109">
        <f>$L2143+N($J2144)-N($K2144)</f>
        <v/>
      </c>
      <c r="M2144" s="110" t="n"/>
      <c r="N2144" s="54" t="n"/>
      <c r="O2144" s="54" t="n"/>
      <c r="P2144" s="54" t="n"/>
      <c r="Q2144" s="110" t="n"/>
      <c r="R2144" s="110" t="n"/>
      <c r="S2144" s="54" t="n"/>
      <c r="T2144" s="111">
        <f>IF($G2144="","",IFERROR(INDEX(Taux_Devises,MATCH(IF($M2144="",Devise_Base,$M2144),Codes_Devises,0)),1))</f>
        <v/>
      </c>
      <c r="U2144" s="112">
        <f>IF($G2144="","",ROUND($G2144*$T2144,2))</f>
        <v/>
      </c>
      <c r="V2144" s="113">
        <f>IF($B2144="","",MONTH($B2144))</f>
        <v/>
      </c>
      <c r="W2144" s="113">
        <f>IF($B2144="","",YEAR($B2144))</f>
        <v/>
      </c>
    </row>
    <row r="2145">
      <c r="B2145" s="105" t="n"/>
      <c r="C2145" s="54" t="n"/>
      <c r="D2145" s="54" t="n"/>
      <c r="E2145" s="54" t="n"/>
      <c r="F2145" s="54" t="n"/>
      <c r="G2145" s="65" t="n"/>
      <c r="H2145" s="54" t="n"/>
      <c r="I2145" s="106">
        <f>IF($C2145="","",IFERROR(INDEX(Sens_Types,MATCH($C2145,Liste_Types,0)),""))</f>
        <v/>
      </c>
      <c r="J2145" s="107">
        <f>IF($I2145="▲ ENTRÉE",$U2145,"")</f>
        <v/>
      </c>
      <c r="K2145" s="108">
        <f>IF($I2145="▼ SORTIE",$U2145,"")</f>
        <v/>
      </c>
      <c r="L2145" s="109">
        <f>$L2144+N($J2145)-N($K2145)</f>
        <v/>
      </c>
      <c r="M2145" s="110" t="n"/>
      <c r="N2145" s="54" t="n"/>
      <c r="O2145" s="54" t="n"/>
      <c r="P2145" s="54" t="n"/>
      <c r="Q2145" s="110" t="n"/>
      <c r="R2145" s="110" t="n"/>
      <c r="S2145" s="54" t="n"/>
      <c r="T2145" s="111">
        <f>IF($G2145="","",IFERROR(INDEX(Taux_Devises,MATCH(IF($M2145="",Devise_Base,$M2145),Codes_Devises,0)),1))</f>
        <v/>
      </c>
      <c r="U2145" s="112">
        <f>IF($G2145="","",ROUND($G2145*$T2145,2))</f>
        <v/>
      </c>
      <c r="V2145" s="113">
        <f>IF($B2145="","",MONTH($B2145))</f>
        <v/>
      </c>
      <c r="W2145" s="113">
        <f>IF($B2145="","",YEAR($B2145))</f>
        <v/>
      </c>
    </row>
    <row r="2146">
      <c r="B2146" s="105" t="n"/>
      <c r="C2146" s="54" t="n"/>
      <c r="D2146" s="54" t="n"/>
      <c r="E2146" s="54" t="n"/>
      <c r="F2146" s="54" t="n"/>
      <c r="G2146" s="65" t="n"/>
      <c r="H2146" s="54" t="n"/>
      <c r="I2146" s="106">
        <f>IF($C2146="","",IFERROR(INDEX(Sens_Types,MATCH($C2146,Liste_Types,0)),""))</f>
        <v/>
      </c>
      <c r="J2146" s="107">
        <f>IF($I2146="▲ ENTRÉE",$U2146,"")</f>
        <v/>
      </c>
      <c r="K2146" s="108">
        <f>IF($I2146="▼ SORTIE",$U2146,"")</f>
        <v/>
      </c>
      <c r="L2146" s="109">
        <f>$L2145+N($J2146)-N($K2146)</f>
        <v/>
      </c>
      <c r="M2146" s="110" t="n"/>
      <c r="N2146" s="54" t="n"/>
      <c r="O2146" s="54" t="n"/>
      <c r="P2146" s="54" t="n"/>
      <c r="Q2146" s="110" t="n"/>
      <c r="R2146" s="110" t="n"/>
      <c r="S2146" s="54" t="n"/>
      <c r="T2146" s="111">
        <f>IF($G2146="","",IFERROR(INDEX(Taux_Devises,MATCH(IF($M2146="",Devise_Base,$M2146),Codes_Devises,0)),1))</f>
        <v/>
      </c>
      <c r="U2146" s="112">
        <f>IF($G2146="","",ROUND($G2146*$T2146,2))</f>
        <v/>
      </c>
      <c r="V2146" s="113">
        <f>IF($B2146="","",MONTH($B2146))</f>
        <v/>
      </c>
      <c r="W2146" s="113">
        <f>IF($B2146="","",YEAR($B2146))</f>
        <v/>
      </c>
    </row>
    <row r="2147">
      <c r="B2147" s="105" t="n"/>
      <c r="C2147" s="54" t="n"/>
      <c r="D2147" s="54" t="n"/>
      <c r="E2147" s="54" t="n"/>
      <c r="F2147" s="54" t="n"/>
      <c r="G2147" s="65" t="n"/>
      <c r="H2147" s="54" t="n"/>
      <c r="I2147" s="106">
        <f>IF($C2147="","",IFERROR(INDEX(Sens_Types,MATCH($C2147,Liste_Types,0)),""))</f>
        <v/>
      </c>
      <c r="J2147" s="107">
        <f>IF($I2147="▲ ENTRÉE",$U2147,"")</f>
        <v/>
      </c>
      <c r="K2147" s="108">
        <f>IF($I2147="▼ SORTIE",$U2147,"")</f>
        <v/>
      </c>
      <c r="L2147" s="109">
        <f>$L2146+N($J2147)-N($K2147)</f>
        <v/>
      </c>
      <c r="M2147" s="110" t="n"/>
      <c r="N2147" s="54" t="n"/>
      <c r="O2147" s="54" t="n"/>
      <c r="P2147" s="54" t="n"/>
      <c r="Q2147" s="110" t="n"/>
      <c r="R2147" s="110" t="n"/>
      <c r="S2147" s="54" t="n"/>
      <c r="T2147" s="111">
        <f>IF($G2147="","",IFERROR(INDEX(Taux_Devises,MATCH(IF($M2147="",Devise_Base,$M2147),Codes_Devises,0)),1))</f>
        <v/>
      </c>
      <c r="U2147" s="112">
        <f>IF($G2147="","",ROUND($G2147*$T2147,2))</f>
        <v/>
      </c>
      <c r="V2147" s="113">
        <f>IF($B2147="","",MONTH($B2147))</f>
        <v/>
      </c>
      <c r="W2147" s="113">
        <f>IF($B2147="","",YEAR($B2147))</f>
        <v/>
      </c>
    </row>
    <row r="2148">
      <c r="B2148" s="105" t="n"/>
      <c r="C2148" s="54" t="n"/>
      <c r="D2148" s="54" t="n"/>
      <c r="E2148" s="54" t="n"/>
      <c r="F2148" s="54" t="n"/>
      <c r="G2148" s="65" t="n"/>
      <c r="H2148" s="54" t="n"/>
      <c r="I2148" s="106">
        <f>IF($C2148="","",IFERROR(INDEX(Sens_Types,MATCH($C2148,Liste_Types,0)),""))</f>
        <v/>
      </c>
      <c r="J2148" s="107">
        <f>IF($I2148="▲ ENTRÉE",$U2148,"")</f>
        <v/>
      </c>
      <c r="K2148" s="108">
        <f>IF($I2148="▼ SORTIE",$U2148,"")</f>
        <v/>
      </c>
      <c r="L2148" s="109">
        <f>$L2147+N($J2148)-N($K2148)</f>
        <v/>
      </c>
      <c r="M2148" s="110" t="n"/>
      <c r="N2148" s="54" t="n"/>
      <c r="O2148" s="54" t="n"/>
      <c r="P2148" s="54" t="n"/>
      <c r="Q2148" s="110" t="n"/>
      <c r="R2148" s="110" t="n"/>
      <c r="S2148" s="54" t="n"/>
      <c r="T2148" s="111">
        <f>IF($G2148="","",IFERROR(INDEX(Taux_Devises,MATCH(IF($M2148="",Devise_Base,$M2148),Codes_Devises,0)),1))</f>
        <v/>
      </c>
      <c r="U2148" s="112">
        <f>IF($G2148="","",ROUND($G2148*$T2148,2))</f>
        <v/>
      </c>
      <c r="V2148" s="113">
        <f>IF($B2148="","",MONTH($B2148))</f>
        <v/>
      </c>
      <c r="W2148" s="113">
        <f>IF($B2148="","",YEAR($B2148))</f>
        <v/>
      </c>
    </row>
    <row r="2149">
      <c r="B2149" s="105" t="n"/>
      <c r="C2149" s="54" t="n"/>
      <c r="D2149" s="54" t="n"/>
      <c r="E2149" s="54" t="n"/>
      <c r="F2149" s="54" t="n"/>
      <c r="G2149" s="65" t="n"/>
      <c r="H2149" s="54" t="n"/>
      <c r="I2149" s="106">
        <f>IF($C2149="","",IFERROR(INDEX(Sens_Types,MATCH($C2149,Liste_Types,0)),""))</f>
        <v/>
      </c>
      <c r="J2149" s="107">
        <f>IF($I2149="▲ ENTRÉE",$U2149,"")</f>
        <v/>
      </c>
      <c r="K2149" s="108">
        <f>IF($I2149="▼ SORTIE",$U2149,"")</f>
        <v/>
      </c>
      <c r="L2149" s="109">
        <f>$L2148+N($J2149)-N($K2149)</f>
        <v/>
      </c>
      <c r="M2149" s="110" t="n"/>
      <c r="N2149" s="54" t="n"/>
      <c r="O2149" s="54" t="n"/>
      <c r="P2149" s="54" t="n"/>
      <c r="Q2149" s="110" t="n"/>
      <c r="R2149" s="110" t="n"/>
      <c r="S2149" s="54" t="n"/>
      <c r="T2149" s="111">
        <f>IF($G2149="","",IFERROR(INDEX(Taux_Devises,MATCH(IF($M2149="",Devise_Base,$M2149),Codes_Devises,0)),1))</f>
        <v/>
      </c>
      <c r="U2149" s="112">
        <f>IF($G2149="","",ROUND($G2149*$T2149,2))</f>
        <v/>
      </c>
      <c r="V2149" s="113">
        <f>IF($B2149="","",MONTH($B2149))</f>
        <v/>
      </c>
      <c r="W2149" s="113">
        <f>IF($B2149="","",YEAR($B2149))</f>
        <v/>
      </c>
    </row>
    <row r="2150">
      <c r="B2150" s="105" t="n"/>
      <c r="C2150" s="54" t="n"/>
      <c r="D2150" s="54" t="n"/>
      <c r="E2150" s="54" t="n"/>
      <c r="F2150" s="54" t="n"/>
      <c r="G2150" s="65" t="n"/>
      <c r="H2150" s="54" t="n"/>
      <c r="I2150" s="106">
        <f>IF($C2150="","",IFERROR(INDEX(Sens_Types,MATCH($C2150,Liste_Types,0)),""))</f>
        <v/>
      </c>
      <c r="J2150" s="107">
        <f>IF($I2150="▲ ENTRÉE",$U2150,"")</f>
        <v/>
      </c>
      <c r="K2150" s="108">
        <f>IF($I2150="▼ SORTIE",$U2150,"")</f>
        <v/>
      </c>
      <c r="L2150" s="109">
        <f>$L2149+N($J2150)-N($K2150)</f>
        <v/>
      </c>
      <c r="M2150" s="110" t="n"/>
      <c r="N2150" s="54" t="n"/>
      <c r="O2150" s="54" t="n"/>
      <c r="P2150" s="54" t="n"/>
      <c r="Q2150" s="110" t="n"/>
      <c r="R2150" s="110" t="n"/>
      <c r="S2150" s="54" t="n"/>
      <c r="T2150" s="111">
        <f>IF($G2150="","",IFERROR(INDEX(Taux_Devises,MATCH(IF($M2150="",Devise_Base,$M2150),Codes_Devises,0)),1))</f>
        <v/>
      </c>
      <c r="U2150" s="112">
        <f>IF($G2150="","",ROUND($G2150*$T2150,2))</f>
        <v/>
      </c>
      <c r="V2150" s="113">
        <f>IF($B2150="","",MONTH($B2150))</f>
        <v/>
      </c>
      <c r="W2150" s="113">
        <f>IF($B2150="","",YEAR($B2150))</f>
        <v/>
      </c>
    </row>
    <row r="2151">
      <c r="B2151" s="105" t="n"/>
      <c r="C2151" s="54" t="n"/>
      <c r="D2151" s="54" t="n"/>
      <c r="E2151" s="54" t="n"/>
      <c r="F2151" s="54" t="n"/>
      <c r="G2151" s="65" t="n"/>
      <c r="H2151" s="54" t="n"/>
      <c r="I2151" s="106">
        <f>IF($C2151="","",IFERROR(INDEX(Sens_Types,MATCH($C2151,Liste_Types,0)),""))</f>
        <v/>
      </c>
      <c r="J2151" s="107">
        <f>IF($I2151="▲ ENTRÉE",$U2151,"")</f>
        <v/>
      </c>
      <c r="K2151" s="108">
        <f>IF($I2151="▼ SORTIE",$U2151,"")</f>
        <v/>
      </c>
      <c r="L2151" s="109">
        <f>$L2150+N($J2151)-N($K2151)</f>
        <v/>
      </c>
      <c r="M2151" s="110" t="n"/>
      <c r="N2151" s="54" t="n"/>
      <c r="O2151" s="54" t="n"/>
      <c r="P2151" s="54" t="n"/>
      <c r="Q2151" s="110" t="n"/>
      <c r="R2151" s="110" t="n"/>
      <c r="S2151" s="54" t="n"/>
      <c r="T2151" s="111">
        <f>IF($G2151="","",IFERROR(INDEX(Taux_Devises,MATCH(IF($M2151="",Devise_Base,$M2151),Codes_Devises,0)),1))</f>
        <v/>
      </c>
      <c r="U2151" s="112">
        <f>IF($G2151="","",ROUND($G2151*$T2151,2))</f>
        <v/>
      </c>
      <c r="V2151" s="113">
        <f>IF($B2151="","",MONTH($B2151))</f>
        <v/>
      </c>
      <c r="W2151" s="113">
        <f>IF($B2151="","",YEAR($B2151))</f>
        <v/>
      </c>
    </row>
    <row r="2152">
      <c r="B2152" s="105" t="n"/>
      <c r="C2152" s="54" t="n"/>
      <c r="D2152" s="54" t="n"/>
      <c r="E2152" s="54" t="n"/>
      <c r="F2152" s="54" t="n"/>
      <c r="G2152" s="65" t="n"/>
      <c r="H2152" s="54" t="n"/>
      <c r="I2152" s="106">
        <f>IF($C2152="","",IFERROR(INDEX(Sens_Types,MATCH($C2152,Liste_Types,0)),""))</f>
        <v/>
      </c>
      <c r="J2152" s="107">
        <f>IF($I2152="▲ ENTRÉE",$U2152,"")</f>
        <v/>
      </c>
      <c r="K2152" s="108">
        <f>IF($I2152="▼ SORTIE",$U2152,"")</f>
        <v/>
      </c>
      <c r="L2152" s="109">
        <f>$L2151+N($J2152)-N($K2152)</f>
        <v/>
      </c>
      <c r="M2152" s="110" t="n"/>
      <c r="N2152" s="54" t="n"/>
      <c r="O2152" s="54" t="n"/>
      <c r="P2152" s="54" t="n"/>
      <c r="Q2152" s="110" t="n"/>
      <c r="R2152" s="110" t="n"/>
      <c r="S2152" s="54" t="n"/>
      <c r="T2152" s="111">
        <f>IF($G2152="","",IFERROR(INDEX(Taux_Devises,MATCH(IF($M2152="",Devise_Base,$M2152),Codes_Devises,0)),1))</f>
        <v/>
      </c>
      <c r="U2152" s="112">
        <f>IF($G2152="","",ROUND($G2152*$T2152,2))</f>
        <v/>
      </c>
      <c r="V2152" s="113">
        <f>IF($B2152="","",MONTH($B2152))</f>
        <v/>
      </c>
      <c r="W2152" s="113">
        <f>IF($B2152="","",YEAR($B2152))</f>
        <v/>
      </c>
    </row>
    <row r="2153">
      <c r="B2153" s="105" t="n"/>
      <c r="C2153" s="54" t="n"/>
      <c r="D2153" s="54" t="n"/>
      <c r="E2153" s="54" t="n"/>
      <c r="F2153" s="54" t="n"/>
      <c r="G2153" s="65" t="n"/>
      <c r="H2153" s="54" t="n"/>
      <c r="I2153" s="106">
        <f>IF($C2153="","",IFERROR(INDEX(Sens_Types,MATCH($C2153,Liste_Types,0)),""))</f>
        <v/>
      </c>
      <c r="J2153" s="107">
        <f>IF($I2153="▲ ENTRÉE",$U2153,"")</f>
        <v/>
      </c>
      <c r="K2153" s="108">
        <f>IF($I2153="▼ SORTIE",$U2153,"")</f>
        <v/>
      </c>
      <c r="L2153" s="109">
        <f>$L2152+N($J2153)-N($K2153)</f>
        <v/>
      </c>
      <c r="M2153" s="110" t="n"/>
      <c r="N2153" s="54" t="n"/>
      <c r="O2153" s="54" t="n"/>
      <c r="P2153" s="54" t="n"/>
      <c r="Q2153" s="110" t="n"/>
      <c r="R2153" s="110" t="n"/>
      <c r="S2153" s="54" t="n"/>
      <c r="T2153" s="111">
        <f>IF($G2153="","",IFERROR(INDEX(Taux_Devises,MATCH(IF($M2153="",Devise_Base,$M2153),Codes_Devises,0)),1))</f>
        <v/>
      </c>
      <c r="U2153" s="112">
        <f>IF($G2153="","",ROUND($G2153*$T2153,2))</f>
        <v/>
      </c>
      <c r="V2153" s="113">
        <f>IF($B2153="","",MONTH($B2153))</f>
        <v/>
      </c>
      <c r="W2153" s="113">
        <f>IF($B2153="","",YEAR($B2153))</f>
        <v/>
      </c>
    </row>
    <row r="2154">
      <c r="B2154" s="105" t="n"/>
      <c r="C2154" s="54" t="n"/>
      <c r="D2154" s="54" t="n"/>
      <c r="E2154" s="54" t="n"/>
      <c r="F2154" s="54" t="n"/>
      <c r="G2154" s="65" t="n"/>
      <c r="H2154" s="54" t="n"/>
      <c r="I2154" s="106">
        <f>IF($C2154="","",IFERROR(INDEX(Sens_Types,MATCH($C2154,Liste_Types,0)),""))</f>
        <v/>
      </c>
      <c r="J2154" s="107">
        <f>IF($I2154="▲ ENTRÉE",$U2154,"")</f>
        <v/>
      </c>
      <c r="K2154" s="108">
        <f>IF($I2154="▼ SORTIE",$U2154,"")</f>
        <v/>
      </c>
      <c r="L2154" s="109">
        <f>$L2153+N($J2154)-N($K2154)</f>
        <v/>
      </c>
      <c r="M2154" s="110" t="n"/>
      <c r="N2154" s="54" t="n"/>
      <c r="O2154" s="54" t="n"/>
      <c r="P2154" s="54" t="n"/>
      <c r="Q2154" s="110" t="n"/>
      <c r="R2154" s="110" t="n"/>
      <c r="S2154" s="54" t="n"/>
      <c r="T2154" s="111">
        <f>IF($G2154="","",IFERROR(INDEX(Taux_Devises,MATCH(IF($M2154="",Devise_Base,$M2154),Codes_Devises,0)),1))</f>
        <v/>
      </c>
      <c r="U2154" s="112">
        <f>IF($G2154="","",ROUND($G2154*$T2154,2))</f>
        <v/>
      </c>
      <c r="V2154" s="113">
        <f>IF($B2154="","",MONTH($B2154))</f>
        <v/>
      </c>
      <c r="W2154" s="113">
        <f>IF($B2154="","",YEAR($B2154))</f>
        <v/>
      </c>
    </row>
    <row r="2155">
      <c r="B2155" s="105" t="n"/>
      <c r="C2155" s="54" t="n"/>
      <c r="D2155" s="54" t="n"/>
      <c r="E2155" s="54" t="n"/>
      <c r="F2155" s="54" t="n"/>
      <c r="G2155" s="65" t="n"/>
      <c r="H2155" s="54" t="n"/>
      <c r="I2155" s="106">
        <f>IF($C2155="","",IFERROR(INDEX(Sens_Types,MATCH($C2155,Liste_Types,0)),""))</f>
        <v/>
      </c>
      <c r="J2155" s="107">
        <f>IF($I2155="▲ ENTRÉE",$U2155,"")</f>
        <v/>
      </c>
      <c r="K2155" s="108">
        <f>IF($I2155="▼ SORTIE",$U2155,"")</f>
        <v/>
      </c>
      <c r="L2155" s="109">
        <f>$L2154+N($J2155)-N($K2155)</f>
        <v/>
      </c>
      <c r="M2155" s="110" t="n"/>
      <c r="N2155" s="54" t="n"/>
      <c r="O2155" s="54" t="n"/>
      <c r="P2155" s="54" t="n"/>
      <c r="Q2155" s="110" t="n"/>
      <c r="R2155" s="110" t="n"/>
      <c r="S2155" s="54" t="n"/>
      <c r="T2155" s="111">
        <f>IF($G2155="","",IFERROR(INDEX(Taux_Devises,MATCH(IF($M2155="",Devise_Base,$M2155),Codes_Devises,0)),1))</f>
        <v/>
      </c>
      <c r="U2155" s="112">
        <f>IF($G2155="","",ROUND($G2155*$T2155,2))</f>
        <v/>
      </c>
      <c r="V2155" s="113">
        <f>IF($B2155="","",MONTH($B2155))</f>
        <v/>
      </c>
      <c r="W2155" s="113">
        <f>IF($B2155="","",YEAR($B2155))</f>
        <v/>
      </c>
    </row>
    <row r="2156">
      <c r="B2156" s="105" t="n"/>
      <c r="C2156" s="54" t="n"/>
      <c r="D2156" s="54" t="n"/>
      <c r="E2156" s="54" t="n"/>
      <c r="F2156" s="54" t="n"/>
      <c r="G2156" s="65" t="n"/>
      <c r="H2156" s="54" t="n"/>
      <c r="I2156" s="106">
        <f>IF($C2156="","",IFERROR(INDEX(Sens_Types,MATCH($C2156,Liste_Types,0)),""))</f>
        <v/>
      </c>
      <c r="J2156" s="107">
        <f>IF($I2156="▲ ENTRÉE",$U2156,"")</f>
        <v/>
      </c>
      <c r="K2156" s="108">
        <f>IF($I2156="▼ SORTIE",$U2156,"")</f>
        <v/>
      </c>
      <c r="L2156" s="109">
        <f>$L2155+N($J2156)-N($K2156)</f>
        <v/>
      </c>
      <c r="M2156" s="110" t="n"/>
      <c r="N2156" s="54" t="n"/>
      <c r="O2156" s="54" t="n"/>
      <c r="P2156" s="54" t="n"/>
      <c r="Q2156" s="110" t="n"/>
      <c r="R2156" s="110" t="n"/>
      <c r="S2156" s="54" t="n"/>
      <c r="T2156" s="111">
        <f>IF($G2156="","",IFERROR(INDEX(Taux_Devises,MATCH(IF($M2156="",Devise_Base,$M2156),Codes_Devises,0)),1))</f>
        <v/>
      </c>
      <c r="U2156" s="112">
        <f>IF($G2156="","",ROUND($G2156*$T2156,2))</f>
        <v/>
      </c>
      <c r="V2156" s="113">
        <f>IF($B2156="","",MONTH($B2156))</f>
        <v/>
      </c>
      <c r="W2156" s="113">
        <f>IF($B2156="","",YEAR($B2156))</f>
        <v/>
      </c>
    </row>
    <row r="2157">
      <c r="B2157" s="105" t="n"/>
      <c r="C2157" s="54" t="n"/>
      <c r="D2157" s="54" t="n"/>
      <c r="E2157" s="54" t="n"/>
      <c r="F2157" s="54" t="n"/>
      <c r="G2157" s="65" t="n"/>
      <c r="H2157" s="54" t="n"/>
      <c r="I2157" s="106">
        <f>IF($C2157="","",IFERROR(INDEX(Sens_Types,MATCH($C2157,Liste_Types,0)),""))</f>
        <v/>
      </c>
      <c r="J2157" s="107">
        <f>IF($I2157="▲ ENTRÉE",$U2157,"")</f>
        <v/>
      </c>
      <c r="K2157" s="108">
        <f>IF($I2157="▼ SORTIE",$U2157,"")</f>
        <v/>
      </c>
      <c r="L2157" s="109">
        <f>$L2156+N($J2157)-N($K2157)</f>
        <v/>
      </c>
      <c r="M2157" s="110" t="n"/>
      <c r="N2157" s="54" t="n"/>
      <c r="O2157" s="54" t="n"/>
      <c r="P2157" s="54" t="n"/>
      <c r="Q2157" s="110" t="n"/>
      <c r="R2157" s="110" t="n"/>
      <c r="S2157" s="54" t="n"/>
      <c r="T2157" s="111">
        <f>IF($G2157="","",IFERROR(INDEX(Taux_Devises,MATCH(IF($M2157="",Devise_Base,$M2157),Codes_Devises,0)),1))</f>
        <v/>
      </c>
      <c r="U2157" s="112">
        <f>IF($G2157="","",ROUND($G2157*$T2157,2))</f>
        <v/>
      </c>
      <c r="V2157" s="113">
        <f>IF($B2157="","",MONTH($B2157))</f>
        <v/>
      </c>
      <c r="W2157" s="113">
        <f>IF($B2157="","",YEAR($B2157))</f>
        <v/>
      </c>
    </row>
    <row r="2158">
      <c r="B2158" s="105" t="n"/>
      <c r="C2158" s="54" t="n"/>
      <c r="D2158" s="54" t="n"/>
      <c r="E2158" s="54" t="n"/>
      <c r="F2158" s="54" t="n"/>
      <c r="G2158" s="65" t="n"/>
      <c r="H2158" s="54" t="n"/>
      <c r="I2158" s="106">
        <f>IF($C2158="","",IFERROR(INDEX(Sens_Types,MATCH($C2158,Liste_Types,0)),""))</f>
        <v/>
      </c>
      <c r="J2158" s="107">
        <f>IF($I2158="▲ ENTRÉE",$U2158,"")</f>
        <v/>
      </c>
      <c r="K2158" s="108">
        <f>IF($I2158="▼ SORTIE",$U2158,"")</f>
        <v/>
      </c>
      <c r="L2158" s="109">
        <f>$L2157+N($J2158)-N($K2158)</f>
        <v/>
      </c>
      <c r="M2158" s="110" t="n"/>
      <c r="N2158" s="54" t="n"/>
      <c r="O2158" s="54" t="n"/>
      <c r="P2158" s="54" t="n"/>
      <c r="Q2158" s="110" t="n"/>
      <c r="R2158" s="110" t="n"/>
      <c r="S2158" s="54" t="n"/>
      <c r="T2158" s="111">
        <f>IF($G2158="","",IFERROR(INDEX(Taux_Devises,MATCH(IF($M2158="",Devise_Base,$M2158),Codes_Devises,0)),1))</f>
        <v/>
      </c>
      <c r="U2158" s="112">
        <f>IF($G2158="","",ROUND($G2158*$T2158,2))</f>
        <v/>
      </c>
      <c r="V2158" s="113">
        <f>IF($B2158="","",MONTH($B2158))</f>
        <v/>
      </c>
      <c r="W2158" s="113">
        <f>IF($B2158="","",YEAR($B2158))</f>
        <v/>
      </c>
    </row>
    <row r="2159">
      <c r="B2159" s="105" t="n"/>
      <c r="C2159" s="54" t="n"/>
      <c r="D2159" s="54" t="n"/>
      <c r="E2159" s="54" t="n"/>
      <c r="F2159" s="54" t="n"/>
      <c r="G2159" s="65" t="n"/>
      <c r="H2159" s="54" t="n"/>
      <c r="I2159" s="106">
        <f>IF($C2159="","",IFERROR(INDEX(Sens_Types,MATCH($C2159,Liste_Types,0)),""))</f>
        <v/>
      </c>
      <c r="J2159" s="107">
        <f>IF($I2159="▲ ENTRÉE",$U2159,"")</f>
        <v/>
      </c>
      <c r="K2159" s="108">
        <f>IF($I2159="▼ SORTIE",$U2159,"")</f>
        <v/>
      </c>
      <c r="L2159" s="109">
        <f>$L2158+N($J2159)-N($K2159)</f>
        <v/>
      </c>
      <c r="M2159" s="110" t="n"/>
      <c r="N2159" s="54" t="n"/>
      <c r="O2159" s="54" t="n"/>
      <c r="P2159" s="54" t="n"/>
      <c r="Q2159" s="110" t="n"/>
      <c r="R2159" s="110" t="n"/>
      <c r="S2159" s="54" t="n"/>
      <c r="T2159" s="111">
        <f>IF($G2159="","",IFERROR(INDEX(Taux_Devises,MATCH(IF($M2159="",Devise_Base,$M2159),Codes_Devises,0)),1))</f>
        <v/>
      </c>
      <c r="U2159" s="112">
        <f>IF($G2159="","",ROUND($G2159*$T2159,2))</f>
        <v/>
      </c>
      <c r="V2159" s="113">
        <f>IF($B2159="","",MONTH($B2159))</f>
        <v/>
      </c>
      <c r="W2159" s="113">
        <f>IF($B2159="","",YEAR($B2159))</f>
        <v/>
      </c>
    </row>
    <row r="2160">
      <c r="B2160" s="105" t="n"/>
      <c r="C2160" s="54" t="n"/>
      <c r="D2160" s="54" t="n"/>
      <c r="E2160" s="54" t="n"/>
      <c r="F2160" s="54" t="n"/>
      <c r="G2160" s="65" t="n"/>
      <c r="H2160" s="54" t="n"/>
      <c r="I2160" s="106">
        <f>IF($C2160="","",IFERROR(INDEX(Sens_Types,MATCH($C2160,Liste_Types,0)),""))</f>
        <v/>
      </c>
      <c r="J2160" s="107">
        <f>IF($I2160="▲ ENTRÉE",$U2160,"")</f>
        <v/>
      </c>
      <c r="K2160" s="108">
        <f>IF($I2160="▼ SORTIE",$U2160,"")</f>
        <v/>
      </c>
      <c r="L2160" s="109">
        <f>$L2159+N($J2160)-N($K2160)</f>
        <v/>
      </c>
      <c r="M2160" s="110" t="n"/>
      <c r="N2160" s="54" t="n"/>
      <c r="O2160" s="54" t="n"/>
      <c r="P2160" s="54" t="n"/>
      <c r="Q2160" s="110" t="n"/>
      <c r="R2160" s="110" t="n"/>
      <c r="S2160" s="54" t="n"/>
      <c r="T2160" s="111">
        <f>IF($G2160="","",IFERROR(INDEX(Taux_Devises,MATCH(IF($M2160="",Devise_Base,$M2160),Codes_Devises,0)),1))</f>
        <v/>
      </c>
      <c r="U2160" s="112">
        <f>IF($G2160="","",ROUND($G2160*$T2160,2))</f>
        <v/>
      </c>
      <c r="V2160" s="113">
        <f>IF($B2160="","",MONTH($B2160))</f>
        <v/>
      </c>
      <c r="W2160" s="113">
        <f>IF($B2160="","",YEAR($B2160))</f>
        <v/>
      </c>
    </row>
    <row r="2161">
      <c r="B2161" s="105" t="n"/>
      <c r="C2161" s="54" t="n"/>
      <c r="D2161" s="54" t="n"/>
      <c r="E2161" s="54" t="n"/>
      <c r="F2161" s="54" t="n"/>
      <c r="G2161" s="65" t="n"/>
      <c r="H2161" s="54" t="n"/>
      <c r="I2161" s="106">
        <f>IF($C2161="","",IFERROR(INDEX(Sens_Types,MATCH($C2161,Liste_Types,0)),""))</f>
        <v/>
      </c>
      <c r="J2161" s="107">
        <f>IF($I2161="▲ ENTRÉE",$U2161,"")</f>
        <v/>
      </c>
      <c r="K2161" s="108">
        <f>IF($I2161="▼ SORTIE",$U2161,"")</f>
        <v/>
      </c>
      <c r="L2161" s="109">
        <f>$L2160+N($J2161)-N($K2161)</f>
        <v/>
      </c>
      <c r="M2161" s="110" t="n"/>
      <c r="N2161" s="54" t="n"/>
      <c r="O2161" s="54" t="n"/>
      <c r="P2161" s="54" t="n"/>
      <c r="Q2161" s="110" t="n"/>
      <c r="R2161" s="110" t="n"/>
      <c r="S2161" s="54" t="n"/>
      <c r="T2161" s="111">
        <f>IF($G2161="","",IFERROR(INDEX(Taux_Devises,MATCH(IF($M2161="",Devise_Base,$M2161),Codes_Devises,0)),1))</f>
        <v/>
      </c>
      <c r="U2161" s="112">
        <f>IF($G2161="","",ROUND($G2161*$T2161,2))</f>
        <v/>
      </c>
      <c r="V2161" s="113">
        <f>IF($B2161="","",MONTH($B2161))</f>
        <v/>
      </c>
      <c r="W2161" s="113">
        <f>IF($B2161="","",YEAR($B2161))</f>
        <v/>
      </c>
    </row>
    <row r="2162">
      <c r="B2162" s="105" t="n"/>
      <c r="C2162" s="54" t="n"/>
      <c r="D2162" s="54" t="n"/>
      <c r="E2162" s="54" t="n"/>
      <c r="F2162" s="54" t="n"/>
      <c r="G2162" s="65" t="n"/>
      <c r="H2162" s="54" t="n"/>
      <c r="I2162" s="106">
        <f>IF($C2162="","",IFERROR(INDEX(Sens_Types,MATCH($C2162,Liste_Types,0)),""))</f>
        <v/>
      </c>
      <c r="J2162" s="107">
        <f>IF($I2162="▲ ENTRÉE",$U2162,"")</f>
        <v/>
      </c>
      <c r="K2162" s="108">
        <f>IF($I2162="▼ SORTIE",$U2162,"")</f>
        <v/>
      </c>
      <c r="L2162" s="109">
        <f>$L2161+N($J2162)-N($K2162)</f>
        <v/>
      </c>
      <c r="M2162" s="110" t="n"/>
      <c r="N2162" s="54" t="n"/>
      <c r="O2162" s="54" t="n"/>
      <c r="P2162" s="54" t="n"/>
      <c r="Q2162" s="110" t="n"/>
      <c r="R2162" s="110" t="n"/>
      <c r="S2162" s="54" t="n"/>
      <c r="T2162" s="111">
        <f>IF($G2162="","",IFERROR(INDEX(Taux_Devises,MATCH(IF($M2162="",Devise_Base,$M2162),Codes_Devises,0)),1))</f>
        <v/>
      </c>
      <c r="U2162" s="112">
        <f>IF($G2162="","",ROUND($G2162*$T2162,2))</f>
        <v/>
      </c>
      <c r="V2162" s="113">
        <f>IF($B2162="","",MONTH($B2162))</f>
        <v/>
      </c>
      <c r="W2162" s="113">
        <f>IF($B2162="","",YEAR($B2162))</f>
        <v/>
      </c>
    </row>
    <row r="2163">
      <c r="B2163" s="105" t="n"/>
      <c r="C2163" s="54" t="n"/>
      <c r="D2163" s="54" t="n"/>
      <c r="E2163" s="54" t="n"/>
      <c r="F2163" s="54" t="n"/>
      <c r="G2163" s="65" t="n"/>
      <c r="H2163" s="54" t="n"/>
      <c r="I2163" s="106">
        <f>IF($C2163="","",IFERROR(INDEX(Sens_Types,MATCH($C2163,Liste_Types,0)),""))</f>
        <v/>
      </c>
      <c r="J2163" s="107">
        <f>IF($I2163="▲ ENTRÉE",$U2163,"")</f>
        <v/>
      </c>
      <c r="K2163" s="108">
        <f>IF($I2163="▼ SORTIE",$U2163,"")</f>
        <v/>
      </c>
      <c r="L2163" s="109">
        <f>$L2162+N($J2163)-N($K2163)</f>
        <v/>
      </c>
      <c r="M2163" s="110" t="n"/>
      <c r="N2163" s="54" t="n"/>
      <c r="O2163" s="54" t="n"/>
      <c r="P2163" s="54" t="n"/>
      <c r="Q2163" s="110" t="n"/>
      <c r="R2163" s="110" t="n"/>
      <c r="S2163" s="54" t="n"/>
      <c r="T2163" s="111">
        <f>IF($G2163="","",IFERROR(INDEX(Taux_Devises,MATCH(IF($M2163="",Devise_Base,$M2163),Codes_Devises,0)),1))</f>
        <v/>
      </c>
      <c r="U2163" s="112">
        <f>IF($G2163="","",ROUND($G2163*$T2163,2))</f>
        <v/>
      </c>
      <c r="V2163" s="113">
        <f>IF($B2163="","",MONTH($B2163))</f>
        <v/>
      </c>
      <c r="W2163" s="113">
        <f>IF($B2163="","",YEAR($B2163))</f>
        <v/>
      </c>
    </row>
    <row r="2164">
      <c r="B2164" s="105" t="n"/>
      <c r="C2164" s="54" t="n"/>
      <c r="D2164" s="54" t="n"/>
      <c r="E2164" s="54" t="n"/>
      <c r="F2164" s="54" t="n"/>
      <c r="G2164" s="65" t="n"/>
      <c r="H2164" s="54" t="n"/>
      <c r="I2164" s="106">
        <f>IF($C2164="","",IFERROR(INDEX(Sens_Types,MATCH($C2164,Liste_Types,0)),""))</f>
        <v/>
      </c>
      <c r="J2164" s="107">
        <f>IF($I2164="▲ ENTRÉE",$U2164,"")</f>
        <v/>
      </c>
      <c r="K2164" s="108">
        <f>IF($I2164="▼ SORTIE",$U2164,"")</f>
        <v/>
      </c>
      <c r="L2164" s="109">
        <f>$L2163+N($J2164)-N($K2164)</f>
        <v/>
      </c>
      <c r="M2164" s="110" t="n"/>
      <c r="N2164" s="54" t="n"/>
      <c r="O2164" s="54" t="n"/>
      <c r="P2164" s="54" t="n"/>
      <c r="Q2164" s="110" t="n"/>
      <c r="R2164" s="110" t="n"/>
      <c r="S2164" s="54" t="n"/>
      <c r="T2164" s="111">
        <f>IF($G2164="","",IFERROR(INDEX(Taux_Devises,MATCH(IF($M2164="",Devise_Base,$M2164),Codes_Devises,0)),1))</f>
        <v/>
      </c>
      <c r="U2164" s="112">
        <f>IF($G2164="","",ROUND($G2164*$T2164,2))</f>
        <v/>
      </c>
      <c r="V2164" s="113">
        <f>IF($B2164="","",MONTH($B2164))</f>
        <v/>
      </c>
      <c r="W2164" s="113">
        <f>IF($B2164="","",YEAR($B2164))</f>
        <v/>
      </c>
    </row>
    <row r="2165">
      <c r="B2165" s="105" t="n"/>
      <c r="C2165" s="54" t="n"/>
      <c r="D2165" s="54" t="n"/>
      <c r="E2165" s="54" t="n"/>
      <c r="F2165" s="54" t="n"/>
      <c r="G2165" s="65" t="n"/>
      <c r="H2165" s="54" t="n"/>
      <c r="I2165" s="106">
        <f>IF($C2165="","",IFERROR(INDEX(Sens_Types,MATCH($C2165,Liste_Types,0)),""))</f>
        <v/>
      </c>
      <c r="J2165" s="107">
        <f>IF($I2165="▲ ENTRÉE",$U2165,"")</f>
        <v/>
      </c>
      <c r="K2165" s="108">
        <f>IF($I2165="▼ SORTIE",$U2165,"")</f>
        <v/>
      </c>
      <c r="L2165" s="109">
        <f>$L2164+N($J2165)-N($K2165)</f>
        <v/>
      </c>
      <c r="M2165" s="110" t="n"/>
      <c r="N2165" s="54" t="n"/>
      <c r="O2165" s="54" t="n"/>
      <c r="P2165" s="54" t="n"/>
      <c r="Q2165" s="110" t="n"/>
      <c r="R2165" s="110" t="n"/>
      <c r="S2165" s="54" t="n"/>
      <c r="T2165" s="111">
        <f>IF($G2165="","",IFERROR(INDEX(Taux_Devises,MATCH(IF($M2165="",Devise_Base,$M2165),Codes_Devises,0)),1))</f>
        <v/>
      </c>
      <c r="U2165" s="112">
        <f>IF($G2165="","",ROUND($G2165*$T2165,2))</f>
        <v/>
      </c>
      <c r="V2165" s="113">
        <f>IF($B2165="","",MONTH($B2165))</f>
        <v/>
      </c>
      <c r="W2165" s="113">
        <f>IF($B2165="","",YEAR($B2165))</f>
        <v/>
      </c>
    </row>
    <row r="2166">
      <c r="B2166" s="105" t="n"/>
      <c r="C2166" s="54" t="n"/>
      <c r="D2166" s="54" t="n"/>
      <c r="E2166" s="54" t="n"/>
      <c r="F2166" s="54" t="n"/>
      <c r="G2166" s="65" t="n"/>
      <c r="H2166" s="54" t="n"/>
      <c r="I2166" s="106">
        <f>IF($C2166="","",IFERROR(INDEX(Sens_Types,MATCH($C2166,Liste_Types,0)),""))</f>
        <v/>
      </c>
      <c r="J2166" s="107">
        <f>IF($I2166="▲ ENTRÉE",$U2166,"")</f>
        <v/>
      </c>
      <c r="K2166" s="108">
        <f>IF($I2166="▼ SORTIE",$U2166,"")</f>
        <v/>
      </c>
      <c r="L2166" s="109">
        <f>$L2165+N($J2166)-N($K2166)</f>
        <v/>
      </c>
      <c r="M2166" s="110" t="n"/>
      <c r="N2166" s="54" t="n"/>
      <c r="O2166" s="54" t="n"/>
      <c r="P2166" s="54" t="n"/>
      <c r="Q2166" s="110" t="n"/>
      <c r="R2166" s="110" t="n"/>
      <c r="S2166" s="54" t="n"/>
      <c r="T2166" s="111">
        <f>IF($G2166="","",IFERROR(INDEX(Taux_Devises,MATCH(IF($M2166="",Devise_Base,$M2166),Codes_Devises,0)),1))</f>
        <v/>
      </c>
      <c r="U2166" s="112">
        <f>IF($G2166="","",ROUND($G2166*$T2166,2))</f>
        <v/>
      </c>
      <c r="V2166" s="113">
        <f>IF($B2166="","",MONTH($B2166))</f>
        <v/>
      </c>
      <c r="W2166" s="113">
        <f>IF($B2166="","",YEAR($B2166))</f>
        <v/>
      </c>
    </row>
    <row r="2167">
      <c r="B2167" s="105" t="n"/>
      <c r="C2167" s="54" t="n"/>
      <c r="D2167" s="54" t="n"/>
      <c r="E2167" s="54" t="n"/>
      <c r="F2167" s="54" t="n"/>
      <c r="G2167" s="65" t="n"/>
      <c r="H2167" s="54" t="n"/>
      <c r="I2167" s="106">
        <f>IF($C2167="","",IFERROR(INDEX(Sens_Types,MATCH($C2167,Liste_Types,0)),""))</f>
        <v/>
      </c>
      <c r="J2167" s="107">
        <f>IF($I2167="▲ ENTRÉE",$U2167,"")</f>
        <v/>
      </c>
      <c r="K2167" s="108">
        <f>IF($I2167="▼ SORTIE",$U2167,"")</f>
        <v/>
      </c>
      <c r="L2167" s="109">
        <f>$L2166+N($J2167)-N($K2167)</f>
        <v/>
      </c>
      <c r="M2167" s="110" t="n"/>
      <c r="N2167" s="54" t="n"/>
      <c r="O2167" s="54" t="n"/>
      <c r="P2167" s="54" t="n"/>
      <c r="Q2167" s="110" t="n"/>
      <c r="R2167" s="110" t="n"/>
      <c r="S2167" s="54" t="n"/>
      <c r="T2167" s="111">
        <f>IF($G2167="","",IFERROR(INDEX(Taux_Devises,MATCH(IF($M2167="",Devise_Base,$M2167),Codes_Devises,0)),1))</f>
        <v/>
      </c>
      <c r="U2167" s="112">
        <f>IF($G2167="","",ROUND($G2167*$T2167,2))</f>
        <v/>
      </c>
      <c r="V2167" s="113">
        <f>IF($B2167="","",MONTH($B2167))</f>
        <v/>
      </c>
      <c r="W2167" s="113">
        <f>IF($B2167="","",YEAR($B2167))</f>
        <v/>
      </c>
    </row>
    <row r="2168">
      <c r="B2168" s="105" t="n"/>
      <c r="C2168" s="54" t="n"/>
      <c r="D2168" s="54" t="n"/>
      <c r="E2168" s="54" t="n"/>
      <c r="F2168" s="54" t="n"/>
      <c r="G2168" s="65" t="n"/>
      <c r="H2168" s="54" t="n"/>
      <c r="I2168" s="106">
        <f>IF($C2168="","",IFERROR(INDEX(Sens_Types,MATCH($C2168,Liste_Types,0)),""))</f>
        <v/>
      </c>
      <c r="J2168" s="107">
        <f>IF($I2168="▲ ENTRÉE",$U2168,"")</f>
        <v/>
      </c>
      <c r="K2168" s="108">
        <f>IF($I2168="▼ SORTIE",$U2168,"")</f>
        <v/>
      </c>
      <c r="L2168" s="109">
        <f>$L2167+N($J2168)-N($K2168)</f>
        <v/>
      </c>
      <c r="M2168" s="110" t="n"/>
      <c r="N2168" s="54" t="n"/>
      <c r="O2168" s="54" t="n"/>
      <c r="P2168" s="54" t="n"/>
      <c r="Q2168" s="110" t="n"/>
      <c r="R2168" s="110" t="n"/>
      <c r="S2168" s="54" t="n"/>
      <c r="T2168" s="111">
        <f>IF($G2168="","",IFERROR(INDEX(Taux_Devises,MATCH(IF($M2168="",Devise_Base,$M2168),Codes_Devises,0)),1))</f>
        <v/>
      </c>
      <c r="U2168" s="112">
        <f>IF($G2168="","",ROUND($G2168*$T2168,2))</f>
        <v/>
      </c>
      <c r="V2168" s="113">
        <f>IF($B2168="","",MONTH($B2168))</f>
        <v/>
      </c>
      <c r="W2168" s="113">
        <f>IF($B2168="","",YEAR($B2168))</f>
        <v/>
      </c>
    </row>
    <row r="2169">
      <c r="B2169" s="105" t="n"/>
      <c r="C2169" s="54" t="n"/>
      <c r="D2169" s="54" t="n"/>
      <c r="E2169" s="54" t="n"/>
      <c r="F2169" s="54" t="n"/>
      <c r="G2169" s="65" t="n"/>
      <c r="H2169" s="54" t="n"/>
      <c r="I2169" s="106">
        <f>IF($C2169="","",IFERROR(INDEX(Sens_Types,MATCH($C2169,Liste_Types,0)),""))</f>
        <v/>
      </c>
      <c r="J2169" s="107">
        <f>IF($I2169="▲ ENTRÉE",$U2169,"")</f>
        <v/>
      </c>
      <c r="K2169" s="108">
        <f>IF($I2169="▼ SORTIE",$U2169,"")</f>
        <v/>
      </c>
      <c r="L2169" s="109">
        <f>$L2168+N($J2169)-N($K2169)</f>
        <v/>
      </c>
      <c r="M2169" s="110" t="n"/>
      <c r="N2169" s="54" t="n"/>
      <c r="O2169" s="54" t="n"/>
      <c r="P2169" s="54" t="n"/>
      <c r="Q2169" s="110" t="n"/>
      <c r="R2169" s="110" t="n"/>
      <c r="S2169" s="54" t="n"/>
      <c r="T2169" s="111">
        <f>IF($G2169="","",IFERROR(INDEX(Taux_Devises,MATCH(IF($M2169="",Devise_Base,$M2169),Codes_Devises,0)),1))</f>
        <v/>
      </c>
      <c r="U2169" s="112">
        <f>IF($G2169="","",ROUND($G2169*$T2169,2))</f>
        <v/>
      </c>
      <c r="V2169" s="113">
        <f>IF($B2169="","",MONTH($B2169))</f>
        <v/>
      </c>
      <c r="W2169" s="113">
        <f>IF($B2169="","",YEAR($B2169))</f>
        <v/>
      </c>
    </row>
    <row r="2170">
      <c r="B2170" s="105" t="n"/>
      <c r="C2170" s="54" t="n"/>
      <c r="D2170" s="54" t="n"/>
      <c r="E2170" s="54" t="n"/>
      <c r="F2170" s="54" t="n"/>
      <c r="G2170" s="65" t="n"/>
      <c r="H2170" s="54" t="n"/>
      <c r="I2170" s="106">
        <f>IF($C2170="","",IFERROR(INDEX(Sens_Types,MATCH($C2170,Liste_Types,0)),""))</f>
        <v/>
      </c>
      <c r="J2170" s="107">
        <f>IF($I2170="▲ ENTRÉE",$U2170,"")</f>
        <v/>
      </c>
      <c r="K2170" s="108">
        <f>IF($I2170="▼ SORTIE",$U2170,"")</f>
        <v/>
      </c>
      <c r="L2170" s="109">
        <f>$L2169+N($J2170)-N($K2170)</f>
        <v/>
      </c>
      <c r="M2170" s="110" t="n"/>
      <c r="N2170" s="54" t="n"/>
      <c r="O2170" s="54" t="n"/>
      <c r="P2170" s="54" t="n"/>
      <c r="Q2170" s="110" t="n"/>
      <c r="R2170" s="110" t="n"/>
      <c r="S2170" s="54" t="n"/>
      <c r="T2170" s="111">
        <f>IF($G2170="","",IFERROR(INDEX(Taux_Devises,MATCH(IF($M2170="",Devise_Base,$M2170),Codes_Devises,0)),1))</f>
        <v/>
      </c>
      <c r="U2170" s="112">
        <f>IF($G2170="","",ROUND($G2170*$T2170,2))</f>
        <v/>
      </c>
      <c r="V2170" s="113">
        <f>IF($B2170="","",MONTH($B2170))</f>
        <v/>
      </c>
      <c r="W2170" s="113">
        <f>IF($B2170="","",YEAR($B2170))</f>
        <v/>
      </c>
    </row>
    <row r="2171">
      <c r="B2171" s="105" t="n"/>
      <c r="C2171" s="54" t="n"/>
      <c r="D2171" s="54" t="n"/>
      <c r="E2171" s="54" t="n"/>
      <c r="F2171" s="54" t="n"/>
      <c r="G2171" s="65" t="n"/>
      <c r="H2171" s="54" t="n"/>
      <c r="I2171" s="106">
        <f>IF($C2171="","",IFERROR(INDEX(Sens_Types,MATCH($C2171,Liste_Types,0)),""))</f>
        <v/>
      </c>
      <c r="J2171" s="107">
        <f>IF($I2171="▲ ENTRÉE",$U2171,"")</f>
        <v/>
      </c>
      <c r="K2171" s="108">
        <f>IF($I2171="▼ SORTIE",$U2171,"")</f>
        <v/>
      </c>
      <c r="L2171" s="109">
        <f>$L2170+N($J2171)-N($K2171)</f>
        <v/>
      </c>
      <c r="M2171" s="110" t="n"/>
      <c r="N2171" s="54" t="n"/>
      <c r="O2171" s="54" t="n"/>
      <c r="P2171" s="54" t="n"/>
      <c r="Q2171" s="110" t="n"/>
      <c r="R2171" s="110" t="n"/>
      <c r="S2171" s="54" t="n"/>
      <c r="T2171" s="111">
        <f>IF($G2171="","",IFERROR(INDEX(Taux_Devises,MATCH(IF($M2171="",Devise_Base,$M2171),Codes_Devises,0)),1))</f>
        <v/>
      </c>
      <c r="U2171" s="112">
        <f>IF($G2171="","",ROUND($G2171*$T2171,2))</f>
        <v/>
      </c>
      <c r="V2171" s="113">
        <f>IF($B2171="","",MONTH($B2171))</f>
        <v/>
      </c>
      <c r="W2171" s="113">
        <f>IF($B2171="","",YEAR($B2171))</f>
        <v/>
      </c>
    </row>
    <row r="2172">
      <c r="B2172" s="105" t="n"/>
      <c r="C2172" s="54" t="n"/>
      <c r="D2172" s="54" t="n"/>
      <c r="E2172" s="54" t="n"/>
      <c r="F2172" s="54" t="n"/>
      <c r="G2172" s="65" t="n"/>
      <c r="H2172" s="54" t="n"/>
      <c r="I2172" s="106">
        <f>IF($C2172="","",IFERROR(INDEX(Sens_Types,MATCH($C2172,Liste_Types,0)),""))</f>
        <v/>
      </c>
      <c r="J2172" s="107">
        <f>IF($I2172="▲ ENTRÉE",$U2172,"")</f>
        <v/>
      </c>
      <c r="K2172" s="108">
        <f>IF($I2172="▼ SORTIE",$U2172,"")</f>
        <v/>
      </c>
      <c r="L2172" s="109">
        <f>$L2171+N($J2172)-N($K2172)</f>
        <v/>
      </c>
      <c r="M2172" s="110" t="n"/>
      <c r="N2172" s="54" t="n"/>
      <c r="O2172" s="54" t="n"/>
      <c r="P2172" s="54" t="n"/>
      <c r="Q2172" s="110" t="n"/>
      <c r="R2172" s="110" t="n"/>
      <c r="S2172" s="54" t="n"/>
      <c r="T2172" s="111">
        <f>IF($G2172="","",IFERROR(INDEX(Taux_Devises,MATCH(IF($M2172="",Devise_Base,$M2172),Codes_Devises,0)),1))</f>
        <v/>
      </c>
      <c r="U2172" s="112">
        <f>IF($G2172="","",ROUND($G2172*$T2172,2))</f>
        <v/>
      </c>
      <c r="V2172" s="113">
        <f>IF($B2172="","",MONTH($B2172))</f>
        <v/>
      </c>
      <c r="W2172" s="113">
        <f>IF($B2172="","",YEAR($B2172))</f>
        <v/>
      </c>
    </row>
    <row r="2173">
      <c r="B2173" s="105" t="n"/>
      <c r="C2173" s="54" t="n"/>
      <c r="D2173" s="54" t="n"/>
      <c r="E2173" s="54" t="n"/>
      <c r="F2173" s="54" t="n"/>
      <c r="G2173" s="65" t="n"/>
      <c r="H2173" s="54" t="n"/>
      <c r="I2173" s="106">
        <f>IF($C2173="","",IFERROR(INDEX(Sens_Types,MATCH($C2173,Liste_Types,0)),""))</f>
        <v/>
      </c>
      <c r="J2173" s="107">
        <f>IF($I2173="▲ ENTRÉE",$U2173,"")</f>
        <v/>
      </c>
      <c r="K2173" s="108">
        <f>IF($I2173="▼ SORTIE",$U2173,"")</f>
        <v/>
      </c>
      <c r="L2173" s="109">
        <f>$L2172+N($J2173)-N($K2173)</f>
        <v/>
      </c>
      <c r="M2173" s="110" t="n"/>
      <c r="N2173" s="54" t="n"/>
      <c r="O2173" s="54" t="n"/>
      <c r="P2173" s="54" t="n"/>
      <c r="Q2173" s="110" t="n"/>
      <c r="R2173" s="110" t="n"/>
      <c r="S2173" s="54" t="n"/>
      <c r="T2173" s="111">
        <f>IF($G2173="","",IFERROR(INDEX(Taux_Devises,MATCH(IF($M2173="",Devise_Base,$M2173),Codes_Devises,0)),1))</f>
        <v/>
      </c>
      <c r="U2173" s="112">
        <f>IF($G2173="","",ROUND($G2173*$T2173,2))</f>
        <v/>
      </c>
      <c r="V2173" s="113">
        <f>IF($B2173="","",MONTH($B2173))</f>
        <v/>
      </c>
      <c r="W2173" s="113">
        <f>IF($B2173="","",YEAR($B2173))</f>
        <v/>
      </c>
    </row>
    <row r="2174">
      <c r="B2174" s="105" t="n"/>
      <c r="C2174" s="54" t="n"/>
      <c r="D2174" s="54" t="n"/>
      <c r="E2174" s="54" t="n"/>
      <c r="F2174" s="54" t="n"/>
      <c r="G2174" s="65" t="n"/>
      <c r="H2174" s="54" t="n"/>
      <c r="I2174" s="106">
        <f>IF($C2174="","",IFERROR(INDEX(Sens_Types,MATCH($C2174,Liste_Types,0)),""))</f>
        <v/>
      </c>
      <c r="J2174" s="107">
        <f>IF($I2174="▲ ENTRÉE",$U2174,"")</f>
        <v/>
      </c>
      <c r="K2174" s="108">
        <f>IF($I2174="▼ SORTIE",$U2174,"")</f>
        <v/>
      </c>
      <c r="L2174" s="109">
        <f>$L2173+N($J2174)-N($K2174)</f>
        <v/>
      </c>
      <c r="M2174" s="110" t="n"/>
      <c r="N2174" s="54" t="n"/>
      <c r="O2174" s="54" t="n"/>
      <c r="P2174" s="54" t="n"/>
      <c r="Q2174" s="110" t="n"/>
      <c r="R2174" s="110" t="n"/>
      <c r="S2174" s="54" t="n"/>
      <c r="T2174" s="111">
        <f>IF($G2174="","",IFERROR(INDEX(Taux_Devises,MATCH(IF($M2174="",Devise_Base,$M2174),Codes_Devises,0)),1))</f>
        <v/>
      </c>
      <c r="U2174" s="112">
        <f>IF($G2174="","",ROUND($G2174*$T2174,2))</f>
        <v/>
      </c>
      <c r="V2174" s="113">
        <f>IF($B2174="","",MONTH($B2174))</f>
        <v/>
      </c>
      <c r="W2174" s="113">
        <f>IF($B2174="","",YEAR($B2174))</f>
        <v/>
      </c>
    </row>
    <row r="2175">
      <c r="B2175" s="105" t="n"/>
      <c r="C2175" s="54" t="n"/>
      <c r="D2175" s="54" t="n"/>
      <c r="E2175" s="54" t="n"/>
      <c r="F2175" s="54" t="n"/>
      <c r="G2175" s="65" t="n"/>
      <c r="H2175" s="54" t="n"/>
      <c r="I2175" s="106">
        <f>IF($C2175="","",IFERROR(INDEX(Sens_Types,MATCH($C2175,Liste_Types,0)),""))</f>
        <v/>
      </c>
      <c r="J2175" s="107">
        <f>IF($I2175="▲ ENTRÉE",$U2175,"")</f>
        <v/>
      </c>
      <c r="K2175" s="108">
        <f>IF($I2175="▼ SORTIE",$U2175,"")</f>
        <v/>
      </c>
      <c r="L2175" s="109">
        <f>$L2174+N($J2175)-N($K2175)</f>
        <v/>
      </c>
      <c r="M2175" s="110" t="n"/>
      <c r="N2175" s="54" t="n"/>
      <c r="O2175" s="54" t="n"/>
      <c r="P2175" s="54" t="n"/>
      <c r="Q2175" s="110" t="n"/>
      <c r="R2175" s="110" t="n"/>
      <c r="S2175" s="54" t="n"/>
      <c r="T2175" s="111">
        <f>IF($G2175="","",IFERROR(INDEX(Taux_Devises,MATCH(IF($M2175="",Devise_Base,$M2175),Codes_Devises,0)),1))</f>
        <v/>
      </c>
      <c r="U2175" s="112">
        <f>IF($G2175="","",ROUND($G2175*$T2175,2))</f>
        <v/>
      </c>
      <c r="V2175" s="113">
        <f>IF($B2175="","",MONTH($B2175))</f>
        <v/>
      </c>
      <c r="W2175" s="113">
        <f>IF($B2175="","",YEAR($B2175))</f>
        <v/>
      </c>
    </row>
    <row r="2176">
      <c r="B2176" s="105" t="n"/>
      <c r="C2176" s="54" t="n"/>
      <c r="D2176" s="54" t="n"/>
      <c r="E2176" s="54" t="n"/>
      <c r="F2176" s="54" t="n"/>
      <c r="G2176" s="65" t="n"/>
      <c r="H2176" s="54" t="n"/>
      <c r="I2176" s="106">
        <f>IF($C2176="","",IFERROR(INDEX(Sens_Types,MATCH($C2176,Liste_Types,0)),""))</f>
        <v/>
      </c>
      <c r="J2176" s="107">
        <f>IF($I2176="▲ ENTRÉE",$U2176,"")</f>
        <v/>
      </c>
      <c r="K2176" s="108">
        <f>IF($I2176="▼ SORTIE",$U2176,"")</f>
        <v/>
      </c>
      <c r="L2176" s="109">
        <f>$L2175+N($J2176)-N($K2176)</f>
        <v/>
      </c>
      <c r="M2176" s="110" t="n"/>
      <c r="N2176" s="54" t="n"/>
      <c r="O2176" s="54" t="n"/>
      <c r="P2176" s="54" t="n"/>
      <c r="Q2176" s="110" t="n"/>
      <c r="R2176" s="110" t="n"/>
      <c r="S2176" s="54" t="n"/>
      <c r="T2176" s="111">
        <f>IF($G2176="","",IFERROR(INDEX(Taux_Devises,MATCH(IF($M2176="",Devise_Base,$M2176),Codes_Devises,0)),1))</f>
        <v/>
      </c>
      <c r="U2176" s="112">
        <f>IF($G2176="","",ROUND($G2176*$T2176,2))</f>
        <v/>
      </c>
      <c r="V2176" s="113">
        <f>IF($B2176="","",MONTH($B2176))</f>
        <v/>
      </c>
      <c r="W2176" s="113">
        <f>IF($B2176="","",YEAR($B2176))</f>
        <v/>
      </c>
    </row>
    <row r="2177">
      <c r="B2177" s="105" t="n"/>
      <c r="C2177" s="54" t="n"/>
      <c r="D2177" s="54" t="n"/>
      <c r="E2177" s="54" t="n"/>
      <c r="F2177" s="54" t="n"/>
      <c r="G2177" s="65" t="n"/>
      <c r="H2177" s="54" t="n"/>
      <c r="I2177" s="106">
        <f>IF($C2177="","",IFERROR(INDEX(Sens_Types,MATCH($C2177,Liste_Types,0)),""))</f>
        <v/>
      </c>
      <c r="J2177" s="107">
        <f>IF($I2177="▲ ENTRÉE",$U2177,"")</f>
        <v/>
      </c>
      <c r="K2177" s="108">
        <f>IF($I2177="▼ SORTIE",$U2177,"")</f>
        <v/>
      </c>
      <c r="L2177" s="109">
        <f>$L2176+N($J2177)-N($K2177)</f>
        <v/>
      </c>
      <c r="M2177" s="110" t="n"/>
      <c r="N2177" s="54" t="n"/>
      <c r="O2177" s="54" t="n"/>
      <c r="P2177" s="54" t="n"/>
      <c r="Q2177" s="110" t="n"/>
      <c r="R2177" s="110" t="n"/>
      <c r="S2177" s="54" t="n"/>
      <c r="T2177" s="111">
        <f>IF($G2177="","",IFERROR(INDEX(Taux_Devises,MATCH(IF($M2177="",Devise_Base,$M2177),Codes_Devises,0)),1))</f>
        <v/>
      </c>
      <c r="U2177" s="112">
        <f>IF($G2177="","",ROUND($G2177*$T2177,2))</f>
        <v/>
      </c>
      <c r="V2177" s="113">
        <f>IF($B2177="","",MONTH($B2177))</f>
        <v/>
      </c>
      <c r="W2177" s="113">
        <f>IF($B2177="","",YEAR($B2177))</f>
        <v/>
      </c>
    </row>
    <row r="2178">
      <c r="B2178" s="105" t="n"/>
      <c r="C2178" s="54" t="n"/>
      <c r="D2178" s="54" t="n"/>
      <c r="E2178" s="54" t="n"/>
      <c r="F2178" s="54" t="n"/>
      <c r="G2178" s="65" t="n"/>
      <c r="H2178" s="54" t="n"/>
      <c r="I2178" s="106">
        <f>IF($C2178="","",IFERROR(INDEX(Sens_Types,MATCH($C2178,Liste_Types,0)),""))</f>
        <v/>
      </c>
      <c r="J2178" s="107">
        <f>IF($I2178="▲ ENTRÉE",$U2178,"")</f>
        <v/>
      </c>
      <c r="K2178" s="108">
        <f>IF($I2178="▼ SORTIE",$U2178,"")</f>
        <v/>
      </c>
      <c r="L2178" s="109">
        <f>$L2177+N($J2178)-N($K2178)</f>
        <v/>
      </c>
      <c r="M2178" s="110" t="n"/>
      <c r="N2178" s="54" t="n"/>
      <c r="O2178" s="54" t="n"/>
      <c r="P2178" s="54" t="n"/>
      <c r="Q2178" s="110" t="n"/>
      <c r="R2178" s="110" t="n"/>
      <c r="S2178" s="54" t="n"/>
      <c r="T2178" s="111">
        <f>IF($G2178="","",IFERROR(INDEX(Taux_Devises,MATCH(IF($M2178="",Devise_Base,$M2178),Codes_Devises,0)),1))</f>
        <v/>
      </c>
      <c r="U2178" s="112">
        <f>IF($G2178="","",ROUND($G2178*$T2178,2))</f>
        <v/>
      </c>
      <c r="V2178" s="113">
        <f>IF($B2178="","",MONTH($B2178))</f>
        <v/>
      </c>
      <c r="W2178" s="113">
        <f>IF($B2178="","",YEAR($B2178))</f>
        <v/>
      </c>
    </row>
    <row r="2179">
      <c r="B2179" s="105" t="n"/>
      <c r="C2179" s="54" t="n"/>
      <c r="D2179" s="54" t="n"/>
      <c r="E2179" s="54" t="n"/>
      <c r="F2179" s="54" t="n"/>
      <c r="G2179" s="65" t="n"/>
      <c r="H2179" s="54" t="n"/>
      <c r="I2179" s="106">
        <f>IF($C2179="","",IFERROR(INDEX(Sens_Types,MATCH($C2179,Liste_Types,0)),""))</f>
        <v/>
      </c>
      <c r="J2179" s="107">
        <f>IF($I2179="▲ ENTRÉE",$U2179,"")</f>
        <v/>
      </c>
      <c r="K2179" s="108">
        <f>IF($I2179="▼ SORTIE",$U2179,"")</f>
        <v/>
      </c>
      <c r="L2179" s="109">
        <f>$L2178+N($J2179)-N($K2179)</f>
        <v/>
      </c>
      <c r="M2179" s="110" t="n"/>
      <c r="N2179" s="54" t="n"/>
      <c r="O2179" s="54" t="n"/>
      <c r="P2179" s="54" t="n"/>
      <c r="Q2179" s="110" t="n"/>
      <c r="R2179" s="110" t="n"/>
      <c r="S2179" s="54" t="n"/>
      <c r="T2179" s="111">
        <f>IF($G2179="","",IFERROR(INDEX(Taux_Devises,MATCH(IF($M2179="",Devise_Base,$M2179),Codes_Devises,0)),1))</f>
        <v/>
      </c>
      <c r="U2179" s="112">
        <f>IF($G2179="","",ROUND($G2179*$T2179,2))</f>
        <v/>
      </c>
      <c r="V2179" s="113">
        <f>IF($B2179="","",MONTH($B2179))</f>
        <v/>
      </c>
      <c r="W2179" s="113">
        <f>IF($B2179="","",YEAR($B2179))</f>
        <v/>
      </c>
    </row>
    <row r="2180">
      <c r="B2180" s="105" t="n"/>
      <c r="C2180" s="54" t="n"/>
      <c r="D2180" s="54" t="n"/>
      <c r="E2180" s="54" t="n"/>
      <c r="F2180" s="54" t="n"/>
      <c r="G2180" s="65" t="n"/>
      <c r="H2180" s="54" t="n"/>
      <c r="I2180" s="106">
        <f>IF($C2180="","",IFERROR(INDEX(Sens_Types,MATCH($C2180,Liste_Types,0)),""))</f>
        <v/>
      </c>
      <c r="J2180" s="107">
        <f>IF($I2180="▲ ENTRÉE",$U2180,"")</f>
        <v/>
      </c>
      <c r="K2180" s="108">
        <f>IF($I2180="▼ SORTIE",$U2180,"")</f>
        <v/>
      </c>
      <c r="L2180" s="109">
        <f>$L2179+N($J2180)-N($K2180)</f>
        <v/>
      </c>
      <c r="M2180" s="110" t="n"/>
      <c r="N2180" s="54" t="n"/>
      <c r="O2180" s="54" t="n"/>
      <c r="P2180" s="54" t="n"/>
      <c r="Q2180" s="110" t="n"/>
      <c r="R2180" s="110" t="n"/>
      <c r="S2180" s="54" t="n"/>
      <c r="T2180" s="111">
        <f>IF($G2180="","",IFERROR(INDEX(Taux_Devises,MATCH(IF($M2180="",Devise_Base,$M2180),Codes_Devises,0)),1))</f>
        <v/>
      </c>
      <c r="U2180" s="112">
        <f>IF($G2180="","",ROUND($G2180*$T2180,2))</f>
        <v/>
      </c>
      <c r="V2180" s="113">
        <f>IF($B2180="","",MONTH($B2180))</f>
        <v/>
      </c>
      <c r="W2180" s="113">
        <f>IF($B2180="","",YEAR($B2180))</f>
        <v/>
      </c>
    </row>
    <row r="2181">
      <c r="B2181" s="105" t="n"/>
      <c r="C2181" s="54" t="n"/>
      <c r="D2181" s="54" t="n"/>
      <c r="E2181" s="54" t="n"/>
      <c r="F2181" s="54" t="n"/>
      <c r="G2181" s="65" t="n"/>
      <c r="H2181" s="54" t="n"/>
      <c r="I2181" s="106">
        <f>IF($C2181="","",IFERROR(INDEX(Sens_Types,MATCH($C2181,Liste_Types,0)),""))</f>
        <v/>
      </c>
      <c r="J2181" s="107">
        <f>IF($I2181="▲ ENTRÉE",$U2181,"")</f>
        <v/>
      </c>
      <c r="K2181" s="108">
        <f>IF($I2181="▼ SORTIE",$U2181,"")</f>
        <v/>
      </c>
      <c r="L2181" s="109">
        <f>$L2180+N($J2181)-N($K2181)</f>
        <v/>
      </c>
      <c r="M2181" s="110" t="n"/>
      <c r="N2181" s="54" t="n"/>
      <c r="O2181" s="54" t="n"/>
      <c r="P2181" s="54" t="n"/>
      <c r="Q2181" s="110" t="n"/>
      <c r="R2181" s="110" t="n"/>
      <c r="S2181" s="54" t="n"/>
      <c r="T2181" s="111">
        <f>IF($G2181="","",IFERROR(INDEX(Taux_Devises,MATCH(IF($M2181="",Devise_Base,$M2181),Codes_Devises,0)),1))</f>
        <v/>
      </c>
      <c r="U2181" s="112">
        <f>IF($G2181="","",ROUND($G2181*$T2181,2))</f>
        <v/>
      </c>
      <c r="V2181" s="113">
        <f>IF($B2181="","",MONTH($B2181))</f>
        <v/>
      </c>
      <c r="W2181" s="113">
        <f>IF($B2181="","",YEAR($B2181))</f>
        <v/>
      </c>
    </row>
    <row r="2182">
      <c r="B2182" s="105" t="n"/>
      <c r="C2182" s="54" t="n"/>
      <c r="D2182" s="54" t="n"/>
      <c r="E2182" s="54" t="n"/>
      <c r="F2182" s="54" t="n"/>
      <c r="G2182" s="65" t="n"/>
      <c r="H2182" s="54" t="n"/>
      <c r="I2182" s="106">
        <f>IF($C2182="","",IFERROR(INDEX(Sens_Types,MATCH($C2182,Liste_Types,0)),""))</f>
        <v/>
      </c>
      <c r="J2182" s="107">
        <f>IF($I2182="▲ ENTRÉE",$U2182,"")</f>
        <v/>
      </c>
      <c r="K2182" s="108">
        <f>IF($I2182="▼ SORTIE",$U2182,"")</f>
        <v/>
      </c>
      <c r="L2182" s="109">
        <f>$L2181+N($J2182)-N($K2182)</f>
        <v/>
      </c>
      <c r="M2182" s="110" t="n"/>
      <c r="N2182" s="54" t="n"/>
      <c r="O2182" s="54" t="n"/>
      <c r="P2182" s="54" t="n"/>
      <c r="Q2182" s="110" t="n"/>
      <c r="R2182" s="110" t="n"/>
      <c r="S2182" s="54" t="n"/>
      <c r="T2182" s="111">
        <f>IF($G2182="","",IFERROR(INDEX(Taux_Devises,MATCH(IF($M2182="",Devise_Base,$M2182),Codes_Devises,0)),1))</f>
        <v/>
      </c>
      <c r="U2182" s="112">
        <f>IF($G2182="","",ROUND($G2182*$T2182,2))</f>
        <v/>
      </c>
      <c r="V2182" s="113">
        <f>IF($B2182="","",MONTH($B2182))</f>
        <v/>
      </c>
      <c r="W2182" s="113">
        <f>IF($B2182="","",YEAR($B2182))</f>
        <v/>
      </c>
    </row>
    <row r="2183">
      <c r="B2183" s="105" t="n"/>
      <c r="C2183" s="54" t="n"/>
      <c r="D2183" s="54" t="n"/>
      <c r="E2183" s="54" t="n"/>
      <c r="F2183" s="54" t="n"/>
      <c r="G2183" s="65" t="n"/>
      <c r="H2183" s="54" t="n"/>
      <c r="I2183" s="106">
        <f>IF($C2183="","",IFERROR(INDEX(Sens_Types,MATCH($C2183,Liste_Types,0)),""))</f>
        <v/>
      </c>
      <c r="J2183" s="107">
        <f>IF($I2183="▲ ENTRÉE",$U2183,"")</f>
        <v/>
      </c>
      <c r="K2183" s="108">
        <f>IF($I2183="▼ SORTIE",$U2183,"")</f>
        <v/>
      </c>
      <c r="L2183" s="109">
        <f>$L2182+N($J2183)-N($K2183)</f>
        <v/>
      </c>
      <c r="M2183" s="110" t="n"/>
      <c r="N2183" s="54" t="n"/>
      <c r="O2183" s="54" t="n"/>
      <c r="P2183" s="54" t="n"/>
      <c r="Q2183" s="110" t="n"/>
      <c r="R2183" s="110" t="n"/>
      <c r="S2183" s="54" t="n"/>
      <c r="T2183" s="111">
        <f>IF($G2183="","",IFERROR(INDEX(Taux_Devises,MATCH(IF($M2183="",Devise_Base,$M2183),Codes_Devises,0)),1))</f>
        <v/>
      </c>
      <c r="U2183" s="112">
        <f>IF($G2183="","",ROUND($G2183*$T2183,2))</f>
        <v/>
      </c>
      <c r="V2183" s="113">
        <f>IF($B2183="","",MONTH($B2183))</f>
        <v/>
      </c>
      <c r="W2183" s="113">
        <f>IF($B2183="","",YEAR($B2183))</f>
        <v/>
      </c>
    </row>
    <row r="2184">
      <c r="B2184" s="105" t="n"/>
      <c r="C2184" s="54" t="n"/>
      <c r="D2184" s="54" t="n"/>
      <c r="E2184" s="54" t="n"/>
      <c r="F2184" s="54" t="n"/>
      <c r="G2184" s="65" t="n"/>
      <c r="H2184" s="54" t="n"/>
      <c r="I2184" s="106">
        <f>IF($C2184="","",IFERROR(INDEX(Sens_Types,MATCH($C2184,Liste_Types,0)),""))</f>
        <v/>
      </c>
      <c r="J2184" s="107">
        <f>IF($I2184="▲ ENTRÉE",$U2184,"")</f>
        <v/>
      </c>
      <c r="K2184" s="108">
        <f>IF($I2184="▼ SORTIE",$U2184,"")</f>
        <v/>
      </c>
      <c r="L2184" s="109">
        <f>$L2183+N($J2184)-N($K2184)</f>
        <v/>
      </c>
      <c r="M2184" s="110" t="n"/>
      <c r="N2184" s="54" t="n"/>
      <c r="O2184" s="54" t="n"/>
      <c r="P2184" s="54" t="n"/>
      <c r="Q2184" s="110" t="n"/>
      <c r="R2184" s="110" t="n"/>
      <c r="S2184" s="54" t="n"/>
      <c r="T2184" s="111">
        <f>IF($G2184="","",IFERROR(INDEX(Taux_Devises,MATCH(IF($M2184="",Devise_Base,$M2184),Codes_Devises,0)),1))</f>
        <v/>
      </c>
      <c r="U2184" s="112">
        <f>IF($G2184="","",ROUND($G2184*$T2184,2))</f>
        <v/>
      </c>
      <c r="V2184" s="113">
        <f>IF($B2184="","",MONTH($B2184))</f>
        <v/>
      </c>
      <c r="W2184" s="113">
        <f>IF($B2184="","",YEAR($B2184))</f>
        <v/>
      </c>
    </row>
    <row r="2185">
      <c r="B2185" s="105" t="n"/>
      <c r="C2185" s="54" t="n"/>
      <c r="D2185" s="54" t="n"/>
      <c r="E2185" s="54" t="n"/>
      <c r="F2185" s="54" t="n"/>
      <c r="G2185" s="65" t="n"/>
      <c r="H2185" s="54" t="n"/>
      <c r="I2185" s="106">
        <f>IF($C2185="","",IFERROR(INDEX(Sens_Types,MATCH($C2185,Liste_Types,0)),""))</f>
        <v/>
      </c>
      <c r="J2185" s="107">
        <f>IF($I2185="▲ ENTRÉE",$U2185,"")</f>
        <v/>
      </c>
      <c r="K2185" s="108">
        <f>IF($I2185="▼ SORTIE",$U2185,"")</f>
        <v/>
      </c>
      <c r="L2185" s="109">
        <f>$L2184+N($J2185)-N($K2185)</f>
        <v/>
      </c>
      <c r="M2185" s="110" t="n"/>
      <c r="N2185" s="54" t="n"/>
      <c r="O2185" s="54" t="n"/>
      <c r="P2185" s="54" t="n"/>
      <c r="Q2185" s="110" t="n"/>
      <c r="R2185" s="110" t="n"/>
      <c r="S2185" s="54" t="n"/>
      <c r="T2185" s="111">
        <f>IF($G2185="","",IFERROR(INDEX(Taux_Devises,MATCH(IF($M2185="",Devise_Base,$M2185),Codes_Devises,0)),1))</f>
        <v/>
      </c>
      <c r="U2185" s="112">
        <f>IF($G2185="","",ROUND($G2185*$T2185,2))</f>
        <v/>
      </c>
      <c r="V2185" s="113">
        <f>IF($B2185="","",MONTH($B2185))</f>
        <v/>
      </c>
      <c r="W2185" s="113">
        <f>IF($B2185="","",YEAR($B2185))</f>
        <v/>
      </c>
    </row>
    <row r="2186">
      <c r="B2186" s="105" t="n"/>
      <c r="C2186" s="54" t="n"/>
      <c r="D2186" s="54" t="n"/>
      <c r="E2186" s="54" t="n"/>
      <c r="F2186" s="54" t="n"/>
      <c r="G2186" s="65" t="n"/>
      <c r="H2186" s="54" t="n"/>
      <c r="I2186" s="106">
        <f>IF($C2186="","",IFERROR(INDEX(Sens_Types,MATCH($C2186,Liste_Types,0)),""))</f>
        <v/>
      </c>
      <c r="J2186" s="107">
        <f>IF($I2186="▲ ENTRÉE",$U2186,"")</f>
        <v/>
      </c>
      <c r="K2186" s="108">
        <f>IF($I2186="▼ SORTIE",$U2186,"")</f>
        <v/>
      </c>
      <c r="L2186" s="109">
        <f>$L2185+N($J2186)-N($K2186)</f>
        <v/>
      </c>
      <c r="M2186" s="110" t="n"/>
      <c r="N2186" s="54" t="n"/>
      <c r="O2186" s="54" t="n"/>
      <c r="P2186" s="54" t="n"/>
      <c r="Q2186" s="110" t="n"/>
      <c r="R2186" s="110" t="n"/>
      <c r="S2186" s="54" t="n"/>
      <c r="T2186" s="111">
        <f>IF($G2186="","",IFERROR(INDEX(Taux_Devises,MATCH(IF($M2186="",Devise_Base,$M2186),Codes_Devises,0)),1))</f>
        <v/>
      </c>
      <c r="U2186" s="112">
        <f>IF($G2186="","",ROUND($G2186*$T2186,2))</f>
        <v/>
      </c>
      <c r="V2186" s="113">
        <f>IF($B2186="","",MONTH($B2186))</f>
        <v/>
      </c>
      <c r="W2186" s="113">
        <f>IF($B2186="","",YEAR($B2186))</f>
        <v/>
      </c>
    </row>
    <row r="2187">
      <c r="B2187" s="105" t="n"/>
      <c r="C2187" s="54" t="n"/>
      <c r="D2187" s="54" t="n"/>
      <c r="E2187" s="54" t="n"/>
      <c r="F2187" s="54" t="n"/>
      <c r="G2187" s="65" t="n"/>
      <c r="H2187" s="54" t="n"/>
      <c r="I2187" s="106">
        <f>IF($C2187="","",IFERROR(INDEX(Sens_Types,MATCH($C2187,Liste_Types,0)),""))</f>
        <v/>
      </c>
      <c r="J2187" s="107">
        <f>IF($I2187="▲ ENTRÉE",$U2187,"")</f>
        <v/>
      </c>
      <c r="K2187" s="108">
        <f>IF($I2187="▼ SORTIE",$U2187,"")</f>
        <v/>
      </c>
      <c r="L2187" s="109">
        <f>$L2186+N($J2187)-N($K2187)</f>
        <v/>
      </c>
      <c r="M2187" s="110" t="n"/>
      <c r="N2187" s="54" t="n"/>
      <c r="O2187" s="54" t="n"/>
      <c r="P2187" s="54" t="n"/>
      <c r="Q2187" s="110" t="n"/>
      <c r="R2187" s="110" t="n"/>
      <c r="S2187" s="54" t="n"/>
      <c r="T2187" s="111">
        <f>IF($G2187="","",IFERROR(INDEX(Taux_Devises,MATCH(IF($M2187="",Devise_Base,$M2187),Codes_Devises,0)),1))</f>
        <v/>
      </c>
      <c r="U2187" s="112">
        <f>IF($G2187="","",ROUND($G2187*$T2187,2))</f>
        <v/>
      </c>
      <c r="V2187" s="113">
        <f>IF($B2187="","",MONTH($B2187))</f>
        <v/>
      </c>
      <c r="W2187" s="113">
        <f>IF($B2187="","",YEAR($B2187))</f>
        <v/>
      </c>
    </row>
    <row r="2188">
      <c r="B2188" s="105" t="n"/>
      <c r="C2188" s="54" t="n"/>
      <c r="D2188" s="54" t="n"/>
      <c r="E2188" s="54" t="n"/>
      <c r="F2188" s="54" t="n"/>
      <c r="G2188" s="65" t="n"/>
      <c r="H2188" s="54" t="n"/>
      <c r="I2188" s="106">
        <f>IF($C2188="","",IFERROR(INDEX(Sens_Types,MATCH($C2188,Liste_Types,0)),""))</f>
        <v/>
      </c>
      <c r="J2188" s="107">
        <f>IF($I2188="▲ ENTRÉE",$U2188,"")</f>
        <v/>
      </c>
      <c r="K2188" s="108">
        <f>IF($I2188="▼ SORTIE",$U2188,"")</f>
        <v/>
      </c>
      <c r="L2188" s="109">
        <f>$L2187+N($J2188)-N($K2188)</f>
        <v/>
      </c>
      <c r="M2188" s="110" t="n"/>
      <c r="N2188" s="54" t="n"/>
      <c r="O2188" s="54" t="n"/>
      <c r="P2188" s="54" t="n"/>
      <c r="Q2188" s="110" t="n"/>
      <c r="R2188" s="110" t="n"/>
      <c r="S2188" s="54" t="n"/>
      <c r="T2188" s="111">
        <f>IF($G2188="","",IFERROR(INDEX(Taux_Devises,MATCH(IF($M2188="",Devise_Base,$M2188),Codes_Devises,0)),1))</f>
        <v/>
      </c>
      <c r="U2188" s="112">
        <f>IF($G2188="","",ROUND($G2188*$T2188,2))</f>
        <v/>
      </c>
      <c r="V2188" s="113">
        <f>IF($B2188="","",MONTH($B2188))</f>
        <v/>
      </c>
      <c r="W2188" s="113">
        <f>IF($B2188="","",YEAR($B2188))</f>
        <v/>
      </c>
    </row>
    <row r="2189">
      <c r="B2189" s="105" t="n"/>
      <c r="C2189" s="54" t="n"/>
      <c r="D2189" s="54" t="n"/>
      <c r="E2189" s="54" t="n"/>
      <c r="F2189" s="54" t="n"/>
      <c r="G2189" s="65" t="n"/>
      <c r="H2189" s="54" t="n"/>
      <c r="I2189" s="106">
        <f>IF($C2189="","",IFERROR(INDEX(Sens_Types,MATCH($C2189,Liste_Types,0)),""))</f>
        <v/>
      </c>
      <c r="J2189" s="107">
        <f>IF($I2189="▲ ENTRÉE",$U2189,"")</f>
        <v/>
      </c>
      <c r="K2189" s="108">
        <f>IF($I2189="▼ SORTIE",$U2189,"")</f>
        <v/>
      </c>
      <c r="L2189" s="109">
        <f>$L2188+N($J2189)-N($K2189)</f>
        <v/>
      </c>
      <c r="M2189" s="110" t="n"/>
      <c r="N2189" s="54" t="n"/>
      <c r="O2189" s="54" t="n"/>
      <c r="P2189" s="54" t="n"/>
      <c r="Q2189" s="110" t="n"/>
      <c r="R2189" s="110" t="n"/>
      <c r="S2189" s="54" t="n"/>
      <c r="T2189" s="111">
        <f>IF($G2189="","",IFERROR(INDEX(Taux_Devises,MATCH(IF($M2189="",Devise_Base,$M2189),Codes_Devises,0)),1))</f>
        <v/>
      </c>
      <c r="U2189" s="112">
        <f>IF($G2189="","",ROUND($G2189*$T2189,2))</f>
        <v/>
      </c>
      <c r="V2189" s="113">
        <f>IF($B2189="","",MONTH($B2189))</f>
        <v/>
      </c>
      <c r="W2189" s="113">
        <f>IF($B2189="","",YEAR($B2189))</f>
        <v/>
      </c>
    </row>
    <row r="2190">
      <c r="B2190" s="105" t="n"/>
      <c r="C2190" s="54" t="n"/>
      <c r="D2190" s="54" t="n"/>
      <c r="E2190" s="54" t="n"/>
      <c r="F2190" s="54" t="n"/>
      <c r="G2190" s="65" t="n"/>
      <c r="H2190" s="54" t="n"/>
      <c r="I2190" s="106">
        <f>IF($C2190="","",IFERROR(INDEX(Sens_Types,MATCH($C2190,Liste_Types,0)),""))</f>
        <v/>
      </c>
      <c r="J2190" s="107">
        <f>IF($I2190="▲ ENTRÉE",$U2190,"")</f>
        <v/>
      </c>
      <c r="K2190" s="108">
        <f>IF($I2190="▼ SORTIE",$U2190,"")</f>
        <v/>
      </c>
      <c r="L2190" s="109">
        <f>$L2189+N($J2190)-N($K2190)</f>
        <v/>
      </c>
      <c r="M2190" s="110" t="n"/>
      <c r="N2190" s="54" t="n"/>
      <c r="O2190" s="54" t="n"/>
      <c r="P2190" s="54" t="n"/>
      <c r="Q2190" s="110" t="n"/>
      <c r="R2190" s="110" t="n"/>
      <c r="S2190" s="54" t="n"/>
      <c r="T2190" s="111">
        <f>IF($G2190="","",IFERROR(INDEX(Taux_Devises,MATCH(IF($M2190="",Devise_Base,$M2190),Codes_Devises,0)),1))</f>
        <v/>
      </c>
      <c r="U2190" s="112">
        <f>IF($G2190="","",ROUND($G2190*$T2190,2))</f>
        <v/>
      </c>
      <c r="V2190" s="113">
        <f>IF($B2190="","",MONTH($B2190))</f>
        <v/>
      </c>
      <c r="W2190" s="113">
        <f>IF($B2190="","",YEAR($B2190))</f>
        <v/>
      </c>
    </row>
    <row r="2191">
      <c r="B2191" s="105" t="n"/>
      <c r="C2191" s="54" t="n"/>
      <c r="D2191" s="54" t="n"/>
      <c r="E2191" s="54" t="n"/>
      <c r="F2191" s="54" t="n"/>
      <c r="G2191" s="65" t="n"/>
      <c r="H2191" s="54" t="n"/>
      <c r="I2191" s="106">
        <f>IF($C2191="","",IFERROR(INDEX(Sens_Types,MATCH($C2191,Liste_Types,0)),""))</f>
        <v/>
      </c>
      <c r="J2191" s="107">
        <f>IF($I2191="▲ ENTRÉE",$U2191,"")</f>
        <v/>
      </c>
      <c r="K2191" s="108">
        <f>IF($I2191="▼ SORTIE",$U2191,"")</f>
        <v/>
      </c>
      <c r="L2191" s="109">
        <f>$L2190+N($J2191)-N($K2191)</f>
        <v/>
      </c>
      <c r="M2191" s="110" t="n"/>
      <c r="N2191" s="54" t="n"/>
      <c r="O2191" s="54" t="n"/>
      <c r="P2191" s="54" t="n"/>
      <c r="Q2191" s="110" t="n"/>
      <c r="R2191" s="110" t="n"/>
      <c r="S2191" s="54" t="n"/>
      <c r="T2191" s="111">
        <f>IF($G2191="","",IFERROR(INDEX(Taux_Devises,MATCH(IF($M2191="",Devise_Base,$M2191),Codes_Devises,0)),1))</f>
        <v/>
      </c>
      <c r="U2191" s="112">
        <f>IF($G2191="","",ROUND($G2191*$T2191,2))</f>
        <v/>
      </c>
      <c r="V2191" s="113">
        <f>IF($B2191="","",MONTH($B2191))</f>
        <v/>
      </c>
      <c r="W2191" s="113">
        <f>IF($B2191="","",YEAR($B2191))</f>
        <v/>
      </c>
    </row>
    <row r="2192">
      <c r="B2192" s="105" t="n"/>
      <c r="C2192" s="54" t="n"/>
      <c r="D2192" s="54" t="n"/>
      <c r="E2192" s="54" t="n"/>
      <c r="F2192" s="54" t="n"/>
      <c r="G2192" s="65" t="n"/>
      <c r="H2192" s="54" t="n"/>
      <c r="I2192" s="106">
        <f>IF($C2192="","",IFERROR(INDEX(Sens_Types,MATCH($C2192,Liste_Types,0)),""))</f>
        <v/>
      </c>
      <c r="J2192" s="107">
        <f>IF($I2192="▲ ENTRÉE",$U2192,"")</f>
        <v/>
      </c>
      <c r="K2192" s="108">
        <f>IF($I2192="▼ SORTIE",$U2192,"")</f>
        <v/>
      </c>
      <c r="L2192" s="109">
        <f>$L2191+N($J2192)-N($K2192)</f>
        <v/>
      </c>
      <c r="M2192" s="110" t="n"/>
      <c r="N2192" s="54" t="n"/>
      <c r="O2192" s="54" t="n"/>
      <c r="P2192" s="54" t="n"/>
      <c r="Q2192" s="110" t="n"/>
      <c r="R2192" s="110" t="n"/>
      <c r="S2192" s="54" t="n"/>
      <c r="T2192" s="111">
        <f>IF($G2192="","",IFERROR(INDEX(Taux_Devises,MATCH(IF($M2192="",Devise_Base,$M2192),Codes_Devises,0)),1))</f>
        <v/>
      </c>
      <c r="U2192" s="112">
        <f>IF($G2192="","",ROUND($G2192*$T2192,2))</f>
        <v/>
      </c>
      <c r="V2192" s="113">
        <f>IF($B2192="","",MONTH($B2192))</f>
        <v/>
      </c>
      <c r="W2192" s="113">
        <f>IF($B2192="","",YEAR($B2192))</f>
        <v/>
      </c>
    </row>
    <row r="2193">
      <c r="B2193" s="105" t="n"/>
      <c r="C2193" s="54" t="n"/>
      <c r="D2193" s="54" t="n"/>
      <c r="E2193" s="54" t="n"/>
      <c r="F2193" s="54" t="n"/>
      <c r="G2193" s="65" t="n"/>
      <c r="H2193" s="54" t="n"/>
      <c r="I2193" s="106">
        <f>IF($C2193="","",IFERROR(INDEX(Sens_Types,MATCH($C2193,Liste_Types,0)),""))</f>
        <v/>
      </c>
      <c r="J2193" s="107">
        <f>IF($I2193="▲ ENTRÉE",$U2193,"")</f>
        <v/>
      </c>
      <c r="K2193" s="108">
        <f>IF($I2193="▼ SORTIE",$U2193,"")</f>
        <v/>
      </c>
      <c r="L2193" s="109">
        <f>$L2192+N($J2193)-N($K2193)</f>
        <v/>
      </c>
      <c r="M2193" s="110" t="n"/>
      <c r="N2193" s="54" t="n"/>
      <c r="O2193" s="54" t="n"/>
      <c r="P2193" s="54" t="n"/>
      <c r="Q2193" s="110" t="n"/>
      <c r="R2193" s="110" t="n"/>
      <c r="S2193" s="54" t="n"/>
      <c r="T2193" s="111">
        <f>IF($G2193="","",IFERROR(INDEX(Taux_Devises,MATCH(IF($M2193="",Devise_Base,$M2193),Codes_Devises,0)),1))</f>
        <v/>
      </c>
      <c r="U2193" s="112">
        <f>IF($G2193="","",ROUND($G2193*$T2193,2))</f>
        <v/>
      </c>
      <c r="V2193" s="113">
        <f>IF($B2193="","",MONTH($B2193))</f>
        <v/>
      </c>
      <c r="W2193" s="113">
        <f>IF($B2193="","",YEAR($B2193))</f>
        <v/>
      </c>
    </row>
    <row r="2194">
      <c r="B2194" s="105" t="n"/>
      <c r="C2194" s="54" t="n"/>
      <c r="D2194" s="54" t="n"/>
      <c r="E2194" s="54" t="n"/>
      <c r="F2194" s="54" t="n"/>
      <c r="G2194" s="65" t="n"/>
      <c r="H2194" s="54" t="n"/>
      <c r="I2194" s="106">
        <f>IF($C2194="","",IFERROR(INDEX(Sens_Types,MATCH($C2194,Liste_Types,0)),""))</f>
        <v/>
      </c>
      <c r="J2194" s="107">
        <f>IF($I2194="▲ ENTRÉE",$U2194,"")</f>
        <v/>
      </c>
      <c r="K2194" s="108">
        <f>IF($I2194="▼ SORTIE",$U2194,"")</f>
        <v/>
      </c>
      <c r="L2194" s="109">
        <f>$L2193+N($J2194)-N($K2194)</f>
        <v/>
      </c>
      <c r="M2194" s="110" t="n"/>
      <c r="N2194" s="54" t="n"/>
      <c r="O2194" s="54" t="n"/>
      <c r="P2194" s="54" t="n"/>
      <c r="Q2194" s="110" t="n"/>
      <c r="R2194" s="110" t="n"/>
      <c r="S2194" s="54" t="n"/>
      <c r="T2194" s="111">
        <f>IF($G2194="","",IFERROR(INDEX(Taux_Devises,MATCH(IF($M2194="",Devise_Base,$M2194),Codes_Devises,0)),1))</f>
        <v/>
      </c>
      <c r="U2194" s="112">
        <f>IF($G2194="","",ROUND($G2194*$T2194,2))</f>
        <v/>
      </c>
      <c r="V2194" s="113">
        <f>IF($B2194="","",MONTH($B2194))</f>
        <v/>
      </c>
      <c r="W2194" s="113">
        <f>IF($B2194="","",YEAR($B2194))</f>
        <v/>
      </c>
    </row>
    <row r="2195">
      <c r="B2195" s="105" t="n"/>
      <c r="C2195" s="54" t="n"/>
      <c r="D2195" s="54" t="n"/>
      <c r="E2195" s="54" t="n"/>
      <c r="F2195" s="54" t="n"/>
      <c r="G2195" s="65" t="n"/>
      <c r="H2195" s="54" t="n"/>
      <c r="I2195" s="106">
        <f>IF($C2195="","",IFERROR(INDEX(Sens_Types,MATCH($C2195,Liste_Types,0)),""))</f>
        <v/>
      </c>
      <c r="J2195" s="107">
        <f>IF($I2195="▲ ENTRÉE",$U2195,"")</f>
        <v/>
      </c>
      <c r="K2195" s="108">
        <f>IF($I2195="▼ SORTIE",$U2195,"")</f>
        <v/>
      </c>
      <c r="L2195" s="109">
        <f>$L2194+N($J2195)-N($K2195)</f>
        <v/>
      </c>
      <c r="M2195" s="110" t="n"/>
      <c r="N2195" s="54" t="n"/>
      <c r="O2195" s="54" t="n"/>
      <c r="P2195" s="54" t="n"/>
      <c r="Q2195" s="110" t="n"/>
      <c r="R2195" s="110" t="n"/>
      <c r="S2195" s="54" t="n"/>
      <c r="T2195" s="111">
        <f>IF($G2195="","",IFERROR(INDEX(Taux_Devises,MATCH(IF($M2195="",Devise_Base,$M2195),Codes_Devises,0)),1))</f>
        <v/>
      </c>
      <c r="U2195" s="112">
        <f>IF($G2195="","",ROUND($G2195*$T2195,2))</f>
        <v/>
      </c>
      <c r="V2195" s="113">
        <f>IF($B2195="","",MONTH($B2195))</f>
        <v/>
      </c>
      <c r="W2195" s="113">
        <f>IF($B2195="","",YEAR($B2195))</f>
        <v/>
      </c>
    </row>
    <row r="2196">
      <c r="B2196" s="105" t="n"/>
      <c r="C2196" s="54" t="n"/>
      <c r="D2196" s="54" t="n"/>
      <c r="E2196" s="54" t="n"/>
      <c r="F2196" s="54" t="n"/>
      <c r="G2196" s="65" t="n"/>
      <c r="H2196" s="54" t="n"/>
      <c r="I2196" s="106">
        <f>IF($C2196="","",IFERROR(INDEX(Sens_Types,MATCH($C2196,Liste_Types,0)),""))</f>
        <v/>
      </c>
      <c r="J2196" s="107">
        <f>IF($I2196="▲ ENTRÉE",$U2196,"")</f>
        <v/>
      </c>
      <c r="K2196" s="108">
        <f>IF($I2196="▼ SORTIE",$U2196,"")</f>
        <v/>
      </c>
      <c r="L2196" s="109">
        <f>$L2195+N($J2196)-N($K2196)</f>
        <v/>
      </c>
      <c r="M2196" s="110" t="n"/>
      <c r="N2196" s="54" t="n"/>
      <c r="O2196" s="54" t="n"/>
      <c r="P2196" s="54" t="n"/>
      <c r="Q2196" s="110" t="n"/>
      <c r="R2196" s="110" t="n"/>
      <c r="S2196" s="54" t="n"/>
      <c r="T2196" s="111">
        <f>IF($G2196="","",IFERROR(INDEX(Taux_Devises,MATCH(IF($M2196="",Devise_Base,$M2196),Codes_Devises,0)),1))</f>
        <v/>
      </c>
      <c r="U2196" s="112">
        <f>IF($G2196="","",ROUND($G2196*$T2196,2))</f>
        <v/>
      </c>
      <c r="V2196" s="113">
        <f>IF($B2196="","",MONTH($B2196))</f>
        <v/>
      </c>
      <c r="W2196" s="113">
        <f>IF($B2196="","",YEAR($B2196))</f>
        <v/>
      </c>
    </row>
    <row r="2197">
      <c r="B2197" s="105" t="n"/>
      <c r="C2197" s="54" t="n"/>
      <c r="D2197" s="54" t="n"/>
      <c r="E2197" s="54" t="n"/>
      <c r="F2197" s="54" t="n"/>
      <c r="G2197" s="65" t="n"/>
      <c r="H2197" s="54" t="n"/>
      <c r="I2197" s="106">
        <f>IF($C2197="","",IFERROR(INDEX(Sens_Types,MATCH($C2197,Liste_Types,0)),""))</f>
        <v/>
      </c>
      <c r="J2197" s="107">
        <f>IF($I2197="▲ ENTRÉE",$U2197,"")</f>
        <v/>
      </c>
      <c r="K2197" s="108">
        <f>IF($I2197="▼ SORTIE",$U2197,"")</f>
        <v/>
      </c>
      <c r="L2197" s="109">
        <f>$L2196+N($J2197)-N($K2197)</f>
        <v/>
      </c>
      <c r="M2197" s="110" t="n"/>
      <c r="N2197" s="54" t="n"/>
      <c r="O2197" s="54" t="n"/>
      <c r="P2197" s="54" t="n"/>
      <c r="Q2197" s="110" t="n"/>
      <c r="R2197" s="110" t="n"/>
      <c r="S2197" s="54" t="n"/>
      <c r="T2197" s="111">
        <f>IF($G2197="","",IFERROR(INDEX(Taux_Devises,MATCH(IF($M2197="",Devise_Base,$M2197),Codes_Devises,0)),1))</f>
        <v/>
      </c>
      <c r="U2197" s="112">
        <f>IF($G2197="","",ROUND($G2197*$T2197,2))</f>
        <v/>
      </c>
      <c r="V2197" s="113">
        <f>IF($B2197="","",MONTH($B2197))</f>
        <v/>
      </c>
      <c r="W2197" s="113">
        <f>IF($B2197="","",YEAR($B2197))</f>
        <v/>
      </c>
    </row>
    <row r="2198">
      <c r="B2198" s="105" t="n"/>
      <c r="C2198" s="54" t="n"/>
      <c r="D2198" s="54" t="n"/>
      <c r="E2198" s="54" t="n"/>
      <c r="F2198" s="54" t="n"/>
      <c r="G2198" s="65" t="n"/>
      <c r="H2198" s="54" t="n"/>
      <c r="I2198" s="106">
        <f>IF($C2198="","",IFERROR(INDEX(Sens_Types,MATCH($C2198,Liste_Types,0)),""))</f>
        <v/>
      </c>
      <c r="J2198" s="107">
        <f>IF($I2198="▲ ENTRÉE",$U2198,"")</f>
        <v/>
      </c>
      <c r="K2198" s="108">
        <f>IF($I2198="▼ SORTIE",$U2198,"")</f>
        <v/>
      </c>
      <c r="L2198" s="109">
        <f>$L2197+N($J2198)-N($K2198)</f>
        <v/>
      </c>
      <c r="M2198" s="110" t="n"/>
      <c r="N2198" s="54" t="n"/>
      <c r="O2198" s="54" t="n"/>
      <c r="P2198" s="54" t="n"/>
      <c r="Q2198" s="110" t="n"/>
      <c r="R2198" s="110" t="n"/>
      <c r="S2198" s="54" t="n"/>
      <c r="T2198" s="111">
        <f>IF($G2198="","",IFERROR(INDEX(Taux_Devises,MATCH(IF($M2198="",Devise_Base,$M2198),Codes_Devises,0)),1))</f>
        <v/>
      </c>
      <c r="U2198" s="112">
        <f>IF($G2198="","",ROUND($G2198*$T2198,2))</f>
        <v/>
      </c>
      <c r="V2198" s="113">
        <f>IF($B2198="","",MONTH($B2198))</f>
        <v/>
      </c>
      <c r="W2198" s="113">
        <f>IF($B2198="","",YEAR($B2198))</f>
        <v/>
      </c>
    </row>
    <row r="2199">
      <c r="B2199" s="105" t="n"/>
      <c r="C2199" s="54" t="n"/>
      <c r="D2199" s="54" t="n"/>
      <c r="E2199" s="54" t="n"/>
      <c r="F2199" s="54" t="n"/>
      <c r="G2199" s="65" t="n"/>
      <c r="H2199" s="54" t="n"/>
      <c r="I2199" s="106">
        <f>IF($C2199="","",IFERROR(INDEX(Sens_Types,MATCH($C2199,Liste_Types,0)),""))</f>
        <v/>
      </c>
      <c r="J2199" s="107">
        <f>IF($I2199="▲ ENTRÉE",$U2199,"")</f>
        <v/>
      </c>
      <c r="K2199" s="108">
        <f>IF($I2199="▼ SORTIE",$U2199,"")</f>
        <v/>
      </c>
      <c r="L2199" s="109">
        <f>$L2198+N($J2199)-N($K2199)</f>
        <v/>
      </c>
      <c r="M2199" s="110" t="n"/>
      <c r="N2199" s="54" t="n"/>
      <c r="O2199" s="54" t="n"/>
      <c r="P2199" s="54" t="n"/>
      <c r="Q2199" s="110" t="n"/>
      <c r="R2199" s="110" t="n"/>
      <c r="S2199" s="54" t="n"/>
      <c r="T2199" s="111">
        <f>IF($G2199="","",IFERROR(INDEX(Taux_Devises,MATCH(IF($M2199="",Devise_Base,$M2199),Codes_Devises,0)),1))</f>
        <v/>
      </c>
      <c r="U2199" s="112">
        <f>IF($G2199="","",ROUND($G2199*$T2199,2))</f>
        <v/>
      </c>
      <c r="V2199" s="113">
        <f>IF($B2199="","",MONTH($B2199))</f>
        <v/>
      </c>
      <c r="W2199" s="113">
        <f>IF($B2199="","",YEAR($B2199))</f>
        <v/>
      </c>
    </row>
    <row r="2200">
      <c r="B2200" s="105" t="n"/>
      <c r="C2200" s="54" t="n"/>
      <c r="D2200" s="54" t="n"/>
      <c r="E2200" s="54" t="n"/>
      <c r="F2200" s="54" t="n"/>
      <c r="G2200" s="65" t="n"/>
      <c r="H2200" s="54" t="n"/>
      <c r="I2200" s="106">
        <f>IF($C2200="","",IFERROR(INDEX(Sens_Types,MATCH($C2200,Liste_Types,0)),""))</f>
        <v/>
      </c>
      <c r="J2200" s="107">
        <f>IF($I2200="▲ ENTRÉE",$U2200,"")</f>
        <v/>
      </c>
      <c r="K2200" s="108">
        <f>IF($I2200="▼ SORTIE",$U2200,"")</f>
        <v/>
      </c>
      <c r="L2200" s="109">
        <f>$L2199+N($J2200)-N($K2200)</f>
        <v/>
      </c>
      <c r="M2200" s="110" t="n"/>
      <c r="N2200" s="54" t="n"/>
      <c r="O2200" s="54" t="n"/>
      <c r="P2200" s="54" t="n"/>
      <c r="Q2200" s="110" t="n"/>
      <c r="R2200" s="110" t="n"/>
      <c r="S2200" s="54" t="n"/>
      <c r="T2200" s="111">
        <f>IF($G2200="","",IFERROR(INDEX(Taux_Devises,MATCH(IF($M2200="",Devise_Base,$M2200),Codes_Devises,0)),1))</f>
        <v/>
      </c>
      <c r="U2200" s="112">
        <f>IF($G2200="","",ROUND($G2200*$T2200,2))</f>
        <v/>
      </c>
      <c r="V2200" s="113">
        <f>IF($B2200="","",MONTH($B2200))</f>
        <v/>
      </c>
      <c r="W2200" s="113">
        <f>IF($B2200="","",YEAR($B2200))</f>
        <v/>
      </c>
    </row>
    <row r="2201">
      <c r="B2201" s="105" t="n"/>
      <c r="C2201" s="54" t="n"/>
      <c r="D2201" s="54" t="n"/>
      <c r="E2201" s="54" t="n"/>
      <c r="F2201" s="54" t="n"/>
      <c r="G2201" s="65" t="n"/>
      <c r="H2201" s="54" t="n"/>
      <c r="I2201" s="106">
        <f>IF($C2201="","",IFERROR(INDEX(Sens_Types,MATCH($C2201,Liste_Types,0)),""))</f>
        <v/>
      </c>
      <c r="J2201" s="107">
        <f>IF($I2201="▲ ENTRÉE",$U2201,"")</f>
        <v/>
      </c>
      <c r="K2201" s="108">
        <f>IF($I2201="▼ SORTIE",$U2201,"")</f>
        <v/>
      </c>
      <c r="L2201" s="109">
        <f>$L2200+N($J2201)-N($K2201)</f>
        <v/>
      </c>
      <c r="M2201" s="110" t="n"/>
      <c r="N2201" s="54" t="n"/>
      <c r="O2201" s="54" t="n"/>
      <c r="P2201" s="54" t="n"/>
      <c r="Q2201" s="110" t="n"/>
      <c r="R2201" s="110" t="n"/>
      <c r="S2201" s="54" t="n"/>
      <c r="T2201" s="111">
        <f>IF($G2201="","",IFERROR(INDEX(Taux_Devises,MATCH(IF($M2201="",Devise_Base,$M2201),Codes_Devises,0)),1))</f>
        <v/>
      </c>
      <c r="U2201" s="112">
        <f>IF($G2201="","",ROUND($G2201*$T2201,2))</f>
        <v/>
      </c>
      <c r="V2201" s="113">
        <f>IF($B2201="","",MONTH($B2201))</f>
        <v/>
      </c>
      <c r="W2201" s="113">
        <f>IF($B2201="","",YEAR($B2201))</f>
        <v/>
      </c>
    </row>
    <row r="2202">
      <c r="B2202" s="105" t="n"/>
      <c r="C2202" s="54" t="n"/>
      <c r="D2202" s="54" t="n"/>
      <c r="E2202" s="54" t="n"/>
      <c r="F2202" s="54" t="n"/>
      <c r="G2202" s="65" t="n"/>
      <c r="H2202" s="54" t="n"/>
      <c r="I2202" s="106">
        <f>IF($C2202="","",IFERROR(INDEX(Sens_Types,MATCH($C2202,Liste_Types,0)),""))</f>
        <v/>
      </c>
      <c r="J2202" s="107">
        <f>IF($I2202="▲ ENTRÉE",$U2202,"")</f>
        <v/>
      </c>
      <c r="K2202" s="108">
        <f>IF($I2202="▼ SORTIE",$U2202,"")</f>
        <v/>
      </c>
      <c r="L2202" s="109">
        <f>$L2201+N($J2202)-N($K2202)</f>
        <v/>
      </c>
      <c r="M2202" s="110" t="n"/>
      <c r="N2202" s="54" t="n"/>
      <c r="O2202" s="54" t="n"/>
      <c r="P2202" s="54" t="n"/>
      <c r="Q2202" s="110" t="n"/>
      <c r="R2202" s="110" t="n"/>
      <c r="S2202" s="54" t="n"/>
      <c r="T2202" s="111">
        <f>IF($G2202="","",IFERROR(INDEX(Taux_Devises,MATCH(IF($M2202="",Devise_Base,$M2202),Codes_Devises,0)),1))</f>
        <v/>
      </c>
      <c r="U2202" s="112">
        <f>IF($G2202="","",ROUND($G2202*$T2202,2))</f>
        <v/>
      </c>
      <c r="V2202" s="113">
        <f>IF($B2202="","",MONTH($B2202))</f>
        <v/>
      </c>
      <c r="W2202" s="113">
        <f>IF($B2202="","",YEAR($B2202))</f>
        <v/>
      </c>
    </row>
    <row r="2203">
      <c r="B2203" s="105" t="n"/>
      <c r="C2203" s="54" t="n"/>
      <c r="D2203" s="54" t="n"/>
      <c r="E2203" s="54" t="n"/>
      <c r="F2203" s="54" t="n"/>
      <c r="G2203" s="65" t="n"/>
      <c r="H2203" s="54" t="n"/>
      <c r="I2203" s="106">
        <f>IF($C2203="","",IFERROR(INDEX(Sens_Types,MATCH($C2203,Liste_Types,0)),""))</f>
        <v/>
      </c>
      <c r="J2203" s="107">
        <f>IF($I2203="▲ ENTRÉE",$U2203,"")</f>
        <v/>
      </c>
      <c r="K2203" s="108">
        <f>IF($I2203="▼ SORTIE",$U2203,"")</f>
        <v/>
      </c>
      <c r="L2203" s="109">
        <f>$L2202+N($J2203)-N($K2203)</f>
        <v/>
      </c>
      <c r="M2203" s="110" t="n"/>
      <c r="N2203" s="54" t="n"/>
      <c r="O2203" s="54" t="n"/>
      <c r="P2203" s="54" t="n"/>
      <c r="Q2203" s="110" t="n"/>
      <c r="R2203" s="110" t="n"/>
      <c r="S2203" s="54" t="n"/>
      <c r="T2203" s="111">
        <f>IF($G2203="","",IFERROR(INDEX(Taux_Devises,MATCH(IF($M2203="",Devise_Base,$M2203),Codes_Devises,0)),1))</f>
        <v/>
      </c>
      <c r="U2203" s="112">
        <f>IF($G2203="","",ROUND($G2203*$T2203,2))</f>
        <v/>
      </c>
      <c r="V2203" s="113">
        <f>IF($B2203="","",MONTH($B2203))</f>
        <v/>
      </c>
      <c r="W2203" s="113">
        <f>IF($B2203="","",YEAR($B2203))</f>
        <v/>
      </c>
    </row>
    <row r="2204">
      <c r="B2204" s="105" t="n"/>
      <c r="C2204" s="54" t="n"/>
      <c r="D2204" s="54" t="n"/>
      <c r="E2204" s="54" t="n"/>
      <c r="F2204" s="54" t="n"/>
      <c r="G2204" s="65" t="n"/>
      <c r="H2204" s="54" t="n"/>
      <c r="I2204" s="106">
        <f>IF($C2204="","",IFERROR(INDEX(Sens_Types,MATCH($C2204,Liste_Types,0)),""))</f>
        <v/>
      </c>
      <c r="J2204" s="107">
        <f>IF($I2204="▲ ENTRÉE",$U2204,"")</f>
        <v/>
      </c>
      <c r="K2204" s="108">
        <f>IF($I2204="▼ SORTIE",$U2204,"")</f>
        <v/>
      </c>
      <c r="L2204" s="109">
        <f>$L2203+N($J2204)-N($K2204)</f>
        <v/>
      </c>
      <c r="M2204" s="110" t="n"/>
      <c r="N2204" s="54" t="n"/>
      <c r="O2204" s="54" t="n"/>
      <c r="P2204" s="54" t="n"/>
      <c r="Q2204" s="110" t="n"/>
      <c r="R2204" s="110" t="n"/>
      <c r="S2204" s="54" t="n"/>
      <c r="T2204" s="111">
        <f>IF($G2204="","",IFERROR(INDEX(Taux_Devises,MATCH(IF($M2204="",Devise_Base,$M2204),Codes_Devises,0)),1))</f>
        <v/>
      </c>
      <c r="U2204" s="112">
        <f>IF($G2204="","",ROUND($G2204*$T2204,2))</f>
        <v/>
      </c>
      <c r="V2204" s="113">
        <f>IF($B2204="","",MONTH($B2204))</f>
        <v/>
      </c>
      <c r="W2204" s="113">
        <f>IF($B2204="","",YEAR($B2204))</f>
        <v/>
      </c>
    </row>
    <row r="2205">
      <c r="B2205" s="105" t="n"/>
      <c r="C2205" s="54" t="n"/>
      <c r="D2205" s="54" t="n"/>
      <c r="E2205" s="54" t="n"/>
      <c r="F2205" s="54" t="n"/>
      <c r="G2205" s="65" t="n"/>
      <c r="H2205" s="54" t="n"/>
      <c r="I2205" s="106">
        <f>IF($C2205="","",IFERROR(INDEX(Sens_Types,MATCH($C2205,Liste_Types,0)),""))</f>
        <v/>
      </c>
      <c r="J2205" s="107">
        <f>IF($I2205="▲ ENTRÉE",$U2205,"")</f>
        <v/>
      </c>
      <c r="K2205" s="108">
        <f>IF($I2205="▼ SORTIE",$U2205,"")</f>
        <v/>
      </c>
      <c r="L2205" s="109">
        <f>$L2204+N($J2205)-N($K2205)</f>
        <v/>
      </c>
      <c r="M2205" s="110" t="n"/>
      <c r="N2205" s="54" t="n"/>
      <c r="O2205" s="54" t="n"/>
      <c r="P2205" s="54" t="n"/>
      <c r="Q2205" s="110" t="n"/>
      <c r="R2205" s="110" t="n"/>
      <c r="S2205" s="54" t="n"/>
      <c r="T2205" s="111">
        <f>IF($G2205="","",IFERROR(INDEX(Taux_Devises,MATCH(IF($M2205="",Devise_Base,$M2205),Codes_Devises,0)),1))</f>
        <v/>
      </c>
      <c r="U2205" s="112">
        <f>IF($G2205="","",ROUND($G2205*$T2205,2))</f>
        <v/>
      </c>
      <c r="V2205" s="113">
        <f>IF($B2205="","",MONTH($B2205))</f>
        <v/>
      </c>
      <c r="W2205" s="113">
        <f>IF($B2205="","",YEAR($B2205))</f>
        <v/>
      </c>
    </row>
    <row r="2206">
      <c r="B2206" s="105" t="n"/>
      <c r="C2206" s="54" t="n"/>
      <c r="D2206" s="54" t="n"/>
      <c r="E2206" s="54" t="n"/>
      <c r="F2206" s="54" t="n"/>
      <c r="G2206" s="65" t="n"/>
      <c r="H2206" s="54" t="n"/>
      <c r="I2206" s="106">
        <f>IF($C2206="","",IFERROR(INDEX(Sens_Types,MATCH($C2206,Liste_Types,0)),""))</f>
        <v/>
      </c>
      <c r="J2206" s="107">
        <f>IF($I2206="▲ ENTRÉE",$U2206,"")</f>
        <v/>
      </c>
      <c r="K2206" s="108">
        <f>IF($I2206="▼ SORTIE",$U2206,"")</f>
        <v/>
      </c>
      <c r="L2206" s="109">
        <f>$L2205+N($J2206)-N($K2206)</f>
        <v/>
      </c>
      <c r="M2206" s="110" t="n"/>
      <c r="N2206" s="54" t="n"/>
      <c r="O2206" s="54" t="n"/>
      <c r="P2206" s="54" t="n"/>
      <c r="Q2206" s="110" t="n"/>
      <c r="R2206" s="110" t="n"/>
      <c r="S2206" s="54" t="n"/>
      <c r="T2206" s="111">
        <f>IF($G2206="","",IFERROR(INDEX(Taux_Devises,MATCH(IF($M2206="",Devise_Base,$M2206),Codes_Devises,0)),1))</f>
        <v/>
      </c>
      <c r="U2206" s="112">
        <f>IF($G2206="","",ROUND($G2206*$T2206,2))</f>
        <v/>
      </c>
      <c r="V2206" s="113">
        <f>IF($B2206="","",MONTH($B2206))</f>
        <v/>
      </c>
      <c r="W2206" s="113">
        <f>IF($B2206="","",YEAR($B2206))</f>
        <v/>
      </c>
    </row>
    <row r="2207">
      <c r="B2207" s="105" t="n"/>
      <c r="C2207" s="54" t="n"/>
      <c r="D2207" s="54" t="n"/>
      <c r="E2207" s="54" t="n"/>
      <c r="F2207" s="54" t="n"/>
      <c r="G2207" s="65" t="n"/>
      <c r="H2207" s="54" t="n"/>
      <c r="I2207" s="106">
        <f>IF($C2207="","",IFERROR(INDEX(Sens_Types,MATCH($C2207,Liste_Types,0)),""))</f>
        <v/>
      </c>
      <c r="J2207" s="107">
        <f>IF($I2207="▲ ENTRÉE",$U2207,"")</f>
        <v/>
      </c>
      <c r="K2207" s="108">
        <f>IF($I2207="▼ SORTIE",$U2207,"")</f>
        <v/>
      </c>
      <c r="L2207" s="109">
        <f>$L2206+N($J2207)-N($K2207)</f>
        <v/>
      </c>
      <c r="M2207" s="110" t="n"/>
      <c r="N2207" s="54" t="n"/>
      <c r="O2207" s="54" t="n"/>
      <c r="P2207" s="54" t="n"/>
      <c r="Q2207" s="110" t="n"/>
      <c r="R2207" s="110" t="n"/>
      <c r="S2207" s="54" t="n"/>
      <c r="T2207" s="111">
        <f>IF($G2207="","",IFERROR(INDEX(Taux_Devises,MATCH(IF($M2207="",Devise_Base,$M2207),Codes_Devises,0)),1))</f>
        <v/>
      </c>
      <c r="U2207" s="112">
        <f>IF($G2207="","",ROUND($G2207*$T2207,2))</f>
        <v/>
      </c>
      <c r="V2207" s="113">
        <f>IF($B2207="","",MONTH($B2207))</f>
        <v/>
      </c>
      <c r="W2207" s="113">
        <f>IF($B2207="","",YEAR($B2207))</f>
        <v/>
      </c>
    </row>
    <row r="2208">
      <c r="B2208" s="105" t="n"/>
      <c r="C2208" s="54" t="n"/>
      <c r="D2208" s="54" t="n"/>
      <c r="E2208" s="54" t="n"/>
      <c r="F2208" s="54" t="n"/>
      <c r="G2208" s="65" t="n"/>
      <c r="H2208" s="54" t="n"/>
      <c r="I2208" s="106">
        <f>IF($C2208="","",IFERROR(INDEX(Sens_Types,MATCH($C2208,Liste_Types,0)),""))</f>
        <v/>
      </c>
      <c r="J2208" s="107">
        <f>IF($I2208="▲ ENTRÉE",$U2208,"")</f>
        <v/>
      </c>
      <c r="K2208" s="108">
        <f>IF($I2208="▼ SORTIE",$U2208,"")</f>
        <v/>
      </c>
      <c r="L2208" s="109">
        <f>$L2207+N($J2208)-N($K2208)</f>
        <v/>
      </c>
      <c r="M2208" s="110" t="n"/>
      <c r="N2208" s="54" t="n"/>
      <c r="O2208" s="54" t="n"/>
      <c r="P2208" s="54" t="n"/>
      <c r="Q2208" s="110" t="n"/>
      <c r="R2208" s="110" t="n"/>
      <c r="S2208" s="54" t="n"/>
      <c r="T2208" s="111">
        <f>IF($G2208="","",IFERROR(INDEX(Taux_Devises,MATCH(IF($M2208="",Devise_Base,$M2208),Codes_Devises,0)),1))</f>
        <v/>
      </c>
      <c r="U2208" s="112">
        <f>IF($G2208="","",ROUND($G2208*$T2208,2))</f>
        <v/>
      </c>
      <c r="V2208" s="113">
        <f>IF($B2208="","",MONTH($B2208))</f>
        <v/>
      </c>
      <c r="W2208" s="113">
        <f>IF($B2208="","",YEAR($B2208))</f>
        <v/>
      </c>
    </row>
    <row r="2209">
      <c r="B2209" s="105" t="n"/>
      <c r="C2209" s="54" t="n"/>
      <c r="D2209" s="54" t="n"/>
      <c r="E2209" s="54" t="n"/>
      <c r="F2209" s="54" t="n"/>
      <c r="G2209" s="65" t="n"/>
      <c r="H2209" s="54" t="n"/>
      <c r="I2209" s="106">
        <f>IF($C2209="","",IFERROR(INDEX(Sens_Types,MATCH($C2209,Liste_Types,0)),""))</f>
        <v/>
      </c>
      <c r="J2209" s="107">
        <f>IF($I2209="▲ ENTRÉE",$U2209,"")</f>
        <v/>
      </c>
      <c r="K2209" s="108">
        <f>IF($I2209="▼ SORTIE",$U2209,"")</f>
        <v/>
      </c>
      <c r="L2209" s="109">
        <f>$L2208+N($J2209)-N($K2209)</f>
        <v/>
      </c>
      <c r="M2209" s="110" t="n"/>
      <c r="N2209" s="54" t="n"/>
      <c r="O2209" s="54" t="n"/>
      <c r="P2209" s="54" t="n"/>
      <c r="Q2209" s="110" t="n"/>
      <c r="R2209" s="110" t="n"/>
      <c r="S2209" s="54" t="n"/>
      <c r="T2209" s="111">
        <f>IF($G2209="","",IFERROR(INDEX(Taux_Devises,MATCH(IF($M2209="",Devise_Base,$M2209),Codes_Devises,0)),1))</f>
        <v/>
      </c>
      <c r="U2209" s="112">
        <f>IF($G2209="","",ROUND($G2209*$T2209,2))</f>
        <v/>
      </c>
      <c r="V2209" s="113">
        <f>IF($B2209="","",MONTH($B2209))</f>
        <v/>
      </c>
      <c r="W2209" s="113">
        <f>IF($B2209="","",YEAR($B2209))</f>
        <v/>
      </c>
    </row>
    <row r="2210">
      <c r="B2210" s="105" t="n"/>
      <c r="C2210" s="54" t="n"/>
      <c r="D2210" s="54" t="n"/>
      <c r="E2210" s="54" t="n"/>
      <c r="F2210" s="54" t="n"/>
      <c r="G2210" s="65" t="n"/>
      <c r="H2210" s="54" t="n"/>
      <c r="I2210" s="106">
        <f>IF($C2210="","",IFERROR(INDEX(Sens_Types,MATCH($C2210,Liste_Types,0)),""))</f>
        <v/>
      </c>
      <c r="J2210" s="107">
        <f>IF($I2210="▲ ENTRÉE",$U2210,"")</f>
        <v/>
      </c>
      <c r="K2210" s="108">
        <f>IF($I2210="▼ SORTIE",$U2210,"")</f>
        <v/>
      </c>
      <c r="L2210" s="109">
        <f>$L2209+N($J2210)-N($K2210)</f>
        <v/>
      </c>
      <c r="M2210" s="110" t="n"/>
      <c r="N2210" s="54" t="n"/>
      <c r="O2210" s="54" t="n"/>
      <c r="P2210" s="54" t="n"/>
      <c r="Q2210" s="110" t="n"/>
      <c r="R2210" s="110" t="n"/>
      <c r="S2210" s="54" t="n"/>
      <c r="T2210" s="111">
        <f>IF($G2210="","",IFERROR(INDEX(Taux_Devises,MATCH(IF($M2210="",Devise_Base,$M2210),Codes_Devises,0)),1))</f>
        <v/>
      </c>
      <c r="U2210" s="112">
        <f>IF($G2210="","",ROUND($G2210*$T2210,2))</f>
        <v/>
      </c>
      <c r="V2210" s="113">
        <f>IF($B2210="","",MONTH($B2210))</f>
        <v/>
      </c>
      <c r="W2210" s="113">
        <f>IF($B2210="","",YEAR($B2210))</f>
        <v/>
      </c>
    </row>
    <row r="2211">
      <c r="B2211" s="105" t="n"/>
      <c r="C2211" s="54" t="n"/>
      <c r="D2211" s="54" t="n"/>
      <c r="E2211" s="54" t="n"/>
      <c r="F2211" s="54" t="n"/>
      <c r="G2211" s="65" t="n"/>
      <c r="H2211" s="54" t="n"/>
      <c r="I2211" s="106">
        <f>IF($C2211="","",IFERROR(INDEX(Sens_Types,MATCH($C2211,Liste_Types,0)),""))</f>
        <v/>
      </c>
      <c r="J2211" s="107">
        <f>IF($I2211="▲ ENTRÉE",$U2211,"")</f>
        <v/>
      </c>
      <c r="K2211" s="108">
        <f>IF($I2211="▼ SORTIE",$U2211,"")</f>
        <v/>
      </c>
      <c r="L2211" s="109">
        <f>$L2210+N($J2211)-N($K2211)</f>
        <v/>
      </c>
      <c r="M2211" s="110" t="n"/>
      <c r="N2211" s="54" t="n"/>
      <c r="O2211" s="54" t="n"/>
      <c r="P2211" s="54" t="n"/>
      <c r="Q2211" s="110" t="n"/>
      <c r="R2211" s="110" t="n"/>
      <c r="S2211" s="54" t="n"/>
      <c r="T2211" s="111">
        <f>IF($G2211="","",IFERROR(INDEX(Taux_Devises,MATCH(IF($M2211="",Devise_Base,$M2211),Codes_Devises,0)),1))</f>
        <v/>
      </c>
      <c r="U2211" s="112">
        <f>IF($G2211="","",ROUND($G2211*$T2211,2))</f>
        <v/>
      </c>
      <c r="V2211" s="113">
        <f>IF($B2211="","",MONTH($B2211))</f>
        <v/>
      </c>
      <c r="W2211" s="113">
        <f>IF($B2211="","",YEAR($B2211))</f>
        <v/>
      </c>
    </row>
    <row r="2212">
      <c r="B2212" s="105" t="n"/>
      <c r="C2212" s="54" t="n"/>
      <c r="D2212" s="54" t="n"/>
      <c r="E2212" s="54" t="n"/>
      <c r="F2212" s="54" t="n"/>
      <c r="G2212" s="65" t="n"/>
      <c r="H2212" s="54" t="n"/>
      <c r="I2212" s="106">
        <f>IF($C2212="","",IFERROR(INDEX(Sens_Types,MATCH($C2212,Liste_Types,0)),""))</f>
        <v/>
      </c>
      <c r="J2212" s="107">
        <f>IF($I2212="▲ ENTRÉE",$U2212,"")</f>
        <v/>
      </c>
      <c r="K2212" s="108">
        <f>IF($I2212="▼ SORTIE",$U2212,"")</f>
        <v/>
      </c>
      <c r="L2212" s="109">
        <f>$L2211+N($J2212)-N($K2212)</f>
        <v/>
      </c>
      <c r="M2212" s="110" t="n"/>
      <c r="N2212" s="54" t="n"/>
      <c r="O2212" s="54" t="n"/>
      <c r="P2212" s="54" t="n"/>
      <c r="Q2212" s="110" t="n"/>
      <c r="R2212" s="110" t="n"/>
      <c r="S2212" s="54" t="n"/>
      <c r="T2212" s="111">
        <f>IF($G2212="","",IFERROR(INDEX(Taux_Devises,MATCH(IF($M2212="",Devise_Base,$M2212),Codes_Devises,0)),1))</f>
        <v/>
      </c>
      <c r="U2212" s="112">
        <f>IF($G2212="","",ROUND($G2212*$T2212,2))</f>
        <v/>
      </c>
      <c r="V2212" s="113">
        <f>IF($B2212="","",MONTH($B2212))</f>
        <v/>
      </c>
      <c r="W2212" s="113">
        <f>IF($B2212="","",YEAR($B2212))</f>
        <v/>
      </c>
    </row>
    <row r="2213">
      <c r="B2213" s="105" t="n"/>
      <c r="C2213" s="54" t="n"/>
      <c r="D2213" s="54" t="n"/>
      <c r="E2213" s="54" t="n"/>
      <c r="F2213" s="54" t="n"/>
      <c r="G2213" s="65" t="n"/>
      <c r="H2213" s="54" t="n"/>
      <c r="I2213" s="106">
        <f>IF($C2213="","",IFERROR(INDEX(Sens_Types,MATCH($C2213,Liste_Types,0)),""))</f>
        <v/>
      </c>
      <c r="J2213" s="107">
        <f>IF($I2213="▲ ENTRÉE",$U2213,"")</f>
        <v/>
      </c>
      <c r="K2213" s="108">
        <f>IF($I2213="▼ SORTIE",$U2213,"")</f>
        <v/>
      </c>
      <c r="L2213" s="109">
        <f>$L2212+N($J2213)-N($K2213)</f>
        <v/>
      </c>
      <c r="M2213" s="110" t="n"/>
      <c r="N2213" s="54" t="n"/>
      <c r="O2213" s="54" t="n"/>
      <c r="P2213" s="54" t="n"/>
      <c r="Q2213" s="110" t="n"/>
      <c r="R2213" s="110" t="n"/>
      <c r="S2213" s="54" t="n"/>
      <c r="T2213" s="111">
        <f>IF($G2213="","",IFERROR(INDEX(Taux_Devises,MATCH(IF($M2213="",Devise_Base,$M2213),Codes_Devises,0)),1))</f>
        <v/>
      </c>
      <c r="U2213" s="112">
        <f>IF($G2213="","",ROUND($G2213*$T2213,2))</f>
        <v/>
      </c>
      <c r="V2213" s="113">
        <f>IF($B2213="","",MONTH($B2213))</f>
        <v/>
      </c>
      <c r="W2213" s="113">
        <f>IF($B2213="","",YEAR($B2213))</f>
        <v/>
      </c>
    </row>
    <row r="2214">
      <c r="B2214" s="105" t="n"/>
      <c r="C2214" s="54" t="n"/>
      <c r="D2214" s="54" t="n"/>
      <c r="E2214" s="54" t="n"/>
      <c r="F2214" s="54" t="n"/>
      <c r="G2214" s="65" t="n"/>
      <c r="H2214" s="54" t="n"/>
      <c r="I2214" s="106">
        <f>IF($C2214="","",IFERROR(INDEX(Sens_Types,MATCH($C2214,Liste_Types,0)),""))</f>
        <v/>
      </c>
      <c r="J2214" s="107">
        <f>IF($I2214="▲ ENTRÉE",$U2214,"")</f>
        <v/>
      </c>
      <c r="K2214" s="108">
        <f>IF($I2214="▼ SORTIE",$U2214,"")</f>
        <v/>
      </c>
      <c r="L2214" s="109">
        <f>$L2213+N($J2214)-N($K2214)</f>
        <v/>
      </c>
      <c r="M2214" s="110" t="n"/>
      <c r="N2214" s="54" t="n"/>
      <c r="O2214" s="54" t="n"/>
      <c r="P2214" s="54" t="n"/>
      <c r="Q2214" s="110" t="n"/>
      <c r="R2214" s="110" t="n"/>
      <c r="S2214" s="54" t="n"/>
      <c r="T2214" s="111">
        <f>IF($G2214="","",IFERROR(INDEX(Taux_Devises,MATCH(IF($M2214="",Devise_Base,$M2214),Codes_Devises,0)),1))</f>
        <v/>
      </c>
      <c r="U2214" s="112">
        <f>IF($G2214="","",ROUND($G2214*$T2214,2))</f>
        <v/>
      </c>
      <c r="V2214" s="113">
        <f>IF($B2214="","",MONTH($B2214))</f>
        <v/>
      </c>
      <c r="W2214" s="113">
        <f>IF($B2214="","",YEAR($B2214))</f>
        <v/>
      </c>
    </row>
    <row r="2215">
      <c r="B2215" s="105" t="n"/>
      <c r="C2215" s="54" t="n"/>
      <c r="D2215" s="54" t="n"/>
      <c r="E2215" s="54" t="n"/>
      <c r="F2215" s="54" t="n"/>
      <c r="G2215" s="65" t="n"/>
      <c r="H2215" s="54" t="n"/>
      <c r="I2215" s="106">
        <f>IF($C2215="","",IFERROR(INDEX(Sens_Types,MATCH($C2215,Liste_Types,0)),""))</f>
        <v/>
      </c>
      <c r="J2215" s="107">
        <f>IF($I2215="▲ ENTRÉE",$U2215,"")</f>
        <v/>
      </c>
      <c r="K2215" s="108">
        <f>IF($I2215="▼ SORTIE",$U2215,"")</f>
        <v/>
      </c>
      <c r="L2215" s="109">
        <f>$L2214+N($J2215)-N($K2215)</f>
        <v/>
      </c>
      <c r="M2215" s="110" t="n"/>
      <c r="N2215" s="54" t="n"/>
      <c r="O2215" s="54" t="n"/>
      <c r="P2215" s="54" t="n"/>
      <c r="Q2215" s="110" t="n"/>
      <c r="R2215" s="110" t="n"/>
      <c r="S2215" s="54" t="n"/>
      <c r="T2215" s="111">
        <f>IF($G2215="","",IFERROR(INDEX(Taux_Devises,MATCH(IF($M2215="",Devise_Base,$M2215),Codes_Devises,0)),1))</f>
        <v/>
      </c>
      <c r="U2215" s="112">
        <f>IF($G2215="","",ROUND($G2215*$T2215,2))</f>
        <v/>
      </c>
      <c r="V2215" s="113">
        <f>IF($B2215="","",MONTH($B2215))</f>
        <v/>
      </c>
      <c r="W2215" s="113">
        <f>IF($B2215="","",YEAR($B2215))</f>
        <v/>
      </c>
    </row>
    <row r="2216">
      <c r="B2216" s="105" t="n"/>
      <c r="C2216" s="54" t="n"/>
      <c r="D2216" s="54" t="n"/>
      <c r="E2216" s="54" t="n"/>
      <c r="F2216" s="54" t="n"/>
      <c r="G2216" s="65" t="n"/>
      <c r="H2216" s="54" t="n"/>
      <c r="I2216" s="106">
        <f>IF($C2216="","",IFERROR(INDEX(Sens_Types,MATCH($C2216,Liste_Types,0)),""))</f>
        <v/>
      </c>
      <c r="J2216" s="107">
        <f>IF($I2216="▲ ENTRÉE",$U2216,"")</f>
        <v/>
      </c>
      <c r="K2216" s="108">
        <f>IF($I2216="▼ SORTIE",$U2216,"")</f>
        <v/>
      </c>
      <c r="L2216" s="109">
        <f>$L2215+N($J2216)-N($K2216)</f>
        <v/>
      </c>
      <c r="M2216" s="110" t="n"/>
      <c r="N2216" s="54" t="n"/>
      <c r="O2216" s="54" t="n"/>
      <c r="P2216" s="54" t="n"/>
      <c r="Q2216" s="110" t="n"/>
      <c r="R2216" s="110" t="n"/>
      <c r="S2216" s="54" t="n"/>
      <c r="T2216" s="111">
        <f>IF($G2216="","",IFERROR(INDEX(Taux_Devises,MATCH(IF($M2216="",Devise_Base,$M2216),Codes_Devises,0)),1))</f>
        <v/>
      </c>
      <c r="U2216" s="112">
        <f>IF($G2216="","",ROUND($G2216*$T2216,2))</f>
        <v/>
      </c>
      <c r="V2216" s="113">
        <f>IF($B2216="","",MONTH($B2216))</f>
        <v/>
      </c>
      <c r="W2216" s="113">
        <f>IF($B2216="","",YEAR($B2216))</f>
        <v/>
      </c>
    </row>
    <row r="2217">
      <c r="B2217" s="105" t="n"/>
      <c r="C2217" s="54" t="n"/>
      <c r="D2217" s="54" t="n"/>
      <c r="E2217" s="54" t="n"/>
      <c r="F2217" s="54" t="n"/>
      <c r="G2217" s="65" t="n"/>
      <c r="H2217" s="54" t="n"/>
      <c r="I2217" s="106">
        <f>IF($C2217="","",IFERROR(INDEX(Sens_Types,MATCH($C2217,Liste_Types,0)),""))</f>
        <v/>
      </c>
      <c r="J2217" s="107">
        <f>IF($I2217="▲ ENTRÉE",$U2217,"")</f>
        <v/>
      </c>
      <c r="K2217" s="108">
        <f>IF($I2217="▼ SORTIE",$U2217,"")</f>
        <v/>
      </c>
      <c r="L2217" s="109">
        <f>$L2216+N($J2217)-N($K2217)</f>
        <v/>
      </c>
      <c r="M2217" s="110" t="n"/>
      <c r="N2217" s="54" t="n"/>
      <c r="O2217" s="54" t="n"/>
      <c r="P2217" s="54" t="n"/>
      <c r="Q2217" s="110" t="n"/>
      <c r="R2217" s="110" t="n"/>
      <c r="S2217" s="54" t="n"/>
      <c r="T2217" s="111">
        <f>IF($G2217="","",IFERROR(INDEX(Taux_Devises,MATCH(IF($M2217="",Devise_Base,$M2217),Codes_Devises,0)),1))</f>
        <v/>
      </c>
      <c r="U2217" s="112">
        <f>IF($G2217="","",ROUND($G2217*$T2217,2))</f>
        <v/>
      </c>
      <c r="V2217" s="113">
        <f>IF($B2217="","",MONTH($B2217))</f>
        <v/>
      </c>
      <c r="W2217" s="113">
        <f>IF($B2217="","",YEAR($B2217))</f>
        <v/>
      </c>
    </row>
    <row r="2218">
      <c r="B2218" s="105" t="n"/>
      <c r="C2218" s="54" t="n"/>
      <c r="D2218" s="54" t="n"/>
      <c r="E2218" s="54" t="n"/>
      <c r="F2218" s="54" t="n"/>
      <c r="G2218" s="65" t="n"/>
      <c r="H2218" s="54" t="n"/>
      <c r="I2218" s="106">
        <f>IF($C2218="","",IFERROR(INDEX(Sens_Types,MATCH($C2218,Liste_Types,0)),""))</f>
        <v/>
      </c>
      <c r="J2218" s="107">
        <f>IF($I2218="▲ ENTRÉE",$U2218,"")</f>
        <v/>
      </c>
      <c r="K2218" s="108">
        <f>IF($I2218="▼ SORTIE",$U2218,"")</f>
        <v/>
      </c>
      <c r="L2218" s="109">
        <f>$L2217+N($J2218)-N($K2218)</f>
        <v/>
      </c>
      <c r="M2218" s="110" t="n"/>
      <c r="N2218" s="54" t="n"/>
      <c r="O2218" s="54" t="n"/>
      <c r="P2218" s="54" t="n"/>
      <c r="Q2218" s="110" t="n"/>
      <c r="R2218" s="110" t="n"/>
      <c r="S2218" s="54" t="n"/>
      <c r="T2218" s="111">
        <f>IF($G2218="","",IFERROR(INDEX(Taux_Devises,MATCH(IF($M2218="",Devise_Base,$M2218),Codes_Devises,0)),1))</f>
        <v/>
      </c>
      <c r="U2218" s="112">
        <f>IF($G2218="","",ROUND($G2218*$T2218,2))</f>
        <v/>
      </c>
      <c r="V2218" s="113">
        <f>IF($B2218="","",MONTH($B2218))</f>
        <v/>
      </c>
      <c r="W2218" s="113">
        <f>IF($B2218="","",YEAR($B2218))</f>
        <v/>
      </c>
    </row>
    <row r="2219">
      <c r="B2219" s="105" t="n"/>
      <c r="C2219" s="54" t="n"/>
      <c r="D2219" s="54" t="n"/>
      <c r="E2219" s="54" t="n"/>
      <c r="F2219" s="54" t="n"/>
      <c r="G2219" s="65" t="n"/>
      <c r="H2219" s="54" t="n"/>
      <c r="I2219" s="106">
        <f>IF($C2219="","",IFERROR(INDEX(Sens_Types,MATCH($C2219,Liste_Types,0)),""))</f>
        <v/>
      </c>
      <c r="J2219" s="107">
        <f>IF($I2219="▲ ENTRÉE",$U2219,"")</f>
        <v/>
      </c>
      <c r="K2219" s="108">
        <f>IF($I2219="▼ SORTIE",$U2219,"")</f>
        <v/>
      </c>
      <c r="L2219" s="109">
        <f>$L2218+N($J2219)-N($K2219)</f>
        <v/>
      </c>
      <c r="M2219" s="110" t="n"/>
      <c r="N2219" s="54" t="n"/>
      <c r="O2219" s="54" t="n"/>
      <c r="P2219" s="54" t="n"/>
      <c r="Q2219" s="110" t="n"/>
      <c r="R2219" s="110" t="n"/>
      <c r="S2219" s="54" t="n"/>
      <c r="T2219" s="111">
        <f>IF($G2219="","",IFERROR(INDEX(Taux_Devises,MATCH(IF($M2219="",Devise_Base,$M2219),Codes_Devises,0)),1))</f>
        <v/>
      </c>
      <c r="U2219" s="112">
        <f>IF($G2219="","",ROUND($G2219*$T2219,2))</f>
        <v/>
      </c>
      <c r="V2219" s="113">
        <f>IF($B2219="","",MONTH($B2219))</f>
        <v/>
      </c>
      <c r="W2219" s="113">
        <f>IF($B2219="","",YEAR($B2219))</f>
        <v/>
      </c>
    </row>
    <row r="2220">
      <c r="B2220" s="105" t="n"/>
      <c r="C2220" s="54" t="n"/>
      <c r="D2220" s="54" t="n"/>
      <c r="E2220" s="54" t="n"/>
      <c r="F2220" s="54" t="n"/>
      <c r="G2220" s="65" t="n"/>
      <c r="H2220" s="54" t="n"/>
      <c r="I2220" s="106">
        <f>IF($C2220="","",IFERROR(INDEX(Sens_Types,MATCH($C2220,Liste_Types,0)),""))</f>
        <v/>
      </c>
      <c r="J2220" s="107">
        <f>IF($I2220="▲ ENTRÉE",$U2220,"")</f>
        <v/>
      </c>
      <c r="K2220" s="108">
        <f>IF($I2220="▼ SORTIE",$U2220,"")</f>
        <v/>
      </c>
      <c r="L2220" s="109">
        <f>$L2219+N($J2220)-N($K2220)</f>
        <v/>
      </c>
      <c r="M2220" s="110" t="n"/>
      <c r="N2220" s="54" t="n"/>
      <c r="O2220" s="54" t="n"/>
      <c r="P2220" s="54" t="n"/>
      <c r="Q2220" s="110" t="n"/>
      <c r="R2220" s="110" t="n"/>
      <c r="S2220" s="54" t="n"/>
      <c r="T2220" s="111">
        <f>IF($G2220="","",IFERROR(INDEX(Taux_Devises,MATCH(IF($M2220="",Devise_Base,$M2220),Codes_Devises,0)),1))</f>
        <v/>
      </c>
      <c r="U2220" s="112">
        <f>IF($G2220="","",ROUND($G2220*$T2220,2))</f>
        <v/>
      </c>
      <c r="V2220" s="113">
        <f>IF($B2220="","",MONTH($B2220))</f>
        <v/>
      </c>
      <c r="W2220" s="113">
        <f>IF($B2220="","",YEAR($B2220))</f>
        <v/>
      </c>
    </row>
    <row r="2221">
      <c r="B2221" s="105" t="n"/>
      <c r="C2221" s="54" t="n"/>
      <c r="D2221" s="54" t="n"/>
      <c r="E2221" s="54" t="n"/>
      <c r="F2221" s="54" t="n"/>
      <c r="G2221" s="65" t="n"/>
      <c r="H2221" s="54" t="n"/>
      <c r="I2221" s="106">
        <f>IF($C2221="","",IFERROR(INDEX(Sens_Types,MATCH($C2221,Liste_Types,0)),""))</f>
        <v/>
      </c>
      <c r="J2221" s="107">
        <f>IF($I2221="▲ ENTRÉE",$U2221,"")</f>
        <v/>
      </c>
      <c r="K2221" s="108">
        <f>IF($I2221="▼ SORTIE",$U2221,"")</f>
        <v/>
      </c>
      <c r="L2221" s="109">
        <f>$L2220+N($J2221)-N($K2221)</f>
        <v/>
      </c>
      <c r="M2221" s="110" t="n"/>
      <c r="N2221" s="54" t="n"/>
      <c r="O2221" s="54" t="n"/>
      <c r="P2221" s="54" t="n"/>
      <c r="Q2221" s="110" t="n"/>
      <c r="R2221" s="110" t="n"/>
      <c r="S2221" s="54" t="n"/>
      <c r="T2221" s="111">
        <f>IF($G2221="","",IFERROR(INDEX(Taux_Devises,MATCH(IF($M2221="",Devise_Base,$M2221),Codes_Devises,0)),1))</f>
        <v/>
      </c>
      <c r="U2221" s="112">
        <f>IF($G2221="","",ROUND($G2221*$T2221,2))</f>
        <v/>
      </c>
      <c r="V2221" s="113">
        <f>IF($B2221="","",MONTH($B2221))</f>
        <v/>
      </c>
      <c r="W2221" s="113">
        <f>IF($B2221="","",YEAR($B2221))</f>
        <v/>
      </c>
    </row>
    <row r="2222">
      <c r="B2222" s="105" t="n"/>
      <c r="C2222" s="54" t="n"/>
      <c r="D2222" s="54" t="n"/>
      <c r="E2222" s="54" t="n"/>
      <c r="F2222" s="54" t="n"/>
      <c r="G2222" s="65" t="n"/>
      <c r="H2222" s="54" t="n"/>
      <c r="I2222" s="106">
        <f>IF($C2222="","",IFERROR(INDEX(Sens_Types,MATCH($C2222,Liste_Types,0)),""))</f>
        <v/>
      </c>
      <c r="J2222" s="107">
        <f>IF($I2222="▲ ENTRÉE",$U2222,"")</f>
        <v/>
      </c>
      <c r="K2222" s="108">
        <f>IF($I2222="▼ SORTIE",$U2222,"")</f>
        <v/>
      </c>
      <c r="L2222" s="109">
        <f>$L2221+N($J2222)-N($K2222)</f>
        <v/>
      </c>
      <c r="M2222" s="110" t="n"/>
      <c r="N2222" s="54" t="n"/>
      <c r="O2222" s="54" t="n"/>
      <c r="P2222" s="54" t="n"/>
      <c r="Q2222" s="110" t="n"/>
      <c r="R2222" s="110" t="n"/>
      <c r="S2222" s="54" t="n"/>
      <c r="T2222" s="111">
        <f>IF($G2222="","",IFERROR(INDEX(Taux_Devises,MATCH(IF($M2222="",Devise_Base,$M2222),Codes_Devises,0)),1))</f>
        <v/>
      </c>
      <c r="U2222" s="112">
        <f>IF($G2222="","",ROUND($G2222*$T2222,2))</f>
        <v/>
      </c>
      <c r="V2222" s="113">
        <f>IF($B2222="","",MONTH($B2222))</f>
        <v/>
      </c>
      <c r="W2222" s="113">
        <f>IF($B2222="","",YEAR($B2222))</f>
        <v/>
      </c>
    </row>
    <row r="2223">
      <c r="B2223" s="105" t="n"/>
      <c r="C2223" s="54" t="n"/>
      <c r="D2223" s="54" t="n"/>
      <c r="E2223" s="54" t="n"/>
      <c r="F2223" s="54" t="n"/>
      <c r="G2223" s="65" t="n"/>
      <c r="H2223" s="54" t="n"/>
      <c r="I2223" s="106">
        <f>IF($C2223="","",IFERROR(INDEX(Sens_Types,MATCH($C2223,Liste_Types,0)),""))</f>
        <v/>
      </c>
      <c r="J2223" s="107">
        <f>IF($I2223="▲ ENTRÉE",$U2223,"")</f>
        <v/>
      </c>
      <c r="K2223" s="108">
        <f>IF($I2223="▼ SORTIE",$U2223,"")</f>
        <v/>
      </c>
      <c r="L2223" s="109">
        <f>$L2222+N($J2223)-N($K2223)</f>
        <v/>
      </c>
      <c r="M2223" s="110" t="n"/>
      <c r="N2223" s="54" t="n"/>
      <c r="O2223" s="54" t="n"/>
      <c r="P2223" s="54" t="n"/>
      <c r="Q2223" s="110" t="n"/>
      <c r="R2223" s="110" t="n"/>
      <c r="S2223" s="54" t="n"/>
      <c r="T2223" s="111">
        <f>IF($G2223="","",IFERROR(INDEX(Taux_Devises,MATCH(IF($M2223="",Devise_Base,$M2223),Codes_Devises,0)),1))</f>
        <v/>
      </c>
      <c r="U2223" s="112">
        <f>IF($G2223="","",ROUND($G2223*$T2223,2))</f>
        <v/>
      </c>
      <c r="V2223" s="113">
        <f>IF($B2223="","",MONTH($B2223))</f>
        <v/>
      </c>
      <c r="W2223" s="113">
        <f>IF($B2223="","",YEAR($B2223))</f>
        <v/>
      </c>
    </row>
    <row r="2224">
      <c r="B2224" s="105" t="n"/>
      <c r="C2224" s="54" t="n"/>
      <c r="D2224" s="54" t="n"/>
      <c r="E2224" s="54" t="n"/>
      <c r="F2224" s="54" t="n"/>
      <c r="G2224" s="65" t="n"/>
      <c r="H2224" s="54" t="n"/>
      <c r="I2224" s="106">
        <f>IF($C2224="","",IFERROR(INDEX(Sens_Types,MATCH($C2224,Liste_Types,0)),""))</f>
        <v/>
      </c>
      <c r="J2224" s="107">
        <f>IF($I2224="▲ ENTRÉE",$U2224,"")</f>
        <v/>
      </c>
      <c r="K2224" s="108">
        <f>IF($I2224="▼ SORTIE",$U2224,"")</f>
        <v/>
      </c>
      <c r="L2224" s="109">
        <f>$L2223+N($J2224)-N($K2224)</f>
        <v/>
      </c>
      <c r="M2224" s="110" t="n"/>
      <c r="N2224" s="54" t="n"/>
      <c r="O2224" s="54" t="n"/>
      <c r="P2224" s="54" t="n"/>
      <c r="Q2224" s="110" t="n"/>
      <c r="R2224" s="110" t="n"/>
      <c r="S2224" s="54" t="n"/>
      <c r="T2224" s="111">
        <f>IF($G2224="","",IFERROR(INDEX(Taux_Devises,MATCH(IF($M2224="",Devise_Base,$M2224),Codes_Devises,0)),1))</f>
        <v/>
      </c>
      <c r="U2224" s="112">
        <f>IF($G2224="","",ROUND($G2224*$T2224,2))</f>
        <v/>
      </c>
      <c r="V2224" s="113">
        <f>IF($B2224="","",MONTH($B2224))</f>
        <v/>
      </c>
      <c r="W2224" s="113">
        <f>IF($B2224="","",YEAR($B2224))</f>
        <v/>
      </c>
    </row>
    <row r="2225">
      <c r="B2225" s="105" t="n"/>
      <c r="C2225" s="54" t="n"/>
      <c r="D2225" s="54" t="n"/>
      <c r="E2225" s="54" t="n"/>
      <c r="F2225" s="54" t="n"/>
      <c r="G2225" s="65" t="n"/>
      <c r="H2225" s="54" t="n"/>
      <c r="I2225" s="106">
        <f>IF($C2225="","",IFERROR(INDEX(Sens_Types,MATCH($C2225,Liste_Types,0)),""))</f>
        <v/>
      </c>
      <c r="J2225" s="107">
        <f>IF($I2225="▲ ENTRÉE",$U2225,"")</f>
        <v/>
      </c>
      <c r="K2225" s="108">
        <f>IF($I2225="▼ SORTIE",$U2225,"")</f>
        <v/>
      </c>
      <c r="L2225" s="109">
        <f>$L2224+N($J2225)-N($K2225)</f>
        <v/>
      </c>
      <c r="M2225" s="110" t="n"/>
      <c r="N2225" s="54" t="n"/>
      <c r="O2225" s="54" t="n"/>
      <c r="P2225" s="54" t="n"/>
      <c r="Q2225" s="110" t="n"/>
      <c r="R2225" s="110" t="n"/>
      <c r="S2225" s="54" t="n"/>
      <c r="T2225" s="111">
        <f>IF($G2225="","",IFERROR(INDEX(Taux_Devises,MATCH(IF($M2225="",Devise_Base,$M2225),Codes_Devises,0)),1))</f>
        <v/>
      </c>
      <c r="U2225" s="112">
        <f>IF($G2225="","",ROUND($G2225*$T2225,2))</f>
        <v/>
      </c>
      <c r="V2225" s="113">
        <f>IF($B2225="","",MONTH($B2225))</f>
        <v/>
      </c>
      <c r="W2225" s="113">
        <f>IF($B2225="","",YEAR($B2225))</f>
        <v/>
      </c>
    </row>
    <row r="2226">
      <c r="B2226" s="105" t="n"/>
      <c r="C2226" s="54" t="n"/>
      <c r="D2226" s="54" t="n"/>
      <c r="E2226" s="54" t="n"/>
      <c r="F2226" s="54" t="n"/>
      <c r="G2226" s="65" t="n"/>
      <c r="H2226" s="54" t="n"/>
      <c r="I2226" s="106">
        <f>IF($C2226="","",IFERROR(INDEX(Sens_Types,MATCH($C2226,Liste_Types,0)),""))</f>
        <v/>
      </c>
      <c r="J2226" s="107">
        <f>IF($I2226="▲ ENTRÉE",$U2226,"")</f>
        <v/>
      </c>
      <c r="K2226" s="108">
        <f>IF($I2226="▼ SORTIE",$U2226,"")</f>
        <v/>
      </c>
      <c r="L2226" s="109">
        <f>$L2225+N($J2226)-N($K2226)</f>
        <v/>
      </c>
      <c r="M2226" s="110" t="n"/>
      <c r="N2226" s="54" t="n"/>
      <c r="O2226" s="54" t="n"/>
      <c r="P2226" s="54" t="n"/>
      <c r="Q2226" s="110" t="n"/>
      <c r="R2226" s="110" t="n"/>
      <c r="S2226" s="54" t="n"/>
      <c r="T2226" s="111">
        <f>IF($G2226="","",IFERROR(INDEX(Taux_Devises,MATCH(IF($M2226="",Devise_Base,$M2226),Codes_Devises,0)),1))</f>
        <v/>
      </c>
      <c r="U2226" s="112">
        <f>IF($G2226="","",ROUND($G2226*$T2226,2))</f>
        <v/>
      </c>
      <c r="V2226" s="113">
        <f>IF($B2226="","",MONTH($B2226))</f>
        <v/>
      </c>
      <c r="W2226" s="113">
        <f>IF($B2226="","",YEAR($B2226))</f>
        <v/>
      </c>
    </row>
    <row r="2227">
      <c r="B2227" s="105" t="n"/>
      <c r="C2227" s="54" t="n"/>
      <c r="D2227" s="54" t="n"/>
      <c r="E2227" s="54" t="n"/>
      <c r="F2227" s="54" t="n"/>
      <c r="G2227" s="65" t="n"/>
      <c r="H2227" s="54" t="n"/>
      <c r="I2227" s="106">
        <f>IF($C2227="","",IFERROR(INDEX(Sens_Types,MATCH($C2227,Liste_Types,0)),""))</f>
        <v/>
      </c>
      <c r="J2227" s="107">
        <f>IF($I2227="▲ ENTRÉE",$U2227,"")</f>
        <v/>
      </c>
      <c r="K2227" s="108">
        <f>IF($I2227="▼ SORTIE",$U2227,"")</f>
        <v/>
      </c>
      <c r="L2227" s="109">
        <f>$L2226+N($J2227)-N($K2227)</f>
        <v/>
      </c>
      <c r="M2227" s="110" t="n"/>
      <c r="N2227" s="54" t="n"/>
      <c r="O2227" s="54" t="n"/>
      <c r="P2227" s="54" t="n"/>
      <c r="Q2227" s="110" t="n"/>
      <c r="R2227" s="110" t="n"/>
      <c r="S2227" s="54" t="n"/>
      <c r="T2227" s="111">
        <f>IF($G2227="","",IFERROR(INDEX(Taux_Devises,MATCH(IF($M2227="",Devise_Base,$M2227),Codes_Devises,0)),1))</f>
        <v/>
      </c>
      <c r="U2227" s="112">
        <f>IF($G2227="","",ROUND($G2227*$T2227,2))</f>
        <v/>
      </c>
      <c r="V2227" s="113">
        <f>IF($B2227="","",MONTH($B2227))</f>
        <v/>
      </c>
      <c r="W2227" s="113">
        <f>IF($B2227="","",YEAR($B2227))</f>
        <v/>
      </c>
    </row>
    <row r="2228">
      <c r="B2228" s="105" t="n"/>
      <c r="C2228" s="54" t="n"/>
      <c r="D2228" s="54" t="n"/>
      <c r="E2228" s="54" t="n"/>
      <c r="F2228" s="54" t="n"/>
      <c r="G2228" s="65" t="n"/>
      <c r="H2228" s="54" t="n"/>
      <c r="I2228" s="106">
        <f>IF($C2228="","",IFERROR(INDEX(Sens_Types,MATCH($C2228,Liste_Types,0)),""))</f>
        <v/>
      </c>
      <c r="J2228" s="107">
        <f>IF($I2228="▲ ENTRÉE",$U2228,"")</f>
        <v/>
      </c>
      <c r="K2228" s="108">
        <f>IF($I2228="▼ SORTIE",$U2228,"")</f>
        <v/>
      </c>
      <c r="L2228" s="109">
        <f>$L2227+N($J2228)-N($K2228)</f>
        <v/>
      </c>
      <c r="M2228" s="110" t="n"/>
      <c r="N2228" s="54" t="n"/>
      <c r="O2228" s="54" t="n"/>
      <c r="P2228" s="54" t="n"/>
      <c r="Q2228" s="110" t="n"/>
      <c r="R2228" s="110" t="n"/>
      <c r="S2228" s="54" t="n"/>
      <c r="T2228" s="111">
        <f>IF($G2228="","",IFERROR(INDEX(Taux_Devises,MATCH(IF($M2228="",Devise_Base,$M2228),Codes_Devises,0)),1))</f>
        <v/>
      </c>
      <c r="U2228" s="112">
        <f>IF($G2228="","",ROUND($G2228*$T2228,2))</f>
        <v/>
      </c>
      <c r="V2228" s="113">
        <f>IF($B2228="","",MONTH($B2228))</f>
        <v/>
      </c>
      <c r="W2228" s="113">
        <f>IF($B2228="","",YEAR($B2228))</f>
        <v/>
      </c>
    </row>
    <row r="2229">
      <c r="B2229" s="105" t="n"/>
      <c r="C2229" s="54" t="n"/>
      <c r="D2229" s="54" t="n"/>
      <c r="E2229" s="54" t="n"/>
      <c r="F2229" s="54" t="n"/>
      <c r="G2229" s="65" t="n"/>
      <c r="H2229" s="54" t="n"/>
      <c r="I2229" s="106">
        <f>IF($C2229="","",IFERROR(INDEX(Sens_Types,MATCH($C2229,Liste_Types,0)),""))</f>
        <v/>
      </c>
      <c r="J2229" s="107">
        <f>IF($I2229="▲ ENTRÉE",$U2229,"")</f>
        <v/>
      </c>
      <c r="K2229" s="108">
        <f>IF($I2229="▼ SORTIE",$U2229,"")</f>
        <v/>
      </c>
      <c r="L2229" s="109">
        <f>$L2228+N($J2229)-N($K2229)</f>
        <v/>
      </c>
      <c r="M2229" s="110" t="n"/>
      <c r="N2229" s="54" t="n"/>
      <c r="O2229" s="54" t="n"/>
      <c r="P2229" s="54" t="n"/>
      <c r="Q2229" s="110" t="n"/>
      <c r="R2229" s="110" t="n"/>
      <c r="S2229" s="54" t="n"/>
      <c r="T2229" s="111">
        <f>IF($G2229="","",IFERROR(INDEX(Taux_Devises,MATCH(IF($M2229="",Devise_Base,$M2229),Codes_Devises,0)),1))</f>
        <v/>
      </c>
      <c r="U2229" s="112">
        <f>IF($G2229="","",ROUND($G2229*$T2229,2))</f>
        <v/>
      </c>
      <c r="V2229" s="113">
        <f>IF($B2229="","",MONTH($B2229))</f>
        <v/>
      </c>
      <c r="W2229" s="113">
        <f>IF($B2229="","",YEAR($B2229))</f>
        <v/>
      </c>
    </row>
    <row r="2230">
      <c r="B2230" s="105" t="n"/>
      <c r="C2230" s="54" t="n"/>
      <c r="D2230" s="54" t="n"/>
      <c r="E2230" s="54" t="n"/>
      <c r="F2230" s="54" t="n"/>
      <c r="G2230" s="65" t="n"/>
      <c r="H2230" s="54" t="n"/>
      <c r="I2230" s="106">
        <f>IF($C2230="","",IFERROR(INDEX(Sens_Types,MATCH($C2230,Liste_Types,0)),""))</f>
        <v/>
      </c>
      <c r="J2230" s="107">
        <f>IF($I2230="▲ ENTRÉE",$U2230,"")</f>
        <v/>
      </c>
      <c r="K2230" s="108">
        <f>IF($I2230="▼ SORTIE",$U2230,"")</f>
        <v/>
      </c>
      <c r="L2230" s="109">
        <f>$L2229+N($J2230)-N($K2230)</f>
        <v/>
      </c>
      <c r="M2230" s="110" t="n"/>
      <c r="N2230" s="54" t="n"/>
      <c r="O2230" s="54" t="n"/>
      <c r="P2230" s="54" t="n"/>
      <c r="Q2230" s="110" t="n"/>
      <c r="R2230" s="110" t="n"/>
      <c r="S2230" s="54" t="n"/>
      <c r="T2230" s="111">
        <f>IF($G2230="","",IFERROR(INDEX(Taux_Devises,MATCH(IF($M2230="",Devise_Base,$M2230),Codes_Devises,0)),1))</f>
        <v/>
      </c>
      <c r="U2230" s="112">
        <f>IF($G2230="","",ROUND($G2230*$T2230,2))</f>
        <v/>
      </c>
      <c r="V2230" s="113">
        <f>IF($B2230="","",MONTH($B2230))</f>
        <v/>
      </c>
      <c r="W2230" s="113">
        <f>IF($B2230="","",YEAR($B2230))</f>
        <v/>
      </c>
    </row>
    <row r="2231">
      <c r="B2231" s="105" t="n"/>
      <c r="C2231" s="54" t="n"/>
      <c r="D2231" s="54" t="n"/>
      <c r="E2231" s="54" t="n"/>
      <c r="F2231" s="54" t="n"/>
      <c r="G2231" s="65" t="n"/>
      <c r="H2231" s="54" t="n"/>
      <c r="I2231" s="106">
        <f>IF($C2231="","",IFERROR(INDEX(Sens_Types,MATCH($C2231,Liste_Types,0)),""))</f>
        <v/>
      </c>
      <c r="J2231" s="107">
        <f>IF($I2231="▲ ENTRÉE",$U2231,"")</f>
        <v/>
      </c>
      <c r="K2231" s="108">
        <f>IF($I2231="▼ SORTIE",$U2231,"")</f>
        <v/>
      </c>
      <c r="L2231" s="109">
        <f>$L2230+N($J2231)-N($K2231)</f>
        <v/>
      </c>
      <c r="M2231" s="110" t="n"/>
      <c r="N2231" s="54" t="n"/>
      <c r="O2231" s="54" t="n"/>
      <c r="P2231" s="54" t="n"/>
      <c r="Q2231" s="110" t="n"/>
      <c r="R2231" s="110" t="n"/>
      <c r="S2231" s="54" t="n"/>
      <c r="T2231" s="111">
        <f>IF($G2231="","",IFERROR(INDEX(Taux_Devises,MATCH(IF($M2231="",Devise_Base,$M2231),Codes_Devises,0)),1))</f>
        <v/>
      </c>
      <c r="U2231" s="112">
        <f>IF($G2231="","",ROUND($G2231*$T2231,2))</f>
        <v/>
      </c>
      <c r="V2231" s="113">
        <f>IF($B2231="","",MONTH($B2231))</f>
        <v/>
      </c>
      <c r="W2231" s="113">
        <f>IF($B2231="","",YEAR($B2231))</f>
        <v/>
      </c>
    </row>
    <row r="2232">
      <c r="B2232" s="105" t="n"/>
      <c r="C2232" s="54" t="n"/>
      <c r="D2232" s="54" t="n"/>
      <c r="E2232" s="54" t="n"/>
      <c r="F2232" s="54" t="n"/>
      <c r="G2232" s="65" t="n"/>
      <c r="H2232" s="54" t="n"/>
      <c r="I2232" s="106">
        <f>IF($C2232="","",IFERROR(INDEX(Sens_Types,MATCH($C2232,Liste_Types,0)),""))</f>
        <v/>
      </c>
      <c r="J2232" s="107">
        <f>IF($I2232="▲ ENTRÉE",$U2232,"")</f>
        <v/>
      </c>
      <c r="K2232" s="108">
        <f>IF($I2232="▼ SORTIE",$U2232,"")</f>
        <v/>
      </c>
      <c r="L2232" s="109">
        <f>$L2231+N($J2232)-N($K2232)</f>
        <v/>
      </c>
      <c r="M2232" s="110" t="n"/>
      <c r="N2232" s="54" t="n"/>
      <c r="O2232" s="54" t="n"/>
      <c r="P2232" s="54" t="n"/>
      <c r="Q2232" s="110" t="n"/>
      <c r="R2232" s="110" t="n"/>
      <c r="S2232" s="54" t="n"/>
      <c r="T2232" s="111">
        <f>IF($G2232="","",IFERROR(INDEX(Taux_Devises,MATCH(IF($M2232="",Devise_Base,$M2232),Codes_Devises,0)),1))</f>
        <v/>
      </c>
      <c r="U2232" s="112">
        <f>IF($G2232="","",ROUND($G2232*$T2232,2))</f>
        <v/>
      </c>
      <c r="V2232" s="113">
        <f>IF($B2232="","",MONTH($B2232))</f>
        <v/>
      </c>
      <c r="W2232" s="113">
        <f>IF($B2232="","",YEAR($B2232))</f>
        <v/>
      </c>
    </row>
    <row r="2233">
      <c r="B2233" s="105" t="n"/>
      <c r="C2233" s="54" t="n"/>
      <c r="D2233" s="54" t="n"/>
      <c r="E2233" s="54" t="n"/>
      <c r="F2233" s="54" t="n"/>
      <c r="G2233" s="65" t="n"/>
      <c r="H2233" s="54" t="n"/>
      <c r="I2233" s="106">
        <f>IF($C2233="","",IFERROR(INDEX(Sens_Types,MATCH($C2233,Liste_Types,0)),""))</f>
        <v/>
      </c>
      <c r="J2233" s="107">
        <f>IF($I2233="▲ ENTRÉE",$U2233,"")</f>
        <v/>
      </c>
      <c r="K2233" s="108">
        <f>IF($I2233="▼ SORTIE",$U2233,"")</f>
        <v/>
      </c>
      <c r="L2233" s="109">
        <f>$L2232+N($J2233)-N($K2233)</f>
        <v/>
      </c>
      <c r="M2233" s="110" t="n"/>
      <c r="N2233" s="54" t="n"/>
      <c r="O2233" s="54" t="n"/>
      <c r="P2233" s="54" t="n"/>
      <c r="Q2233" s="110" t="n"/>
      <c r="R2233" s="110" t="n"/>
      <c r="S2233" s="54" t="n"/>
      <c r="T2233" s="111">
        <f>IF($G2233="","",IFERROR(INDEX(Taux_Devises,MATCH(IF($M2233="",Devise_Base,$M2233),Codes_Devises,0)),1))</f>
        <v/>
      </c>
      <c r="U2233" s="112">
        <f>IF($G2233="","",ROUND($G2233*$T2233,2))</f>
        <v/>
      </c>
      <c r="V2233" s="113">
        <f>IF($B2233="","",MONTH($B2233))</f>
        <v/>
      </c>
      <c r="W2233" s="113">
        <f>IF($B2233="","",YEAR($B2233))</f>
        <v/>
      </c>
    </row>
    <row r="2234">
      <c r="B2234" s="105" t="n"/>
      <c r="C2234" s="54" t="n"/>
      <c r="D2234" s="54" t="n"/>
      <c r="E2234" s="54" t="n"/>
      <c r="F2234" s="54" t="n"/>
      <c r="G2234" s="65" t="n"/>
      <c r="H2234" s="54" t="n"/>
      <c r="I2234" s="106">
        <f>IF($C2234="","",IFERROR(INDEX(Sens_Types,MATCH($C2234,Liste_Types,0)),""))</f>
        <v/>
      </c>
      <c r="J2234" s="107">
        <f>IF($I2234="▲ ENTRÉE",$U2234,"")</f>
        <v/>
      </c>
      <c r="K2234" s="108">
        <f>IF($I2234="▼ SORTIE",$U2234,"")</f>
        <v/>
      </c>
      <c r="L2234" s="109">
        <f>$L2233+N($J2234)-N($K2234)</f>
        <v/>
      </c>
      <c r="M2234" s="110" t="n"/>
      <c r="N2234" s="54" t="n"/>
      <c r="O2234" s="54" t="n"/>
      <c r="P2234" s="54" t="n"/>
      <c r="Q2234" s="110" t="n"/>
      <c r="R2234" s="110" t="n"/>
      <c r="S2234" s="54" t="n"/>
      <c r="T2234" s="111">
        <f>IF($G2234="","",IFERROR(INDEX(Taux_Devises,MATCH(IF($M2234="",Devise_Base,$M2234),Codes_Devises,0)),1))</f>
        <v/>
      </c>
      <c r="U2234" s="112">
        <f>IF($G2234="","",ROUND($G2234*$T2234,2))</f>
        <v/>
      </c>
      <c r="V2234" s="113">
        <f>IF($B2234="","",MONTH($B2234))</f>
        <v/>
      </c>
      <c r="W2234" s="113">
        <f>IF($B2234="","",YEAR($B2234))</f>
        <v/>
      </c>
    </row>
    <row r="2235">
      <c r="B2235" s="105" t="n"/>
      <c r="C2235" s="54" t="n"/>
      <c r="D2235" s="54" t="n"/>
      <c r="E2235" s="54" t="n"/>
      <c r="F2235" s="54" t="n"/>
      <c r="G2235" s="65" t="n"/>
      <c r="H2235" s="54" t="n"/>
      <c r="I2235" s="106">
        <f>IF($C2235="","",IFERROR(INDEX(Sens_Types,MATCH($C2235,Liste_Types,0)),""))</f>
        <v/>
      </c>
      <c r="J2235" s="107">
        <f>IF($I2235="▲ ENTRÉE",$U2235,"")</f>
        <v/>
      </c>
      <c r="K2235" s="108">
        <f>IF($I2235="▼ SORTIE",$U2235,"")</f>
        <v/>
      </c>
      <c r="L2235" s="109">
        <f>$L2234+N($J2235)-N($K2235)</f>
        <v/>
      </c>
      <c r="M2235" s="110" t="n"/>
      <c r="N2235" s="54" t="n"/>
      <c r="O2235" s="54" t="n"/>
      <c r="P2235" s="54" t="n"/>
      <c r="Q2235" s="110" t="n"/>
      <c r="R2235" s="110" t="n"/>
      <c r="S2235" s="54" t="n"/>
      <c r="T2235" s="111">
        <f>IF($G2235="","",IFERROR(INDEX(Taux_Devises,MATCH(IF($M2235="",Devise_Base,$M2235),Codes_Devises,0)),1))</f>
        <v/>
      </c>
      <c r="U2235" s="112">
        <f>IF($G2235="","",ROUND($G2235*$T2235,2))</f>
        <v/>
      </c>
      <c r="V2235" s="113">
        <f>IF($B2235="","",MONTH($B2235))</f>
        <v/>
      </c>
      <c r="W2235" s="113">
        <f>IF($B2235="","",YEAR($B2235))</f>
        <v/>
      </c>
    </row>
    <row r="2236">
      <c r="B2236" s="105" t="n"/>
      <c r="C2236" s="54" t="n"/>
      <c r="D2236" s="54" t="n"/>
      <c r="E2236" s="54" t="n"/>
      <c r="F2236" s="54" t="n"/>
      <c r="G2236" s="65" t="n"/>
      <c r="H2236" s="54" t="n"/>
      <c r="I2236" s="106">
        <f>IF($C2236="","",IFERROR(INDEX(Sens_Types,MATCH($C2236,Liste_Types,0)),""))</f>
        <v/>
      </c>
      <c r="J2236" s="107">
        <f>IF($I2236="▲ ENTRÉE",$U2236,"")</f>
        <v/>
      </c>
      <c r="K2236" s="108">
        <f>IF($I2236="▼ SORTIE",$U2236,"")</f>
        <v/>
      </c>
      <c r="L2236" s="109">
        <f>$L2235+N($J2236)-N($K2236)</f>
        <v/>
      </c>
      <c r="M2236" s="110" t="n"/>
      <c r="N2236" s="54" t="n"/>
      <c r="O2236" s="54" t="n"/>
      <c r="P2236" s="54" t="n"/>
      <c r="Q2236" s="110" t="n"/>
      <c r="R2236" s="110" t="n"/>
      <c r="S2236" s="54" t="n"/>
      <c r="T2236" s="111">
        <f>IF($G2236="","",IFERROR(INDEX(Taux_Devises,MATCH(IF($M2236="",Devise_Base,$M2236),Codes_Devises,0)),1))</f>
        <v/>
      </c>
      <c r="U2236" s="112">
        <f>IF($G2236="","",ROUND($G2236*$T2236,2))</f>
        <v/>
      </c>
      <c r="V2236" s="113">
        <f>IF($B2236="","",MONTH($B2236))</f>
        <v/>
      </c>
      <c r="W2236" s="113">
        <f>IF($B2236="","",YEAR($B2236))</f>
        <v/>
      </c>
    </row>
    <row r="2237">
      <c r="B2237" s="105" t="n"/>
      <c r="C2237" s="54" t="n"/>
      <c r="D2237" s="54" t="n"/>
      <c r="E2237" s="54" t="n"/>
      <c r="F2237" s="54" t="n"/>
      <c r="G2237" s="65" t="n"/>
      <c r="H2237" s="54" t="n"/>
      <c r="I2237" s="106">
        <f>IF($C2237="","",IFERROR(INDEX(Sens_Types,MATCH($C2237,Liste_Types,0)),""))</f>
        <v/>
      </c>
      <c r="J2237" s="107">
        <f>IF($I2237="▲ ENTRÉE",$U2237,"")</f>
        <v/>
      </c>
      <c r="K2237" s="108">
        <f>IF($I2237="▼ SORTIE",$U2237,"")</f>
        <v/>
      </c>
      <c r="L2237" s="109">
        <f>$L2236+N($J2237)-N($K2237)</f>
        <v/>
      </c>
      <c r="M2237" s="110" t="n"/>
      <c r="N2237" s="54" t="n"/>
      <c r="O2237" s="54" t="n"/>
      <c r="P2237" s="54" t="n"/>
      <c r="Q2237" s="110" t="n"/>
      <c r="R2237" s="110" t="n"/>
      <c r="S2237" s="54" t="n"/>
      <c r="T2237" s="111">
        <f>IF($G2237="","",IFERROR(INDEX(Taux_Devises,MATCH(IF($M2237="",Devise_Base,$M2237),Codes_Devises,0)),1))</f>
        <v/>
      </c>
      <c r="U2237" s="112">
        <f>IF($G2237="","",ROUND($G2237*$T2237,2))</f>
        <v/>
      </c>
      <c r="V2237" s="113">
        <f>IF($B2237="","",MONTH($B2237))</f>
        <v/>
      </c>
      <c r="W2237" s="113">
        <f>IF($B2237="","",YEAR($B2237))</f>
        <v/>
      </c>
    </row>
    <row r="2238">
      <c r="B2238" s="105" t="n"/>
      <c r="C2238" s="54" t="n"/>
      <c r="D2238" s="54" t="n"/>
      <c r="E2238" s="54" t="n"/>
      <c r="F2238" s="54" t="n"/>
      <c r="G2238" s="65" t="n"/>
      <c r="H2238" s="54" t="n"/>
      <c r="I2238" s="106">
        <f>IF($C2238="","",IFERROR(INDEX(Sens_Types,MATCH($C2238,Liste_Types,0)),""))</f>
        <v/>
      </c>
      <c r="J2238" s="107">
        <f>IF($I2238="▲ ENTRÉE",$U2238,"")</f>
        <v/>
      </c>
      <c r="K2238" s="108">
        <f>IF($I2238="▼ SORTIE",$U2238,"")</f>
        <v/>
      </c>
      <c r="L2238" s="109">
        <f>$L2237+N($J2238)-N($K2238)</f>
        <v/>
      </c>
      <c r="M2238" s="110" t="n"/>
      <c r="N2238" s="54" t="n"/>
      <c r="O2238" s="54" t="n"/>
      <c r="P2238" s="54" t="n"/>
      <c r="Q2238" s="110" t="n"/>
      <c r="R2238" s="110" t="n"/>
      <c r="S2238" s="54" t="n"/>
      <c r="T2238" s="111">
        <f>IF($G2238="","",IFERROR(INDEX(Taux_Devises,MATCH(IF($M2238="",Devise_Base,$M2238),Codes_Devises,0)),1))</f>
        <v/>
      </c>
      <c r="U2238" s="112">
        <f>IF($G2238="","",ROUND($G2238*$T2238,2))</f>
        <v/>
      </c>
      <c r="V2238" s="113">
        <f>IF($B2238="","",MONTH($B2238))</f>
        <v/>
      </c>
      <c r="W2238" s="113">
        <f>IF($B2238="","",YEAR($B2238))</f>
        <v/>
      </c>
    </row>
    <row r="2239">
      <c r="B2239" s="105" t="n"/>
      <c r="C2239" s="54" t="n"/>
      <c r="D2239" s="54" t="n"/>
      <c r="E2239" s="54" t="n"/>
      <c r="F2239" s="54" t="n"/>
      <c r="G2239" s="65" t="n"/>
      <c r="H2239" s="54" t="n"/>
      <c r="I2239" s="106">
        <f>IF($C2239="","",IFERROR(INDEX(Sens_Types,MATCH($C2239,Liste_Types,0)),""))</f>
        <v/>
      </c>
      <c r="J2239" s="107">
        <f>IF($I2239="▲ ENTRÉE",$U2239,"")</f>
        <v/>
      </c>
      <c r="K2239" s="108">
        <f>IF($I2239="▼ SORTIE",$U2239,"")</f>
        <v/>
      </c>
      <c r="L2239" s="109">
        <f>$L2238+N($J2239)-N($K2239)</f>
        <v/>
      </c>
      <c r="M2239" s="110" t="n"/>
      <c r="N2239" s="54" t="n"/>
      <c r="O2239" s="54" t="n"/>
      <c r="P2239" s="54" t="n"/>
      <c r="Q2239" s="110" t="n"/>
      <c r="R2239" s="110" t="n"/>
      <c r="S2239" s="54" t="n"/>
      <c r="T2239" s="111">
        <f>IF($G2239="","",IFERROR(INDEX(Taux_Devises,MATCH(IF($M2239="",Devise_Base,$M2239),Codes_Devises,0)),1))</f>
        <v/>
      </c>
      <c r="U2239" s="112">
        <f>IF($G2239="","",ROUND($G2239*$T2239,2))</f>
        <v/>
      </c>
      <c r="V2239" s="113">
        <f>IF($B2239="","",MONTH($B2239))</f>
        <v/>
      </c>
      <c r="W2239" s="113">
        <f>IF($B2239="","",YEAR($B2239))</f>
        <v/>
      </c>
    </row>
    <row r="2240">
      <c r="B2240" s="105" t="n"/>
      <c r="C2240" s="54" t="n"/>
      <c r="D2240" s="54" t="n"/>
      <c r="E2240" s="54" t="n"/>
      <c r="F2240" s="54" t="n"/>
      <c r="G2240" s="65" t="n"/>
      <c r="H2240" s="54" t="n"/>
      <c r="I2240" s="106">
        <f>IF($C2240="","",IFERROR(INDEX(Sens_Types,MATCH($C2240,Liste_Types,0)),""))</f>
        <v/>
      </c>
      <c r="J2240" s="107">
        <f>IF($I2240="▲ ENTRÉE",$U2240,"")</f>
        <v/>
      </c>
      <c r="K2240" s="108">
        <f>IF($I2240="▼ SORTIE",$U2240,"")</f>
        <v/>
      </c>
      <c r="L2240" s="109">
        <f>$L2239+N($J2240)-N($K2240)</f>
        <v/>
      </c>
      <c r="M2240" s="110" t="n"/>
      <c r="N2240" s="54" t="n"/>
      <c r="O2240" s="54" t="n"/>
      <c r="P2240" s="54" t="n"/>
      <c r="Q2240" s="110" t="n"/>
      <c r="R2240" s="110" t="n"/>
      <c r="S2240" s="54" t="n"/>
      <c r="T2240" s="111">
        <f>IF($G2240="","",IFERROR(INDEX(Taux_Devises,MATCH(IF($M2240="",Devise_Base,$M2240),Codes_Devises,0)),1))</f>
        <v/>
      </c>
      <c r="U2240" s="112">
        <f>IF($G2240="","",ROUND($G2240*$T2240,2))</f>
        <v/>
      </c>
      <c r="V2240" s="113">
        <f>IF($B2240="","",MONTH($B2240))</f>
        <v/>
      </c>
      <c r="W2240" s="113">
        <f>IF($B2240="","",YEAR($B2240))</f>
        <v/>
      </c>
    </row>
    <row r="2241">
      <c r="B2241" s="105" t="n"/>
      <c r="C2241" s="54" t="n"/>
      <c r="D2241" s="54" t="n"/>
      <c r="E2241" s="54" t="n"/>
      <c r="F2241" s="54" t="n"/>
      <c r="G2241" s="65" t="n"/>
      <c r="H2241" s="54" t="n"/>
      <c r="I2241" s="106">
        <f>IF($C2241="","",IFERROR(INDEX(Sens_Types,MATCH($C2241,Liste_Types,0)),""))</f>
        <v/>
      </c>
      <c r="J2241" s="107">
        <f>IF($I2241="▲ ENTRÉE",$U2241,"")</f>
        <v/>
      </c>
      <c r="K2241" s="108">
        <f>IF($I2241="▼ SORTIE",$U2241,"")</f>
        <v/>
      </c>
      <c r="L2241" s="109">
        <f>$L2240+N($J2241)-N($K2241)</f>
        <v/>
      </c>
      <c r="M2241" s="110" t="n"/>
      <c r="N2241" s="54" t="n"/>
      <c r="O2241" s="54" t="n"/>
      <c r="P2241" s="54" t="n"/>
      <c r="Q2241" s="110" t="n"/>
      <c r="R2241" s="110" t="n"/>
      <c r="S2241" s="54" t="n"/>
      <c r="T2241" s="111">
        <f>IF($G2241="","",IFERROR(INDEX(Taux_Devises,MATCH(IF($M2241="",Devise_Base,$M2241),Codes_Devises,0)),1))</f>
        <v/>
      </c>
      <c r="U2241" s="112">
        <f>IF($G2241="","",ROUND($G2241*$T2241,2))</f>
        <v/>
      </c>
      <c r="V2241" s="113">
        <f>IF($B2241="","",MONTH($B2241))</f>
        <v/>
      </c>
      <c r="W2241" s="113">
        <f>IF($B2241="","",YEAR($B2241))</f>
        <v/>
      </c>
    </row>
    <row r="2242">
      <c r="B2242" s="105" t="n"/>
      <c r="C2242" s="54" t="n"/>
      <c r="D2242" s="54" t="n"/>
      <c r="E2242" s="54" t="n"/>
      <c r="F2242" s="54" t="n"/>
      <c r="G2242" s="65" t="n"/>
      <c r="H2242" s="54" t="n"/>
      <c r="I2242" s="106">
        <f>IF($C2242="","",IFERROR(INDEX(Sens_Types,MATCH($C2242,Liste_Types,0)),""))</f>
        <v/>
      </c>
      <c r="J2242" s="107">
        <f>IF($I2242="▲ ENTRÉE",$U2242,"")</f>
        <v/>
      </c>
      <c r="K2242" s="108">
        <f>IF($I2242="▼ SORTIE",$U2242,"")</f>
        <v/>
      </c>
      <c r="L2242" s="109">
        <f>$L2241+N($J2242)-N($K2242)</f>
        <v/>
      </c>
      <c r="M2242" s="110" t="n"/>
      <c r="N2242" s="54" t="n"/>
      <c r="O2242" s="54" t="n"/>
      <c r="P2242" s="54" t="n"/>
      <c r="Q2242" s="110" t="n"/>
      <c r="R2242" s="110" t="n"/>
      <c r="S2242" s="54" t="n"/>
      <c r="T2242" s="111">
        <f>IF($G2242="","",IFERROR(INDEX(Taux_Devises,MATCH(IF($M2242="",Devise_Base,$M2242),Codes_Devises,0)),1))</f>
        <v/>
      </c>
      <c r="U2242" s="112">
        <f>IF($G2242="","",ROUND($G2242*$T2242,2))</f>
        <v/>
      </c>
      <c r="V2242" s="113">
        <f>IF($B2242="","",MONTH($B2242))</f>
        <v/>
      </c>
      <c r="W2242" s="113">
        <f>IF($B2242="","",YEAR($B2242))</f>
        <v/>
      </c>
    </row>
    <row r="2243">
      <c r="B2243" s="105" t="n"/>
      <c r="C2243" s="54" t="n"/>
      <c r="D2243" s="54" t="n"/>
      <c r="E2243" s="54" t="n"/>
      <c r="F2243" s="54" t="n"/>
      <c r="G2243" s="65" t="n"/>
      <c r="H2243" s="54" t="n"/>
      <c r="I2243" s="106">
        <f>IF($C2243="","",IFERROR(INDEX(Sens_Types,MATCH($C2243,Liste_Types,0)),""))</f>
        <v/>
      </c>
      <c r="J2243" s="107">
        <f>IF($I2243="▲ ENTRÉE",$U2243,"")</f>
        <v/>
      </c>
      <c r="K2243" s="108">
        <f>IF($I2243="▼ SORTIE",$U2243,"")</f>
        <v/>
      </c>
      <c r="L2243" s="109">
        <f>$L2242+N($J2243)-N($K2243)</f>
        <v/>
      </c>
      <c r="M2243" s="110" t="n"/>
      <c r="N2243" s="54" t="n"/>
      <c r="O2243" s="54" t="n"/>
      <c r="P2243" s="54" t="n"/>
      <c r="Q2243" s="110" t="n"/>
      <c r="R2243" s="110" t="n"/>
      <c r="S2243" s="54" t="n"/>
      <c r="T2243" s="111">
        <f>IF($G2243="","",IFERROR(INDEX(Taux_Devises,MATCH(IF($M2243="",Devise_Base,$M2243),Codes_Devises,0)),1))</f>
        <v/>
      </c>
      <c r="U2243" s="112">
        <f>IF($G2243="","",ROUND($G2243*$T2243,2))</f>
        <v/>
      </c>
      <c r="V2243" s="113">
        <f>IF($B2243="","",MONTH($B2243))</f>
        <v/>
      </c>
      <c r="W2243" s="113">
        <f>IF($B2243="","",YEAR($B2243))</f>
        <v/>
      </c>
    </row>
    <row r="2244">
      <c r="B2244" s="105" t="n"/>
      <c r="C2244" s="54" t="n"/>
      <c r="D2244" s="54" t="n"/>
      <c r="E2244" s="54" t="n"/>
      <c r="F2244" s="54" t="n"/>
      <c r="G2244" s="65" t="n"/>
      <c r="H2244" s="54" t="n"/>
      <c r="I2244" s="106">
        <f>IF($C2244="","",IFERROR(INDEX(Sens_Types,MATCH($C2244,Liste_Types,0)),""))</f>
        <v/>
      </c>
      <c r="J2244" s="107">
        <f>IF($I2244="▲ ENTRÉE",$U2244,"")</f>
        <v/>
      </c>
      <c r="K2244" s="108">
        <f>IF($I2244="▼ SORTIE",$U2244,"")</f>
        <v/>
      </c>
      <c r="L2244" s="109">
        <f>$L2243+N($J2244)-N($K2244)</f>
        <v/>
      </c>
      <c r="M2244" s="110" t="n"/>
      <c r="N2244" s="54" t="n"/>
      <c r="O2244" s="54" t="n"/>
      <c r="P2244" s="54" t="n"/>
      <c r="Q2244" s="110" t="n"/>
      <c r="R2244" s="110" t="n"/>
      <c r="S2244" s="54" t="n"/>
      <c r="T2244" s="111">
        <f>IF($G2244="","",IFERROR(INDEX(Taux_Devises,MATCH(IF($M2244="",Devise_Base,$M2244),Codes_Devises,0)),1))</f>
        <v/>
      </c>
      <c r="U2244" s="112">
        <f>IF($G2244="","",ROUND($G2244*$T2244,2))</f>
        <v/>
      </c>
      <c r="V2244" s="113">
        <f>IF($B2244="","",MONTH($B2244))</f>
        <v/>
      </c>
      <c r="W2244" s="113">
        <f>IF($B2244="","",YEAR($B2244))</f>
        <v/>
      </c>
    </row>
    <row r="2245">
      <c r="B2245" s="105" t="n"/>
      <c r="C2245" s="54" t="n"/>
      <c r="D2245" s="54" t="n"/>
      <c r="E2245" s="54" t="n"/>
      <c r="F2245" s="54" t="n"/>
      <c r="G2245" s="65" t="n"/>
      <c r="H2245" s="54" t="n"/>
      <c r="I2245" s="106">
        <f>IF($C2245="","",IFERROR(INDEX(Sens_Types,MATCH($C2245,Liste_Types,0)),""))</f>
        <v/>
      </c>
      <c r="J2245" s="107">
        <f>IF($I2245="▲ ENTRÉE",$U2245,"")</f>
        <v/>
      </c>
      <c r="K2245" s="108">
        <f>IF($I2245="▼ SORTIE",$U2245,"")</f>
        <v/>
      </c>
      <c r="L2245" s="109">
        <f>$L2244+N($J2245)-N($K2245)</f>
        <v/>
      </c>
      <c r="M2245" s="110" t="n"/>
      <c r="N2245" s="54" t="n"/>
      <c r="O2245" s="54" t="n"/>
      <c r="P2245" s="54" t="n"/>
      <c r="Q2245" s="110" t="n"/>
      <c r="R2245" s="110" t="n"/>
      <c r="S2245" s="54" t="n"/>
      <c r="T2245" s="111">
        <f>IF($G2245="","",IFERROR(INDEX(Taux_Devises,MATCH(IF($M2245="",Devise_Base,$M2245),Codes_Devises,0)),1))</f>
        <v/>
      </c>
      <c r="U2245" s="112">
        <f>IF($G2245="","",ROUND($G2245*$T2245,2))</f>
        <v/>
      </c>
      <c r="V2245" s="113">
        <f>IF($B2245="","",MONTH($B2245))</f>
        <v/>
      </c>
      <c r="W2245" s="113">
        <f>IF($B2245="","",YEAR($B2245))</f>
        <v/>
      </c>
    </row>
    <row r="2246">
      <c r="B2246" s="105" t="n"/>
      <c r="C2246" s="54" t="n"/>
      <c r="D2246" s="54" t="n"/>
      <c r="E2246" s="54" t="n"/>
      <c r="F2246" s="54" t="n"/>
      <c r="G2246" s="65" t="n"/>
      <c r="H2246" s="54" t="n"/>
      <c r="I2246" s="106">
        <f>IF($C2246="","",IFERROR(INDEX(Sens_Types,MATCH($C2246,Liste_Types,0)),""))</f>
        <v/>
      </c>
      <c r="J2246" s="107">
        <f>IF($I2246="▲ ENTRÉE",$U2246,"")</f>
        <v/>
      </c>
      <c r="K2246" s="108">
        <f>IF($I2246="▼ SORTIE",$U2246,"")</f>
        <v/>
      </c>
      <c r="L2246" s="109">
        <f>$L2245+N($J2246)-N($K2246)</f>
        <v/>
      </c>
      <c r="M2246" s="110" t="n"/>
      <c r="N2246" s="54" t="n"/>
      <c r="O2246" s="54" t="n"/>
      <c r="P2246" s="54" t="n"/>
      <c r="Q2246" s="110" t="n"/>
      <c r="R2246" s="110" t="n"/>
      <c r="S2246" s="54" t="n"/>
      <c r="T2246" s="111">
        <f>IF($G2246="","",IFERROR(INDEX(Taux_Devises,MATCH(IF($M2246="",Devise_Base,$M2246),Codes_Devises,0)),1))</f>
        <v/>
      </c>
      <c r="U2246" s="112">
        <f>IF($G2246="","",ROUND($G2246*$T2246,2))</f>
        <v/>
      </c>
      <c r="V2246" s="113">
        <f>IF($B2246="","",MONTH($B2246))</f>
        <v/>
      </c>
      <c r="W2246" s="113">
        <f>IF($B2246="","",YEAR($B2246))</f>
        <v/>
      </c>
    </row>
    <row r="2247">
      <c r="B2247" s="105" t="n"/>
      <c r="C2247" s="54" t="n"/>
      <c r="D2247" s="54" t="n"/>
      <c r="E2247" s="54" t="n"/>
      <c r="F2247" s="54" t="n"/>
      <c r="G2247" s="65" t="n"/>
      <c r="H2247" s="54" t="n"/>
      <c r="I2247" s="106">
        <f>IF($C2247="","",IFERROR(INDEX(Sens_Types,MATCH($C2247,Liste_Types,0)),""))</f>
        <v/>
      </c>
      <c r="J2247" s="107">
        <f>IF($I2247="▲ ENTRÉE",$U2247,"")</f>
        <v/>
      </c>
      <c r="K2247" s="108">
        <f>IF($I2247="▼ SORTIE",$U2247,"")</f>
        <v/>
      </c>
      <c r="L2247" s="109">
        <f>$L2246+N($J2247)-N($K2247)</f>
        <v/>
      </c>
      <c r="M2247" s="110" t="n"/>
      <c r="N2247" s="54" t="n"/>
      <c r="O2247" s="54" t="n"/>
      <c r="P2247" s="54" t="n"/>
      <c r="Q2247" s="110" t="n"/>
      <c r="R2247" s="110" t="n"/>
      <c r="S2247" s="54" t="n"/>
      <c r="T2247" s="111">
        <f>IF($G2247="","",IFERROR(INDEX(Taux_Devises,MATCH(IF($M2247="",Devise_Base,$M2247),Codes_Devises,0)),1))</f>
        <v/>
      </c>
      <c r="U2247" s="112">
        <f>IF($G2247="","",ROUND($G2247*$T2247,2))</f>
        <v/>
      </c>
      <c r="V2247" s="113">
        <f>IF($B2247="","",MONTH($B2247))</f>
        <v/>
      </c>
      <c r="W2247" s="113">
        <f>IF($B2247="","",YEAR($B2247))</f>
        <v/>
      </c>
    </row>
    <row r="2248">
      <c r="B2248" s="105" t="n"/>
      <c r="C2248" s="54" t="n"/>
      <c r="D2248" s="54" t="n"/>
      <c r="E2248" s="54" t="n"/>
      <c r="F2248" s="54" t="n"/>
      <c r="G2248" s="65" t="n"/>
      <c r="H2248" s="54" t="n"/>
      <c r="I2248" s="106">
        <f>IF($C2248="","",IFERROR(INDEX(Sens_Types,MATCH($C2248,Liste_Types,0)),""))</f>
        <v/>
      </c>
      <c r="J2248" s="107">
        <f>IF($I2248="▲ ENTRÉE",$U2248,"")</f>
        <v/>
      </c>
      <c r="K2248" s="108">
        <f>IF($I2248="▼ SORTIE",$U2248,"")</f>
        <v/>
      </c>
      <c r="L2248" s="109">
        <f>$L2247+N($J2248)-N($K2248)</f>
        <v/>
      </c>
      <c r="M2248" s="110" t="n"/>
      <c r="N2248" s="54" t="n"/>
      <c r="O2248" s="54" t="n"/>
      <c r="P2248" s="54" t="n"/>
      <c r="Q2248" s="110" t="n"/>
      <c r="R2248" s="110" t="n"/>
      <c r="S2248" s="54" t="n"/>
      <c r="T2248" s="111">
        <f>IF($G2248="","",IFERROR(INDEX(Taux_Devises,MATCH(IF($M2248="",Devise_Base,$M2248),Codes_Devises,0)),1))</f>
        <v/>
      </c>
      <c r="U2248" s="112">
        <f>IF($G2248="","",ROUND($G2248*$T2248,2))</f>
        <v/>
      </c>
      <c r="V2248" s="113">
        <f>IF($B2248="","",MONTH($B2248))</f>
        <v/>
      </c>
      <c r="W2248" s="113">
        <f>IF($B2248="","",YEAR($B2248))</f>
        <v/>
      </c>
    </row>
    <row r="2249">
      <c r="B2249" s="105" t="n"/>
      <c r="C2249" s="54" t="n"/>
      <c r="D2249" s="54" t="n"/>
      <c r="E2249" s="54" t="n"/>
      <c r="F2249" s="54" t="n"/>
      <c r="G2249" s="65" t="n"/>
      <c r="H2249" s="54" t="n"/>
      <c r="I2249" s="106">
        <f>IF($C2249="","",IFERROR(INDEX(Sens_Types,MATCH($C2249,Liste_Types,0)),""))</f>
        <v/>
      </c>
      <c r="J2249" s="107">
        <f>IF($I2249="▲ ENTRÉE",$U2249,"")</f>
        <v/>
      </c>
      <c r="K2249" s="108">
        <f>IF($I2249="▼ SORTIE",$U2249,"")</f>
        <v/>
      </c>
      <c r="L2249" s="109">
        <f>$L2248+N($J2249)-N($K2249)</f>
        <v/>
      </c>
      <c r="M2249" s="110" t="n"/>
      <c r="N2249" s="54" t="n"/>
      <c r="O2249" s="54" t="n"/>
      <c r="P2249" s="54" t="n"/>
      <c r="Q2249" s="110" t="n"/>
      <c r="R2249" s="110" t="n"/>
      <c r="S2249" s="54" t="n"/>
      <c r="T2249" s="111">
        <f>IF($G2249="","",IFERROR(INDEX(Taux_Devises,MATCH(IF($M2249="",Devise_Base,$M2249),Codes_Devises,0)),1))</f>
        <v/>
      </c>
      <c r="U2249" s="112">
        <f>IF($G2249="","",ROUND($G2249*$T2249,2))</f>
        <v/>
      </c>
      <c r="V2249" s="113">
        <f>IF($B2249="","",MONTH($B2249))</f>
        <v/>
      </c>
      <c r="W2249" s="113">
        <f>IF($B2249="","",YEAR($B2249))</f>
        <v/>
      </c>
    </row>
    <row r="2250">
      <c r="B2250" s="105" t="n"/>
      <c r="C2250" s="54" t="n"/>
      <c r="D2250" s="54" t="n"/>
      <c r="E2250" s="54" t="n"/>
      <c r="F2250" s="54" t="n"/>
      <c r="G2250" s="65" t="n"/>
      <c r="H2250" s="54" t="n"/>
      <c r="I2250" s="106">
        <f>IF($C2250="","",IFERROR(INDEX(Sens_Types,MATCH($C2250,Liste_Types,0)),""))</f>
        <v/>
      </c>
      <c r="J2250" s="107">
        <f>IF($I2250="▲ ENTRÉE",$U2250,"")</f>
        <v/>
      </c>
      <c r="K2250" s="108">
        <f>IF($I2250="▼ SORTIE",$U2250,"")</f>
        <v/>
      </c>
      <c r="L2250" s="109">
        <f>$L2249+N($J2250)-N($K2250)</f>
        <v/>
      </c>
      <c r="M2250" s="110" t="n"/>
      <c r="N2250" s="54" t="n"/>
      <c r="O2250" s="54" t="n"/>
      <c r="P2250" s="54" t="n"/>
      <c r="Q2250" s="110" t="n"/>
      <c r="R2250" s="110" t="n"/>
      <c r="S2250" s="54" t="n"/>
      <c r="T2250" s="111">
        <f>IF($G2250="","",IFERROR(INDEX(Taux_Devises,MATCH(IF($M2250="",Devise_Base,$M2250),Codes_Devises,0)),1))</f>
        <v/>
      </c>
      <c r="U2250" s="112">
        <f>IF($G2250="","",ROUND($G2250*$T2250,2))</f>
        <v/>
      </c>
      <c r="V2250" s="113">
        <f>IF($B2250="","",MONTH($B2250))</f>
        <v/>
      </c>
      <c r="W2250" s="113">
        <f>IF($B2250="","",YEAR($B2250))</f>
        <v/>
      </c>
    </row>
    <row r="2251">
      <c r="B2251" s="105" t="n"/>
      <c r="C2251" s="54" t="n"/>
      <c r="D2251" s="54" t="n"/>
      <c r="E2251" s="54" t="n"/>
      <c r="F2251" s="54" t="n"/>
      <c r="G2251" s="65" t="n"/>
      <c r="H2251" s="54" t="n"/>
      <c r="I2251" s="106">
        <f>IF($C2251="","",IFERROR(INDEX(Sens_Types,MATCH($C2251,Liste_Types,0)),""))</f>
        <v/>
      </c>
      <c r="J2251" s="107">
        <f>IF($I2251="▲ ENTRÉE",$U2251,"")</f>
        <v/>
      </c>
      <c r="K2251" s="108">
        <f>IF($I2251="▼ SORTIE",$U2251,"")</f>
        <v/>
      </c>
      <c r="L2251" s="109">
        <f>$L2250+N($J2251)-N($K2251)</f>
        <v/>
      </c>
      <c r="M2251" s="110" t="n"/>
      <c r="N2251" s="54" t="n"/>
      <c r="O2251" s="54" t="n"/>
      <c r="P2251" s="54" t="n"/>
      <c r="Q2251" s="110" t="n"/>
      <c r="R2251" s="110" t="n"/>
      <c r="S2251" s="54" t="n"/>
      <c r="T2251" s="111">
        <f>IF($G2251="","",IFERROR(INDEX(Taux_Devises,MATCH(IF($M2251="",Devise_Base,$M2251),Codes_Devises,0)),1))</f>
        <v/>
      </c>
      <c r="U2251" s="112">
        <f>IF($G2251="","",ROUND($G2251*$T2251,2))</f>
        <v/>
      </c>
      <c r="V2251" s="113">
        <f>IF($B2251="","",MONTH($B2251))</f>
        <v/>
      </c>
      <c r="W2251" s="113">
        <f>IF($B2251="","",YEAR($B2251))</f>
        <v/>
      </c>
    </row>
    <row r="2252">
      <c r="B2252" s="105" t="n"/>
      <c r="C2252" s="54" t="n"/>
      <c r="D2252" s="54" t="n"/>
      <c r="E2252" s="54" t="n"/>
      <c r="F2252" s="54" t="n"/>
      <c r="G2252" s="65" t="n"/>
      <c r="H2252" s="54" t="n"/>
      <c r="I2252" s="106">
        <f>IF($C2252="","",IFERROR(INDEX(Sens_Types,MATCH($C2252,Liste_Types,0)),""))</f>
        <v/>
      </c>
      <c r="J2252" s="107">
        <f>IF($I2252="▲ ENTRÉE",$U2252,"")</f>
        <v/>
      </c>
      <c r="K2252" s="108">
        <f>IF($I2252="▼ SORTIE",$U2252,"")</f>
        <v/>
      </c>
      <c r="L2252" s="109">
        <f>$L2251+N($J2252)-N($K2252)</f>
        <v/>
      </c>
      <c r="M2252" s="110" t="n"/>
      <c r="N2252" s="54" t="n"/>
      <c r="O2252" s="54" t="n"/>
      <c r="P2252" s="54" t="n"/>
      <c r="Q2252" s="110" t="n"/>
      <c r="R2252" s="110" t="n"/>
      <c r="S2252" s="54" t="n"/>
      <c r="T2252" s="111">
        <f>IF($G2252="","",IFERROR(INDEX(Taux_Devises,MATCH(IF($M2252="",Devise_Base,$M2252),Codes_Devises,0)),1))</f>
        <v/>
      </c>
      <c r="U2252" s="112">
        <f>IF($G2252="","",ROUND($G2252*$T2252,2))</f>
        <v/>
      </c>
      <c r="V2252" s="113">
        <f>IF($B2252="","",MONTH($B2252))</f>
        <v/>
      </c>
      <c r="W2252" s="113">
        <f>IF($B2252="","",YEAR($B2252))</f>
        <v/>
      </c>
    </row>
    <row r="2253">
      <c r="B2253" s="105" t="n"/>
      <c r="C2253" s="54" t="n"/>
      <c r="D2253" s="54" t="n"/>
      <c r="E2253" s="54" t="n"/>
      <c r="F2253" s="54" t="n"/>
      <c r="G2253" s="65" t="n"/>
      <c r="H2253" s="54" t="n"/>
      <c r="I2253" s="106">
        <f>IF($C2253="","",IFERROR(INDEX(Sens_Types,MATCH($C2253,Liste_Types,0)),""))</f>
        <v/>
      </c>
      <c r="J2253" s="107">
        <f>IF($I2253="▲ ENTRÉE",$U2253,"")</f>
        <v/>
      </c>
      <c r="K2253" s="108">
        <f>IF($I2253="▼ SORTIE",$U2253,"")</f>
        <v/>
      </c>
      <c r="L2253" s="109">
        <f>$L2252+N($J2253)-N($K2253)</f>
        <v/>
      </c>
      <c r="M2253" s="110" t="n"/>
      <c r="N2253" s="54" t="n"/>
      <c r="O2253" s="54" t="n"/>
      <c r="P2253" s="54" t="n"/>
      <c r="Q2253" s="110" t="n"/>
      <c r="R2253" s="110" t="n"/>
      <c r="S2253" s="54" t="n"/>
      <c r="T2253" s="111">
        <f>IF($G2253="","",IFERROR(INDEX(Taux_Devises,MATCH(IF($M2253="",Devise_Base,$M2253),Codes_Devises,0)),1))</f>
        <v/>
      </c>
      <c r="U2253" s="112">
        <f>IF($G2253="","",ROUND($G2253*$T2253,2))</f>
        <v/>
      </c>
      <c r="V2253" s="113">
        <f>IF($B2253="","",MONTH($B2253))</f>
        <v/>
      </c>
      <c r="W2253" s="113">
        <f>IF($B2253="","",YEAR($B2253))</f>
        <v/>
      </c>
    </row>
    <row r="2254">
      <c r="B2254" s="105" t="n"/>
      <c r="C2254" s="54" t="n"/>
      <c r="D2254" s="54" t="n"/>
      <c r="E2254" s="54" t="n"/>
      <c r="F2254" s="54" t="n"/>
      <c r="G2254" s="65" t="n"/>
      <c r="H2254" s="54" t="n"/>
      <c r="I2254" s="106">
        <f>IF($C2254="","",IFERROR(INDEX(Sens_Types,MATCH($C2254,Liste_Types,0)),""))</f>
        <v/>
      </c>
      <c r="J2254" s="107">
        <f>IF($I2254="▲ ENTRÉE",$U2254,"")</f>
        <v/>
      </c>
      <c r="K2254" s="108">
        <f>IF($I2254="▼ SORTIE",$U2254,"")</f>
        <v/>
      </c>
      <c r="L2254" s="109">
        <f>$L2253+N($J2254)-N($K2254)</f>
        <v/>
      </c>
      <c r="M2254" s="110" t="n"/>
      <c r="N2254" s="54" t="n"/>
      <c r="O2254" s="54" t="n"/>
      <c r="P2254" s="54" t="n"/>
      <c r="Q2254" s="110" t="n"/>
      <c r="R2254" s="110" t="n"/>
      <c r="S2254" s="54" t="n"/>
      <c r="T2254" s="111">
        <f>IF($G2254="","",IFERROR(INDEX(Taux_Devises,MATCH(IF($M2254="",Devise_Base,$M2254),Codes_Devises,0)),1))</f>
        <v/>
      </c>
      <c r="U2254" s="112">
        <f>IF($G2254="","",ROUND($G2254*$T2254,2))</f>
        <v/>
      </c>
      <c r="V2254" s="113">
        <f>IF($B2254="","",MONTH($B2254))</f>
        <v/>
      </c>
      <c r="W2254" s="113">
        <f>IF($B2254="","",YEAR($B2254))</f>
        <v/>
      </c>
    </row>
    <row r="2255">
      <c r="B2255" s="105" t="n"/>
      <c r="C2255" s="54" t="n"/>
      <c r="D2255" s="54" t="n"/>
      <c r="E2255" s="54" t="n"/>
      <c r="F2255" s="54" t="n"/>
      <c r="G2255" s="65" t="n"/>
      <c r="H2255" s="54" t="n"/>
      <c r="I2255" s="106">
        <f>IF($C2255="","",IFERROR(INDEX(Sens_Types,MATCH($C2255,Liste_Types,0)),""))</f>
        <v/>
      </c>
      <c r="J2255" s="107">
        <f>IF($I2255="▲ ENTRÉE",$U2255,"")</f>
        <v/>
      </c>
      <c r="K2255" s="108">
        <f>IF($I2255="▼ SORTIE",$U2255,"")</f>
        <v/>
      </c>
      <c r="L2255" s="109">
        <f>$L2254+N($J2255)-N($K2255)</f>
        <v/>
      </c>
      <c r="M2255" s="110" t="n"/>
      <c r="N2255" s="54" t="n"/>
      <c r="O2255" s="54" t="n"/>
      <c r="P2255" s="54" t="n"/>
      <c r="Q2255" s="110" t="n"/>
      <c r="R2255" s="110" t="n"/>
      <c r="S2255" s="54" t="n"/>
      <c r="T2255" s="111">
        <f>IF($G2255="","",IFERROR(INDEX(Taux_Devises,MATCH(IF($M2255="",Devise_Base,$M2255),Codes_Devises,0)),1))</f>
        <v/>
      </c>
      <c r="U2255" s="112">
        <f>IF($G2255="","",ROUND($G2255*$T2255,2))</f>
        <v/>
      </c>
      <c r="V2255" s="113">
        <f>IF($B2255="","",MONTH($B2255))</f>
        <v/>
      </c>
      <c r="W2255" s="113">
        <f>IF($B2255="","",YEAR($B2255))</f>
        <v/>
      </c>
    </row>
    <row r="2256">
      <c r="B2256" s="105" t="n"/>
      <c r="C2256" s="54" t="n"/>
      <c r="D2256" s="54" t="n"/>
      <c r="E2256" s="54" t="n"/>
      <c r="F2256" s="54" t="n"/>
      <c r="G2256" s="65" t="n"/>
      <c r="H2256" s="54" t="n"/>
      <c r="I2256" s="106">
        <f>IF($C2256="","",IFERROR(INDEX(Sens_Types,MATCH($C2256,Liste_Types,0)),""))</f>
        <v/>
      </c>
      <c r="J2256" s="107">
        <f>IF($I2256="▲ ENTRÉE",$U2256,"")</f>
        <v/>
      </c>
      <c r="K2256" s="108">
        <f>IF($I2256="▼ SORTIE",$U2256,"")</f>
        <v/>
      </c>
      <c r="L2256" s="109">
        <f>$L2255+N($J2256)-N($K2256)</f>
        <v/>
      </c>
      <c r="M2256" s="110" t="n"/>
      <c r="N2256" s="54" t="n"/>
      <c r="O2256" s="54" t="n"/>
      <c r="P2256" s="54" t="n"/>
      <c r="Q2256" s="110" t="n"/>
      <c r="R2256" s="110" t="n"/>
      <c r="S2256" s="54" t="n"/>
      <c r="T2256" s="111">
        <f>IF($G2256="","",IFERROR(INDEX(Taux_Devises,MATCH(IF($M2256="",Devise_Base,$M2256),Codes_Devises,0)),1))</f>
        <v/>
      </c>
      <c r="U2256" s="112">
        <f>IF($G2256="","",ROUND($G2256*$T2256,2))</f>
        <v/>
      </c>
      <c r="V2256" s="113">
        <f>IF($B2256="","",MONTH($B2256))</f>
        <v/>
      </c>
      <c r="W2256" s="113">
        <f>IF($B2256="","",YEAR($B2256))</f>
        <v/>
      </c>
    </row>
    <row r="2257">
      <c r="B2257" s="105" t="n"/>
      <c r="C2257" s="54" t="n"/>
      <c r="D2257" s="54" t="n"/>
      <c r="E2257" s="54" t="n"/>
      <c r="F2257" s="54" t="n"/>
      <c r="G2257" s="65" t="n"/>
      <c r="H2257" s="54" t="n"/>
      <c r="I2257" s="106">
        <f>IF($C2257="","",IFERROR(INDEX(Sens_Types,MATCH($C2257,Liste_Types,0)),""))</f>
        <v/>
      </c>
      <c r="J2257" s="107">
        <f>IF($I2257="▲ ENTRÉE",$U2257,"")</f>
        <v/>
      </c>
      <c r="K2257" s="108">
        <f>IF($I2257="▼ SORTIE",$U2257,"")</f>
        <v/>
      </c>
      <c r="L2257" s="109">
        <f>$L2256+N($J2257)-N($K2257)</f>
        <v/>
      </c>
      <c r="M2257" s="110" t="n"/>
      <c r="N2257" s="54" t="n"/>
      <c r="O2257" s="54" t="n"/>
      <c r="P2257" s="54" t="n"/>
      <c r="Q2257" s="110" t="n"/>
      <c r="R2257" s="110" t="n"/>
      <c r="S2257" s="54" t="n"/>
      <c r="T2257" s="111">
        <f>IF($G2257="","",IFERROR(INDEX(Taux_Devises,MATCH(IF($M2257="",Devise_Base,$M2257),Codes_Devises,0)),1))</f>
        <v/>
      </c>
      <c r="U2257" s="112">
        <f>IF($G2257="","",ROUND($G2257*$T2257,2))</f>
        <v/>
      </c>
      <c r="V2257" s="113">
        <f>IF($B2257="","",MONTH($B2257))</f>
        <v/>
      </c>
      <c r="W2257" s="113">
        <f>IF($B2257="","",YEAR($B2257))</f>
        <v/>
      </c>
    </row>
    <row r="2258">
      <c r="B2258" s="105" t="n"/>
      <c r="C2258" s="54" t="n"/>
      <c r="D2258" s="54" t="n"/>
      <c r="E2258" s="54" t="n"/>
      <c r="F2258" s="54" t="n"/>
      <c r="G2258" s="65" t="n"/>
      <c r="H2258" s="54" t="n"/>
      <c r="I2258" s="106">
        <f>IF($C2258="","",IFERROR(INDEX(Sens_Types,MATCH($C2258,Liste_Types,0)),""))</f>
        <v/>
      </c>
      <c r="J2258" s="107">
        <f>IF($I2258="▲ ENTRÉE",$U2258,"")</f>
        <v/>
      </c>
      <c r="K2258" s="108">
        <f>IF($I2258="▼ SORTIE",$U2258,"")</f>
        <v/>
      </c>
      <c r="L2258" s="109">
        <f>$L2257+N($J2258)-N($K2258)</f>
        <v/>
      </c>
      <c r="M2258" s="110" t="n"/>
      <c r="N2258" s="54" t="n"/>
      <c r="O2258" s="54" t="n"/>
      <c r="P2258" s="54" t="n"/>
      <c r="Q2258" s="110" t="n"/>
      <c r="R2258" s="110" t="n"/>
      <c r="S2258" s="54" t="n"/>
      <c r="T2258" s="111">
        <f>IF($G2258="","",IFERROR(INDEX(Taux_Devises,MATCH(IF($M2258="",Devise_Base,$M2258),Codes_Devises,0)),1))</f>
        <v/>
      </c>
      <c r="U2258" s="112">
        <f>IF($G2258="","",ROUND($G2258*$T2258,2))</f>
        <v/>
      </c>
      <c r="V2258" s="113">
        <f>IF($B2258="","",MONTH($B2258))</f>
        <v/>
      </c>
      <c r="W2258" s="113">
        <f>IF($B2258="","",YEAR($B2258))</f>
        <v/>
      </c>
    </row>
    <row r="2259">
      <c r="B2259" s="105" t="n"/>
      <c r="C2259" s="54" t="n"/>
      <c r="D2259" s="54" t="n"/>
      <c r="E2259" s="54" t="n"/>
      <c r="F2259" s="54" t="n"/>
      <c r="G2259" s="65" t="n"/>
      <c r="H2259" s="54" t="n"/>
      <c r="I2259" s="106">
        <f>IF($C2259="","",IFERROR(INDEX(Sens_Types,MATCH($C2259,Liste_Types,0)),""))</f>
        <v/>
      </c>
      <c r="J2259" s="107">
        <f>IF($I2259="▲ ENTRÉE",$U2259,"")</f>
        <v/>
      </c>
      <c r="K2259" s="108">
        <f>IF($I2259="▼ SORTIE",$U2259,"")</f>
        <v/>
      </c>
      <c r="L2259" s="109">
        <f>$L2258+N($J2259)-N($K2259)</f>
        <v/>
      </c>
      <c r="M2259" s="110" t="n"/>
      <c r="N2259" s="54" t="n"/>
      <c r="O2259" s="54" t="n"/>
      <c r="P2259" s="54" t="n"/>
      <c r="Q2259" s="110" t="n"/>
      <c r="R2259" s="110" t="n"/>
      <c r="S2259" s="54" t="n"/>
      <c r="T2259" s="111">
        <f>IF($G2259="","",IFERROR(INDEX(Taux_Devises,MATCH(IF($M2259="",Devise_Base,$M2259),Codes_Devises,0)),1))</f>
        <v/>
      </c>
      <c r="U2259" s="112">
        <f>IF($G2259="","",ROUND($G2259*$T2259,2))</f>
        <v/>
      </c>
      <c r="V2259" s="113">
        <f>IF($B2259="","",MONTH($B2259))</f>
        <v/>
      </c>
      <c r="W2259" s="113">
        <f>IF($B2259="","",YEAR($B2259))</f>
        <v/>
      </c>
    </row>
    <row r="2260">
      <c r="B2260" s="105" t="n"/>
      <c r="C2260" s="54" t="n"/>
      <c r="D2260" s="54" t="n"/>
      <c r="E2260" s="54" t="n"/>
      <c r="F2260" s="54" t="n"/>
      <c r="G2260" s="65" t="n"/>
      <c r="H2260" s="54" t="n"/>
      <c r="I2260" s="106">
        <f>IF($C2260="","",IFERROR(INDEX(Sens_Types,MATCH($C2260,Liste_Types,0)),""))</f>
        <v/>
      </c>
      <c r="J2260" s="107">
        <f>IF($I2260="▲ ENTRÉE",$U2260,"")</f>
        <v/>
      </c>
      <c r="K2260" s="108">
        <f>IF($I2260="▼ SORTIE",$U2260,"")</f>
        <v/>
      </c>
      <c r="L2260" s="109">
        <f>$L2259+N($J2260)-N($K2260)</f>
        <v/>
      </c>
      <c r="M2260" s="110" t="n"/>
      <c r="N2260" s="54" t="n"/>
      <c r="O2260" s="54" t="n"/>
      <c r="P2260" s="54" t="n"/>
      <c r="Q2260" s="110" t="n"/>
      <c r="R2260" s="110" t="n"/>
      <c r="S2260" s="54" t="n"/>
      <c r="T2260" s="111">
        <f>IF($G2260="","",IFERROR(INDEX(Taux_Devises,MATCH(IF($M2260="",Devise_Base,$M2260),Codes_Devises,0)),1))</f>
        <v/>
      </c>
      <c r="U2260" s="112">
        <f>IF($G2260="","",ROUND($G2260*$T2260,2))</f>
        <v/>
      </c>
      <c r="V2260" s="113">
        <f>IF($B2260="","",MONTH($B2260))</f>
        <v/>
      </c>
      <c r="W2260" s="113">
        <f>IF($B2260="","",YEAR($B2260))</f>
        <v/>
      </c>
    </row>
    <row r="2261">
      <c r="B2261" s="105" t="n"/>
      <c r="C2261" s="54" t="n"/>
      <c r="D2261" s="54" t="n"/>
      <c r="E2261" s="54" t="n"/>
      <c r="F2261" s="54" t="n"/>
      <c r="G2261" s="65" t="n"/>
      <c r="H2261" s="54" t="n"/>
      <c r="I2261" s="106">
        <f>IF($C2261="","",IFERROR(INDEX(Sens_Types,MATCH($C2261,Liste_Types,0)),""))</f>
        <v/>
      </c>
      <c r="J2261" s="107">
        <f>IF($I2261="▲ ENTRÉE",$U2261,"")</f>
        <v/>
      </c>
      <c r="K2261" s="108">
        <f>IF($I2261="▼ SORTIE",$U2261,"")</f>
        <v/>
      </c>
      <c r="L2261" s="109">
        <f>$L2260+N($J2261)-N($K2261)</f>
        <v/>
      </c>
      <c r="M2261" s="110" t="n"/>
      <c r="N2261" s="54" t="n"/>
      <c r="O2261" s="54" t="n"/>
      <c r="P2261" s="54" t="n"/>
      <c r="Q2261" s="110" t="n"/>
      <c r="R2261" s="110" t="n"/>
      <c r="S2261" s="54" t="n"/>
      <c r="T2261" s="111">
        <f>IF($G2261="","",IFERROR(INDEX(Taux_Devises,MATCH(IF($M2261="",Devise_Base,$M2261),Codes_Devises,0)),1))</f>
        <v/>
      </c>
      <c r="U2261" s="112">
        <f>IF($G2261="","",ROUND($G2261*$T2261,2))</f>
        <v/>
      </c>
      <c r="V2261" s="113">
        <f>IF($B2261="","",MONTH($B2261))</f>
        <v/>
      </c>
      <c r="W2261" s="113">
        <f>IF($B2261="","",YEAR($B2261))</f>
        <v/>
      </c>
    </row>
    <row r="2262">
      <c r="B2262" s="105" t="n"/>
      <c r="C2262" s="54" t="n"/>
      <c r="D2262" s="54" t="n"/>
      <c r="E2262" s="54" t="n"/>
      <c r="F2262" s="54" t="n"/>
      <c r="G2262" s="65" t="n"/>
      <c r="H2262" s="54" t="n"/>
      <c r="I2262" s="106">
        <f>IF($C2262="","",IFERROR(INDEX(Sens_Types,MATCH($C2262,Liste_Types,0)),""))</f>
        <v/>
      </c>
      <c r="J2262" s="107">
        <f>IF($I2262="▲ ENTRÉE",$U2262,"")</f>
        <v/>
      </c>
      <c r="K2262" s="108">
        <f>IF($I2262="▼ SORTIE",$U2262,"")</f>
        <v/>
      </c>
      <c r="L2262" s="109">
        <f>$L2261+N($J2262)-N($K2262)</f>
        <v/>
      </c>
      <c r="M2262" s="110" t="n"/>
      <c r="N2262" s="54" t="n"/>
      <c r="O2262" s="54" t="n"/>
      <c r="P2262" s="54" t="n"/>
      <c r="Q2262" s="110" t="n"/>
      <c r="R2262" s="110" t="n"/>
      <c r="S2262" s="54" t="n"/>
      <c r="T2262" s="111">
        <f>IF($G2262="","",IFERROR(INDEX(Taux_Devises,MATCH(IF($M2262="",Devise_Base,$M2262),Codes_Devises,0)),1))</f>
        <v/>
      </c>
      <c r="U2262" s="112">
        <f>IF($G2262="","",ROUND($G2262*$T2262,2))</f>
        <v/>
      </c>
      <c r="V2262" s="113">
        <f>IF($B2262="","",MONTH($B2262))</f>
        <v/>
      </c>
      <c r="W2262" s="113">
        <f>IF($B2262="","",YEAR($B2262))</f>
        <v/>
      </c>
    </row>
    <row r="2263">
      <c r="B2263" s="105" t="n"/>
      <c r="C2263" s="54" t="n"/>
      <c r="D2263" s="54" t="n"/>
      <c r="E2263" s="54" t="n"/>
      <c r="F2263" s="54" t="n"/>
      <c r="G2263" s="65" t="n"/>
      <c r="H2263" s="54" t="n"/>
      <c r="I2263" s="106">
        <f>IF($C2263="","",IFERROR(INDEX(Sens_Types,MATCH($C2263,Liste_Types,0)),""))</f>
        <v/>
      </c>
      <c r="J2263" s="107">
        <f>IF($I2263="▲ ENTRÉE",$U2263,"")</f>
        <v/>
      </c>
      <c r="K2263" s="108">
        <f>IF($I2263="▼ SORTIE",$U2263,"")</f>
        <v/>
      </c>
      <c r="L2263" s="109">
        <f>$L2262+N($J2263)-N($K2263)</f>
        <v/>
      </c>
      <c r="M2263" s="110" t="n"/>
      <c r="N2263" s="54" t="n"/>
      <c r="O2263" s="54" t="n"/>
      <c r="P2263" s="54" t="n"/>
      <c r="Q2263" s="110" t="n"/>
      <c r="R2263" s="110" t="n"/>
      <c r="S2263" s="54" t="n"/>
      <c r="T2263" s="111">
        <f>IF($G2263="","",IFERROR(INDEX(Taux_Devises,MATCH(IF($M2263="",Devise_Base,$M2263),Codes_Devises,0)),1))</f>
        <v/>
      </c>
      <c r="U2263" s="112">
        <f>IF($G2263="","",ROUND($G2263*$T2263,2))</f>
        <v/>
      </c>
      <c r="V2263" s="113">
        <f>IF($B2263="","",MONTH($B2263))</f>
        <v/>
      </c>
      <c r="W2263" s="113">
        <f>IF($B2263="","",YEAR($B2263))</f>
        <v/>
      </c>
    </row>
    <row r="2264">
      <c r="B2264" s="105" t="n"/>
      <c r="C2264" s="54" t="n"/>
      <c r="D2264" s="54" t="n"/>
      <c r="E2264" s="54" t="n"/>
      <c r="F2264" s="54" t="n"/>
      <c r="G2264" s="65" t="n"/>
      <c r="H2264" s="54" t="n"/>
      <c r="I2264" s="106">
        <f>IF($C2264="","",IFERROR(INDEX(Sens_Types,MATCH($C2264,Liste_Types,0)),""))</f>
        <v/>
      </c>
      <c r="J2264" s="107">
        <f>IF($I2264="▲ ENTRÉE",$U2264,"")</f>
        <v/>
      </c>
      <c r="K2264" s="108">
        <f>IF($I2264="▼ SORTIE",$U2264,"")</f>
        <v/>
      </c>
      <c r="L2264" s="109">
        <f>$L2263+N($J2264)-N($K2264)</f>
        <v/>
      </c>
      <c r="M2264" s="110" t="n"/>
      <c r="N2264" s="54" t="n"/>
      <c r="O2264" s="54" t="n"/>
      <c r="P2264" s="54" t="n"/>
      <c r="Q2264" s="110" t="n"/>
      <c r="R2264" s="110" t="n"/>
      <c r="S2264" s="54" t="n"/>
      <c r="T2264" s="111">
        <f>IF($G2264="","",IFERROR(INDEX(Taux_Devises,MATCH(IF($M2264="",Devise_Base,$M2264),Codes_Devises,0)),1))</f>
        <v/>
      </c>
      <c r="U2264" s="112">
        <f>IF($G2264="","",ROUND($G2264*$T2264,2))</f>
        <v/>
      </c>
      <c r="V2264" s="113">
        <f>IF($B2264="","",MONTH($B2264))</f>
        <v/>
      </c>
      <c r="W2264" s="113">
        <f>IF($B2264="","",YEAR($B2264))</f>
        <v/>
      </c>
    </row>
    <row r="2265">
      <c r="B2265" s="105" t="n"/>
      <c r="C2265" s="54" t="n"/>
      <c r="D2265" s="54" t="n"/>
      <c r="E2265" s="54" t="n"/>
      <c r="F2265" s="54" t="n"/>
      <c r="G2265" s="65" t="n"/>
      <c r="H2265" s="54" t="n"/>
      <c r="I2265" s="106">
        <f>IF($C2265="","",IFERROR(INDEX(Sens_Types,MATCH($C2265,Liste_Types,0)),""))</f>
        <v/>
      </c>
      <c r="J2265" s="107">
        <f>IF($I2265="▲ ENTRÉE",$U2265,"")</f>
        <v/>
      </c>
      <c r="K2265" s="108">
        <f>IF($I2265="▼ SORTIE",$U2265,"")</f>
        <v/>
      </c>
      <c r="L2265" s="109">
        <f>$L2264+N($J2265)-N($K2265)</f>
        <v/>
      </c>
      <c r="M2265" s="110" t="n"/>
      <c r="N2265" s="54" t="n"/>
      <c r="O2265" s="54" t="n"/>
      <c r="P2265" s="54" t="n"/>
      <c r="Q2265" s="110" t="n"/>
      <c r="R2265" s="110" t="n"/>
      <c r="S2265" s="54" t="n"/>
      <c r="T2265" s="111">
        <f>IF($G2265="","",IFERROR(INDEX(Taux_Devises,MATCH(IF($M2265="",Devise_Base,$M2265),Codes_Devises,0)),1))</f>
        <v/>
      </c>
      <c r="U2265" s="112">
        <f>IF($G2265="","",ROUND($G2265*$T2265,2))</f>
        <v/>
      </c>
      <c r="V2265" s="113">
        <f>IF($B2265="","",MONTH($B2265))</f>
        <v/>
      </c>
      <c r="W2265" s="113">
        <f>IF($B2265="","",YEAR($B2265))</f>
        <v/>
      </c>
    </row>
    <row r="2266">
      <c r="B2266" s="105" t="n"/>
      <c r="C2266" s="54" t="n"/>
      <c r="D2266" s="54" t="n"/>
      <c r="E2266" s="54" t="n"/>
      <c r="F2266" s="54" t="n"/>
      <c r="G2266" s="65" t="n"/>
      <c r="H2266" s="54" t="n"/>
      <c r="I2266" s="106">
        <f>IF($C2266="","",IFERROR(INDEX(Sens_Types,MATCH($C2266,Liste_Types,0)),""))</f>
        <v/>
      </c>
      <c r="J2266" s="107">
        <f>IF($I2266="▲ ENTRÉE",$U2266,"")</f>
        <v/>
      </c>
      <c r="K2266" s="108">
        <f>IF($I2266="▼ SORTIE",$U2266,"")</f>
        <v/>
      </c>
      <c r="L2266" s="109">
        <f>$L2265+N($J2266)-N($K2266)</f>
        <v/>
      </c>
      <c r="M2266" s="110" t="n"/>
      <c r="N2266" s="54" t="n"/>
      <c r="O2266" s="54" t="n"/>
      <c r="P2266" s="54" t="n"/>
      <c r="Q2266" s="110" t="n"/>
      <c r="R2266" s="110" t="n"/>
      <c r="S2266" s="54" t="n"/>
      <c r="T2266" s="111">
        <f>IF($G2266="","",IFERROR(INDEX(Taux_Devises,MATCH(IF($M2266="",Devise_Base,$M2266),Codes_Devises,0)),1))</f>
        <v/>
      </c>
      <c r="U2266" s="112">
        <f>IF($G2266="","",ROUND($G2266*$T2266,2))</f>
        <v/>
      </c>
      <c r="V2266" s="113">
        <f>IF($B2266="","",MONTH($B2266))</f>
        <v/>
      </c>
      <c r="W2266" s="113">
        <f>IF($B2266="","",YEAR($B2266))</f>
        <v/>
      </c>
    </row>
    <row r="2267">
      <c r="B2267" s="105" t="n"/>
      <c r="C2267" s="54" t="n"/>
      <c r="D2267" s="54" t="n"/>
      <c r="E2267" s="54" t="n"/>
      <c r="F2267" s="54" t="n"/>
      <c r="G2267" s="65" t="n"/>
      <c r="H2267" s="54" t="n"/>
      <c r="I2267" s="106">
        <f>IF($C2267="","",IFERROR(INDEX(Sens_Types,MATCH($C2267,Liste_Types,0)),""))</f>
        <v/>
      </c>
      <c r="J2267" s="107">
        <f>IF($I2267="▲ ENTRÉE",$U2267,"")</f>
        <v/>
      </c>
      <c r="K2267" s="108">
        <f>IF($I2267="▼ SORTIE",$U2267,"")</f>
        <v/>
      </c>
      <c r="L2267" s="109">
        <f>$L2266+N($J2267)-N($K2267)</f>
        <v/>
      </c>
      <c r="M2267" s="110" t="n"/>
      <c r="N2267" s="54" t="n"/>
      <c r="O2267" s="54" t="n"/>
      <c r="P2267" s="54" t="n"/>
      <c r="Q2267" s="110" t="n"/>
      <c r="R2267" s="110" t="n"/>
      <c r="S2267" s="54" t="n"/>
      <c r="T2267" s="111">
        <f>IF($G2267="","",IFERROR(INDEX(Taux_Devises,MATCH(IF($M2267="",Devise_Base,$M2267),Codes_Devises,0)),1))</f>
        <v/>
      </c>
      <c r="U2267" s="112">
        <f>IF($G2267="","",ROUND($G2267*$T2267,2))</f>
        <v/>
      </c>
      <c r="V2267" s="113">
        <f>IF($B2267="","",MONTH($B2267))</f>
        <v/>
      </c>
      <c r="W2267" s="113">
        <f>IF($B2267="","",YEAR($B2267))</f>
        <v/>
      </c>
    </row>
    <row r="2268">
      <c r="B2268" s="105" t="n"/>
      <c r="C2268" s="54" t="n"/>
      <c r="D2268" s="54" t="n"/>
      <c r="E2268" s="54" t="n"/>
      <c r="F2268" s="54" t="n"/>
      <c r="G2268" s="65" t="n"/>
      <c r="H2268" s="54" t="n"/>
      <c r="I2268" s="106">
        <f>IF($C2268="","",IFERROR(INDEX(Sens_Types,MATCH($C2268,Liste_Types,0)),""))</f>
        <v/>
      </c>
      <c r="J2268" s="107">
        <f>IF($I2268="▲ ENTRÉE",$U2268,"")</f>
        <v/>
      </c>
      <c r="K2268" s="108">
        <f>IF($I2268="▼ SORTIE",$U2268,"")</f>
        <v/>
      </c>
      <c r="L2268" s="109">
        <f>$L2267+N($J2268)-N($K2268)</f>
        <v/>
      </c>
      <c r="M2268" s="110" t="n"/>
      <c r="N2268" s="54" t="n"/>
      <c r="O2268" s="54" t="n"/>
      <c r="P2268" s="54" t="n"/>
      <c r="Q2268" s="110" t="n"/>
      <c r="R2268" s="110" t="n"/>
      <c r="S2268" s="54" t="n"/>
      <c r="T2268" s="111">
        <f>IF($G2268="","",IFERROR(INDEX(Taux_Devises,MATCH(IF($M2268="",Devise_Base,$M2268),Codes_Devises,0)),1))</f>
        <v/>
      </c>
      <c r="U2268" s="112">
        <f>IF($G2268="","",ROUND($G2268*$T2268,2))</f>
        <v/>
      </c>
      <c r="V2268" s="113">
        <f>IF($B2268="","",MONTH($B2268))</f>
        <v/>
      </c>
      <c r="W2268" s="113">
        <f>IF($B2268="","",YEAR($B2268))</f>
        <v/>
      </c>
    </row>
    <row r="2269">
      <c r="B2269" s="105" t="n"/>
      <c r="C2269" s="54" t="n"/>
      <c r="D2269" s="54" t="n"/>
      <c r="E2269" s="54" t="n"/>
      <c r="F2269" s="54" t="n"/>
      <c r="G2269" s="65" t="n"/>
      <c r="H2269" s="54" t="n"/>
      <c r="I2269" s="106">
        <f>IF($C2269="","",IFERROR(INDEX(Sens_Types,MATCH($C2269,Liste_Types,0)),""))</f>
        <v/>
      </c>
      <c r="J2269" s="107">
        <f>IF($I2269="▲ ENTRÉE",$U2269,"")</f>
        <v/>
      </c>
      <c r="K2269" s="108">
        <f>IF($I2269="▼ SORTIE",$U2269,"")</f>
        <v/>
      </c>
      <c r="L2269" s="109">
        <f>$L2268+N($J2269)-N($K2269)</f>
        <v/>
      </c>
      <c r="M2269" s="110" t="n"/>
      <c r="N2269" s="54" t="n"/>
      <c r="O2269" s="54" t="n"/>
      <c r="P2269" s="54" t="n"/>
      <c r="Q2269" s="110" t="n"/>
      <c r="R2269" s="110" t="n"/>
      <c r="S2269" s="54" t="n"/>
      <c r="T2269" s="111">
        <f>IF($G2269="","",IFERROR(INDEX(Taux_Devises,MATCH(IF($M2269="",Devise_Base,$M2269),Codes_Devises,0)),1))</f>
        <v/>
      </c>
      <c r="U2269" s="112">
        <f>IF($G2269="","",ROUND($G2269*$T2269,2))</f>
        <v/>
      </c>
      <c r="V2269" s="113">
        <f>IF($B2269="","",MONTH($B2269))</f>
        <v/>
      </c>
      <c r="W2269" s="113">
        <f>IF($B2269="","",YEAR($B2269))</f>
        <v/>
      </c>
    </row>
    <row r="2270">
      <c r="B2270" s="105" t="n"/>
      <c r="C2270" s="54" t="n"/>
      <c r="D2270" s="54" t="n"/>
      <c r="E2270" s="54" t="n"/>
      <c r="F2270" s="54" t="n"/>
      <c r="G2270" s="65" t="n"/>
      <c r="H2270" s="54" t="n"/>
      <c r="I2270" s="106">
        <f>IF($C2270="","",IFERROR(INDEX(Sens_Types,MATCH($C2270,Liste_Types,0)),""))</f>
        <v/>
      </c>
      <c r="J2270" s="107">
        <f>IF($I2270="▲ ENTRÉE",$U2270,"")</f>
        <v/>
      </c>
      <c r="K2270" s="108">
        <f>IF($I2270="▼ SORTIE",$U2270,"")</f>
        <v/>
      </c>
      <c r="L2270" s="109">
        <f>$L2269+N($J2270)-N($K2270)</f>
        <v/>
      </c>
      <c r="M2270" s="110" t="n"/>
      <c r="N2270" s="54" t="n"/>
      <c r="O2270" s="54" t="n"/>
      <c r="P2270" s="54" t="n"/>
      <c r="Q2270" s="110" t="n"/>
      <c r="R2270" s="110" t="n"/>
      <c r="S2270" s="54" t="n"/>
      <c r="T2270" s="111">
        <f>IF($G2270="","",IFERROR(INDEX(Taux_Devises,MATCH(IF($M2270="",Devise_Base,$M2270),Codes_Devises,0)),1))</f>
        <v/>
      </c>
      <c r="U2270" s="112">
        <f>IF($G2270="","",ROUND($G2270*$T2270,2))</f>
        <v/>
      </c>
      <c r="V2270" s="113">
        <f>IF($B2270="","",MONTH($B2270))</f>
        <v/>
      </c>
      <c r="W2270" s="113">
        <f>IF($B2270="","",YEAR($B2270))</f>
        <v/>
      </c>
    </row>
    <row r="2271">
      <c r="B2271" s="105" t="n"/>
      <c r="C2271" s="54" t="n"/>
      <c r="D2271" s="54" t="n"/>
      <c r="E2271" s="54" t="n"/>
      <c r="F2271" s="54" t="n"/>
      <c r="G2271" s="65" t="n"/>
      <c r="H2271" s="54" t="n"/>
      <c r="I2271" s="106">
        <f>IF($C2271="","",IFERROR(INDEX(Sens_Types,MATCH($C2271,Liste_Types,0)),""))</f>
        <v/>
      </c>
      <c r="J2271" s="107">
        <f>IF($I2271="▲ ENTRÉE",$U2271,"")</f>
        <v/>
      </c>
      <c r="K2271" s="108">
        <f>IF($I2271="▼ SORTIE",$U2271,"")</f>
        <v/>
      </c>
      <c r="L2271" s="109">
        <f>$L2270+N($J2271)-N($K2271)</f>
        <v/>
      </c>
      <c r="M2271" s="110" t="n"/>
      <c r="N2271" s="54" t="n"/>
      <c r="O2271" s="54" t="n"/>
      <c r="P2271" s="54" t="n"/>
      <c r="Q2271" s="110" t="n"/>
      <c r="R2271" s="110" t="n"/>
      <c r="S2271" s="54" t="n"/>
      <c r="T2271" s="111">
        <f>IF($G2271="","",IFERROR(INDEX(Taux_Devises,MATCH(IF($M2271="",Devise_Base,$M2271),Codes_Devises,0)),1))</f>
        <v/>
      </c>
      <c r="U2271" s="112">
        <f>IF($G2271="","",ROUND($G2271*$T2271,2))</f>
        <v/>
      </c>
      <c r="V2271" s="113">
        <f>IF($B2271="","",MONTH($B2271))</f>
        <v/>
      </c>
      <c r="W2271" s="113">
        <f>IF($B2271="","",YEAR($B2271))</f>
        <v/>
      </c>
    </row>
    <row r="2272">
      <c r="B2272" s="105" t="n"/>
      <c r="C2272" s="54" t="n"/>
      <c r="D2272" s="54" t="n"/>
      <c r="E2272" s="54" t="n"/>
      <c r="F2272" s="54" t="n"/>
      <c r="G2272" s="65" t="n"/>
      <c r="H2272" s="54" t="n"/>
      <c r="I2272" s="106">
        <f>IF($C2272="","",IFERROR(INDEX(Sens_Types,MATCH($C2272,Liste_Types,0)),""))</f>
        <v/>
      </c>
      <c r="J2272" s="107">
        <f>IF($I2272="▲ ENTRÉE",$U2272,"")</f>
        <v/>
      </c>
      <c r="K2272" s="108">
        <f>IF($I2272="▼ SORTIE",$U2272,"")</f>
        <v/>
      </c>
      <c r="L2272" s="109">
        <f>$L2271+N($J2272)-N($K2272)</f>
        <v/>
      </c>
      <c r="M2272" s="110" t="n"/>
      <c r="N2272" s="54" t="n"/>
      <c r="O2272" s="54" t="n"/>
      <c r="P2272" s="54" t="n"/>
      <c r="Q2272" s="110" t="n"/>
      <c r="R2272" s="110" t="n"/>
      <c r="S2272" s="54" t="n"/>
      <c r="T2272" s="111">
        <f>IF($G2272="","",IFERROR(INDEX(Taux_Devises,MATCH(IF($M2272="",Devise_Base,$M2272),Codes_Devises,0)),1))</f>
        <v/>
      </c>
      <c r="U2272" s="112">
        <f>IF($G2272="","",ROUND($G2272*$T2272,2))</f>
        <v/>
      </c>
      <c r="V2272" s="113">
        <f>IF($B2272="","",MONTH($B2272))</f>
        <v/>
      </c>
      <c r="W2272" s="113">
        <f>IF($B2272="","",YEAR($B2272))</f>
        <v/>
      </c>
    </row>
    <row r="2273">
      <c r="B2273" s="105" t="n"/>
      <c r="C2273" s="54" t="n"/>
      <c r="D2273" s="54" t="n"/>
      <c r="E2273" s="54" t="n"/>
      <c r="F2273" s="54" t="n"/>
      <c r="G2273" s="65" t="n"/>
      <c r="H2273" s="54" t="n"/>
      <c r="I2273" s="106">
        <f>IF($C2273="","",IFERROR(INDEX(Sens_Types,MATCH($C2273,Liste_Types,0)),""))</f>
        <v/>
      </c>
      <c r="J2273" s="107">
        <f>IF($I2273="▲ ENTRÉE",$U2273,"")</f>
        <v/>
      </c>
      <c r="K2273" s="108">
        <f>IF($I2273="▼ SORTIE",$U2273,"")</f>
        <v/>
      </c>
      <c r="L2273" s="109">
        <f>$L2272+N($J2273)-N($K2273)</f>
        <v/>
      </c>
      <c r="M2273" s="110" t="n"/>
      <c r="N2273" s="54" t="n"/>
      <c r="O2273" s="54" t="n"/>
      <c r="P2273" s="54" t="n"/>
      <c r="Q2273" s="110" t="n"/>
      <c r="R2273" s="110" t="n"/>
      <c r="S2273" s="54" t="n"/>
      <c r="T2273" s="111">
        <f>IF($G2273="","",IFERROR(INDEX(Taux_Devises,MATCH(IF($M2273="",Devise_Base,$M2273),Codes_Devises,0)),1))</f>
        <v/>
      </c>
      <c r="U2273" s="112">
        <f>IF($G2273="","",ROUND($G2273*$T2273,2))</f>
        <v/>
      </c>
      <c r="V2273" s="113">
        <f>IF($B2273="","",MONTH($B2273))</f>
        <v/>
      </c>
      <c r="W2273" s="113">
        <f>IF($B2273="","",YEAR($B2273))</f>
        <v/>
      </c>
    </row>
    <row r="2274">
      <c r="B2274" s="105" t="n"/>
      <c r="C2274" s="54" t="n"/>
      <c r="D2274" s="54" t="n"/>
      <c r="E2274" s="54" t="n"/>
      <c r="F2274" s="54" t="n"/>
      <c r="G2274" s="65" t="n"/>
      <c r="H2274" s="54" t="n"/>
      <c r="I2274" s="106">
        <f>IF($C2274="","",IFERROR(INDEX(Sens_Types,MATCH($C2274,Liste_Types,0)),""))</f>
        <v/>
      </c>
      <c r="J2274" s="107">
        <f>IF($I2274="▲ ENTRÉE",$U2274,"")</f>
        <v/>
      </c>
      <c r="K2274" s="108">
        <f>IF($I2274="▼ SORTIE",$U2274,"")</f>
        <v/>
      </c>
      <c r="L2274" s="109">
        <f>$L2273+N($J2274)-N($K2274)</f>
        <v/>
      </c>
      <c r="M2274" s="110" t="n"/>
      <c r="N2274" s="54" t="n"/>
      <c r="O2274" s="54" t="n"/>
      <c r="P2274" s="54" t="n"/>
      <c r="Q2274" s="110" t="n"/>
      <c r="R2274" s="110" t="n"/>
      <c r="S2274" s="54" t="n"/>
      <c r="T2274" s="111">
        <f>IF($G2274="","",IFERROR(INDEX(Taux_Devises,MATCH(IF($M2274="",Devise_Base,$M2274),Codes_Devises,0)),1))</f>
        <v/>
      </c>
      <c r="U2274" s="112">
        <f>IF($G2274="","",ROUND($G2274*$T2274,2))</f>
        <v/>
      </c>
      <c r="V2274" s="113">
        <f>IF($B2274="","",MONTH($B2274))</f>
        <v/>
      </c>
      <c r="W2274" s="113">
        <f>IF($B2274="","",YEAR($B2274))</f>
        <v/>
      </c>
    </row>
    <row r="2275">
      <c r="B2275" s="105" t="n"/>
      <c r="C2275" s="54" t="n"/>
      <c r="D2275" s="54" t="n"/>
      <c r="E2275" s="54" t="n"/>
      <c r="F2275" s="54" t="n"/>
      <c r="G2275" s="65" t="n"/>
      <c r="H2275" s="54" t="n"/>
      <c r="I2275" s="106">
        <f>IF($C2275="","",IFERROR(INDEX(Sens_Types,MATCH($C2275,Liste_Types,0)),""))</f>
        <v/>
      </c>
      <c r="J2275" s="107">
        <f>IF($I2275="▲ ENTRÉE",$U2275,"")</f>
        <v/>
      </c>
      <c r="K2275" s="108">
        <f>IF($I2275="▼ SORTIE",$U2275,"")</f>
        <v/>
      </c>
      <c r="L2275" s="109">
        <f>$L2274+N($J2275)-N($K2275)</f>
        <v/>
      </c>
      <c r="M2275" s="110" t="n"/>
      <c r="N2275" s="54" t="n"/>
      <c r="O2275" s="54" t="n"/>
      <c r="P2275" s="54" t="n"/>
      <c r="Q2275" s="110" t="n"/>
      <c r="R2275" s="110" t="n"/>
      <c r="S2275" s="54" t="n"/>
      <c r="T2275" s="111">
        <f>IF($G2275="","",IFERROR(INDEX(Taux_Devises,MATCH(IF($M2275="",Devise_Base,$M2275),Codes_Devises,0)),1))</f>
        <v/>
      </c>
      <c r="U2275" s="112">
        <f>IF($G2275="","",ROUND($G2275*$T2275,2))</f>
        <v/>
      </c>
      <c r="V2275" s="113">
        <f>IF($B2275="","",MONTH($B2275))</f>
        <v/>
      </c>
      <c r="W2275" s="113">
        <f>IF($B2275="","",YEAR($B2275))</f>
        <v/>
      </c>
    </row>
    <row r="2276">
      <c r="B2276" s="105" t="n"/>
      <c r="C2276" s="54" t="n"/>
      <c r="D2276" s="54" t="n"/>
      <c r="E2276" s="54" t="n"/>
      <c r="F2276" s="54" t="n"/>
      <c r="G2276" s="65" t="n"/>
      <c r="H2276" s="54" t="n"/>
      <c r="I2276" s="106">
        <f>IF($C2276="","",IFERROR(INDEX(Sens_Types,MATCH($C2276,Liste_Types,0)),""))</f>
        <v/>
      </c>
      <c r="J2276" s="107">
        <f>IF($I2276="▲ ENTRÉE",$U2276,"")</f>
        <v/>
      </c>
      <c r="K2276" s="108">
        <f>IF($I2276="▼ SORTIE",$U2276,"")</f>
        <v/>
      </c>
      <c r="L2276" s="109">
        <f>$L2275+N($J2276)-N($K2276)</f>
        <v/>
      </c>
      <c r="M2276" s="110" t="n"/>
      <c r="N2276" s="54" t="n"/>
      <c r="O2276" s="54" t="n"/>
      <c r="P2276" s="54" t="n"/>
      <c r="Q2276" s="110" t="n"/>
      <c r="R2276" s="110" t="n"/>
      <c r="S2276" s="54" t="n"/>
      <c r="T2276" s="111">
        <f>IF($G2276="","",IFERROR(INDEX(Taux_Devises,MATCH(IF($M2276="",Devise_Base,$M2276),Codes_Devises,0)),1))</f>
        <v/>
      </c>
      <c r="U2276" s="112">
        <f>IF($G2276="","",ROUND($G2276*$T2276,2))</f>
        <v/>
      </c>
      <c r="V2276" s="113">
        <f>IF($B2276="","",MONTH($B2276))</f>
        <v/>
      </c>
      <c r="W2276" s="113">
        <f>IF($B2276="","",YEAR($B2276))</f>
        <v/>
      </c>
    </row>
    <row r="2277">
      <c r="B2277" s="105" t="n"/>
      <c r="C2277" s="54" t="n"/>
      <c r="D2277" s="54" t="n"/>
      <c r="E2277" s="54" t="n"/>
      <c r="F2277" s="54" t="n"/>
      <c r="G2277" s="65" t="n"/>
      <c r="H2277" s="54" t="n"/>
      <c r="I2277" s="106">
        <f>IF($C2277="","",IFERROR(INDEX(Sens_Types,MATCH($C2277,Liste_Types,0)),""))</f>
        <v/>
      </c>
      <c r="J2277" s="107">
        <f>IF($I2277="▲ ENTRÉE",$U2277,"")</f>
        <v/>
      </c>
      <c r="K2277" s="108">
        <f>IF($I2277="▼ SORTIE",$U2277,"")</f>
        <v/>
      </c>
      <c r="L2277" s="109">
        <f>$L2276+N($J2277)-N($K2277)</f>
        <v/>
      </c>
      <c r="M2277" s="110" t="n"/>
      <c r="N2277" s="54" t="n"/>
      <c r="O2277" s="54" t="n"/>
      <c r="P2277" s="54" t="n"/>
      <c r="Q2277" s="110" t="n"/>
      <c r="R2277" s="110" t="n"/>
      <c r="S2277" s="54" t="n"/>
      <c r="T2277" s="111">
        <f>IF($G2277="","",IFERROR(INDEX(Taux_Devises,MATCH(IF($M2277="",Devise_Base,$M2277),Codes_Devises,0)),1))</f>
        <v/>
      </c>
      <c r="U2277" s="112">
        <f>IF($G2277="","",ROUND($G2277*$T2277,2))</f>
        <v/>
      </c>
      <c r="V2277" s="113">
        <f>IF($B2277="","",MONTH($B2277))</f>
        <v/>
      </c>
      <c r="W2277" s="113">
        <f>IF($B2277="","",YEAR($B2277))</f>
        <v/>
      </c>
    </row>
    <row r="2278">
      <c r="B2278" s="105" t="n"/>
      <c r="C2278" s="54" t="n"/>
      <c r="D2278" s="54" t="n"/>
      <c r="E2278" s="54" t="n"/>
      <c r="F2278" s="54" t="n"/>
      <c r="G2278" s="65" t="n"/>
      <c r="H2278" s="54" t="n"/>
      <c r="I2278" s="106">
        <f>IF($C2278="","",IFERROR(INDEX(Sens_Types,MATCH($C2278,Liste_Types,0)),""))</f>
        <v/>
      </c>
      <c r="J2278" s="107">
        <f>IF($I2278="▲ ENTRÉE",$U2278,"")</f>
        <v/>
      </c>
      <c r="K2278" s="108">
        <f>IF($I2278="▼ SORTIE",$U2278,"")</f>
        <v/>
      </c>
      <c r="L2278" s="109">
        <f>$L2277+N($J2278)-N($K2278)</f>
        <v/>
      </c>
      <c r="M2278" s="110" t="n"/>
      <c r="N2278" s="54" t="n"/>
      <c r="O2278" s="54" t="n"/>
      <c r="P2278" s="54" t="n"/>
      <c r="Q2278" s="110" t="n"/>
      <c r="R2278" s="110" t="n"/>
      <c r="S2278" s="54" t="n"/>
      <c r="T2278" s="111">
        <f>IF($G2278="","",IFERROR(INDEX(Taux_Devises,MATCH(IF($M2278="",Devise_Base,$M2278),Codes_Devises,0)),1))</f>
        <v/>
      </c>
      <c r="U2278" s="112">
        <f>IF($G2278="","",ROUND($G2278*$T2278,2))</f>
        <v/>
      </c>
      <c r="V2278" s="113">
        <f>IF($B2278="","",MONTH($B2278))</f>
        <v/>
      </c>
      <c r="W2278" s="113">
        <f>IF($B2278="","",YEAR($B2278))</f>
        <v/>
      </c>
    </row>
    <row r="2279">
      <c r="B2279" s="105" t="n"/>
      <c r="C2279" s="54" t="n"/>
      <c r="D2279" s="54" t="n"/>
      <c r="E2279" s="54" t="n"/>
      <c r="F2279" s="54" t="n"/>
      <c r="G2279" s="65" t="n"/>
      <c r="H2279" s="54" t="n"/>
      <c r="I2279" s="106">
        <f>IF($C2279="","",IFERROR(INDEX(Sens_Types,MATCH($C2279,Liste_Types,0)),""))</f>
        <v/>
      </c>
      <c r="J2279" s="107">
        <f>IF($I2279="▲ ENTRÉE",$U2279,"")</f>
        <v/>
      </c>
      <c r="K2279" s="108">
        <f>IF($I2279="▼ SORTIE",$U2279,"")</f>
        <v/>
      </c>
      <c r="L2279" s="109">
        <f>$L2278+N($J2279)-N($K2279)</f>
        <v/>
      </c>
      <c r="M2279" s="110" t="n"/>
      <c r="N2279" s="54" t="n"/>
      <c r="O2279" s="54" t="n"/>
      <c r="P2279" s="54" t="n"/>
      <c r="Q2279" s="110" t="n"/>
      <c r="R2279" s="110" t="n"/>
      <c r="S2279" s="54" t="n"/>
      <c r="T2279" s="111">
        <f>IF($G2279="","",IFERROR(INDEX(Taux_Devises,MATCH(IF($M2279="",Devise_Base,$M2279),Codes_Devises,0)),1))</f>
        <v/>
      </c>
      <c r="U2279" s="112">
        <f>IF($G2279="","",ROUND($G2279*$T2279,2))</f>
        <v/>
      </c>
      <c r="V2279" s="113">
        <f>IF($B2279="","",MONTH($B2279))</f>
        <v/>
      </c>
      <c r="W2279" s="113">
        <f>IF($B2279="","",YEAR($B2279))</f>
        <v/>
      </c>
    </row>
    <row r="2280">
      <c r="B2280" s="105" t="n"/>
      <c r="C2280" s="54" t="n"/>
      <c r="D2280" s="54" t="n"/>
      <c r="E2280" s="54" t="n"/>
      <c r="F2280" s="54" t="n"/>
      <c r="G2280" s="65" t="n"/>
      <c r="H2280" s="54" t="n"/>
      <c r="I2280" s="106">
        <f>IF($C2280="","",IFERROR(INDEX(Sens_Types,MATCH($C2280,Liste_Types,0)),""))</f>
        <v/>
      </c>
      <c r="J2280" s="107">
        <f>IF($I2280="▲ ENTRÉE",$U2280,"")</f>
        <v/>
      </c>
      <c r="K2280" s="108">
        <f>IF($I2280="▼ SORTIE",$U2280,"")</f>
        <v/>
      </c>
      <c r="L2280" s="109">
        <f>$L2279+N($J2280)-N($K2280)</f>
        <v/>
      </c>
      <c r="M2280" s="110" t="n"/>
      <c r="N2280" s="54" t="n"/>
      <c r="O2280" s="54" t="n"/>
      <c r="P2280" s="54" t="n"/>
      <c r="Q2280" s="110" t="n"/>
      <c r="R2280" s="110" t="n"/>
      <c r="S2280" s="54" t="n"/>
      <c r="T2280" s="111">
        <f>IF($G2280="","",IFERROR(INDEX(Taux_Devises,MATCH(IF($M2280="",Devise_Base,$M2280),Codes_Devises,0)),1))</f>
        <v/>
      </c>
      <c r="U2280" s="112">
        <f>IF($G2280="","",ROUND($G2280*$T2280,2))</f>
        <v/>
      </c>
      <c r="V2280" s="113">
        <f>IF($B2280="","",MONTH($B2280))</f>
        <v/>
      </c>
      <c r="W2280" s="113">
        <f>IF($B2280="","",YEAR($B2280))</f>
        <v/>
      </c>
    </row>
    <row r="2281">
      <c r="B2281" s="105" t="n"/>
      <c r="C2281" s="54" t="n"/>
      <c r="D2281" s="54" t="n"/>
      <c r="E2281" s="54" t="n"/>
      <c r="F2281" s="54" t="n"/>
      <c r="G2281" s="65" t="n"/>
      <c r="H2281" s="54" t="n"/>
      <c r="I2281" s="106">
        <f>IF($C2281="","",IFERROR(INDEX(Sens_Types,MATCH($C2281,Liste_Types,0)),""))</f>
        <v/>
      </c>
      <c r="J2281" s="107">
        <f>IF($I2281="▲ ENTRÉE",$U2281,"")</f>
        <v/>
      </c>
      <c r="K2281" s="108">
        <f>IF($I2281="▼ SORTIE",$U2281,"")</f>
        <v/>
      </c>
      <c r="L2281" s="109">
        <f>$L2280+N($J2281)-N($K2281)</f>
        <v/>
      </c>
      <c r="M2281" s="110" t="n"/>
      <c r="N2281" s="54" t="n"/>
      <c r="O2281" s="54" t="n"/>
      <c r="P2281" s="54" t="n"/>
      <c r="Q2281" s="110" t="n"/>
      <c r="R2281" s="110" t="n"/>
      <c r="S2281" s="54" t="n"/>
      <c r="T2281" s="111">
        <f>IF($G2281="","",IFERROR(INDEX(Taux_Devises,MATCH(IF($M2281="",Devise_Base,$M2281),Codes_Devises,0)),1))</f>
        <v/>
      </c>
      <c r="U2281" s="112">
        <f>IF($G2281="","",ROUND($G2281*$T2281,2))</f>
        <v/>
      </c>
      <c r="V2281" s="113">
        <f>IF($B2281="","",MONTH($B2281))</f>
        <v/>
      </c>
      <c r="W2281" s="113">
        <f>IF($B2281="","",YEAR($B2281))</f>
        <v/>
      </c>
    </row>
    <row r="2282">
      <c r="B2282" s="105" t="n"/>
      <c r="C2282" s="54" t="n"/>
      <c r="D2282" s="54" t="n"/>
      <c r="E2282" s="54" t="n"/>
      <c r="F2282" s="54" t="n"/>
      <c r="G2282" s="65" t="n"/>
      <c r="H2282" s="54" t="n"/>
      <c r="I2282" s="106">
        <f>IF($C2282="","",IFERROR(INDEX(Sens_Types,MATCH($C2282,Liste_Types,0)),""))</f>
        <v/>
      </c>
      <c r="J2282" s="107">
        <f>IF($I2282="▲ ENTRÉE",$U2282,"")</f>
        <v/>
      </c>
      <c r="K2282" s="108">
        <f>IF($I2282="▼ SORTIE",$U2282,"")</f>
        <v/>
      </c>
      <c r="L2282" s="109">
        <f>$L2281+N($J2282)-N($K2282)</f>
        <v/>
      </c>
      <c r="M2282" s="110" t="n"/>
      <c r="N2282" s="54" t="n"/>
      <c r="O2282" s="54" t="n"/>
      <c r="P2282" s="54" t="n"/>
      <c r="Q2282" s="110" t="n"/>
      <c r="R2282" s="110" t="n"/>
      <c r="S2282" s="54" t="n"/>
      <c r="T2282" s="111">
        <f>IF($G2282="","",IFERROR(INDEX(Taux_Devises,MATCH(IF($M2282="",Devise_Base,$M2282),Codes_Devises,0)),1))</f>
        <v/>
      </c>
      <c r="U2282" s="112">
        <f>IF($G2282="","",ROUND($G2282*$T2282,2))</f>
        <v/>
      </c>
      <c r="V2282" s="113">
        <f>IF($B2282="","",MONTH($B2282))</f>
        <v/>
      </c>
      <c r="W2282" s="113">
        <f>IF($B2282="","",YEAR($B2282))</f>
        <v/>
      </c>
    </row>
    <row r="2283">
      <c r="B2283" s="105" t="n"/>
      <c r="C2283" s="54" t="n"/>
      <c r="D2283" s="54" t="n"/>
      <c r="E2283" s="54" t="n"/>
      <c r="F2283" s="54" t="n"/>
      <c r="G2283" s="65" t="n"/>
      <c r="H2283" s="54" t="n"/>
      <c r="I2283" s="106">
        <f>IF($C2283="","",IFERROR(INDEX(Sens_Types,MATCH($C2283,Liste_Types,0)),""))</f>
        <v/>
      </c>
      <c r="J2283" s="107">
        <f>IF($I2283="▲ ENTRÉE",$U2283,"")</f>
        <v/>
      </c>
      <c r="K2283" s="108">
        <f>IF($I2283="▼ SORTIE",$U2283,"")</f>
        <v/>
      </c>
      <c r="L2283" s="109">
        <f>$L2282+N($J2283)-N($K2283)</f>
        <v/>
      </c>
      <c r="M2283" s="110" t="n"/>
      <c r="N2283" s="54" t="n"/>
      <c r="O2283" s="54" t="n"/>
      <c r="P2283" s="54" t="n"/>
      <c r="Q2283" s="110" t="n"/>
      <c r="R2283" s="110" t="n"/>
      <c r="S2283" s="54" t="n"/>
      <c r="T2283" s="111">
        <f>IF($G2283="","",IFERROR(INDEX(Taux_Devises,MATCH(IF($M2283="",Devise_Base,$M2283),Codes_Devises,0)),1))</f>
        <v/>
      </c>
      <c r="U2283" s="112">
        <f>IF($G2283="","",ROUND($G2283*$T2283,2))</f>
        <v/>
      </c>
      <c r="V2283" s="113">
        <f>IF($B2283="","",MONTH($B2283))</f>
        <v/>
      </c>
      <c r="W2283" s="113">
        <f>IF($B2283="","",YEAR($B2283))</f>
        <v/>
      </c>
    </row>
    <row r="2284">
      <c r="B2284" s="105" t="n"/>
      <c r="C2284" s="54" t="n"/>
      <c r="D2284" s="54" t="n"/>
      <c r="E2284" s="54" t="n"/>
      <c r="F2284" s="54" t="n"/>
      <c r="G2284" s="65" t="n"/>
      <c r="H2284" s="54" t="n"/>
      <c r="I2284" s="106">
        <f>IF($C2284="","",IFERROR(INDEX(Sens_Types,MATCH($C2284,Liste_Types,0)),""))</f>
        <v/>
      </c>
      <c r="J2284" s="107">
        <f>IF($I2284="▲ ENTRÉE",$U2284,"")</f>
        <v/>
      </c>
      <c r="K2284" s="108">
        <f>IF($I2284="▼ SORTIE",$U2284,"")</f>
        <v/>
      </c>
      <c r="L2284" s="109">
        <f>$L2283+N($J2284)-N($K2284)</f>
        <v/>
      </c>
      <c r="M2284" s="110" t="n"/>
      <c r="N2284" s="54" t="n"/>
      <c r="O2284" s="54" t="n"/>
      <c r="P2284" s="54" t="n"/>
      <c r="Q2284" s="110" t="n"/>
      <c r="R2284" s="110" t="n"/>
      <c r="S2284" s="54" t="n"/>
      <c r="T2284" s="111">
        <f>IF($G2284="","",IFERROR(INDEX(Taux_Devises,MATCH(IF($M2284="",Devise_Base,$M2284),Codes_Devises,0)),1))</f>
        <v/>
      </c>
      <c r="U2284" s="112">
        <f>IF($G2284="","",ROUND($G2284*$T2284,2))</f>
        <v/>
      </c>
      <c r="V2284" s="113">
        <f>IF($B2284="","",MONTH($B2284))</f>
        <v/>
      </c>
      <c r="W2284" s="113">
        <f>IF($B2284="","",YEAR($B2284))</f>
        <v/>
      </c>
    </row>
    <row r="2285">
      <c r="B2285" s="105" t="n"/>
      <c r="C2285" s="54" t="n"/>
      <c r="D2285" s="54" t="n"/>
      <c r="E2285" s="54" t="n"/>
      <c r="F2285" s="54" t="n"/>
      <c r="G2285" s="65" t="n"/>
      <c r="H2285" s="54" t="n"/>
      <c r="I2285" s="106">
        <f>IF($C2285="","",IFERROR(INDEX(Sens_Types,MATCH($C2285,Liste_Types,0)),""))</f>
        <v/>
      </c>
      <c r="J2285" s="107">
        <f>IF($I2285="▲ ENTRÉE",$U2285,"")</f>
        <v/>
      </c>
      <c r="K2285" s="108">
        <f>IF($I2285="▼ SORTIE",$U2285,"")</f>
        <v/>
      </c>
      <c r="L2285" s="109">
        <f>$L2284+N($J2285)-N($K2285)</f>
        <v/>
      </c>
      <c r="M2285" s="110" t="n"/>
      <c r="N2285" s="54" t="n"/>
      <c r="O2285" s="54" t="n"/>
      <c r="P2285" s="54" t="n"/>
      <c r="Q2285" s="110" t="n"/>
      <c r="R2285" s="110" t="n"/>
      <c r="S2285" s="54" t="n"/>
      <c r="T2285" s="111">
        <f>IF($G2285="","",IFERROR(INDEX(Taux_Devises,MATCH(IF($M2285="",Devise_Base,$M2285),Codes_Devises,0)),1))</f>
        <v/>
      </c>
      <c r="U2285" s="112">
        <f>IF($G2285="","",ROUND($G2285*$T2285,2))</f>
        <v/>
      </c>
      <c r="V2285" s="113">
        <f>IF($B2285="","",MONTH($B2285))</f>
        <v/>
      </c>
      <c r="W2285" s="113">
        <f>IF($B2285="","",YEAR($B2285))</f>
        <v/>
      </c>
    </row>
    <row r="2286">
      <c r="B2286" s="105" t="n"/>
      <c r="C2286" s="54" t="n"/>
      <c r="D2286" s="54" t="n"/>
      <c r="E2286" s="54" t="n"/>
      <c r="F2286" s="54" t="n"/>
      <c r="G2286" s="65" t="n"/>
      <c r="H2286" s="54" t="n"/>
      <c r="I2286" s="106">
        <f>IF($C2286="","",IFERROR(INDEX(Sens_Types,MATCH($C2286,Liste_Types,0)),""))</f>
        <v/>
      </c>
      <c r="J2286" s="107">
        <f>IF($I2286="▲ ENTRÉE",$U2286,"")</f>
        <v/>
      </c>
      <c r="K2286" s="108">
        <f>IF($I2286="▼ SORTIE",$U2286,"")</f>
        <v/>
      </c>
      <c r="L2286" s="109">
        <f>$L2285+N($J2286)-N($K2286)</f>
        <v/>
      </c>
      <c r="M2286" s="110" t="n"/>
      <c r="N2286" s="54" t="n"/>
      <c r="O2286" s="54" t="n"/>
      <c r="P2286" s="54" t="n"/>
      <c r="Q2286" s="110" t="n"/>
      <c r="R2286" s="110" t="n"/>
      <c r="S2286" s="54" t="n"/>
      <c r="T2286" s="111">
        <f>IF($G2286="","",IFERROR(INDEX(Taux_Devises,MATCH(IF($M2286="",Devise_Base,$M2286),Codes_Devises,0)),1))</f>
        <v/>
      </c>
      <c r="U2286" s="112">
        <f>IF($G2286="","",ROUND($G2286*$T2286,2))</f>
        <v/>
      </c>
      <c r="V2286" s="113">
        <f>IF($B2286="","",MONTH($B2286))</f>
        <v/>
      </c>
      <c r="W2286" s="113">
        <f>IF($B2286="","",YEAR($B2286))</f>
        <v/>
      </c>
    </row>
    <row r="2287">
      <c r="B2287" s="105" t="n"/>
      <c r="C2287" s="54" t="n"/>
      <c r="D2287" s="54" t="n"/>
      <c r="E2287" s="54" t="n"/>
      <c r="F2287" s="54" t="n"/>
      <c r="G2287" s="65" t="n"/>
      <c r="H2287" s="54" t="n"/>
      <c r="I2287" s="106">
        <f>IF($C2287="","",IFERROR(INDEX(Sens_Types,MATCH($C2287,Liste_Types,0)),""))</f>
        <v/>
      </c>
      <c r="J2287" s="107">
        <f>IF($I2287="▲ ENTRÉE",$U2287,"")</f>
        <v/>
      </c>
      <c r="K2287" s="108">
        <f>IF($I2287="▼ SORTIE",$U2287,"")</f>
        <v/>
      </c>
      <c r="L2287" s="109">
        <f>$L2286+N($J2287)-N($K2287)</f>
        <v/>
      </c>
      <c r="M2287" s="110" t="n"/>
      <c r="N2287" s="54" t="n"/>
      <c r="O2287" s="54" t="n"/>
      <c r="P2287" s="54" t="n"/>
      <c r="Q2287" s="110" t="n"/>
      <c r="R2287" s="110" t="n"/>
      <c r="S2287" s="54" t="n"/>
      <c r="T2287" s="111">
        <f>IF($G2287="","",IFERROR(INDEX(Taux_Devises,MATCH(IF($M2287="",Devise_Base,$M2287),Codes_Devises,0)),1))</f>
        <v/>
      </c>
      <c r="U2287" s="112">
        <f>IF($G2287="","",ROUND($G2287*$T2287,2))</f>
        <v/>
      </c>
      <c r="V2287" s="113">
        <f>IF($B2287="","",MONTH($B2287))</f>
        <v/>
      </c>
      <c r="W2287" s="113">
        <f>IF($B2287="","",YEAR($B2287))</f>
        <v/>
      </c>
    </row>
    <row r="2288">
      <c r="B2288" s="105" t="n"/>
      <c r="C2288" s="54" t="n"/>
      <c r="D2288" s="54" t="n"/>
      <c r="E2288" s="54" t="n"/>
      <c r="F2288" s="54" t="n"/>
      <c r="G2288" s="65" t="n"/>
      <c r="H2288" s="54" t="n"/>
      <c r="I2288" s="106">
        <f>IF($C2288="","",IFERROR(INDEX(Sens_Types,MATCH($C2288,Liste_Types,0)),""))</f>
        <v/>
      </c>
      <c r="J2288" s="107">
        <f>IF($I2288="▲ ENTRÉE",$U2288,"")</f>
        <v/>
      </c>
      <c r="K2288" s="108">
        <f>IF($I2288="▼ SORTIE",$U2288,"")</f>
        <v/>
      </c>
      <c r="L2288" s="109">
        <f>$L2287+N($J2288)-N($K2288)</f>
        <v/>
      </c>
      <c r="M2288" s="110" t="n"/>
      <c r="N2288" s="54" t="n"/>
      <c r="O2288" s="54" t="n"/>
      <c r="P2288" s="54" t="n"/>
      <c r="Q2288" s="110" t="n"/>
      <c r="R2288" s="110" t="n"/>
      <c r="S2288" s="54" t="n"/>
      <c r="T2288" s="111">
        <f>IF($G2288="","",IFERROR(INDEX(Taux_Devises,MATCH(IF($M2288="",Devise_Base,$M2288),Codes_Devises,0)),1))</f>
        <v/>
      </c>
      <c r="U2288" s="112">
        <f>IF($G2288="","",ROUND($G2288*$T2288,2))</f>
        <v/>
      </c>
      <c r="V2288" s="113">
        <f>IF($B2288="","",MONTH($B2288))</f>
        <v/>
      </c>
      <c r="W2288" s="113">
        <f>IF($B2288="","",YEAR($B2288))</f>
        <v/>
      </c>
    </row>
    <row r="2289">
      <c r="B2289" s="105" t="n"/>
      <c r="C2289" s="54" t="n"/>
      <c r="D2289" s="54" t="n"/>
      <c r="E2289" s="54" t="n"/>
      <c r="F2289" s="54" t="n"/>
      <c r="G2289" s="65" t="n"/>
      <c r="H2289" s="54" t="n"/>
      <c r="I2289" s="106">
        <f>IF($C2289="","",IFERROR(INDEX(Sens_Types,MATCH($C2289,Liste_Types,0)),""))</f>
        <v/>
      </c>
      <c r="J2289" s="107">
        <f>IF($I2289="▲ ENTRÉE",$U2289,"")</f>
        <v/>
      </c>
      <c r="K2289" s="108">
        <f>IF($I2289="▼ SORTIE",$U2289,"")</f>
        <v/>
      </c>
      <c r="L2289" s="109">
        <f>$L2288+N($J2289)-N($K2289)</f>
        <v/>
      </c>
      <c r="M2289" s="110" t="n"/>
      <c r="N2289" s="54" t="n"/>
      <c r="O2289" s="54" t="n"/>
      <c r="P2289" s="54" t="n"/>
      <c r="Q2289" s="110" t="n"/>
      <c r="R2289" s="110" t="n"/>
      <c r="S2289" s="54" t="n"/>
      <c r="T2289" s="111">
        <f>IF($G2289="","",IFERROR(INDEX(Taux_Devises,MATCH(IF($M2289="",Devise_Base,$M2289),Codes_Devises,0)),1))</f>
        <v/>
      </c>
      <c r="U2289" s="112">
        <f>IF($G2289="","",ROUND($G2289*$T2289,2))</f>
        <v/>
      </c>
      <c r="V2289" s="113">
        <f>IF($B2289="","",MONTH($B2289))</f>
        <v/>
      </c>
      <c r="W2289" s="113">
        <f>IF($B2289="","",YEAR($B2289))</f>
        <v/>
      </c>
    </row>
    <row r="2290">
      <c r="B2290" s="105" t="n"/>
      <c r="C2290" s="54" t="n"/>
      <c r="D2290" s="54" t="n"/>
      <c r="E2290" s="54" t="n"/>
      <c r="F2290" s="54" t="n"/>
      <c r="G2290" s="65" t="n"/>
      <c r="H2290" s="54" t="n"/>
      <c r="I2290" s="106">
        <f>IF($C2290="","",IFERROR(INDEX(Sens_Types,MATCH($C2290,Liste_Types,0)),""))</f>
        <v/>
      </c>
      <c r="J2290" s="107">
        <f>IF($I2290="▲ ENTRÉE",$U2290,"")</f>
        <v/>
      </c>
      <c r="K2290" s="108">
        <f>IF($I2290="▼ SORTIE",$U2290,"")</f>
        <v/>
      </c>
      <c r="L2290" s="109">
        <f>$L2289+N($J2290)-N($K2290)</f>
        <v/>
      </c>
      <c r="M2290" s="110" t="n"/>
      <c r="N2290" s="54" t="n"/>
      <c r="O2290" s="54" t="n"/>
      <c r="P2290" s="54" t="n"/>
      <c r="Q2290" s="110" t="n"/>
      <c r="R2290" s="110" t="n"/>
      <c r="S2290" s="54" t="n"/>
      <c r="T2290" s="111">
        <f>IF($G2290="","",IFERROR(INDEX(Taux_Devises,MATCH(IF($M2290="",Devise_Base,$M2290),Codes_Devises,0)),1))</f>
        <v/>
      </c>
      <c r="U2290" s="112">
        <f>IF($G2290="","",ROUND($G2290*$T2290,2))</f>
        <v/>
      </c>
      <c r="V2290" s="113">
        <f>IF($B2290="","",MONTH($B2290))</f>
        <v/>
      </c>
      <c r="W2290" s="113">
        <f>IF($B2290="","",YEAR($B2290))</f>
        <v/>
      </c>
    </row>
    <row r="2291">
      <c r="B2291" s="105" t="n"/>
      <c r="C2291" s="54" t="n"/>
      <c r="D2291" s="54" t="n"/>
      <c r="E2291" s="54" t="n"/>
      <c r="F2291" s="54" t="n"/>
      <c r="G2291" s="65" t="n"/>
      <c r="H2291" s="54" t="n"/>
      <c r="I2291" s="106">
        <f>IF($C2291="","",IFERROR(INDEX(Sens_Types,MATCH($C2291,Liste_Types,0)),""))</f>
        <v/>
      </c>
      <c r="J2291" s="107">
        <f>IF($I2291="▲ ENTRÉE",$U2291,"")</f>
        <v/>
      </c>
      <c r="K2291" s="108">
        <f>IF($I2291="▼ SORTIE",$U2291,"")</f>
        <v/>
      </c>
      <c r="L2291" s="109">
        <f>$L2290+N($J2291)-N($K2291)</f>
        <v/>
      </c>
      <c r="M2291" s="110" t="n"/>
      <c r="N2291" s="54" t="n"/>
      <c r="O2291" s="54" t="n"/>
      <c r="P2291" s="54" t="n"/>
      <c r="Q2291" s="110" t="n"/>
      <c r="R2291" s="110" t="n"/>
      <c r="S2291" s="54" t="n"/>
      <c r="T2291" s="111">
        <f>IF($G2291="","",IFERROR(INDEX(Taux_Devises,MATCH(IF($M2291="",Devise_Base,$M2291),Codes_Devises,0)),1))</f>
        <v/>
      </c>
      <c r="U2291" s="112">
        <f>IF($G2291="","",ROUND($G2291*$T2291,2))</f>
        <v/>
      </c>
      <c r="V2291" s="113">
        <f>IF($B2291="","",MONTH($B2291))</f>
        <v/>
      </c>
      <c r="W2291" s="113">
        <f>IF($B2291="","",YEAR($B2291))</f>
        <v/>
      </c>
    </row>
    <row r="2292">
      <c r="B2292" s="105" t="n"/>
      <c r="C2292" s="54" t="n"/>
      <c r="D2292" s="54" t="n"/>
      <c r="E2292" s="54" t="n"/>
      <c r="F2292" s="54" t="n"/>
      <c r="G2292" s="65" t="n"/>
      <c r="H2292" s="54" t="n"/>
      <c r="I2292" s="106">
        <f>IF($C2292="","",IFERROR(INDEX(Sens_Types,MATCH($C2292,Liste_Types,0)),""))</f>
        <v/>
      </c>
      <c r="J2292" s="107">
        <f>IF($I2292="▲ ENTRÉE",$U2292,"")</f>
        <v/>
      </c>
      <c r="K2292" s="108">
        <f>IF($I2292="▼ SORTIE",$U2292,"")</f>
        <v/>
      </c>
      <c r="L2292" s="109">
        <f>$L2291+N($J2292)-N($K2292)</f>
        <v/>
      </c>
      <c r="M2292" s="110" t="n"/>
      <c r="N2292" s="54" t="n"/>
      <c r="O2292" s="54" t="n"/>
      <c r="P2292" s="54" t="n"/>
      <c r="Q2292" s="110" t="n"/>
      <c r="R2292" s="110" t="n"/>
      <c r="S2292" s="54" t="n"/>
      <c r="T2292" s="111">
        <f>IF($G2292="","",IFERROR(INDEX(Taux_Devises,MATCH(IF($M2292="",Devise_Base,$M2292),Codes_Devises,0)),1))</f>
        <v/>
      </c>
      <c r="U2292" s="112">
        <f>IF($G2292="","",ROUND($G2292*$T2292,2))</f>
        <v/>
      </c>
      <c r="V2292" s="113">
        <f>IF($B2292="","",MONTH($B2292))</f>
        <v/>
      </c>
      <c r="W2292" s="113">
        <f>IF($B2292="","",YEAR($B2292))</f>
        <v/>
      </c>
    </row>
    <row r="2293">
      <c r="B2293" s="105" t="n"/>
      <c r="C2293" s="54" t="n"/>
      <c r="D2293" s="54" t="n"/>
      <c r="E2293" s="54" t="n"/>
      <c r="F2293" s="54" t="n"/>
      <c r="G2293" s="65" t="n"/>
      <c r="H2293" s="54" t="n"/>
      <c r="I2293" s="106">
        <f>IF($C2293="","",IFERROR(INDEX(Sens_Types,MATCH($C2293,Liste_Types,0)),""))</f>
        <v/>
      </c>
      <c r="J2293" s="107">
        <f>IF($I2293="▲ ENTRÉE",$U2293,"")</f>
        <v/>
      </c>
      <c r="K2293" s="108">
        <f>IF($I2293="▼ SORTIE",$U2293,"")</f>
        <v/>
      </c>
      <c r="L2293" s="109">
        <f>$L2292+N($J2293)-N($K2293)</f>
        <v/>
      </c>
      <c r="M2293" s="110" t="n"/>
      <c r="N2293" s="54" t="n"/>
      <c r="O2293" s="54" t="n"/>
      <c r="P2293" s="54" t="n"/>
      <c r="Q2293" s="110" t="n"/>
      <c r="R2293" s="110" t="n"/>
      <c r="S2293" s="54" t="n"/>
      <c r="T2293" s="111">
        <f>IF($G2293="","",IFERROR(INDEX(Taux_Devises,MATCH(IF($M2293="",Devise_Base,$M2293),Codes_Devises,0)),1))</f>
        <v/>
      </c>
      <c r="U2293" s="112">
        <f>IF($G2293="","",ROUND($G2293*$T2293,2))</f>
        <v/>
      </c>
      <c r="V2293" s="113">
        <f>IF($B2293="","",MONTH($B2293))</f>
        <v/>
      </c>
      <c r="W2293" s="113">
        <f>IF($B2293="","",YEAR($B2293))</f>
        <v/>
      </c>
    </row>
    <row r="2294">
      <c r="B2294" s="105" t="n"/>
      <c r="C2294" s="54" t="n"/>
      <c r="D2294" s="54" t="n"/>
      <c r="E2294" s="54" t="n"/>
      <c r="F2294" s="54" t="n"/>
      <c r="G2294" s="65" t="n"/>
      <c r="H2294" s="54" t="n"/>
      <c r="I2294" s="106">
        <f>IF($C2294="","",IFERROR(INDEX(Sens_Types,MATCH($C2294,Liste_Types,0)),""))</f>
        <v/>
      </c>
      <c r="J2294" s="107">
        <f>IF($I2294="▲ ENTRÉE",$U2294,"")</f>
        <v/>
      </c>
      <c r="K2294" s="108">
        <f>IF($I2294="▼ SORTIE",$U2294,"")</f>
        <v/>
      </c>
      <c r="L2294" s="109">
        <f>$L2293+N($J2294)-N($K2294)</f>
        <v/>
      </c>
      <c r="M2294" s="110" t="n"/>
      <c r="N2294" s="54" t="n"/>
      <c r="O2294" s="54" t="n"/>
      <c r="P2294" s="54" t="n"/>
      <c r="Q2294" s="110" t="n"/>
      <c r="R2294" s="110" t="n"/>
      <c r="S2294" s="54" t="n"/>
      <c r="T2294" s="111">
        <f>IF($G2294="","",IFERROR(INDEX(Taux_Devises,MATCH(IF($M2294="",Devise_Base,$M2294),Codes_Devises,0)),1))</f>
        <v/>
      </c>
      <c r="U2294" s="112">
        <f>IF($G2294="","",ROUND($G2294*$T2294,2))</f>
        <v/>
      </c>
      <c r="V2294" s="113">
        <f>IF($B2294="","",MONTH($B2294))</f>
        <v/>
      </c>
      <c r="W2294" s="113">
        <f>IF($B2294="","",YEAR($B2294))</f>
        <v/>
      </c>
    </row>
    <row r="2295">
      <c r="B2295" s="105" t="n"/>
      <c r="C2295" s="54" t="n"/>
      <c r="D2295" s="54" t="n"/>
      <c r="E2295" s="54" t="n"/>
      <c r="F2295" s="54" t="n"/>
      <c r="G2295" s="65" t="n"/>
      <c r="H2295" s="54" t="n"/>
      <c r="I2295" s="106">
        <f>IF($C2295="","",IFERROR(INDEX(Sens_Types,MATCH($C2295,Liste_Types,0)),""))</f>
        <v/>
      </c>
      <c r="J2295" s="107">
        <f>IF($I2295="▲ ENTRÉE",$U2295,"")</f>
        <v/>
      </c>
      <c r="K2295" s="108">
        <f>IF($I2295="▼ SORTIE",$U2295,"")</f>
        <v/>
      </c>
      <c r="L2295" s="109">
        <f>$L2294+N($J2295)-N($K2295)</f>
        <v/>
      </c>
      <c r="M2295" s="110" t="n"/>
      <c r="N2295" s="54" t="n"/>
      <c r="O2295" s="54" t="n"/>
      <c r="P2295" s="54" t="n"/>
      <c r="Q2295" s="110" t="n"/>
      <c r="R2295" s="110" t="n"/>
      <c r="S2295" s="54" t="n"/>
      <c r="T2295" s="111">
        <f>IF($G2295="","",IFERROR(INDEX(Taux_Devises,MATCH(IF($M2295="",Devise_Base,$M2295),Codes_Devises,0)),1))</f>
        <v/>
      </c>
      <c r="U2295" s="112">
        <f>IF($G2295="","",ROUND($G2295*$T2295,2))</f>
        <v/>
      </c>
      <c r="V2295" s="113">
        <f>IF($B2295="","",MONTH($B2295))</f>
        <v/>
      </c>
      <c r="W2295" s="113">
        <f>IF($B2295="","",YEAR($B2295))</f>
        <v/>
      </c>
    </row>
    <row r="2296">
      <c r="B2296" s="105" t="n"/>
      <c r="C2296" s="54" t="n"/>
      <c r="D2296" s="54" t="n"/>
      <c r="E2296" s="54" t="n"/>
      <c r="F2296" s="54" t="n"/>
      <c r="G2296" s="65" t="n"/>
      <c r="H2296" s="54" t="n"/>
      <c r="I2296" s="106">
        <f>IF($C2296="","",IFERROR(INDEX(Sens_Types,MATCH($C2296,Liste_Types,0)),""))</f>
        <v/>
      </c>
      <c r="J2296" s="107">
        <f>IF($I2296="▲ ENTRÉE",$U2296,"")</f>
        <v/>
      </c>
      <c r="K2296" s="108">
        <f>IF($I2296="▼ SORTIE",$U2296,"")</f>
        <v/>
      </c>
      <c r="L2296" s="109">
        <f>$L2295+N($J2296)-N($K2296)</f>
        <v/>
      </c>
      <c r="M2296" s="110" t="n"/>
      <c r="N2296" s="54" t="n"/>
      <c r="O2296" s="54" t="n"/>
      <c r="P2296" s="54" t="n"/>
      <c r="Q2296" s="110" t="n"/>
      <c r="R2296" s="110" t="n"/>
      <c r="S2296" s="54" t="n"/>
      <c r="T2296" s="111">
        <f>IF($G2296="","",IFERROR(INDEX(Taux_Devises,MATCH(IF($M2296="",Devise_Base,$M2296),Codes_Devises,0)),1))</f>
        <v/>
      </c>
      <c r="U2296" s="112">
        <f>IF($G2296="","",ROUND($G2296*$T2296,2))</f>
        <v/>
      </c>
      <c r="V2296" s="113">
        <f>IF($B2296="","",MONTH($B2296))</f>
        <v/>
      </c>
      <c r="W2296" s="113">
        <f>IF($B2296="","",YEAR($B2296))</f>
        <v/>
      </c>
    </row>
    <row r="2297">
      <c r="B2297" s="105" t="n"/>
      <c r="C2297" s="54" t="n"/>
      <c r="D2297" s="54" t="n"/>
      <c r="E2297" s="54" t="n"/>
      <c r="F2297" s="54" t="n"/>
      <c r="G2297" s="65" t="n"/>
      <c r="H2297" s="54" t="n"/>
      <c r="I2297" s="106">
        <f>IF($C2297="","",IFERROR(INDEX(Sens_Types,MATCH($C2297,Liste_Types,0)),""))</f>
        <v/>
      </c>
      <c r="J2297" s="107">
        <f>IF($I2297="▲ ENTRÉE",$U2297,"")</f>
        <v/>
      </c>
      <c r="K2297" s="108">
        <f>IF($I2297="▼ SORTIE",$U2297,"")</f>
        <v/>
      </c>
      <c r="L2297" s="109">
        <f>$L2296+N($J2297)-N($K2297)</f>
        <v/>
      </c>
      <c r="M2297" s="110" t="n"/>
      <c r="N2297" s="54" t="n"/>
      <c r="O2297" s="54" t="n"/>
      <c r="P2297" s="54" t="n"/>
      <c r="Q2297" s="110" t="n"/>
      <c r="R2297" s="110" t="n"/>
      <c r="S2297" s="54" t="n"/>
      <c r="T2297" s="111">
        <f>IF($G2297="","",IFERROR(INDEX(Taux_Devises,MATCH(IF($M2297="",Devise_Base,$M2297),Codes_Devises,0)),1))</f>
        <v/>
      </c>
      <c r="U2297" s="112">
        <f>IF($G2297="","",ROUND($G2297*$T2297,2))</f>
        <v/>
      </c>
      <c r="V2297" s="113">
        <f>IF($B2297="","",MONTH($B2297))</f>
        <v/>
      </c>
      <c r="W2297" s="113">
        <f>IF($B2297="","",YEAR($B2297))</f>
        <v/>
      </c>
    </row>
    <row r="2298">
      <c r="B2298" s="105" t="n"/>
      <c r="C2298" s="54" t="n"/>
      <c r="D2298" s="54" t="n"/>
      <c r="E2298" s="54" t="n"/>
      <c r="F2298" s="54" t="n"/>
      <c r="G2298" s="65" t="n"/>
      <c r="H2298" s="54" t="n"/>
      <c r="I2298" s="106">
        <f>IF($C2298="","",IFERROR(INDEX(Sens_Types,MATCH($C2298,Liste_Types,0)),""))</f>
        <v/>
      </c>
      <c r="J2298" s="107">
        <f>IF($I2298="▲ ENTRÉE",$U2298,"")</f>
        <v/>
      </c>
      <c r="K2298" s="108">
        <f>IF($I2298="▼ SORTIE",$U2298,"")</f>
        <v/>
      </c>
      <c r="L2298" s="109">
        <f>$L2297+N($J2298)-N($K2298)</f>
        <v/>
      </c>
      <c r="M2298" s="110" t="n"/>
      <c r="N2298" s="54" t="n"/>
      <c r="O2298" s="54" t="n"/>
      <c r="P2298" s="54" t="n"/>
      <c r="Q2298" s="110" t="n"/>
      <c r="R2298" s="110" t="n"/>
      <c r="S2298" s="54" t="n"/>
      <c r="T2298" s="111">
        <f>IF($G2298="","",IFERROR(INDEX(Taux_Devises,MATCH(IF($M2298="",Devise_Base,$M2298),Codes_Devises,0)),1))</f>
        <v/>
      </c>
      <c r="U2298" s="112">
        <f>IF($G2298="","",ROUND($G2298*$T2298,2))</f>
        <v/>
      </c>
      <c r="V2298" s="113">
        <f>IF($B2298="","",MONTH($B2298))</f>
        <v/>
      </c>
      <c r="W2298" s="113">
        <f>IF($B2298="","",YEAR($B2298))</f>
        <v/>
      </c>
    </row>
    <row r="2299">
      <c r="B2299" s="105" t="n"/>
      <c r="C2299" s="54" t="n"/>
      <c r="D2299" s="54" t="n"/>
      <c r="E2299" s="54" t="n"/>
      <c r="F2299" s="54" t="n"/>
      <c r="G2299" s="65" t="n"/>
      <c r="H2299" s="54" t="n"/>
      <c r="I2299" s="106">
        <f>IF($C2299="","",IFERROR(INDEX(Sens_Types,MATCH($C2299,Liste_Types,0)),""))</f>
        <v/>
      </c>
      <c r="J2299" s="107">
        <f>IF($I2299="▲ ENTRÉE",$U2299,"")</f>
        <v/>
      </c>
      <c r="K2299" s="108">
        <f>IF($I2299="▼ SORTIE",$U2299,"")</f>
        <v/>
      </c>
      <c r="L2299" s="109">
        <f>$L2298+N($J2299)-N($K2299)</f>
        <v/>
      </c>
      <c r="M2299" s="110" t="n"/>
      <c r="N2299" s="54" t="n"/>
      <c r="O2299" s="54" t="n"/>
      <c r="P2299" s="54" t="n"/>
      <c r="Q2299" s="110" t="n"/>
      <c r="R2299" s="110" t="n"/>
      <c r="S2299" s="54" t="n"/>
      <c r="T2299" s="111">
        <f>IF($G2299="","",IFERROR(INDEX(Taux_Devises,MATCH(IF($M2299="",Devise_Base,$M2299),Codes_Devises,0)),1))</f>
        <v/>
      </c>
      <c r="U2299" s="112">
        <f>IF($G2299="","",ROUND($G2299*$T2299,2))</f>
        <v/>
      </c>
      <c r="V2299" s="113">
        <f>IF($B2299="","",MONTH($B2299))</f>
        <v/>
      </c>
      <c r="W2299" s="113">
        <f>IF($B2299="","",YEAR($B2299))</f>
        <v/>
      </c>
    </row>
    <row r="2300">
      <c r="B2300" s="105" t="n"/>
      <c r="C2300" s="54" t="n"/>
      <c r="D2300" s="54" t="n"/>
      <c r="E2300" s="54" t="n"/>
      <c r="F2300" s="54" t="n"/>
      <c r="G2300" s="65" t="n"/>
      <c r="H2300" s="54" t="n"/>
      <c r="I2300" s="106">
        <f>IF($C2300="","",IFERROR(INDEX(Sens_Types,MATCH($C2300,Liste_Types,0)),""))</f>
        <v/>
      </c>
      <c r="J2300" s="107">
        <f>IF($I2300="▲ ENTRÉE",$U2300,"")</f>
        <v/>
      </c>
      <c r="K2300" s="108">
        <f>IF($I2300="▼ SORTIE",$U2300,"")</f>
        <v/>
      </c>
      <c r="L2300" s="109">
        <f>$L2299+N($J2300)-N($K2300)</f>
        <v/>
      </c>
      <c r="M2300" s="110" t="n"/>
      <c r="N2300" s="54" t="n"/>
      <c r="O2300" s="54" t="n"/>
      <c r="P2300" s="54" t="n"/>
      <c r="Q2300" s="110" t="n"/>
      <c r="R2300" s="110" t="n"/>
      <c r="S2300" s="54" t="n"/>
      <c r="T2300" s="111">
        <f>IF($G2300="","",IFERROR(INDEX(Taux_Devises,MATCH(IF($M2300="",Devise_Base,$M2300),Codes_Devises,0)),1))</f>
        <v/>
      </c>
      <c r="U2300" s="112">
        <f>IF($G2300="","",ROUND($G2300*$T2300,2))</f>
        <v/>
      </c>
      <c r="V2300" s="113">
        <f>IF($B2300="","",MONTH($B2300))</f>
        <v/>
      </c>
      <c r="W2300" s="113">
        <f>IF($B2300="","",YEAR($B2300))</f>
        <v/>
      </c>
    </row>
    <row r="2301">
      <c r="B2301" s="105" t="n"/>
      <c r="C2301" s="54" t="n"/>
      <c r="D2301" s="54" t="n"/>
      <c r="E2301" s="54" t="n"/>
      <c r="F2301" s="54" t="n"/>
      <c r="G2301" s="65" t="n"/>
      <c r="H2301" s="54" t="n"/>
      <c r="I2301" s="106">
        <f>IF($C2301="","",IFERROR(INDEX(Sens_Types,MATCH($C2301,Liste_Types,0)),""))</f>
        <v/>
      </c>
      <c r="J2301" s="107">
        <f>IF($I2301="▲ ENTRÉE",$U2301,"")</f>
        <v/>
      </c>
      <c r="K2301" s="108">
        <f>IF($I2301="▼ SORTIE",$U2301,"")</f>
        <v/>
      </c>
      <c r="L2301" s="109">
        <f>$L2300+N($J2301)-N($K2301)</f>
        <v/>
      </c>
      <c r="M2301" s="110" t="n"/>
      <c r="N2301" s="54" t="n"/>
      <c r="O2301" s="54" t="n"/>
      <c r="P2301" s="54" t="n"/>
      <c r="Q2301" s="110" t="n"/>
      <c r="R2301" s="110" t="n"/>
      <c r="S2301" s="54" t="n"/>
      <c r="T2301" s="111">
        <f>IF($G2301="","",IFERROR(INDEX(Taux_Devises,MATCH(IF($M2301="",Devise_Base,$M2301),Codes_Devises,0)),1))</f>
        <v/>
      </c>
      <c r="U2301" s="112">
        <f>IF($G2301="","",ROUND($G2301*$T2301,2))</f>
        <v/>
      </c>
      <c r="V2301" s="113">
        <f>IF($B2301="","",MONTH($B2301))</f>
        <v/>
      </c>
      <c r="W2301" s="113">
        <f>IF($B2301="","",YEAR($B2301))</f>
        <v/>
      </c>
    </row>
    <row r="2302">
      <c r="B2302" s="105" t="n"/>
      <c r="C2302" s="54" t="n"/>
      <c r="D2302" s="54" t="n"/>
      <c r="E2302" s="54" t="n"/>
      <c r="F2302" s="54" t="n"/>
      <c r="G2302" s="65" t="n"/>
      <c r="H2302" s="54" t="n"/>
      <c r="I2302" s="106">
        <f>IF($C2302="","",IFERROR(INDEX(Sens_Types,MATCH($C2302,Liste_Types,0)),""))</f>
        <v/>
      </c>
      <c r="J2302" s="107">
        <f>IF($I2302="▲ ENTRÉE",$U2302,"")</f>
        <v/>
      </c>
      <c r="K2302" s="108">
        <f>IF($I2302="▼ SORTIE",$U2302,"")</f>
        <v/>
      </c>
      <c r="L2302" s="109">
        <f>$L2301+N($J2302)-N($K2302)</f>
        <v/>
      </c>
      <c r="M2302" s="110" t="n"/>
      <c r="N2302" s="54" t="n"/>
      <c r="O2302" s="54" t="n"/>
      <c r="P2302" s="54" t="n"/>
      <c r="Q2302" s="110" t="n"/>
      <c r="R2302" s="110" t="n"/>
      <c r="S2302" s="54" t="n"/>
      <c r="T2302" s="111">
        <f>IF($G2302="","",IFERROR(INDEX(Taux_Devises,MATCH(IF($M2302="",Devise_Base,$M2302),Codes_Devises,0)),1))</f>
        <v/>
      </c>
      <c r="U2302" s="112">
        <f>IF($G2302="","",ROUND($G2302*$T2302,2))</f>
        <v/>
      </c>
      <c r="V2302" s="113">
        <f>IF($B2302="","",MONTH($B2302))</f>
        <v/>
      </c>
      <c r="W2302" s="113">
        <f>IF($B2302="","",YEAR($B2302))</f>
        <v/>
      </c>
    </row>
    <row r="2303">
      <c r="B2303" s="105" t="n"/>
      <c r="C2303" s="54" t="n"/>
      <c r="D2303" s="54" t="n"/>
      <c r="E2303" s="54" t="n"/>
      <c r="F2303" s="54" t="n"/>
      <c r="G2303" s="65" t="n"/>
      <c r="H2303" s="54" t="n"/>
      <c r="I2303" s="106">
        <f>IF($C2303="","",IFERROR(INDEX(Sens_Types,MATCH($C2303,Liste_Types,0)),""))</f>
        <v/>
      </c>
      <c r="J2303" s="107">
        <f>IF($I2303="▲ ENTRÉE",$U2303,"")</f>
        <v/>
      </c>
      <c r="K2303" s="108">
        <f>IF($I2303="▼ SORTIE",$U2303,"")</f>
        <v/>
      </c>
      <c r="L2303" s="109">
        <f>$L2302+N($J2303)-N($K2303)</f>
        <v/>
      </c>
      <c r="M2303" s="110" t="n"/>
      <c r="N2303" s="54" t="n"/>
      <c r="O2303" s="54" t="n"/>
      <c r="P2303" s="54" t="n"/>
      <c r="Q2303" s="110" t="n"/>
      <c r="R2303" s="110" t="n"/>
      <c r="S2303" s="54" t="n"/>
      <c r="T2303" s="111">
        <f>IF($G2303="","",IFERROR(INDEX(Taux_Devises,MATCH(IF($M2303="",Devise_Base,$M2303),Codes_Devises,0)),1))</f>
        <v/>
      </c>
      <c r="U2303" s="112">
        <f>IF($G2303="","",ROUND($G2303*$T2303,2))</f>
        <v/>
      </c>
      <c r="V2303" s="113">
        <f>IF($B2303="","",MONTH($B2303))</f>
        <v/>
      </c>
      <c r="W2303" s="113">
        <f>IF($B2303="","",YEAR($B2303))</f>
        <v/>
      </c>
    </row>
    <row r="2304">
      <c r="B2304" s="105" t="n"/>
      <c r="C2304" s="54" t="n"/>
      <c r="D2304" s="54" t="n"/>
      <c r="E2304" s="54" t="n"/>
      <c r="F2304" s="54" t="n"/>
      <c r="G2304" s="65" t="n"/>
      <c r="H2304" s="54" t="n"/>
      <c r="I2304" s="106">
        <f>IF($C2304="","",IFERROR(INDEX(Sens_Types,MATCH($C2304,Liste_Types,0)),""))</f>
        <v/>
      </c>
      <c r="J2304" s="107">
        <f>IF($I2304="▲ ENTRÉE",$U2304,"")</f>
        <v/>
      </c>
      <c r="K2304" s="108">
        <f>IF($I2304="▼ SORTIE",$U2304,"")</f>
        <v/>
      </c>
      <c r="L2304" s="109">
        <f>$L2303+N($J2304)-N($K2304)</f>
        <v/>
      </c>
      <c r="M2304" s="110" t="n"/>
      <c r="N2304" s="54" t="n"/>
      <c r="O2304" s="54" t="n"/>
      <c r="P2304" s="54" t="n"/>
      <c r="Q2304" s="110" t="n"/>
      <c r="R2304" s="110" t="n"/>
      <c r="S2304" s="54" t="n"/>
      <c r="T2304" s="111">
        <f>IF($G2304="","",IFERROR(INDEX(Taux_Devises,MATCH(IF($M2304="",Devise_Base,$M2304),Codes_Devises,0)),1))</f>
        <v/>
      </c>
      <c r="U2304" s="112">
        <f>IF($G2304="","",ROUND($G2304*$T2304,2))</f>
        <v/>
      </c>
      <c r="V2304" s="113">
        <f>IF($B2304="","",MONTH($B2304))</f>
        <v/>
      </c>
      <c r="W2304" s="113">
        <f>IF($B2304="","",YEAR($B2304))</f>
        <v/>
      </c>
    </row>
    <row r="2305">
      <c r="B2305" s="105" t="n"/>
      <c r="C2305" s="54" t="n"/>
      <c r="D2305" s="54" t="n"/>
      <c r="E2305" s="54" t="n"/>
      <c r="F2305" s="54" t="n"/>
      <c r="G2305" s="65" t="n"/>
      <c r="H2305" s="54" t="n"/>
      <c r="I2305" s="106">
        <f>IF($C2305="","",IFERROR(INDEX(Sens_Types,MATCH($C2305,Liste_Types,0)),""))</f>
        <v/>
      </c>
      <c r="J2305" s="107">
        <f>IF($I2305="▲ ENTRÉE",$U2305,"")</f>
        <v/>
      </c>
      <c r="K2305" s="108">
        <f>IF($I2305="▼ SORTIE",$U2305,"")</f>
        <v/>
      </c>
      <c r="L2305" s="109">
        <f>$L2304+N($J2305)-N($K2305)</f>
        <v/>
      </c>
      <c r="M2305" s="110" t="n"/>
      <c r="N2305" s="54" t="n"/>
      <c r="O2305" s="54" t="n"/>
      <c r="P2305" s="54" t="n"/>
      <c r="Q2305" s="110" t="n"/>
      <c r="R2305" s="110" t="n"/>
      <c r="S2305" s="54" t="n"/>
      <c r="T2305" s="111">
        <f>IF($G2305="","",IFERROR(INDEX(Taux_Devises,MATCH(IF($M2305="",Devise_Base,$M2305),Codes_Devises,0)),1))</f>
        <v/>
      </c>
      <c r="U2305" s="112">
        <f>IF($G2305="","",ROUND($G2305*$T2305,2))</f>
        <v/>
      </c>
      <c r="V2305" s="113">
        <f>IF($B2305="","",MONTH($B2305))</f>
        <v/>
      </c>
      <c r="W2305" s="113">
        <f>IF($B2305="","",YEAR($B2305))</f>
        <v/>
      </c>
    </row>
    <row r="2306">
      <c r="B2306" s="105" t="n"/>
      <c r="C2306" s="54" t="n"/>
      <c r="D2306" s="54" t="n"/>
      <c r="E2306" s="54" t="n"/>
      <c r="F2306" s="54" t="n"/>
      <c r="G2306" s="65" t="n"/>
      <c r="H2306" s="54" t="n"/>
      <c r="I2306" s="106">
        <f>IF($C2306="","",IFERROR(INDEX(Sens_Types,MATCH($C2306,Liste_Types,0)),""))</f>
        <v/>
      </c>
      <c r="J2306" s="107">
        <f>IF($I2306="▲ ENTRÉE",$U2306,"")</f>
        <v/>
      </c>
      <c r="K2306" s="108">
        <f>IF($I2306="▼ SORTIE",$U2306,"")</f>
        <v/>
      </c>
      <c r="L2306" s="109">
        <f>$L2305+N($J2306)-N($K2306)</f>
        <v/>
      </c>
      <c r="M2306" s="110" t="n"/>
      <c r="N2306" s="54" t="n"/>
      <c r="O2306" s="54" t="n"/>
      <c r="P2306" s="54" t="n"/>
      <c r="Q2306" s="110" t="n"/>
      <c r="R2306" s="110" t="n"/>
      <c r="S2306" s="54" t="n"/>
      <c r="T2306" s="111">
        <f>IF($G2306="","",IFERROR(INDEX(Taux_Devises,MATCH(IF($M2306="",Devise_Base,$M2306),Codes_Devises,0)),1))</f>
        <v/>
      </c>
      <c r="U2306" s="112">
        <f>IF($G2306="","",ROUND($G2306*$T2306,2))</f>
        <v/>
      </c>
      <c r="V2306" s="113">
        <f>IF($B2306="","",MONTH($B2306))</f>
        <v/>
      </c>
      <c r="W2306" s="113">
        <f>IF($B2306="","",YEAR($B2306))</f>
        <v/>
      </c>
    </row>
    <row r="2307">
      <c r="B2307" s="105" t="n"/>
      <c r="C2307" s="54" t="n"/>
      <c r="D2307" s="54" t="n"/>
      <c r="E2307" s="54" t="n"/>
      <c r="F2307" s="54" t="n"/>
      <c r="G2307" s="65" t="n"/>
      <c r="H2307" s="54" t="n"/>
      <c r="I2307" s="106">
        <f>IF($C2307="","",IFERROR(INDEX(Sens_Types,MATCH($C2307,Liste_Types,0)),""))</f>
        <v/>
      </c>
      <c r="J2307" s="107">
        <f>IF($I2307="▲ ENTRÉE",$U2307,"")</f>
        <v/>
      </c>
      <c r="K2307" s="108">
        <f>IF($I2307="▼ SORTIE",$U2307,"")</f>
        <v/>
      </c>
      <c r="L2307" s="109">
        <f>$L2306+N($J2307)-N($K2307)</f>
        <v/>
      </c>
      <c r="M2307" s="110" t="n"/>
      <c r="N2307" s="54" t="n"/>
      <c r="O2307" s="54" t="n"/>
      <c r="P2307" s="54" t="n"/>
      <c r="Q2307" s="110" t="n"/>
      <c r="R2307" s="110" t="n"/>
      <c r="S2307" s="54" t="n"/>
      <c r="T2307" s="111">
        <f>IF($G2307="","",IFERROR(INDEX(Taux_Devises,MATCH(IF($M2307="",Devise_Base,$M2307),Codes_Devises,0)),1))</f>
        <v/>
      </c>
      <c r="U2307" s="112">
        <f>IF($G2307="","",ROUND($G2307*$T2307,2))</f>
        <v/>
      </c>
      <c r="V2307" s="113">
        <f>IF($B2307="","",MONTH($B2307))</f>
        <v/>
      </c>
      <c r="W2307" s="113">
        <f>IF($B2307="","",YEAR($B2307))</f>
        <v/>
      </c>
    </row>
    <row r="2308">
      <c r="B2308" s="105" t="n"/>
      <c r="C2308" s="54" t="n"/>
      <c r="D2308" s="54" t="n"/>
      <c r="E2308" s="54" t="n"/>
      <c r="F2308" s="54" t="n"/>
      <c r="G2308" s="65" t="n"/>
      <c r="H2308" s="54" t="n"/>
      <c r="I2308" s="106">
        <f>IF($C2308="","",IFERROR(INDEX(Sens_Types,MATCH($C2308,Liste_Types,0)),""))</f>
        <v/>
      </c>
      <c r="J2308" s="107">
        <f>IF($I2308="▲ ENTRÉE",$U2308,"")</f>
        <v/>
      </c>
      <c r="K2308" s="108">
        <f>IF($I2308="▼ SORTIE",$U2308,"")</f>
        <v/>
      </c>
      <c r="L2308" s="109">
        <f>$L2307+N($J2308)-N($K2308)</f>
        <v/>
      </c>
      <c r="M2308" s="110" t="n"/>
      <c r="N2308" s="54" t="n"/>
      <c r="O2308" s="54" t="n"/>
      <c r="P2308" s="54" t="n"/>
      <c r="Q2308" s="110" t="n"/>
      <c r="R2308" s="110" t="n"/>
      <c r="S2308" s="54" t="n"/>
      <c r="T2308" s="111">
        <f>IF($G2308="","",IFERROR(INDEX(Taux_Devises,MATCH(IF($M2308="",Devise_Base,$M2308),Codes_Devises,0)),1))</f>
        <v/>
      </c>
      <c r="U2308" s="112">
        <f>IF($G2308="","",ROUND($G2308*$T2308,2))</f>
        <v/>
      </c>
      <c r="V2308" s="113">
        <f>IF($B2308="","",MONTH($B2308))</f>
        <v/>
      </c>
      <c r="W2308" s="113">
        <f>IF($B2308="","",YEAR($B2308))</f>
        <v/>
      </c>
    </row>
    <row r="2309">
      <c r="B2309" s="105" t="n"/>
      <c r="C2309" s="54" t="n"/>
      <c r="D2309" s="54" t="n"/>
      <c r="E2309" s="54" t="n"/>
      <c r="F2309" s="54" t="n"/>
      <c r="G2309" s="65" t="n"/>
      <c r="H2309" s="54" t="n"/>
      <c r="I2309" s="106">
        <f>IF($C2309="","",IFERROR(INDEX(Sens_Types,MATCH($C2309,Liste_Types,0)),""))</f>
        <v/>
      </c>
      <c r="J2309" s="107">
        <f>IF($I2309="▲ ENTRÉE",$U2309,"")</f>
        <v/>
      </c>
      <c r="K2309" s="108">
        <f>IF($I2309="▼ SORTIE",$U2309,"")</f>
        <v/>
      </c>
      <c r="L2309" s="109">
        <f>$L2308+N($J2309)-N($K2309)</f>
        <v/>
      </c>
      <c r="M2309" s="110" t="n"/>
      <c r="N2309" s="54" t="n"/>
      <c r="O2309" s="54" t="n"/>
      <c r="P2309" s="54" t="n"/>
      <c r="Q2309" s="110" t="n"/>
      <c r="R2309" s="110" t="n"/>
      <c r="S2309" s="54" t="n"/>
      <c r="T2309" s="111">
        <f>IF($G2309="","",IFERROR(INDEX(Taux_Devises,MATCH(IF($M2309="",Devise_Base,$M2309),Codes_Devises,0)),1))</f>
        <v/>
      </c>
      <c r="U2309" s="112">
        <f>IF($G2309="","",ROUND($G2309*$T2309,2))</f>
        <v/>
      </c>
      <c r="V2309" s="113">
        <f>IF($B2309="","",MONTH($B2309))</f>
        <v/>
      </c>
      <c r="W2309" s="113">
        <f>IF($B2309="","",YEAR($B2309))</f>
        <v/>
      </c>
    </row>
    <row r="2310">
      <c r="B2310" s="105" t="n"/>
      <c r="C2310" s="54" t="n"/>
      <c r="D2310" s="54" t="n"/>
      <c r="E2310" s="54" t="n"/>
      <c r="F2310" s="54" t="n"/>
      <c r="G2310" s="65" t="n"/>
      <c r="H2310" s="54" t="n"/>
      <c r="I2310" s="106">
        <f>IF($C2310="","",IFERROR(INDEX(Sens_Types,MATCH($C2310,Liste_Types,0)),""))</f>
        <v/>
      </c>
      <c r="J2310" s="107">
        <f>IF($I2310="▲ ENTRÉE",$U2310,"")</f>
        <v/>
      </c>
      <c r="K2310" s="108">
        <f>IF($I2310="▼ SORTIE",$U2310,"")</f>
        <v/>
      </c>
      <c r="L2310" s="109">
        <f>$L2309+N($J2310)-N($K2310)</f>
        <v/>
      </c>
      <c r="M2310" s="110" t="n"/>
      <c r="N2310" s="54" t="n"/>
      <c r="O2310" s="54" t="n"/>
      <c r="P2310" s="54" t="n"/>
      <c r="Q2310" s="110" t="n"/>
      <c r="R2310" s="110" t="n"/>
      <c r="S2310" s="54" t="n"/>
      <c r="T2310" s="111">
        <f>IF($G2310="","",IFERROR(INDEX(Taux_Devises,MATCH(IF($M2310="",Devise_Base,$M2310),Codes_Devises,0)),1))</f>
        <v/>
      </c>
      <c r="U2310" s="112">
        <f>IF($G2310="","",ROUND($G2310*$T2310,2))</f>
        <v/>
      </c>
      <c r="V2310" s="113">
        <f>IF($B2310="","",MONTH($B2310))</f>
        <v/>
      </c>
      <c r="W2310" s="113">
        <f>IF($B2310="","",YEAR($B2310))</f>
        <v/>
      </c>
    </row>
    <row r="2311">
      <c r="B2311" s="105" t="n"/>
      <c r="C2311" s="54" t="n"/>
      <c r="D2311" s="54" t="n"/>
      <c r="E2311" s="54" t="n"/>
      <c r="F2311" s="54" t="n"/>
      <c r="G2311" s="65" t="n"/>
      <c r="H2311" s="54" t="n"/>
      <c r="I2311" s="106">
        <f>IF($C2311="","",IFERROR(INDEX(Sens_Types,MATCH($C2311,Liste_Types,0)),""))</f>
        <v/>
      </c>
      <c r="J2311" s="107">
        <f>IF($I2311="▲ ENTRÉE",$U2311,"")</f>
        <v/>
      </c>
      <c r="K2311" s="108">
        <f>IF($I2311="▼ SORTIE",$U2311,"")</f>
        <v/>
      </c>
      <c r="L2311" s="109">
        <f>$L2310+N($J2311)-N($K2311)</f>
        <v/>
      </c>
      <c r="M2311" s="110" t="n"/>
      <c r="N2311" s="54" t="n"/>
      <c r="O2311" s="54" t="n"/>
      <c r="P2311" s="54" t="n"/>
      <c r="Q2311" s="110" t="n"/>
      <c r="R2311" s="110" t="n"/>
      <c r="S2311" s="54" t="n"/>
      <c r="T2311" s="111">
        <f>IF($G2311="","",IFERROR(INDEX(Taux_Devises,MATCH(IF($M2311="",Devise_Base,$M2311),Codes_Devises,0)),1))</f>
        <v/>
      </c>
      <c r="U2311" s="112">
        <f>IF($G2311="","",ROUND($G2311*$T2311,2))</f>
        <v/>
      </c>
      <c r="V2311" s="113">
        <f>IF($B2311="","",MONTH($B2311))</f>
        <v/>
      </c>
      <c r="W2311" s="113">
        <f>IF($B2311="","",YEAR($B2311))</f>
        <v/>
      </c>
    </row>
    <row r="2312">
      <c r="B2312" s="105" t="n"/>
      <c r="C2312" s="54" t="n"/>
      <c r="D2312" s="54" t="n"/>
      <c r="E2312" s="54" t="n"/>
      <c r="F2312" s="54" t="n"/>
      <c r="G2312" s="65" t="n"/>
      <c r="H2312" s="54" t="n"/>
      <c r="I2312" s="106">
        <f>IF($C2312="","",IFERROR(INDEX(Sens_Types,MATCH($C2312,Liste_Types,0)),""))</f>
        <v/>
      </c>
      <c r="J2312" s="107">
        <f>IF($I2312="▲ ENTRÉE",$U2312,"")</f>
        <v/>
      </c>
      <c r="K2312" s="108">
        <f>IF($I2312="▼ SORTIE",$U2312,"")</f>
        <v/>
      </c>
      <c r="L2312" s="109">
        <f>$L2311+N($J2312)-N($K2312)</f>
        <v/>
      </c>
      <c r="M2312" s="110" t="n"/>
      <c r="N2312" s="54" t="n"/>
      <c r="O2312" s="54" t="n"/>
      <c r="P2312" s="54" t="n"/>
      <c r="Q2312" s="110" t="n"/>
      <c r="R2312" s="110" t="n"/>
      <c r="S2312" s="54" t="n"/>
      <c r="T2312" s="111">
        <f>IF($G2312="","",IFERROR(INDEX(Taux_Devises,MATCH(IF($M2312="",Devise_Base,$M2312),Codes_Devises,0)),1))</f>
        <v/>
      </c>
      <c r="U2312" s="112">
        <f>IF($G2312="","",ROUND($G2312*$T2312,2))</f>
        <v/>
      </c>
      <c r="V2312" s="113">
        <f>IF($B2312="","",MONTH($B2312))</f>
        <v/>
      </c>
      <c r="W2312" s="113">
        <f>IF($B2312="","",YEAR($B2312))</f>
        <v/>
      </c>
    </row>
    <row r="2313">
      <c r="B2313" s="105" t="n"/>
      <c r="C2313" s="54" t="n"/>
      <c r="D2313" s="54" t="n"/>
      <c r="E2313" s="54" t="n"/>
      <c r="F2313" s="54" t="n"/>
      <c r="G2313" s="65" t="n"/>
      <c r="H2313" s="54" t="n"/>
      <c r="I2313" s="106">
        <f>IF($C2313="","",IFERROR(INDEX(Sens_Types,MATCH($C2313,Liste_Types,0)),""))</f>
        <v/>
      </c>
      <c r="J2313" s="107">
        <f>IF($I2313="▲ ENTRÉE",$U2313,"")</f>
        <v/>
      </c>
      <c r="K2313" s="108">
        <f>IF($I2313="▼ SORTIE",$U2313,"")</f>
        <v/>
      </c>
      <c r="L2313" s="109">
        <f>$L2312+N($J2313)-N($K2313)</f>
        <v/>
      </c>
      <c r="M2313" s="110" t="n"/>
      <c r="N2313" s="54" t="n"/>
      <c r="O2313" s="54" t="n"/>
      <c r="P2313" s="54" t="n"/>
      <c r="Q2313" s="110" t="n"/>
      <c r="R2313" s="110" t="n"/>
      <c r="S2313" s="54" t="n"/>
      <c r="T2313" s="111">
        <f>IF($G2313="","",IFERROR(INDEX(Taux_Devises,MATCH(IF($M2313="",Devise_Base,$M2313),Codes_Devises,0)),1))</f>
        <v/>
      </c>
      <c r="U2313" s="112">
        <f>IF($G2313="","",ROUND($G2313*$T2313,2))</f>
        <v/>
      </c>
      <c r="V2313" s="113">
        <f>IF($B2313="","",MONTH($B2313))</f>
        <v/>
      </c>
      <c r="W2313" s="113">
        <f>IF($B2313="","",YEAR($B2313))</f>
        <v/>
      </c>
    </row>
    <row r="2314">
      <c r="B2314" s="105" t="n"/>
      <c r="C2314" s="54" t="n"/>
      <c r="D2314" s="54" t="n"/>
      <c r="E2314" s="54" t="n"/>
      <c r="F2314" s="54" t="n"/>
      <c r="G2314" s="65" t="n"/>
      <c r="H2314" s="54" t="n"/>
      <c r="I2314" s="106">
        <f>IF($C2314="","",IFERROR(INDEX(Sens_Types,MATCH($C2314,Liste_Types,0)),""))</f>
        <v/>
      </c>
      <c r="J2314" s="107">
        <f>IF($I2314="▲ ENTRÉE",$U2314,"")</f>
        <v/>
      </c>
      <c r="K2314" s="108">
        <f>IF($I2314="▼ SORTIE",$U2314,"")</f>
        <v/>
      </c>
      <c r="L2314" s="109">
        <f>$L2313+N($J2314)-N($K2314)</f>
        <v/>
      </c>
      <c r="M2314" s="110" t="n"/>
      <c r="N2314" s="54" t="n"/>
      <c r="O2314" s="54" t="n"/>
      <c r="P2314" s="54" t="n"/>
      <c r="Q2314" s="110" t="n"/>
      <c r="R2314" s="110" t="n"/>
      <c r="S2314" s="54" t="n"/>
      <c r="T2314" s="111">
        <f>IF($G2314="","",IFERROR(INDEX(Taux_Devises,MATCH(IF($M2314="",Devise_Base,$M2314),Codes_Devises,0)),1))</f>
        <v/>
      </c>
      <c r="U2314" s="112">
        <f>IF($G2314="","",ROUND($G2314*$T2314,2))</f>
        <v/>
      </c>
      <c r="V2314" s="113">
        <f>IF($B2314="","",MONTH($B2314))</f>
        <v/>
      </c>
      <c r="W2314" s="113">
        <f>IF($B2314="","",YEAR($B2314))</f>
        <v/>
      </c>
    </row>
    <row r="2315">
      <c r="B2315" s="105" t="n"/>
      <c r="C2315" s="54" t="n"/>
      <c r="D2315" s="54" t="n"/>
      <c r="E2315" s="54" t="n"/>
      <c r="F2315" s="54" t="n"/>
      <c r="G2315" s="65" t="n"/>
      <c r="H2315" s="54" t="n"/>
      <c r="I2315" s="106">
        <f>IF($C2315="","",IFERROR(INDEX(Sens_Types,MATCH($C2315,Liste_Types,0)),""))</f>
        <v/>
      </c>
      <c r="J2315" s="107">
        <f>IF($I2315="▲ ENTRÉE",$U2315,"")</f>
        <v/>
      </c>
      <c r="K2315" s="108">
        <f>IF($I2315="▼ SORTIE",$U2315,"")</f>
        <v/>
      </c>
      <c r="L2315" s="109">
        <f>$L2314+N($J2315)-N($K2315)</f>
        <v/>
      </c>
      <c r="M2315" s="110" t="n"/>
      <c r="N2315" s="54" t="n"/>
      <c r="O2315" s="54" t="n"/>
      <c r="P2315" s="54" t="n"/>
      <c r="Q2315" s="110" t="n"/>
      <c r="R2315" s="110" t="n"/>
      <c r="S2315" s="54" t="n"/>
      <c r="T2315" s="111">
        <f>IF($G2315="","",IFERROR(INDEX(Taux_Devises,MATCH(IF($M2315="",Devise_Base,$M2315),Codes_Devises,0)),1))</f>
        <v/>
      </c>
      <c r="U2315" s="112">
        <f>IF($G2315="","",ROUND($G2315*$T2315,2))</f>
        <v/>
      </c>
      <c r="V2315" s="113">
        <f>IF($B2315="","",MONTH($B2315))</f>
        <v/>
      </c>
      <c r="W2315" s="113">
        <f>IF($B2315="","",YEAR($B2315))</f>
        <v/>
      </c>
    </row>
    <row r="2316">
      <c r="B2316" s="105" t="n"/>
      <c r="C2316" s="54" t="n"/>
      <c r="D2316" s="54" t="n"/>
      <c r="E2316" s="54" t="n"/>
      <c r="F2316" s="54" t="n"/>
      <c r="G2316" s="65" t="n"/>
      <c r="H2316" s="54" t="n"/>
      <c r="I2316" s="106">
        <f>IF($C2316="","",IFERROR(INDEX(Sens_Types,MATCH($C2316,Liste_Types,0)),""))</f>
        <v/>
      </c>
      <c r="J2316" s="107">
        <f>IF($I2316="▲ ENTRÉE",$U2316,"")</f>
        <v/>
      </c>
      <c r="K2316" s="108">
        <f>IF($I2316="▼ SORTIE",$U2316,"")</f>
        <v/>
      </c>
      <c r="L2316" s="109">
        <f>$L2315+N($J2316)-N($K2316)</f>
        <v/>
      </c>
      <c r="M2316" s="110" t="n"/>
      <c r="N2316" s="54" t="n"/>
      <c r="O2316" s="54" t="n"/>
      <c r="P2316" s="54" t="n"/>
      <c r="Q2316" s="110" t="n"/>
      <c r="R2316" s="110" t="n"/>
      <c r="S2316" s="54" t="n"/>
      <c r="T2316" s="111">
        <f>IF($G2316="","",IFERROR(INDEX(Taux_Devises,MATCH(IF($M2316="",Devise_Base,$M2316),Codes_Devises,0)),1))</f>
        <v/>
      </c>
      <c r="U2316" s="112">
        <f>IF($G2316="","",ROUND($G2316*$T2316,2))</f>
        <v/>
      </c>
      <c r="V2316" s="113">
        <f>IF($B2316="","",MONTH($B2316))</f>
        <v/>
      </c>
      <c r="W2316" s="113">
        <f>IF($B2316="","",YEAR($B2316))</f>
        <v/>
      </c>
    </row>
    <row r="2317">
      <c r="B2317" s="105" t="n"/>
      <c r="C2317" s="54" t="n"/>
      <c r="D2317" s="54" t="n"/>
      <c r="E2317" s="54" t="n"/>
      <c r="F2317" s="54" t="n"/>
      <c r="G2317" s="65" t="n"/>
      <c r="H2317" s="54" t="n"/>
      <c r="I2317" s="106">
        <f>IF($C2317="","",IFERROR(INDEX(Sens_Types,MATCH($C2317,Liste_Types,0)),""))</f>
        <v/>
      </c>
      <c r="J2317" s="107">
        <f>IF($I2317="▲ ENTRÉE",$U2317,"")</f>
        <v/>
      </c>
      <c r="K2317" s="108">
        <f>IF($I2317="▼ SORTIE",$U2317,"")</f>
        <v/>
      </c>
      <c r="L2317" s="109">
        <f>$L2316+N($J2317)-N($K2317)</f>
        <v/>
      </c>
      <c r="M2317" s="110" t="n"/>
      <c r="N2317" s="54" t="n"/>
      <c r="O2317" s="54" t="n"/>
      <c r="P2317" s="54" t="n"/>
      <c r="Q2317" s="110" t="n"/>
      <c r="R2317" s="110" t="n"/>
      <c r="S2317" s="54" t="n"/>
      <c r="T2317" s="111">
        <f>IF($G2317="","",IFERROR(INDEX(Taux_Devises,MATCH(IF($M2317="",Devise_Base,$M2317),Codes_Devises,0)),1))</f>
        <v/>
      </c>
      <c r="U2317" s="112">
        <f>IF($G2317="","",ROUND($G2317*$T2317,2))</f>
        <v/>
      </c>
      <c r="V2317" s="113">
        <f>IF($B2317="","",MONTH($B2317))</f>
        <v/>
      </c>
      <c r="W2317" s="113">
        <f>IF($B2317="","",YEAR($B2317))</f>
        <v/>
      </c>
    </row>
    <row r="2318">
      <c r="B2318" s="105" t="n"/>
      <c r="C2318" s="54" t="n"/>
      <c r="D2318" s="54" t="n"/>
      <c r="E2318" s="54" t="n"/>
      <c r="F2318" s="54" t="n"/>
      <c r="G2318" s="65" t="n"/>
      <c r="H2318" s="54" t="n"/>
      <c r="I2318" s="106">
        <f>IF($C2318="","",IFERROR(INDEX(Sens_Types,MATCH($C2318,Liste_Types,0)),""))</f>
        <v/>
      </c>
      <c r="J2318" s="107">
        <f>IF($I2318="▲ ENTRÉE",$U2318,"")</f>
        <v/>
      </c>
      <c r="K2318" s="108">
        <f>IF($I2318="▼ SORTIE",$U2318,"")</f>
        <v/>
      </c>
      <c r="L2318" s="109">
        <f>$L2317+N($J2318)-N($K2318)</f>
        <v/>
      </c>
      <c r="M2318" s="110" t="n"/>
      <c r="N2318" s="54" t="n"/>
      <c r="O2318" s="54" t="n"/>
      <c r="P2318" s="54" t="n"/>
      <c r="Q2318" s="110" t="n"/>
      <c r="R2318" s="110" t="n"/>
      <c r="S2318" s="54" t="n"/>
      <c r="T2318" s="111">
        <f>IF($G2318="","",IFERROR(INDEX(Taux_Devises,MATCH(IF($M2318="",Devise_Base,$M2318),Codes_Devises,0)),1))</f>
        <v/>
      </c>
      <c r="U2318" s="112">
        <f>IF($G2318="","",ROUND($G2318*$T2318,2))</f>
        <v/>
      </c>
      <c r="V2318" s="113">
        <f>IF($B2318="","",MONTH($B2318))</f>
        <v/>
      </c>
      <c r="W2318" s="113">
        <f>IF($B2318="","",YEAR($B2318))</f>
        <v/>
      </c>
    </row>
    <row r="2319">
      <c r="B2319" s="105" t="n"/>
      <c r="C2319" s="54" t="n"/>
      <c r="D2319" s="54" t="n"/>
      <c r="E2319" s="54" t="n"/>
      <c r="F2319" s="54" t="n"/>
      <c r="G2319" s="65" t="n"/>
      <c r="H2319" s="54" t="n"/>
      <c r="I2319" s="106">
        <f>IF($C2319="","",IFERROR(INDEX(Sens_Types,MATCH($C2319,Liste_Types,0)),""))</f>
        <v/>
      </c>
      <c r="J2319" s="107">
        <f>IF($I2319="▲ ENTRÉE",$U2319,"")</f>
        <v/>
      </c>
      <c r="K2319" s="108">
        <f>IF($I2319="▼ SORTIE",$U2319,"")</f>
        <v/>
      </c>
      <c r="L2319" s="109">
        <f>$L2318+N($J2319)-N($K2319)</f>
        <v/>
      </c>
      <c r="M2319" s="110" t="n"/>
      <c r="N2319" s="54" t="n"/>
      <c r="O2319" s="54" t="n"/>
      <c r="P2319" s="54" t="n"/>
      <c r="Q2319" s="110" t="n"/>
      <c r="R2319" s="110" t="n"/>
      <c r="S2319" s="54" t="n"/>
      <c r="T2319" s="111">
        <f>IF($G2319="","",IFERROR(INDEX(Taux_Devises,MATCH(IF($M2319="",Devise_Base,$M2319),Codes_Devises,0)),1))</f>
        <v/>
      </c>
      <c r="U2319" s="112">
        <f>IF($G2319="","",ROUND($G2319*$T2319,2))</f>
        <v/>
      </c>
      <c r="V2319" s="113">
        <f>IF($B2319="","",MONTH($B2319))</f>
        <v/>
      </c>
      <c r="W2319" s="113">
        <f>IF($B2319="","",YEAR($B2319))</f>
        <v/>
      </c>
    </row>
    <row r="2320">
      <c r="B2320" s="105" t="n"/>
      <c r="C2320" s="54" t="n"/>
      <c r="D2320" s="54" t="n"/>
      <c r="E2320" s="54" t="n"/>
      <c r="F2320" s="54" t="n"/>
      <c r="G2320" s="65" t="n"/>
      <c r="H2320" s="54" t="n"/>
      <c r="I2320" s="106">
        <f>IF($C2320="","",IFERROR(INDEX(Sens_Types,MATCH($C2320,Liste_Types,0)),""))</f>
        <v/>
      </c>
      <c r="J2320" s="107">
        <f>IF($I2320="▲ ENTRÉE",$U2320,"")</f>
        <v/>
      </c>
      <c r="K2320" s="108">
        <f>IF($I2320="▼ SORTIE",$U2320,"")</f>
        <v/>
      </c>
      <c r="L2320" s="109">
        <f>$L2319+N($J2320)-N($K2320)</f>
        <v/>
      </c>
      <c r="M2320" s="110" t="n"/>
      <c r="N2320" s="54" t="n"/>
      <c r="O2320" s="54" t="n"/>
      <c r="P2320" s="54" t="n"/>
      <c r="Q2320" s="110" t="n"/>
      <c r="R2320" s="110" t="n"/>
      <c r="S2320" s="54" t="n"/>
      <c r="T2320" s="111">
        <f>IF($G2320="","",IFERROR(INDEX(Taux_Devises,MATCH(IF($M2320="",Devise_Base,$M2320),Codes_Devises,0)),1))</f>
        <v/>
      </c>
      <c r="U2320" s="112">
        <f>IF($G2320="","",ROUND($G2320*$T2320,2))</f>
        <v/>
      </c>
      <c r="V2320" s="113">
        <f>IF($B2320="","",MONTH($B2320))</f>
        <v/>
      </c>
      <c r="W2320" s="113">
        <f>IF($B2320="","",YEAR($B2320))</f>
        <v/>
      </c>
    </row>
    <row r="2321">
      <c r="B2321" s="105" t="n"/>
      <c r="C2321" s="54" t="n"/>
      <c r="D2321" s="54" t="n"/>
      <c r="E2321" s="54" t="n"/>
      <c r="F2321" s="54" t="n"/>
      <c r="G2321" s="65" t="n"/>
      <c r="H2321" s="54" t="n"/>
      <c r="I2321" s="106">
        <f>IF($C2321="","",IFERROR(INDEX(Sens_Types,MATCH($C2321,Liste_Types,0)),""))</f>
        <v/>
      </c>
      <c r="J2321" s="107">
        <f>IF($I2321="▲ ENTRÉE",$U2321,"")</f>
        <v/>
      </c>
      <c r="K2321" s="108">
        <f>IF($I2321="▼ SORTIE",$U2321,"")</f>
        <v/>
      </c>
      <c r="L2321" s="109">
        <f>$L2320+N($J2321)-N($K2321)</f>
        <v/>
      </c>
      <c r="M2321" s="110" t="n"/>
      <c r="N2321" s="54" t="n"/>
      <c r="O2321" s="54" t="n"/>
      <c r="P2321" s="54" t="n"/>
      <c r="Q2321" s="110" t="n"/>
      <c r="R2321" s="110" t="n"/>
      <c r="S2321" s="54" t="n"/>
      <c r="T2321" s="111">
        <f>IF($G2321="","",IFERROR(INDEX(Taux_Devises,MATCH(IF($M2321="",Devise_Base,$M2321),Codes_Devises,0)),1))</f>
        <v/>
      </c>
      <c r="U2321" s="112">
        <f>IF($G2321="","",ROUND($G2321*$T2321,2))</f>
        <v/>
      </c>
      <c r="V2321" s="113">
        <f>IF($B2321="","",MONTH($B2321))</f>
        <v/>
      </c>
      <c r="W2321" s="113">
        <f>IF($B2321="","",YEAR($B2321))</f>
        <v/>
      </c>
    </row>
    <row r="2322">
      <c r="B2322" s="105" t="n"/>
      <c r="C2322" s="54" t="n"/>
      <c r="D2322" s="54" t="n"/>
      <c r="E2322" s="54" t="n"/>
      <c r="F2322" s="54" t="n"/>
      <c r="G2322" s="65" t="n"/>
      <c r="H2322" s="54" t="n"/>
      <c r="I2322" s="106">
        <f>IF($C2322="","",IFERROR(INDEX(Sens_Types,MATCH($C2322,Liste_Types,0)),""))</f>
        <v/>
      </c>
      <c r="J2322" s="107">
        <f>IF($I2322="▲ ENTRÉE",$U2322,"")</f>
        <v/>
      </c>
      <c r="K2322" s="108">
        <f>IF($I2322="▼ SORTIE",$U2322,"")</f>
        <v/>
      </c>
      <c r="L2322" s="109">
        <f>$L2321+N($J2322)-N($K2322)</f>
        <v/>
      </c>
      <c r="M2322" s="110" t="n"/>
      <c r="N2322" s="54" t="n"/>
      <c r="O2322" s="54" t="n"/>
      <c r="P2322" s="54" t="n"/>
      <c r="Q2322" s="110" t="n"/>
      <c r="R2322" s="110" t="n"/>
      <c r="S2322" s="54" t="n"/>
      <c r="T2322" s="111">
        <f>IF($G2322="","",IFERROR(INDEX(Taux_Devises,MATCH(IF($M2322="",Devise_Base,$M2322),Codes_Devises,0)),1))</f>
        <v/>
      </c>
      <c r="U2322" s="112">
        <f>IF($G2322="","",ROUND($G2322*$T2322,2))</f>
        <v/>
      </c>
      <c r="V2322" s="113">
        <f>IF($B2322="","",MONTH($B2322))</f>
        <v/>
      </c>
      <c r="W2322" s="113">
        <f>IF($B2322="","",YEAR($B2322))</f>
        <v/>
      </c>
    </row>
    <row r="2323">
      <c r="B2323" s="105" t="n"/>
      <c r="C2323" s="54" t="n"/>
      <c r="D2323" s="54" t="n"/>
      <c r="E2323" s="54" t="n"/>
      <c r="F2323" s="54" t="n"/>
      <c r="G2323" s="65" t="n"/>
      <c r="H2323" s="54" t="n"/>
      <c r="I2323" s="106">
        <f>IF($C2323="","",IFERROR(INDEX(Sens_Types,MATCH($C2323,Liste_Types,0)),""))</f>
        <v/>
      </c>
      <c r="J2323" s="107">
        <f>IF($I2323="▲ ENTRÉE",$U2323,"")</f>
        <v/>
      </c>
      <c r="K2323" s="108">
        <f>IF($I2323="▼ SORTIE",$U2323,"")</f>
        <v/>
      </c>
      <c r="L2323" s="109">
        <f>$L2322+N($J2323)-N($K2323)</f>
        <v/>
      </c>
      <c r="M2323" s="110" t="n"/>
      <c r="N2323" s="54" t="n"/>
      <c r="O2323" s="54" t="n"/>
      <c r="P2323" s="54" t="n"/>
      <c r="Q2323" s="110" t="n"/>
      <c r="R2323" s="110" t="n"/>
      <c r="S2323" s="54" t="n"/>
      <c r="T2323" s="111">
        <f>IF($G2323="","",IFERROR(INDEX(Taux_Devises,MATCH(IF($M2323="",Devise_Base,$M2323),Codes_Devises,0)),1))</f>
        <v/>
      </c>
      <c r="U2323" s="112">
        <f>IF($G2323="","",ROUND($G2323*$T2323,2))</f>
        <v/>
      </c>
      <c r="V2323" s="113">
        <f>IF($B2323="","",MONTH($B2323))</f>
        <v/>
      </c>
      <c r="W2323" s="113">
        <f>IF($B2323="","",YEAR($B2323))</f>
        <v/>
      </c>
    </row>
    <row r="2324">
      <c r="B2324" s="105" t="n"/>
      <c r="C2324" s="54" t="n"/>
      <c r="D2324" s="54" t="n"/>
      <c r="E2324" s="54" t="n"/>
      <c r="F2324" s="54" t="n"/>
      <c r="G2324" s="65" t="n"/>
      <c r="H2324" s="54" t="n"/>
      <c r="I2324" s="106">
        <f>IF($C2324="","",IFERROR(INDEX(Sens_Types,MATCH($C2324,Liste_Types,0)),""))</f>
        <v/>
      </c>
      <c r="J2324" s="107">
        <f>IF($I2324="▲ ENTRÉE",$U2324,"")</f>
        <v/>
      </c>
      <c r="K2324" s="108">
        <f>IF($I2324="▼ SORTIE",$U2324,"")</f>
        <v/>
      </c>
      <c r="L2324" s="109">
        <f>$L2323+N($J2324)-N($K2324)</f>
        <v/>
      </c>
      <c r="M2324" s="110" t="n"/>
      <c r="N2324" s="54" t="n"/>
      <c r="O2324" s="54" t="n"/>
      <c r="P2324" s="54" t="n"/>
      <c r="Q2324" s="110" t="n"/>
      <c r="R2324" s="110" t="n"/>
      <c r="S2324" s="54" t="n"/>
      <c r="T2324" s="111">
        <f>IF($G2324="","",IFERROR(INDEX(Taux_Devises,MATCH(IF($M2324="",Devise_Base,$M2324),Codes_Devises,0)),1))</f>
        <v/>
      </c>
      <c r="U2324" s="112">
        <f>IF($G2324="","",ROUND($G2324*$T2324,2))</f>
        <v/>
      </c>
      <c r="V2324" s="113">
        <f>IF($B2324="","",MONTH($B2324))</f>
        <v/>
      </c>
      <c r="W2324" s="113">
        <f>IF($B2324="","",YEAR($B2324))</f>
        <v/>
      </c>
    </row>
    <row r="2325">
      <c r="B2325" s="105" t="n"/>
      <c r="C2325" s="54" t="n"/>
      <c r="D2325" s="54" t="n"/>
      <c r="E2325" s="54" t="n"/>
      <c r="F2325" s="54" t="n"/>
      <c r="G2325" s="65" t="n"/>
      <c r="H2325" s="54" t="n"/>
      <c r="I2325" s="106">
        <f>IF($C2325="","",IFERROR(INDEX(Sens_Types,MATCH($C2325,Liste_Types,0)),""))</f>
        <v/>
      </c>
      <c r="J2325" s="107">
        <f>IF($I2325="▲ ENTRÉE",$U2325,"")</f>
        <v/>
      </c>
      <c r="K2325" s="108">
        <f>IF($I2325="▼ SORTIE",$U2325,"")</f>
        <v/>
      </c>
      <c r="L2325" s="109">
        <f>$L2324+N($J2325)-N($K2325)</f>
        <v/>
      </c>
      <c r="M2325" s="110" t="n"/>
      <c r="N2325" s="54" t="n"/>
      <c r="O2325" s="54" t="n"/>
      <c r="P2325" s="54" t="n"/>
      <c r="Q2325" s="110" t="n"/>
      <c r="R2325" s="110" t="n"/>
      <c r="S2325" s="54" t="n"/>
      <c r="T2325" s="111">
        <f>IF($G2325="","",IFERROR(INDEX(Taux_Devises,MATCH(IF($M2325="",Devise_Base,$M2325),Codes_Devises,0)),1))</f>
        <v/>
      </c>
      <c r="U2325" s="112">
        <f>IF($G2325="","",ROUND($G2325*$T2325,2))</f>
        <v/>
      </c>
      <c r="V2325" s="113">
        <f>IF($B2325="","",MONTH($B2325))</f>
        <v/>
      </c>
      <c r="W2325" s="113">
        <f>IF($B2325="","",YEAR($B2325))</f>
        <v/>
      </c>
    </row>
    <row r="2326">
      <c r="B2326" s="105" t="n"/>
      <c r="C2326" s="54" t="n"/>
      <c r="D2326" s="54" t="n"/>
      <c r="E2326" s="54" t="n"/>
      <c r="F2326" s="54" t="n"/>
      <c r="G2326" s="65" t="n"/>
      <c r="H2326" s="54" t="n"/>
      <c r="I2326" s="106">
        <f>IF($C2326="","",IFERROR(INDEX(Sens_Types,MATCH($C2326,Liste_Types,0)),""))</f>
        <v/>
      </c>
      <c r="J2326" s="107">
        <f>IF($I2326="▲ ENTRÉE",$U2326,"")</f>
        <v/>
      </c>
      <c r="K2326" s="108">
        <f>IF($I2326="▼ SORTIE",$U2326,"")</f>
        <v/>
      </c>
      <c r="L2326" s="109">
        <f>$L2325+N($J2326)-N($K2326)</f>
        <v/>
      </c>
      <c r="M2326" s="110" t="n"/>
      <c r="N2326" s="54" t="n"/>
      <c r="O2326" s="54" t="n"/>
      <c r="P2326" s="54" t="n"/>
      <c r="Q2326" s="110" t="n"/>
      <c r="R2326" s="110" t="n"/>
      <c r="S2326" s="54" t="n"/>
      <c r="T2326" s="111">
        <f>IF($G2326="","",IFERROR(INDEX(Taux_Devises,MATCH(IF($M2326="",Devise_Base,$M2326),Codes_Devises,0)),1))</f>
        <v/>
      </c>
      <c r="U2326" s="112">
        <f>IF($G2326="","",ROUND($G2326*$T2326,2))</f>
        <v/>
      </c>
      <c r="V2326" s="113">
        <f>IF($B2326="","",MONTH($B2326))</f>
        <v/>
      </c>
      <c r="W2326" s="113">
        <f>IF($B2326="","",YEAR($B2326))</f>
        <v/>
      </c>
    </row>
    <row r="2327">
      <c r="B2327" s="105" t="n"/>
      <c r="C2327" s="54" t="n"/>
      <c r="D2327" s="54" t="n"/>
      <c r="E2327" s="54" t="n"/>
      <c r="F2327" s="54" t="n"/>
      <c r="G2327" s="65" t="n"/>
      <c r="H2327" s="54" t="n"/>
      <c r="I2327" s="106">
        <f>IF($C2327="","",IFERROR(INDEX(Sens_Types,MATCH($C2327,Liste_Types,0)),""))</f>
        <v/>
      </c>
      <c r="J2327" s="107">
        <f>IF($I2327="▲ ENTRÉE",$U2327,"")</f>
        <v/>
      </c>
      <c r="K2327" s="108">
        <f>IF($I2327="▼ SORTIE",$U2327,"")</f>
        <v/>
      </c>
      <c r="L2327" s="109">
        <f>$L2326+N($J2327)-N($K2327)</f>
        <v/>
      </c>
      <c r="M2327" s="110" t="n"/>
      <c r="N2327" s="54" t="n"/>
      <c r="O2327" s="54" t="n"/>
      <c r="P2327" s="54" t="n"/>
      <c r="Q2327" s="110" t="n"/>
      <c r="R2327" s="110" t="n"/>
      <c r="S2327" s="54" t="n"/>
      <c r="T2327" s="111">
        <f>IF($G2327="","",IFERROR(INDEX(Taux_Devises,MATCH(IF($M2327="",Devise_Base,$M2327),Codes_Devises,0)),1))</f>
        <v/>
      </c>
      <c r="U2327" s="112">
        <f>IF($G2327="","",ROUND($G2327*$T2327,2))</f>
        <v/>
      </c>
      <c r="V2327" s="113">
        <f>IF($B2327="","",MONTH($B2327))</f>
        <v/>
      </c>
      <c r="W2327" s="113">
        <f>IF($B2327="","",YEAR($B2327))</f>
        <v/>
      </c>
    </row>
    <row r="2328">
      <c r="B2328" s="105" t="n"/>
      <c r="C2328" s="54" t="n"/>
      <c r="D2328" s="54" t="n"/>
      <c r="E2328" s="54" t="n"/>
      <c r="F2328" s="54" t="n"/>
      <c r="G2328" s="65" t="n"/>
      <c r="H2328" s="54" t="n"/>
      <c r="I2328" s="106">
        <f>IF($C2328="","",IFERROR(INDEX(Sens_Types,MATCH($C2328,Liste_Types,0)),""))</f>
        <v/>
      </c>
      <c r="J2328" s="107">
        <f>IF($I2328="▲ ENTRÉE",$U2328,"")</f>
        <v/>
      </c>
      <c r="K2328" s="108">
        <f>IF($I2328="▼ SORTIE",$U2328,"")</f>
        <v/>
      </c>
      <c r="L2328" s="109">
        <f>$L2327+N($J2328)-N($K2328)</f>
        <v/>
      </c>
      <c r="M2328" s="110" t="n"/>
      <c r="N2328" s="54" t="n"/>
      <c r="O2328" s="54" t="n"/>
      <c r="P2328" s="54" t="n"/>
      <c r="Q2328" s="110" t="n"/>
      <c r="R2328" s="110" t="n"/>
      <c r="S2328" s="54" t="n"/>
      <c r="T2328" s="111">
        <f>IF($G2328="","",IFERROR(INDEX(Taux_Devises,MATCH(IF($M2328="",Devise_Base,$M2328),Codes_Devises,0)),1))</f>
        <v/>
      </c>
      <c r="U2328" s="112">
        <f>IF($G2328="","",ROUND($G2328*$T2328,2))</f>
        <v/>
      </c>
      <c r="V2328" s="113">
        <f>IF($B2328="","",MONTH($B2328))</f>
        <v/>
      </c>
      <c r="W2328" s="113">
        <f>IF($B2328="","",YEAR($B2328))</f>
        <v/>
      </c>
    </row>
    <row r="2329">
      <c r="B2329" s="105" t="n"/>
      <c r="C2329" s="54" t="n"/>
      <c r="D2329" s="54" t="n"/>
      <c r="E2329" s="54" t="n"/>
      <c r="F2329" s="54" t="n"/>
      <c r="G2329" s="65" t="n"/>
      <c r="H2329" s="54" t="n"/>
      <c r="I2329" s="106">
        <f>IF($C2329="","",IFERROR(INDEX(Sens_Types,MATCH($C2329,Liste_Types,0)),""))</f>
        <v/>
      </c>
      <c r="J2329" s="107">
        <f>IF($I2329="▲ ENTRÉE",$U2329,"")</f>
        <v/>
      </c>
      <c r="K2329" s="108">
        <f>IF($I2329="▼ SORTIE",$U2329,"")</f>
        <v/>
      </c>
      <c r="L2329" s="109">
        <f>$L2328+N($J2329)-N($K2329)</f>
        <v/>
      </c>
      <c r="M2329" s="110" t="n"/>
      <c r="N2329" s="54" t="n"/>
      <c r="O2329" s="54" t="n"/>
      <c r="P2329" s="54" t="n"/>
      <c r="Q2329" s="110" t="n"/>
      <c r="R2329" s="110" t="n"/>
      <c r="S2329" s="54" t="n"/>
      <c r="T2329" s="111">
        <f>IF($G2329="","",IFERROR(INDEX(Taux_Devises,MATCH(IF($M2329="",Devise_Base,$M2329),Codes_Devises,0)),1))</f>
        <v/>
      </c>
      <c r="U2329" s="112">
        <f>IF($G2329="","",ROUND($G2329*$T2329,2))</f>
        <v/>
      </c>
      <c r="V2329" s="113">
        <f>IF($B2329="","",MONTH($B2329))</f>
        <v/>
      </c>
      <c r="W2329" s="113">
        <f>IF($B2329="","",YEAR($B2329))</f>
        <v/>
      </c>
    </row>
    <row r="2330">
      <c r="B2330" s="105" t="n"/>
      <c r="C2330" s="54" t="n"/>
      <c r="D2330" s="54" t="n"/>
      <c r="E2330" s="54" t="n"/>
      <c r="F2330" s="54" t="n"/>
      <c r="G2330" s="65" t="n"/>
      <c r="H2330" s="54" t="n"/>
      <c r="I2330" s="106">
        <f>IF($C2330="","",IFERROR(INDEX(Sens_Types,MATCH($C2330,Liste_Types,0)),""))</f>
        <v/>
      </c>
      <c r="J2330" s="107">
        <f>IF($I2330="▲ ENTRÉE",$U2330,"")</f>
        <v/>
      </c>
      <c r="K2330" s="108">
        <f>IF($I2330="▼ SORTIE",$U2330,"")</f>
        <v/>
      </c>
      <c r="L2330" s="109">
        <f>$L2329+N($J2330)-N($K2330)</f>
        <v/>
      </c>
      <c r="M2330" s="110" t="n"/>
      <c r="N2330" s="54" t="n"/>
      <c r="O2330" s="54" t="n"/>
      <c r="P2330" s="54" t="n"/>
      <c r="Q2330" s="110" t="n"/>
      <c r="R2330" s="110" t="n"/>
      <c r="S2330" s="54" t="n"/>
      <c r="T2330" s="111">
        <f>IF($G2330="","",IFERROR(INDEX(Taux_Devises,MATCH(IF($M2330="",Devise_Base,$M2330),Codes_Devises,0)),1))</f>
        <v/>
      </c>
      <c r="U2330" s="112">
        <f>IF($G2330="","",ROUND($G2330*$T2330,2))</f>
        <v/>
      </c>
      <c r="V2330" s="113">
        <f>IF($B2330="","",MONTH($B2330))</f>
        <v/>
      </c>
      <c r="W2330" s="113">
        <f>IF($B2330="","",YEAR($B2330))</f>
        <v/>
      </c>
    </row>
    <row r="2331">
      <c r="B2331" s="105" t="n"/>
      <c r="C2331" s="54" t="n"/>
      <c r="D2331" s="54" t="n"/>
      <c r="E2331" s="54" t="n"/>
      <c r="F2331" s="54" t="n"/>
      <c r="G2331" s="65" t="n"/>
      <c r="H2331" s="54" t="n"/>
      <c r="I2331" s="106">
        <f>IF($C2331="","",IFERROR(INDEX(Sens_Types,MATCH($C2331,Liste_Types,0)),""))</f>
        <v/>
      </c>
      <c r="J2331" s="107">
        <f>IF($I2331="▲ ENTRÉE",$U2331,"")</f>
        <v/>
      </c>
      <c r="K2331" s="108">
        <f>IF($I2331="▼ SORTIE",$U2331,"")</f>
        <v/>
      </c>
      <c r="L2331" s="109">
        <f>$L2330+N($J2331)-N($K2331)</f>
        <v/>
      </c>
      <c r="M2331" s="110" t="n"/>
      <c r="N2331" s="54" t="n"/>
      <c r="O2331" s="54" t="n"/>
      <c r="P2331" s="54" t="n"/>
      <c r="Q2331" s="110" t="n"/>
      <c r="R2331" s="110" t="n"/>
      <c r="S2331" s="54" t="n"/>
      <c r="T2331" s="111">
        <f>IF($G2331="","",IFERROR(INDEX(Taux_Devises,MATCH(IF($M2331="",Devise_Base,$M2331),Codes_Devises,0)),1))</f>
        <v/>
      </c>
      <c r="U2331" s="112">
        <f>IF($G2331="","",ROUND($G2331*$T2331,2))</f>
        <v/>
      </c>
      <c r="V2331" s="113">
        <f>IF($B2331="","",MONTH($B2331))</f>
        <v/>
      </c>
      <c r="W2331" s="113">
        <f>IF($B2331="","",YEAR($B2331))</f>
        <v/>
      </c>
    </row>
    <row r="2332">
      <c r="B2332" s="105" t="n"/>
      <c r="C2332" s="54" t="n"/>
      <c r="D2332" s="54" t="n"/>
      <c r="E2332" s="54" t="n"/>
      <c r="F2332" s="54" t="n"/>
      <c r="G2332" s="65" t="n"/>
      <c r="H2332" s="54" t="n"/>
      <c r="I2332" s="106">
        <f>IF($C2332="","",IFERROR(INDEX(Sens_Types,MATCH($C2332,Liste_Types,0)),""))</f>
        <v/>
      </c>
      <c r="J2332" s="107">
        <f>IF($I2332="▲ ENTRÉE",$U2332,"")</f>
        <v/>
      </c>
      <c r="K2332" s="108">
        <f>IF($I2332="▼ SORTIE",$U2332,"")</f>
        <v/>
      </c>
      <c r="L2332" s="109">
        <f>$L2331+N($J2332)-N($K2332)</f>
        <v/>
      </c>
      <c r="M2332" s="110" t="n"/>
      <c r="N2332" s="54" t="n"/>
      <c r="O2332" s="54" t="n"/>
      <c r="P2332" s="54" t="n"/>
      <c r="Q2332" s="110" t="n"/>
      <c r="R2332" s="110" t="n"/>
      <c r="S2332" s="54" t="n"/>
      <c r="T2332" s="111">
        <f>IF($G2332="","",IFERROR(INDEX(Taux_Devises,MATCH(IF($M2332="",Devise_Base,$M2332),Codes_Devises,0)),1))</f>
        <v/>
      </c>
      <c r="U2332" s="112">
        <f>IF($G2332="","",ROUND($G2332*$T2332,2))</f>
        <v/>
      </c>
      <c r="V2332" s="113">
        <f>IF($B2332="","",MONTH($B2332))</f>
        <v/>
      </c>
      <c r="W2332" s="113">
        <f>IF($B2332="","",YEAR($B2332))</f>
        <v/>
      </c>
    </row>
    <row r="2333">
      <c r="B2333" s="105" t="n"/>
      <c r="C2333" s="54" t="n"/>
      <c r="D2333" s="54" t="n"/>
      <c r="E2333" s="54" t="n"/>
      <c r="F2333" s="54" t="n"/>
      <c r="G2333" s="65" t="n"/>
      <c r="H2333" s="54" t="n"/>
      <c r="I2333" s="106">
        <f>IF($C2333="","",IFERROR(INDEX(Sens_Types,MATCH($C2333,Liste_Types,0)),""))</f>
        <v/>
      </c>
      <c r="J2333" s="107">
        <f>IF($I2333="▲ ENTRÉE",$U2333,"")</f>
        <v/>
      </c>
      <c r="K2333" s="108">
        <f>IF($I2333="▼ SORTIE",$U2333,"")</f>
        <v/>
      </c>
      <c r="L2333" s="109">
        <f>$L2332+N($J2333)-N($K2333)</f>
        <v/>
      </c>
      <c r="M2333" s="110" t="n"/>
      <c r="N2333" s="54" t="n"/>
      <c r="O2333" s="54" t="n"/>
      <c r="P2333" s="54" t="n"/>
      <c r="Q2333" s="110" t="n"/>
      <c r="R2333" s="110" t="n"/>
      <c r="S2333" s="54" t="n"/>
      <c r="T2333" s="111">
        <f>IF($G2333="","",IFERROR(INDEX(Taux_Devises,MATCH(IF($M2333="",Devise_Base,$M2333),Codes_Devises,0)),1))</f>
        <v/>
      </c>
      <c r="U2333" s="112">
        <f>IF($G2333="","",ROUND($G2333*$T2333,2))</f>
        <v/>
      </c>
      <c r="V2333" s="113">
        <f>IF($B2333="","",MONTH($B2333))</f>
        <v/>
      </c>
      <c r="W2333" s="113">
        <f>IF($B2333="","",YEAR($B2333))</f>
        <v/>
      </c>
    </row>
    <row r="2334">
      <c r="B2334" s="105" t="n"/>
      <c r="C2334" s="54" t="n"/>
      <c r="D2334" s="54" t="n"/>
      <c r="E2334" s="54" t="n"/>
      <c r="F2334" s="54" t="n"/>
      <c r="G2334" s="65" t="n"/>
      <c r="H2334" s="54" t="n"/>
      <c r="I2334" s="106">
        <f>IF($C2334="","",IFERROR(INDEX(Sens_Types,MATCH($C2334,Liste_Types,0)),""))</f>
        <v/>
      </c>
      <c r="J2334" s="107">
        <f>IF($I2334="▲ ENTRÉE",$U2334,"")</f>
        <v/>
      </c>
      <c r="K2334" s="108">
        <f>IF($I2334="▼ SORTIE",$U2334,"")</f>
        <v/>
      </c>
      <c r="L2334" s="109">
        <f>$L2333+N($J2334)-N($K2334)</f>
        <v/>
      </c>
      <c r="M2334" s="110" t="n"/>
      <c r="N2334" s="54" t="n"/>
      <c r="O2334" s="54" t="n"/>
      <c r="P2334" s="54" t="n"/>
      <c r="Q2334" s="110" t="n"/>
      <c r="R2334" s="110" t="n"/>
      <c r="S2334" s="54" t="n"/>
      <c r="T2334" s="111">
        <f>IF($G2334="","",IFERROR(INDEX(Taux_Devises,MATCH(IF($M2334="",Devise_Base,$M2334),Codes_Devises,0)),1))</f>
        <v/>
      </c>
      <c r="U2334" s="112">
        <f>IF($G2334="","",ROUND($G2334*$T2334,2))</f>
        <v/>
      </c>
      <c r="V2334" s="113">
        <f>IF($B2334="","",MONTH($B2334))</f>
        <v/>
      </c>
      <c r="W2334" s="113">
        <f>IF($B2334="","",YEAR($B2334))</f>
        <v/>
      </c>
    </row>
    <row r="2335">
      <c r="B2335" s="105" t="n"/>
      <c r="C2335" s="54" t="n"/>
      <c r="D2335" s="54" t="n"/>
      <c r="E2335" s="54" t="n"/>
      <c r="F2335" s="54" t="n"/>
      <c r="G2335" s="65" t="n"/>
      <c r="H2335" s="54" t="n"/>
      <c r="I2335" s="106">
        <f>IF($C2335="","",IFERROR(INDEX(Sens_Types,MATCH($C2335,Liste_Types,0)),""))</f>
        <v/>
      </c>
      <c r="J2335" s="107">
        <f>IF($I2335="▲ ENTRÉE",$U2335,"")</f>
        <v/>
      </c>
      <c r="K2335" s="108">
        <f>IF($I2335="▼ SORTIE",$U2335,"")</f>
        <v/>
      </c>
      <c r="L2335" s="109">
        <f>$L2334+N($J2335)-N($K2335)</f>
        <v/>
      </c>
      <c r="M2335" s="110" t="n"/>
      <c r="N2335" s="54" t="n"/>
      <c r="O2335" s="54" t="n"/>
      <c r="P2335" s="54" t="n"/>
      <c r="Q2335" s="110" t="n"/>
      <c r="R2335" s="110" t="n"/>
      <c r="S2335" s="54" t="n"/>
      <c r="T2335" s="111">
        <f>IF($G2335="","",IFERROR(INDEX(Taux_Devises,MATCH(IF($M2335="",Devise_Base,$M2335),Codes_Devises,0)),1))</f>
        <v/>
      </c>
      <c r="U2335" s="112">
        <f>IF($G2335="","",ROUND($G2335*$T2335,2))</f>
        <v/>
      </c>
      <c r="V2335" s="113">
        <f>IF($B2335="","",MONTH($B2335))</f>
        <v/>
      </c>
      <c r="W2335" s="113">
        <f>IF($B2335="","",YEAR($B2335))</f>
        <v/>
      </c>
    </row>
    <row r="2336">
      <c r="B2336" s="105" t="n"/>
      <c r="C2336" s="54" t="n"/>
      <c r="D2336" s="54" t="n"/>
      <c r="E2336" s="54" t="n"/>
      <c r="F2336" s="54" t="n"/>
      <c r="G2336" s="65" t="n"/>
      <c r="H2336" s="54" t="n"/>
      <c r="I2336" s="106">
        <f>IF($C2336="","",IFERROR(INDEX(Sens_Types,MATCH($C2336,Liste_Types,0)),""))</f>
        <v/>
      </c>
      <c r="J2336" s="107">
        <f>IF($I2336="▲ ENTRÉE",$U2336,"")</f>
        <v/>
      </c>
      <c r="K2336" s="108">
        <f>IF($I2336="▼ SORTIE",$U2336,"")</f>
        <v/>
      </c>
      <c r="L2336" s="109">
        <f>$L2335+N($J2336)-N($K2336)</f>
        <v/>
      </c>
      <c r="M2336" s="110" t="n"/>
      <c r="N2336" s="54" t="n"/>
      <c r="O2336" s="54" t="n"/>
      <c r="P2336" s="54" t="n"/>
      <c r="Q2336" s="110" t="n"/>
      <c r="R2336" s="110" t="n"/>
      <c r="S2336" s="54" t="n"/>
      <c r="T2336" s="111">
        <f>IF($G2336="","",IFERROR(INDEX(Taux_Devises,MATCH(IF($M2336="",Devise_Base,$M2336),Codes_Devises,0)),1))</f>
        <v/>
      </c>
      <c r="U2336" s="112">
        <f>IF($G2336="","",ROUND($G2336*$T2336,2))</f>
        <v/>
      </c>
      <c r="V2336" s="113">
        <f>IF($B2336="","",MONTH($B2336))</f>
        <v/>
      </c>
      <c r="W2336" s="113">
        <f>IF($B2336="","",YEAR($B2336))</f>
        <v/>
      </c>
    </row>
    <row r="2337">
      <c r="B2337" s="105" t="n"/>
      <c r="C2337" s="54" t="n"/>
      <c r="D2337" s="54" t="n"/>
      <c r="E2337" s="54" t="n"/>
      <c r="F2337" s="54" t="n"/>
      <c r="G2337" s="65" t="n"/>
      <c r="H2337" s="54" t="n"/>
      <c r="I2337" s="106">
        <f>IF($C2337="","",IFERROR(INDEX(Sens_Types,MATCH($C2337,Liste_Types,0)),""))</f>
        <v/>
      </c>
      <c r="J2337" s="107">
        <f>IF($I2337="▲ ENTRÉE",$U2337,"")</f>
        <v/>
      </c>
      <c r="K2337" s="108">
        <f>IF($I2337="▼ SORTIE",$U2337,"")</f>
        <v/>
      </c>
      <c r="L2337" s="109">
        <f>$L2336+N($J2337)-N($K2337)</f>
        <v/>
      </c>
      <c r="M2337" s="110" t="n"/>
      <c r="N2337" s="54" t="n"/>
      <c r="O2337" s="54" t="n"/>
      <c r="P2337" s="54" t="n"/>
      <c r="Q2337" s="110" t="n"/>
      <c r="R2337" s="110" t="n"/>
      <c r="S2337" s="54" t="n"/>
      <c r="T2337" s="111">
        <f>IF($G2337="","",IFERROR(INDEX(Taux_Devises,MATCH(IF($M2337="",Devise_Base,$M2337),Codes_Devises,0)),1))</f>
        <v/>
      </c>
      <c r="U2337" s="112">
        <f>IF($G2337="","",ROUND($G2337*$T2337,2))</f>
        <v/>
      </c>
      <c r="V2337" s="113">
        <f>IF($B2337="","",MONTH($B2337))</f>
        <v/>
      </c>
      <c r="W2337" s="113">
        <f>IF($B2337="","",YEAR($B2337))</f>
        <v/>
      </c>
    </row>
    <row r="2338">
      <c r="B2338" s="105" t="n"/>
      <c r="C2338" s="54" t="n"/>
      <c r="D2338" s="54" t="n"/>
      <c r="E2338" s="54" t="n"/>
      <c r="F2338" s="54" t="n"/>
      <c r="G2338" s="65" t="n"/>
      <c r="H2338" s="54" t="n"/>
      <c r="I2338" s="106">
        <f>IF($C2338="","",IFERROR(INDEX(Sens_Types,MATCH($C2338,Liste_Types,0)),""))</f>
        <v/>
      </c>
      <c r="J2338" s="107">
        <f>IF($I2338="▲ ENTRÉE",$U2338,"")</f>
        <v/>
      </c>
      <c r="K2338" s="108">
        <f>IF($I2338="▼ SORTIE",$U2338,"")</f>
        <v/>
      </c>
      <c r="L2338" s="109">
        <f>$L2337+N($J2338)-N($K2338)</f>
        <v/>
      </c>
      <c r="M2338" s="110" t="n"/>
      <c r="N2338" s="54" t="n"/>
      <c r="O2338" s="54" t="n"/>
      <c r="P2338" s="54" t="n"/>
      <c r="Q2338" s="110" t="n"/>
      <c r="R2338" s="110" t="n"/>
      <c r="S2338" s="54" t="n"/>
      <c r="T2338" s="111">
        <f>IF($G2338="","",IFERROR(INDEX(Taux_Devises,MATCH(IF($M2338="",Devise_Base,$M2338),Codes_Devises,0)),1))</f>
        <v/>
      </c>
      <c r="U2338" s="112">
        <f>IF($G2338="","",ROUND($G2338*$T2338,2))</f>
        <v/>
      </c>
      <c r="V2338" s="113">
        <f>IF($B2338="","",MONTH($B2338))</f>
        <v/>
      </c>
      <c r="W2338" s="113">
        <f>IF($B2338="","",YEAR($B2338))</f>
        <v/>
      </c>
    </row>
    <row r="2339">
      <c r="B2339" s="105" t="n"/>
      <c r="C2339" s="54" t="n"/>
      <c r="D2339" s="54" t="n"/>
      <c r="E2339" s="54" t="n"/>
      <c r="F2339" s="54" t="n"/>
      <c r="G2339" s="65" t="n"/>
      <c r="H2339" s="54" t="n"/>
      <c r="I2339" s="106">
        <f>IF($C2339="","",IFERROR(INDEX(Sens_Types,MATCH($C2339,Liste_Types,0)),""))</f>
        <v/>
      </c>
      <c r="J2339" s="107">
        <f>IF($I2339="▲ ENTRÉE",$U2339,"")</f>
        <v/>
      </c>
      <c r="K2339" s="108">
        <f>IF($I2339="▼ SORTIE",$U2339,"")</f>
        <v/>
      </c>
      <c r="L2339" s="109">
        <f>$L2338+N($J2339)-N($K2339)</f>
        <v/>
      </c>
      <c r="M2339" s="110" t="n"/>
      <c r="N2339" s="54" t="n"/>
      <c r="O2339" s="54" t="n"/>
      <c r="P2339" s="54" t="n"/>
      <c r="Q2339" s="110" t="n"/>
      <c r="R2339" s="110" t="n"/>
      <c r="S2339" s="54" t="n"/>
      <c r="T2339" s="111">
        <f>IF($G2339="","",IFERROR(INDEX(Taux_Devises,MATCH(IF($M2339="",Devise_Base,$M2339),Codes_Devises,0)),1))</f>
        <v/>
      </c>
      <c r="U2339" s="112">
        <f>IF($G2339="","",ROUND($G2339*$T2339,2))</f>
        <v/>
      </c>
      <c r="V2339" s="113">
        <f>IF($B2339="","",MONTH($B2339))</f>
        <v/>
      </c>
      <c r="W2339" s="113">
        <f>IF($B2339="","",YEAR($B2339))</f>
        <v/>
      </c>
    </row>
    <row r="2340">
      <c r="B2340" s="105" t="n"/>
      <c r="C2340" s="54" t="n"/>
      <c r="D2340" s="54" t="n"/>
      <c r="E2340" s="54" t="n"/>
      <c r="F2340" s="54" t="n"/>
      <c r="G2340" s="65" t="n"/>
      <c r="H2340" s="54" t="n"/>
      <c r="I2340" s="106">
        <f>IF($C2340="","",IFERROR(INDEX(Sens_Types,MATCH($C2340,Liste_Types,0)),""))</f>
        <v/>
      </c>
      <c r="J2340" s="107">
        <f>IF($I2340="▲ ENTRÉE",$U2340,"")</f>
        <v/>
      </c>
      <c r="K2340" s="108">
        <f>IF($I2340="▼ SORTIE",$U2340,"")</f>
        <v/>
      </c>
      <c r="L2340" s="109">
        <f>$L2339+N($J2340)-N($K2340)</f>
        <v/>
      </c>
      <c r="M2340" s="110" t="n"/>
      <c r="N2340" s="54" t="n"/>
      <c r="O2340" s="54" t="n"/>
      <c r="P2340" s="54" t="n"/>
      <c r="Q2340" s="110" t="n"/>
      <c r="R2340" s="110" t="n"/>
      <c r="S2340" s="54" t="n"/>
      <c r="T2340" s="111">
        <f>IF($G2340="","",IFERROR(INDEX(Taux_Devises,MATCH(IF($M2340="",Devise_Base,$M2340),Codes_Devises,0)),1))</f>
        <v/>
      </c>
      <c r="U2340" s="112">
        <f>IF($G2340="","",ROUND($G2340*$T2340,2))</f>
        <v/>
      </c>
      <c r="V2340" s="113">
        <f>IF($B2340="","",MONTH($B2340))</f>
        <v/>
      </c>
      <c r="W2340" s="113">
        <f>IF($B2340="","",YEAR($B2340))</f>
        <v/>
      </c>
    </row>
    <row r="2341">
      <c r="B2341" s="105" t="n"/>
      <c r="C2341" s="54" t="n"/>
      <c r="D2341" s="54" t="n"/>
      <c r="E2341" s="54" t="n"/>
      <c r="F2341" s="54" t="n"/>
      <c r="G2341" s="65" t="n"/>
      <c r="H2341" s="54" t="n"/>
      <c r="I2341" s="106">
        <f>IF($C2341="","",IFERROR(INDEX(Sens_Types,MATCH($C2341,Liste_Types,0)),""))</f>
        <v/>
      </c>
      <c r="J2341" s="107">
        <f>IF($I2341="▲ ENTRÉE",$U2341,"")</f>
        <v/>
      </c>
      <c r="K2341" s="108">
        <f>IF($I2341="▼ SORTIE",$U2341,"")</f>
        <v/>
      </c>
      <c r="L2341" s="109">
        <f>$L2340+N($J2341)-N($K2341)</f>
        <v/>
      </c>
      <c r="M2341" s="110" t="n"/>
      <c r="N2341" s="54" t="n"/>
      <c r="O2341" s="54" t="n"/>
      <c r="P2341" s="54" t="n"/>
      <c r="Q2341" s="110" t="n"/>
      <c r="R2341" s="110" t="n"/>
      <c r="S2341" s="54" t="n"/>
      <c r="T2341" s="111">
        <f>IF($G2341="","",IFERROR(INDEX(Taux_Devises,MATCH(IF($M2341="",Devise_Base,$M2341),Codes_Devises,0)),1))</f>
        <v/>
      </c>
      <c r="U2341" s="112">
        <f>IF($G2341="","",ROUND($G2341*$T2341,2))</f>
        <v/>
      </c>
      <c r="V2341" s="113">
        <f>IF($B2341="","",MONTH($B2341))</f>
        <v/>
      </c>
      <c r="W2341" s="113">
        <f>IF($B2341="","",YEAR($B2341))</f>
        <v/>
      </c>
    </row>
    <row r="2342">
      <c r="B2342" s="105" t="n"/>
      <c r="C2342" s="54" t="n"/>
      <c r="D2342" s="54" t="n"/>
      <c r="E2342" s="54" t="n"/>
      <c r="F2342" s="54" t="n"/>
      <c r="G2342" s="65" t="n"/>
      <c r="H2342" s="54" t="n"/>
      <c r="I2342" s="106">
        <f>IF($C2342="","",IFERROR(INDEX(Sens_Types,MATCH($C2342,Liste_Types,0)),""))</f>
        <v/>
      </c>
      <c r="J2342" s="107">
        <f>IF($I2342="▲ ENTRÉE",$U2342,"")</f>
        <v/>
      </c>
      <c r="K2342" s="108">
        <f>IF($I2342="▼ SORTIE",$U2342,"")</f>
        <v/>
      </c>
      <c r="L2342" s="109">
        <f>$L2341+N($J2342)-N($K2342)</f>
        <v/>
      </c>
      <c r="M2342" s="110" t="n"/>
      <c r="N2342" s="54" t="n"/>
      <c r="O2342" s="54" t="n"/>
      <c r="P2342" s="54" t="n"/>
      <c r="Q2342" s="110" t="n"/>
      <c r="R2342" s="110" t="n"/>
      <c r="S2342" s="54" t="n"/>
      <c r="T2342" s="111">
        <f>IF($G2342="","",IFERROR(INDEX(Taux_Devises,MATCH(IF($M2342="",Devise_Base,$M2342),Codes_Devises,0)),1))</f>
        <v/>
      </c>
      <c r="U2342" s="112">
        <f>IF($G2342="","",ROUND($G2342*$T2342,2))</f>
        <v/>
      </c>
      <c r="V2342" s="113">
        <f>IF($B2342="","",MONTH($B2342))</f>
        <v/>
      </c>
      <c r="W2342" s="113">
        <f>IF($B2342="","",YEAR($B2342))</f>
        <v/>
      </c>
    </row>
    <row r="2343">
      <c r="B2343" s="105" t="n"/>
      <c r="C2343" s="54" t="n"/>
      <c r="D2343" s="54" t="n"/>
      <c r="E2343" s="54" t="n"/>
      <c r="F2343" s="54" t="n"/>
      <c r="G2343" s="65" t="n"/>
      <c r="H2343" s="54" t="n"/>
      <c r="I2343" s="106">
        <f>IF($C2343="","",IFERROR(INDEX(Sens_Types,MATCH($C2343,Liste_Types,0)),""))</f>
        <v/>
      </c>
      <c r="J2343" s="107">
        <f>IF($I2343="▲ ENTRÉE",$U2343,"")</f>
        <v/>
      </c>
      <c r="K2343" s="108">
        <f>IF($I2343="▼ SORTIE",$U2343,"")</f>
        <v/>
      </c>
      <c r="L2343" s="109">
        <f>$L2342+N($J2343)-N($K2343)</f>
        <v/>
      </c>
      <c r="M2343" s="110" t="n"/>
      <c r="N2343" s="54" t="n"/>
      <c r="O2343" s="54" t="n"/>
      <c r="P2343" s="54" t="n"/>
      <c r="Q2343" s="110" t="n"/>
      <c r="R2343" s="110" t="n"/>
      <c r="S2343" s="54" t="n"/>
      <c r="T2343" s="111">
        <f>IF($G2343="","",IFERROR(INDEX(Taux_Devises,MATCH(IF($M2343="",Devise_Base,$M2343),Codes_Devises,0)),1))</f>
        <v/>
      </c>
      <c r="U2343" s="112">
        <f>IF($G2343="","",ROUND($G2343*$T2343,2))</f>
        <v/>
      </c>
      <c r="V2343" s="113">
        <f>IF($B2343="","",MONTH($B2343))</f>
        <v/>
      </c>
      <c r="W2343" s="113">
        <f>IF($B2343="","",YEAR($B2343))</f>
        <v/>
      </c>
    </row>
    <row r="2344">
      <c r="B2344" s="105" t="n"/>
      <c r="C2344" s="54" t="n"/>
      <c r="D2344" s="54" t="n"/>
      <c r="E2344" s="54" t="n"/>
      <c r="F2344" s="54" t="n"/>
      <c r="G2344" s="65" t="n"/>
      <c r="H2344" s="54" t="n"/>
      <c r="I2344" s="106">
        <f>IF($C2344="","",IFERROR(INDEX(Sens_Types,MATCH($C2344,Liste_Types,0)),""))</f>
        <v/>
      </c>
      <c r="J2344" s="107">
        <f>IF($I2344="▲ ENTRÉE",$U2344,"")</f>
        <v/>
      </c>
      <c r="K2344" s="108">
        <f>IF($I2344="▼ SORTIE",$U2344,"")</f>
        <v/>
      </c>
      <c r="L2344" s="109">
        <f>$L2343+N($J2344)-N($K2344)</f>
        <v/>
      </c>
      <c r="M2344" s="110" t="n"/>
      <c r="N2344" s="54" t="n"/>
      <c r="O2344" s="54" t="n"/>
      <c r="P2344" s="54" t="n"/>
      <c r="Q2344" s="110" t="n"/>
      <c r="R2344" s="110" t="n"/>
      <c r="S2344" s="54" t="n"/>
      <c r="T2344" s="111">
        <f>IF($G2344="","",IFERROR(INDEX(Taux_Devises,MATCH(IF($M2344="",Devise_Base,$M2344),Codes_Devises,0)),1))</f>
        <v/>
      </c>
      <c r="U2344" s="112">
        <f>IF($G2344="","",ROUND($G2344*$T2344,2))</f>
        <v/>
      </c>
      <c r="V2344" s="113">
        <f>IF($B2344="","",MONTH($B2344))</f>
        <v/>
      </c>
      <c r="W2344" s="113">
        <f>IF($B2344="","",YEAR($B2344))</f>
        <v/>
      </c>
    </row>
    <row r="2345">
      <c r="B2345" s="105" t="n"/>
      <c r="C2345" s="54" t="n"/>
      <c r="D2345" s="54" t="n"/>
      <c r="E2345" s="54" t="n"/>
      <c r="F2345" s="54" t="n"/>
      <c r="G2345" s="65" t="n"/>
      <c r="H2345" s="54" t="n"/>
      <c r="I2345" s="106">
        <f>IF($C2345="","",IFERROR(INDEX(Sens_Types,MATCH($C2345,Liste_Types,0)),""))</f>
        <v/>
      </c>
      <c r="J2345" s="107">
        <f>IF($I2345="▲ ENTRÉE",$U2345,"")</f>
        <v/>
      </c>
      <c r="K2345" s="108">
        <f>IF($I2345="▼ SORTIE",$U2345,"")</f>
        <v/>
      </c>
      <c r="L2345" s="109">
        <f>$L2344+N($J2345)-N($K2345)</f>
        <v/>
      </c>
      <c r="M2345" s="110" t="n"/>
      <c r="N2345" s="54" t="n"/>
      <c r="O2345" s="54" t="n"/>
      <c r="P2345" s="54" t="n"/>
      <c r="Q2345" s="110" t="n"/>
      <c r="R2345" s="110" t="n"/>
      <c r="S2345" s="54" t="n"/>
      <c r="T2345" s="111">
        <f>IF($G2345="","",IFERROR(INDEX(Taux_Devises,MATCH(IF($M2345="",Devise_Base,$M2345),Codes_Devises,0)),1))</f>
        <v/>
      </c>
      <c r="U2345" s="112">
        <f>IF($G2345="","",ROUND($G2345*$T2345,2))</f>
        <v/>
      </c>
      <c r="V2345" s="113">
        <f>IF($B2345="","",MONTH($B2345))</f>
        <v/>
      </c>
      <c r="W2345" s="113">
        <f>IF($B2345="","",YEAR($B2345))</f>
        <v/>
      </c>
    </row>
    <row r="2346">
      <c r="B2346" s="105" t="n"/>
      <c r="C2346" s="54" t="n"/>
      <c r="D2346" s="54" t="n"/>
      <c r="E2346" s="54" t="n"/>
      <c r="F2346" s="54" t="n"/>
      <c r="G2346" s="65" t="n"/>
      <c r="H2346" s="54" t="n"/>
      <c r="I2346" s="106">
        <f>IF($C2346="","",IFERROR(INDEX(Sens_Types,MATCH($C2346,Liste_Types,0)),""))</f>
        <v/>
      </c>
      <c r="J2346" s="107">
        <f>IF($I2346="▲ ENTRÉE",$U2346,"")</f>
        <v/>
      </c>
      <c r="K2346" s="108">
        <f>IF($I2346="▼ SORTIE",$U2346,"")</f>
        <v/>
      </c>
      <c r="L2346" s="109">
        <f>$L2345+N($J2346)-N($K2346)</f>
        <v/>
      </c>
      <c r="M2346" s="110" t="n"/>
      <c r="N2346" s="54" t="n"/>
      <c r="O2346" s="54" t="n"/>
      <c r="P2346" s="54" t="n"/>
      <c r="Q2346" s="110" t="n"/>
      <c r="R2346" s="110" t="n"/>
      <c r="S2346" s="54" t="n"/>
      <c r="T2346" s="111">
        <f>IF($G2346="","",IFERROR(INDEX(Taux_Devises,MATCH(IF($M2346="",Devise_Base,$M2346),Codes_Devises,0)),1))</f>
        <v/>
      </c>
      <c r="U2346" s="112">
        <f>IF($G2346="","",ROUND($G2346*$T2346,2))</f>
        <v/>
      </c>
      <c r="V2346" s="113">
        <f>IF($B2346="","",MONTH($B2346))</f>
        <v/>
      </c>
      <c r="W2346" s="113">
        <f>IF($B2346="","",YEAR($B2346))</f>
        <v/>
      </c>
    </row>
    <row r="2347">
      <c r="B2347" s="105" t="n"/>
      <c r="C2347" s="54" t="n"/>
      <c r="D2347" s="54" t="n"/>
      <c r="E2347" s="54" t="n"/>
      <c r="F2347" s="54" t="n"/>
      <c r="G2347" s="65" t="n"/>
      <c r="H2347" s="54" t="n"/>
      <c r="I2347" s="106">
        <f>IF($C2347="","",IFERROR(INDEX(Sens_Types,MATCH($C2347,Liste_Types,0)),""))</f>
        <v/>
      </c>
      <c r="J2347" s="107">
        <f>IF($I2347="▲ ENTRÉE",$U2347,"")</f>
        <v/>
      </c>
      <c r="K2347" s="108">
        <f>IF($I2347="▼ SORTIE",$U2347,"")</f>
        <v/>
      </c>
      <c r="L2347" s="109">
        <f>$L2346+N($J2347)-N($K2347)</f>
        <v/>
      </c>
      <c r="M2347" s="110" t="n"/>
      <c r="N2347" s="54" t="n"/>
      <c r="O2347" s="54" t="n"/>
      <c r="P2347" s="54" t="n"/>
      <c r="Q2347" s="110" t="n"/>
      <c r="R2347" s="110" t="n"/>
      <c r="S2347" s="54" t="n"/>
      <c r="T2347" s="111">
        <f>IF($G2347="","",IFERROR(INDEX(Taux_Devises,MATCH(IF($M2347="",Devise_Base,$M2347),Codes_Devises,0)),1))</f>
        <v/>
      </c>
      <c r="U2347" s="112">
        <f>IF($G2347="","",ROUND($G2347*$T2347,2))</f>
        <v/>
      </c>
      <c r="V2347" s="113">
        <f>IF($B2347="","",MONTH($B2347))</f>
        <v/>
      </c>
      <c r="W2347" s="113">
        <f>IF($B2347="","",YEAR($B2347))</f>
        <v/>
      </c>
    </row>
    <row r="2348">
      <c r="B2348" s="105" t="n"/>
      <c r="C2348" s="54" t="n"/>
      <c r="D2348" s="54" t="n"/>
      <c r="E2348" s="54" t="n"/>
      <c r="F2348" s="54" t="n"/>
      <c r="G2348" s="65" t="n"/>
      <c r="H2348" s="54" t="n"/>
      <c r="I2348" s="106">
        <f>IF($C2348="","",IFERROR(INDEX(Sens_Types,MATCH($C2348,Liste_Types,0)),""))</f>
        <v/>
      </c>
      <c r="J2348" s="107">
        <f>IF($I2348="▲ ENTRÉE",$U2348,"")</f>
        <v/>
      </c>
      <c r="K2348" s="108">
        <f>IF($I2348="▼ SORTIE",$U2348,"")</f>
        <v/>
      </c>
      <c r="L2348" s="109">
        <f>$L2347+N($J2348)-N($K2348)</f>
        <v/>
      </c>
      <c r="M2348" s="110" t="n"/>
      <c r="N2348" s="54" t="n"/>
      <c r="O2348" s="54" t="n"/>
      <c r="P2348" s="54" t="n"/>
      <c r="Q2348" s="110" t="n"/>
      <c r="R2348" s="110" t="n"/>
      <c r="S2348" s="54" t="n"/>
      <c r="T2348" s="111">
        <f>IF($G2348="","",IFERROR(INDEX(Taux_Devises,MATCH(IF($M2348="",Devise_Base,$M2348),Codes_Devises,0)),1))</f>
        <v/>
      </c>
      <c r="U2348" s="112">
        <f>IF($G2348="","",ROUND($G2348*$T2348,2))</f>
        <v/>
      </c>
      <c r="V2348" s="113">
        <f>IF($B2348="","",MONTH($B2348))</f>
        <v/>
      </c>
      <c r="W2348" s="113">
        <f>IF($B2348="","",YEAR($B2348))</f>
        <v/>
      </c>
    </row>
    <row r="2349">
      <c r="B2349" s="105" t="n"/>
      <c r="C2349" s="54" t="n"/>
      <c r="D2349" s="54" t="n"/>
      <c r="E2349" s="54" t="n"/>
      <c r="F2349" s="54" t="n"/>
      <c r="G2349" s="65" t="n"/>
      <c r="H2349" s="54" t="n"/>
      <c r="I2349" s="106">
        <f>IF($C2349="","",IFERROR(INDEX(Sens_Types,MATCH($C2349,Liste_Types,0)),""))</f>
        <v/>
      </c>
      <c r="J2349" s="107">
        <f>IF($I2349="▲ ENTRÉE",$U2349,"")</f>
        <v/>
      </c>
      <c r="K2349" s="108">
        <f>IF($I2349="▼ SORTIE",$U2349,"")</f>
        <v/>
      </c>
      <c r="L2349" s="109">
        <f>$L2348+N($J2349)-N($K2349)</f>
        <v/>
      </c>
      <c r="M2349" s="110" t="n"/>
      <c r="N2349" s="54" t="n"/>
      <c r="O2349" s="54" t="n"/>
      <c r="P2349" s="54" t="n"/>
      <c r="Q2349" s="110" t="n"/>
      <c r="R2349" s="110" t="n"/>
      <c r="S2349" s="54" t="n"/>
      <c r="T2349" s="111">
        <f>IF($G2349="","",IFERROR(INDEX(Taux_Devises,MATCH(IF($M2349="",Devise_Base,$M2349),Codes_Devises,0)),1))</f>
        <v/>
      </c>
      <c r="U2349" s="112">
        <f>IF($G2349="","",ROUND($G2349*$T2349,2))</f>
        <v/>
      </c>
      <c r="V2349" s="113">
        <f>IF($B2349="","",MONTH($B2349))</f>
        <v/>
      </c>
      <c r="W2349" s="113">
        <f>IF($B2349="","",YEAR($B2349))</f>
        <v/>
      </c>
    </row>
    <row r="2350">
      <c r="B2350" s="105" t="n"/>
      <c r="C2350" s="54" t="n"/>
      <c r="D2350" s="54" t="n"/>
      <c r="E2350" s="54" t="n"/>
      <c r="F2350" s="54" t="n"/>
      <c r="G2350" s="65" t="n"/>
      <c r="H2350" s="54" t="n"/>
      <c r="I2350" s="106">
        <f>IF($C2350="","",IFERROR(INDEX(Sens_Types,MATCH($C2350,Liste_Types,0)),""))</f>
        <v/>
      </c>
      <c r="J2350" s="107">
        <f>IF($I2350="▲ ENTRÉE",$U2350,"")</f>
        <v/>
      </c>
      <c r="K2350" s="108">
        <f>IF($I2350="▼ SORTIE",$U2350,"")</f>
        <v/>
      </c>
      <c r="L2350" s="109">
        <f>$L2349+N($J2350)-N($K2350)</f>
        <v/>
      </c>
      <c r="M2350" s="110" t="n"/>
      <c r="N2350" s="54" t="n"/>
      <c r="O2350" s="54" t="n"/>
      <c r="P2350" s="54" t="n"/>
      <c r="Q2350" s="110" t="n"/>
      <c r="R2350" s="110" t="n"/>
      <c r="S2350" s="54" t="n"/>
      <c r="T2350" s="111">
        <f>IF($G2350="","",IFERROR(INDEX(Taux_Devises,MATCH(IF($M2350="",Devise_Base,$M2350),Codes_Devises,0)),1))</f>
        <v/>
      </c>
      <c r="U2350" s="112">
        <f>IF($G2350="","",ROUND($G2350*$T2350,2))</f>
        <v/>
      </c>
      <c r="V2350" s="113">
        <f>IF($B2350="","",MONTH($B2350))</f>
        <v/>
      </c>
      <c r="W2350" s="113">
        <f>IF($B2350="","",YEAR($B2350))</f>
        <v/>
      </c>
    </row>
    <row r="2351">
      <c r="B2351" s="105" t="n"/>
      <c r="C2351" s="54" t="n"/>
      <c r="D2351" s="54" t="n"/>
      <c r="E2351" s="54" t="n"/>
      <c r="F2351" s="54" t="n"/>
      <c r="G2351" s="65" t="n"/>
      <c r="H2351" s="54" t="n"/>
      <c r="I2351" s="106">
        <f>IF($C2351="","",IFERROR(INDEX(Sens_Types,MATCH($C2351,Liste_Types,0)),""))</f>
        <v/>
      </c>
      <c r="J2351" s="107">
        <f>IF($I2351="▲ ENTRÉE",$U2351,"")</f>
        <v/>
      </c>
      <c r="K2351" s="108">
        <f>IF($I2351="▼ SORTIE",$U2351,"")</f>
        <v/>
      </c>
      <c r="L2351" s="109">
        <f>$L2350+N($J2351)-N($K2351)</f>
        <v/>
      </c>
      <c r="M2351" s="110" t="n"/>
      <c r="N2351" s="54" t="n"/>
      <c r="O2351" s="54" t="n"/>
      <c r="P2351" s="54" t="n"/>
      <c r="Q2351" s="110" t="n"/>
      <c r="R2351" s="110" t="n"/>
      <c r="S2351" s="54" t="n"/>
      <c r="T2351" s="111">
        <f>IF($G2351="","",IFERROR(INDEX(Taux_Devises,MATCH(IF($M2351="",Devise_Base,$M2351),Codes_Devises,0)),1))</f>
        <v/>
      </c>
      <c r="U2351" s="112">
        <f>IF($G2351="","",ROUND($G2351*$T2351,2))</f>
        <v/>
      </c>
      <c r="V2351" s="113">
        <f>IF($B2351="","",MONTH($B2351))</f>
        <v/>
      </c>
      <c r="W2351" s="113">
        <f>IF($B2351="","",YEAR($B2351))</f>
        <v/>
      </c>
    </row>
    <row r="2352">
      <c r="B2352" s="105" t="n"/>
      <c r="C2352" s="54" t="n"/>
      <c r="D2352" s="54" t="n"/>
      <c r="E2352" s="54" t="n"/>
      <c r="F2352" s="54" t="n"/>
      <c r="G2352" s="65" t="n"/>
      <c r="H2352" s="54" t="n"/>
      <c r="I2352" s="106">
        <f>IF($C2352="","",IFERROR(INDEX(Sens_Types,MATCH($C2352,Liste_Types,0)),""))</f>
        <v/>
      </c>
      <c r="J2352" s="107">
        <f>IF($I2352="▲ ENTRÉE",$U2352,"")</f>
        <v/>
      </c>
      <c r="K2352" s="108">
        <f>IF($I2352="▼ SORTIE",$U2352,"")</f>
        <v/>
      </c>
      <c r="L2352" s="109">
        <f>$L2351+N($J2352)-N($K2352)</f>
        <v/>
      </c>
      <c r="M2352" s="110" t="n"/>
      <c r="N2352" s="54" t="n"/>
      <c r="O2352" s="54" t="n"/>
      <c r="P2352" s="54" t="n"/>
      <c r="Q2352" s="110" t="n"/>
      <c r="R2352" s="110" t="n"/>
      <c r="S2352" s="54" t="n"/>
      <c r="T2352" s="111">
        <f>IF($G2352="","",IFERROR(INDEX(Taux_Devises,MATCH(IF($M2352="",Devise_Base,$M2352),Codes_Devises,0)),1))</f>
        <v/>
      </c>
      <c r="U2352" s="112">
        <f>IF($G2352="","",ROUND($G2352*$T2352,2))</f>
        <v/>
      </c>
      <c r="V2352" s="113">
        <f>IF($B2352="","",MONTH($B2352))</f>
        <v/>
      </c>
      <c r="W2352" s="113">
        <f>IF($B2352="","",YEAR($B2352))</f>
        <v/>
      </c>
    </row>
    <row r="2353">
      <c r="B2353" s="105" t="n"/>
      <c r="C2353" s="54" t="n"/>
      <c r="D2353" s="54" t="n"/>
      <c r="E2353" s="54" t="n"/>
      <c r="F2353" s="54" t="n"/>
      <c r="G2353" s="65" t="n"/>
      <c r="H2353" s="54" t="n"/>
      <c r="I2353" s="106">
        <f>IF($C2353="","",IFERROR(INDEX(Sens_Types,MATCH($C2353,Liste_Types,0)),""))</f>
        <v/>
      </c>
      <c r="J2353" s="107">
        <f>IF($I2353="▲ ENTRÉE",$U2353,"")</f>
        <v/>
      </c>
      <c r="K2353" s="108">
        <f>IF($I2353="▼ SORTIE",$U2353,"")</f>
        <v/>
      </c>
      <c r="L2353" s="109">
        <f>$L2352+N($J2353)-N($K2353)</f>
        <v/>
      </c>
      <c r="M2353" s="110" t="n"/>
      <c r="N2353" s="54" t="n"/>
      <c r="O2353" s="54" t="n"/>
      <c r="P2353" s="54" t="n"/>
      <c r="Q2353" s="110" t="n"/>
      <c r="R2353" s="110" t="n"/>
      <c r="S2353" s="54" t="n"/>
      <c r="T2353" s="111">
        <f>IF($G2353="","",IFERROR(INDEX(Taux_Devises,MATCH(IF($M2353="",Devise_Base,$M2353),Codes_Devises,0)),1))</f>
        <v/>
      </c>
      <c r="U2353" s="112">
        <f>IF($G2353="","",ROUND($G2353*$T2353,2))</f>
        <v/>
      </c>
      <c r="V2353" s="113">
        <f>IF($B2353="","",MONTH($B2353))</f>
        <v/>
      </c>
      <c r="W2353" s="113">
        <f>IF($B2353="","",YEAR($B2353))</f>
        <v/>
      </c>
    </row>
    <row r="2354">
      <c r="B2354" s="105" t="n"/>
      <c r="C2354" s="54" t="n"/>
      <c r="D2354" s="54" t="n"/>
      <c r="E2354" s="54" t="n"/>
      <c r="F2354" s="54" t="n"/>
      <c r="G2354" s="65" t="n"/>
      <c r="H2354" s="54" t="n"/>
      <c r="I2354" s="106">
        <f>IF($C2354="","",IFERROR(INDEX(Sens_Types,MATCH($C2354,Liste_Types,0)),""))</f>
        <v/>
      </c>
      <c r="J2354" s="107">
        <f>IF($I2354="▲ ENTRÉE",$U2354,"")</f>
        <v/>
      </c>
      <c r="K2354" s="108">
        <f>IF($I2354="▼ SORTIE",$U2354,"")</f>
        <v/>
      </c>
      <c r="L2354" s="109">
        <f>$L2353+N($J2354)-N($K2354)</f>
        <v/>
      </c>
      <c r="M2354" s="110" t="n"/>
      <c r="N2354" s="54" t="n"/>
      <c r="O2354" s="54" t="n"/>
      <c r="P2354" s="54" t="n"/>
      <c r="Q2354" s="110" t="n"/>
      <c r="R2354" s="110" t="n"/>
      <c r="S2354" s="54" t="n"/>
      <c r="T2354" s="111">
        <f>IF($G2354="","",IFERROR(INDEX(Taux_Devises,MATCH(IF($M2354="",Devise_Base,$M2354),Codes_Devises,0)),1))</f>
        <v/>
      </c>
      <c r="U2354" s="112">
        <f>IF($G2354="","",ROUND($G2354*$T2354,2))</f>
        <v/>
      </c>
      <c r="V2354" s="113">
        <f>IF($B2354="","",MONTH($B2354))</f>
        <v/>
      </c>
      <c r="W2354" s="113">
        <f>IF($B2354="","",YEAR($B2354))</f>
        <v/>
      </c>
    </row>
    <row r="2355">
      <c r="B2355" s="105" t="n"/>
      <c r="C2355" s="54" t="n"/>
      <c r="D2355" s="54" t="n"/>
      <c r="E2355" s="54" t="n"/>
      <c r="F2355" s="54" t="n"/>
      <c r="G2355" s="65" t="n"/>
      <c r="H2355" s="54" t="n"/>
      <c r="I2355" s="106">
        <f>IF($C2355="","",IFERROR(INDEX(Sens_Types,MATCH($C2355,Liste_Types,0)),""))</f>
        <v/>
      </c>
      <c r="J2355" s="107">
        <f>IF($I2355="▲ ENTRÉE",$U2355,"")</f>
        <v/>
      </c>
      <c r="K2355" s="108">
        <f>IF($I2355="▼ SORTIE",$U2355,"")</f>
        <v/>
      </c>
      <c r="L2355" s="109">
        <f>$L2354+N($J2355)-N($K2355)</f>
        <v/>
      </c>
      <c r="M2355" s="110" t="n"/>
      <c r="N2355" s="54" t="n"/>
      <c r="O2355" s="54" t="n"/>
      <c r="P2355" s="54" t="n"/>
      <c r="Q2355" s="110" t="n"/>
      <c r="R2355" s="110" t="n"/>
      <c r="S2355" s="54" t="n"/>
      <c r="T2355" s="111">
        <f>IF($G2355="","",IFERROR(INDEX(Taux_Devises,MATCH(IF($M2355="",Devise_Base,$M2355),Codes_Devises,0)),1))</f>
        <v/>
      </c>
      <c r="U2355" s="112">
        <f>IF($G2355="","",ROUND($G2355*$T2355,2))</f>
        <v/>
      </c>
      <c r="V2355" s="113">
        <f>IF($B2355="","",MONTH($B2355))</f>
        <v/>
      </c>
      <c r="W2355" s="113">
        <f>IF($B2355="","",YEAR($B2355))</f>
        <v/>
      </c>
    </row>
    <row r="2356">
      <c r="B2356" s="105" t="n"/>
      <c r="C2356" s="54" t="n"/>
      <c r="D2356" s="54" t="n"/>
      <c r="E2356" s="54" t="n"/>
      <c r="F2356" s="54" t="n"/>
      <c r="G2356" s="65" t="n"/>
      <c r="H2356" s="54" t="n"/>
      <c r="I2356" s="106">
        <f>IF($C2356="","",IFERROR(INDEX(Sens_Types,MATCH($C2356,Liste_Types,0)),""))</f>
        <v/>
      </c>
      <c r="J2356" s="107">
        <f>IF($I2356="▲ ENTRÉE",$U2356,"")</f>
        <v/>
      </c>
      <c r="K2356" s="108">
        <f>IF($I2356="▼ SORTIE",$U2356,"")</f>
        <v/>
      </c>
      <c r="L2356" s="109">
        <f>$L2355+N($J2356)-N($K2356)</f>
        <v/>
      </c>
      <c r="M2356" s="110" t="n"/>
      <c r="N2356" s="54" t="n"/>
      <c r="O2356" s="54" t="n"/>
      <c r="P2356" s="54" t="n"/>
      <c r="Q2356" s="110" t="n"/>
      <c r="R2356" s="110" t="n"/>
      <c r="S2356" s="54" t="n"/>
      <c r="T2356" s="111">
        <f>IF($G2356="","",IFERROR(INDEX(Taux_Devises,MATCH(IF($M2356="",Devise_Base,$M2356),Codes_Devises,0)),1))</f>
        <v/>
      </c>
      <c r="U2356" s="112">
        <f>IF($G2356="","",ROUND($G2356*$T2356,2))</f>
        <v/>
      </c>
      <c r="V2356" s="113">
        <f>IF($B2356="","",MONTH($B2356))</f>
        <v/>
      </c>
      <c r="W2356" s="113">
        <f>IF($B2356="","",YEAR($B2356))</f>
        <v/>
      </c>
    </row>
    <row r="2357">
      <c r="B2357" s="105" t="n"/>
      <c r="C2357" s="54" t="n"/>
      <c r="D2357" s="54" t="n"/>
      <c r="E2357" s="54" t="n"/>
      <c r="F2357" s="54" t="n"/>
      <c r="G2357" s="65" t="n"/>
      <c r="H2357" s="54" t="n"/>
      <c r="I2357" s="106">
        <f>IF($C2357="","",IFERROR(INDEX(Sens_Types,MATCH($C2357,Liste_Types,0)),""))</f>
        <v/>
      </c>
      <c r="J2357" s="107">
        <f>IF($I2357="▲ ENTRÉE",$U2357,"")</f>
        <v/>
      </c>
      <c r="K2357" s="108">
        <f>IF($I2357="▼ SORTIE",$U2357,"")</f>
        <v/>
      </c>
      <c r="L2357" s="109">
        <f>$L2356+N($J2357)-N($K2357)</f>
        <v/>
      </c>
      <c r="M2357" s="110" t="n"/>
      <c r="N2357" s="54" t="n"/>
      <c r="O2357" s="54" t="n"/>
      <c r="P2357" s="54" t="n"/>
      <c r="Q2357" s="110" t="n"/>
      <c r="R2357" s="110" t="n"/>
      <c r="S2357" s="54" t="n"/>
      <c r="T2357" s="111">
        <f>IF($G2357="","",IFERROR(INDEX(Taux_Devises,MATCH(IF($M2357="",Devise_Base,$M2357),Codes_Devises,0)),1))</f>
        <v/>
      </c>
      <c r="U2357" s="112">
        <f>IF($G2357="","",ROUND($G2357*$T2357,2))</f>
        <v/>
      </c>
      <c r="V2357" s="113">
        <f>IF($B2357="","",MONTH($B2357))</f>
        <v/>
      </c>
      <c r="W2357" s="113">
        <f>IF($B2357="","",YEAR($B2357))</f>
        <v/>
      </c>
    </row>
    <row r="2358">
      <c r="B2358" s="105" t="n"/>
      <c r="C2358" s="54" t="n"/>
      <c r="D2358" s="54" t="n"/>
      <c r="E2358" s="54" t="n"/>
      <c r="F2358" s="54" t="n"/>
      <c r="G2358" s="65" t="n"/>
      <c r="H2358" s="54" t="n"/>
      <c r="I2358" s="106">
        <f>IF($C2358="","",IFERROR(INDEX(Sens_Types,MATCH($C2358,Liste_Types,0)),""))</f>
        <v/>
      </c>
      <c r="J2358" s="107">
        <f>IF($I2358="▲ ENTRÉE",$U2358,"")</f>
        <v/>
      </c>
      <c r="K2358" s="108">
        <f>IF($I2358="▼ SORTIE",$U2358,"")</f>
        <v/>
      </c>
      <c r="L2358" s="109">
        <f>$L2357+N($J2358)-N($K2358)</f>
        <v/>
      </c>
      <c r="M2358" s="110" t="n"/>
      <c r="N2358" s="54" t="n"/>
      <c r="O2358" s="54" t="n"/>
      <c r="P2358" s="54" t="n"/>
      <c r="Q2358" s="110" t="n"/>
      <c r="R2358" s="110" t="n"/>
      <c r="S2358" s="54" t="n"/>
      <c r="T2358" s="111">
        <f>IF($G2358="","",IFERROR(INDEX(Taux_Devises,MATCH(IF($M2358="",Devise_Base,$M2358),Codes_Devises,0)),1))</f>
        <v/>
      </c>
      <c r="U2358" s="112">
        <f>IF($G2358="","",ROUND($G2358*$T2358,2))</f>
        <v/>
      </c>
      <c r="V2358" s="113">
        <f>IF($B2358="","",MONTH($B2358))</f>
        <v/>
      </c>
      <c r="W2358" s="113">
        <f>IF($B2358="","",YEAR($B2358))</f>
        <v/>
      </c>
    </row>
    <row r="2359">
      <c r="B2359" s="105" t="n"/>
      <c r="C2359" s="54" t="n"/>
      <c r="D2359" s="54" t="n"/>
      <c r="E2359" s="54" t="n"/>
      <c r="F2359" s="54" t="n"/>
      <c r="G2359" s="65" t="n"/>
      <c r="H2359" s="54" t="n"/>
      <c r="I2359" s="106">
        <f>IF($C2359="","",IFERROR(INDEX(Sens_Types,MATCH($C2359,Liste_Types,0)),""))</f>
        <v/>
      </c>
      <c r="J2359" s="107">
        <f>IF($I2359="▲ ENTRÉE",$U2359,"")</f>
        <v/>
      </c>
      <c r="K2359" s="108">
        <f>IF($I2359="▼ SORTIE",$U2359,"")</f>
        <v/>
      </c>
      <c r="L2359" s="109">
        <f>$L2358+N($J2359)-N($K2359)</f>
        <v/>
      </c>
      <c r="M2359" s="110" t="n"/>
      <c r="N2359" s="54" t="n"/>
      <c r="O2359" s="54" t="n"/>
      <c r="P2359" s="54" t="n"/>
      <c r="Q2359" s="110" t="n"/>
      <c r="R2359" s="110" t="n"/>
      <c r="S2359" s="54" t="n"/>
      <c r="T2359" s="111">
        <f>IF($G2359="","",IFERROR(INDEX(Taux_Devises,MATCH(IF($M2359="",Devise_Base,$M2359),Codes_Devises,0)),1))</f>
        <v/>
      </c>
      <c r="U2359" s="112">
        <f>IF($G2359="","",ROUND($G2359*$T2359,2))</f>
        <v/>
      </c>
      <c r="V2359" s="113">
        <f>IF($B2359="","",MONTH($B2359))</f>
        <v/>
      </c>
      <c r="W2359" s="113">
        <f>IF($B2359="","",YEAR($B2359))</f>
        <v/>
      </c>
    </row>
    <row r="2360">
      <c r="B2360" s="105" t="n"/>
      <c r="C2360" s="54" t="n"/>
      <c r="D2360" s="54" t="n"/>
      <c r="E2360" s="54" t="n"/>
      <c r="F2360" s="54" t="n"/>
      <c r="G2360" s="65" t="n"/>
      <c r="H2360" s="54" t="n"/>
      <c r="I2360" s="106">
        <f>IF($C2360="","",IFERROR(INDEX(Sens_Types,MATCH($C2360,Liste_Types,0)),""))</f>
        <v/>
      </c>
      <c r="J2360" s="107">
        <f>IF($I2360="▲ ENTRÉE",$U2360,"")</f>
        <v/>
      </c>
      <c r="K2360" s="108">
        <f>IF($I2360="▼ SORTIE",$U2360,"")</f>
        <v/>
      </c>
      <c r="L2360" s="109">
        <f>$L2359+N($J2360)-N($K2360)</f>
        <v/>
      </c>
      <c r="M2360" s="110" t="n"/>
      <c r="N2360" s="54" t="n"/>
      <c r="O2360" s="54" t="n"/>
      <c r="P2360" s="54" t="n"/>
      <c r="Q2360" s="110" t="n"/>
      <c r="R2360" s="110" t="n"/>
      <c r="S2360" s="54" t="n"/>
      <c r="T2360" s="111">
        <f>IF($G2360="","",IFERROR(INDEX(Taux_Devises,MATCH(IF($M2360="",Devise_Base,$M2360),Codes_Devises,0)),1))</f>
        <v/>
      </c>
      <c r="U2360" s="112">
        <f>IF($G2360="","",ROUND($G2360*$T2360,2))</f>
        <v/>
      </c>
      <c r="V2360" s="113">
        <f>IF($B2360="","",MONTH($B2360))</f>
        <v/>
      </c>
      <c r="W2360" s="113">
        <f>IF($B2360="","",YEAR($B2360))</f>
        <v/>
      </c>
    </row>
    <row r="2361">
      <c r="B2361" s="105" t="n"/>
      <c r="C2361" s="54" t="n"/>
      <c r="D2361" s="54" t="n"/>
      <c r="E2361" s="54" t="n"/>
      <c r="F2361" s="54" t="n"/>
      <c r="G2361" s="65" t="n"/>
      <c r="H2361" s="54" t="n"/>
      <c r="I2361" s="106">
        <f>IF($C2361="","",IFERROR(INDEX(Sens_Types,MATCH($C2361,Liste_Types,0)),""))</f>
        <v/>
      </c>
      <c r="J2361" s="107">
        <f>IF($I2361="▲ ENTRÉE",$U2361,"")</f>
        <v/>
      </c>
      <c r="K2361" s="108">
        <f>IF($I2361="▼ SORTIE",$U2361,"")</f>
        <v/>
      </c>
      <c r="L2361" s="109">
        <f>$L2360+N($J2361)-N($K2361)</f>
        <v/>
      </c>
      <c r="M2361" s="110" t="n"/>
      <c r="N2361" s="54" t="n"/>
      <c r="O2361" s="54" t="n"/>
      <c r="P2361" s="54" t="n"/>
      <c r="Q2361" s="110" t="n"/>
      <c r="R2361" s="110" t="n"/>
      <c r="S2361" s="54" t="n"/>
      <c r="T2361" s="111">
        <f>IF($G2361="","",IFERROR(INDEX(Taux_Devises,MATCH(IF($M2361="",Devise_Base,$M2361),Codes_Devises,0)),1))</f>
        <v/>
      </c>
      <c r="U2361" s="112">
        <f>IF($G2361="","",ROUND($G2361*$T2361,2))</f>
        <v/>
      </c>
      <c r="V2361" s="113">
        <f>IF($B2361="","",MONTH($B2361))</f>
        <v/>
      </c>
      <c r="W2361" s="113">
        <f>IF($B2361="","",YEAR($B2361))</f>
        <v/>
      </c>
    </row>
    <row r="2362">
      <c r="B2362" s="105" t="n"/>
      <c r="C2362" s="54" t="n"/>
      <c r="D2362" s="54" t="n"/>
      <c r="E2362" s="54" t="n"/>
      <c r="F2362" s="54" t="n"/>
      <c r="G2362" s="65" t="n"/>
      <c r="H2362" s="54" t="n"/>
      <c r="I2362" s="106">
        <f>IF($C2362="","",IFERROR(INDEX(Sens_Types,MATCH($C2362,Liste_Types,0)),""))</f>
        <v/>
      </c>
      <c r="J2362" s="107">
        <f>IF($I2362="▲ ENTRÉE",$U2362,"")</f>
        <v/>
      </c>
      <c r="K2362" s="108">
        <f>IF($I2362="▼ SORTIE",$U2362,"")</f>
        <v/>
      </c>
      <c r="L2362" s="109">
        <f>$L2361+N($J2362)-N($K2362)</f>
        <v/>
      </c>
      <c r="M2362" s="110" t="n"/>
      <c r="N2362" s="54" t="n"/>
      <c r="O2362" s="54" t="n"/>
      <c r="P2362" s="54" t="n"/>
      <c r="Q2362" s="110" t="n"/>
      <c r="R2362" s="110" t="n"/>
      <c r="S2362" s="54" t="n"/>
      <c r="T2362" s="111">
        <f>IF($G2362="","",IFERROR(INDEX(Taux_Devises,MATCH(IF($M2362="",Devise_Base,$M2362),Codes_Devises,0)),1))</f>
        <v/>
      </c>
      <c r="U2362" s="112">
        <f>IF($G2362="","",ROUND($G2362*$T2362,2))</f>
        <v/>
      </c>
      <c r="V2362" s="113">
        <f>IF($B2362="","",MONTH($B2362))</f>
        <v/>
      </c>
      <c r="W2362" s="113">
        <f>IF($B2362="","",YEAR($B2362))</f>
        <v/>
      </c>
    </row>
    <row r="2363">
      <c r="B2363" s="105" t="n"/>
      <c r="C2363" s="54" t="n"/>
      <c r="D2363" s="54" t="n"/>
      <c r="E2363" s="54" t="n"/>
      <c r="F2363" s="54" t="n"/>
      <c r="G2363" s="65" t="n"/>
      <c r="H2363" s="54" t="n"/>
      <c r="I2363" s="106">
        <f>IF($C2363="","",IFERROR(INDEX(Sens_Types,MATCH($C2363,Liste_Types,0)),""))</f>
        <v/>
      </c>
      <c r="J2363" s="107">
        <f>IF($I2363="▲ ENTRÉE",$U2363,"")</f>
        <v/>
      </c>
      <c r="K2363" s="108">
        <f>IF($I2363="▼ SORTIE",$U2363,"")</f>
        <v/>
      </c>
      <c r="L2363" s="109">
        <f>$L2362+N($J2363)-N($K2363)</f>
        <v/>
      </c>
      <c r="M2363" s="110" t="n"/>
      <c r="N2363" s="54" t="n"/>
      <c r="O2363" s="54" t="n"/>
      <c r="P2363" s="54" t="n"/>
      <c r="Q2363" s="110" t="n"/>
      <c r="R2363" s="110" t="n"/>
      <c r="S2363" s="54" t="n"/>
      <c r="T2363" s="111">
        <f>IF($G2363="","",IFERROR(INDEX(Taux_Devises,MATCH(IF($M2363="",Devise_Base,$M2363),Codes_Devises,0)),1))</f>
        <v/>
      </c>
      <c r="U2363" s="112">
        <f>IF($G2363="","",ROUND($G2363*$T2363,2))</f>
        <v/>
      </c>
      <c r="V2363" s="113">
        <f>IF($B2363="","",MONTH($B2363))</f>
        <v/>
      </c>
      <c r="W2363" s="113">
        <f>IF($B2363="","",YEAR($B2363))</f>
        <v/>
      </c>
    </row>
    <row r="2364">
      <c r="B2364" s="105" t="n"/>
      <c r="C2364" s="54" t="n"/>
      <c r="D2364" s="54" t="n"/>
      <c r="E2364" s="54" t="n"/>
      <c r="F2364" s="54" t="n"/>
      <c r="G2364" s="65" t="n"/>
      <c r="H2364" s="54" t="n"/>
      <c r="I2364" s="106">
        <f>IF($C2364="","",IFERROR(INDEX(Sens_Types,MATCH($C2364,Liste_Types,0)),""))</f>
        <v/>
      </c>
      <c r="J2364" s="107">
        <f>IF($I2364="▲ ENTRÉE",$U2364,"")</f>
        <v/>
      </c>
      <c r="K2364" s="108">
        <f>IF($I2364="▼ SORTIE",$U2364,"")</f>
        <v/>
      </c>
      <c r="L2364" s="109">
        <f>$L2363+N($J2364)-N($K2364)</f>
        <v/>
      </c>
      <c r="M2364" s="110" t="n"/>
      <c r="N2364" s="54" t="n"/>
      <c r="O2364" s="54" t="n"/>
      <c r="P2364" s="54" t="n"/>
      <c r="Q2364" s="110" t="n"/>
      <c r="R2364" s="110" t="n"/>
      <c r="S2364" s="54" t="n"/>
      <c r="T2364" s="111">
        <f>IF($G2364="","",IFERROR(INDEX(Taux_Devises,MATCH(IF($M2364="",Devise_Base,$M2364),Codes_Devises,0)),1))</f>
        <v/>
      </c>
      <c r="U2364" s="112">
        <f>IF($G2364="","",ROUND($G2364*$T2364,2))</f>
        <v/>
      </c>
      <c r="V2364" s="113">
        <f>IF($B2364="","",MONTH($B2364))</f>
        <v/>
      </c>
      <c r="W2364" s="113">
        <f>IF($B2364="","",YEAR($B2364))</f>
        <v/>
      </c>
    </row>
    <row r="2365">
      <c r="B2365" s="105" t="n"/>
      <c r="C2365" s="54" t="n"/>
      <c r="D2365" s="54" t="n"/>
      <c r="E2365" s="54" t="n"/>
      <c r="F2365" s="54" t="n"/>
      <c r="G2365" s="65" t="n"/>
      <c r="H2365" s="54" t="n"/>
      <c r="I2365" s="106">
        <f>IF($C2365="","",IFERROR(INDEX(Sens_Types,MATCH($C2365,Liste_Types,0)),""))</f>
        <v/>
      </c>
      <c r="J2365" s="107">
        <f>IF($I2365="▲ ENTRÉE",$U2365,"")</f>
        <v/>
      </c>
      <c r="K2365" s="108">
        <f>IF($I2365="▼ SORTIE",$U2365,"")</f>
        <v/>
      </c>
      <c r="L2365" s="109">
        <f>$L2364+N($J2365)-N($K2365)</f>
        <v/>
      </c>
      <c r="M2365" s="110" t="n"/>
      <c r="N2365" s="54" t="n"/>
      <c r="O2365" s="54" t="n"/>
      <c r="P2365" s="54" t="n"/>
      <c r="Q2365" s="110" t="n"/>
      <c r="R2365" s="110" t="n"/>
      <c r="S2365" s="54" t="n"/>
      <c r="T2365" s="111">
        <f>IF($G2365="","",IFERROR(INDEX(Taux_Devises,MATCH(IF($M2365="",Devise_Base,$M2365),Codes_Devises,0)),1))</f>
        <v/>
      </c>
      <c r="U2365" s="112">
        <f>IF($G2365="","",ROUND($G2365*$T2365,2))</f>
        <v/>
      </c>
      <c r="V2365" s="113">
        <f>IF($B2365="","",MONTH($B2365))</f>
        <v/>
      </c>
      <c r="W2365" s="113">
        <f>IF($B2365="","",YEAR($B2365))</f>
        <v/>
      </c>
    </row>
    <row r="2366">
      <c r="B2366" s="105" t="n"/>
      <c r="C2366" s="54" t="n"/>
      <c r="D2366" s="54" t="n"/>
      <c r="E2366" s="54" t="n"/>
      <c r="F2366" s="54" t="n"/>
      <c r="G2366" s="65" t="n"/>
      <c r="H2366" s="54" t="n"/>
      <c r="I2366" s="106">
        <f>IF($C2366="","",IFERROR(INDEX(Sens_Types,MATCH($C2366,Liste_Types,0)),""))</f>
        <v/>
      </c>
      <c r="J2366" s="107">
        <f>IF($I2366="▲ ENTRÉE",$U2366,"")</f>
        <v/>
      </c>
      <c r="K2366" s="108">
        <f>IF($I2366="▼ SORTIE",$U2366,"")</f>
        <v/>
      </c>
      <c r="L2366" s="109">
        <f>$L2365+N($J2366)-N($K2366)</f>
        <v/>
      </c>
      <c r="M2366" s="110" t="n"/>
      <c r="N2366" s="54" t="n"/>
      <c r="O2366" s="54" t="n"/>
      <c r="P2366" s="54" t="n"/>
      <c r="Q2366" s="110" t="n"/>
      <c r="R2366" s="110" t="n"/>
      <c r="S2366" s="54" t="n"/>
      <c r="T2366" s="111">
        <f>IF($G2366="","",IFERROR(INDEX(Taux_Devises,MATCH(IF($M2366="",Devise_Base,$M2366),Codes_Devises,0)),1))</f>
        <v/>
      </c>
      <c r="U2366" s="112">
        <f>IF($G2366="","",ROUND($G2366*$T2366,2))</f>
        <v/>
      </c>
      <c r="V2366" s="113">
        <f>IF($B2366="","",MONTH($B2366))</f>
        <v/>
      </c>
      <c r="W2366" s="113">
        <f>IF($B2366="","",YEAR($B2366))</f>
        <v/>
      </c>
    </row>
    <row r="2367">
      <c r="B2367" s="105" t="n"/>
      <c r="C2367" s="54" t="n"/>
      <c r="D2367" s="54" t="n"/>
      <c r="E2367" s="54" t="n"/>
      <c r="F2367" s="54" t="n"/>
      <c r="G2367" s="65" t="n"/>
      <c r="H2367" s="54" t="n"/>
      <c r="I2367" s="106">
        <f>IF($C2367="","",IFERROR(INDEX(Sens_Types,MATCH($C2367,Liste_Types,0)),""))</f>
        <v/>
      </c>
      <c r="J2367" s="107">
        <f>IF($I2367="▲ ENTRÉE",$U2367,"")</f>
        <v/>
      </c>
      <c r="K2367" s="108">
        <f>IF($I2367="▼ SORTIE",$U2367,"")</f>
        <v/>
      </c>
      <c r="L2367" s="109">
        <f>$L2366+N($J2367)-N($K2367)</f>
        <v/>
      </c>
      <c r="M2367" s="110" t="n"/>
      <c r="N2367" s="54" t="n"/>
      <c r="O2367" s="54" t="n"/>
      <c r="P2367" s="54" t="n"/>
      <c r="Q2367" s="110" t="n"/>
      <c r="R2367" s="110" t="n"/>
      <c r="S2367" s="54" t="n"/>
      <c r="T2367" s="111">
        <f>IF($G2367="","",IFERROR(INDEX(Taux_Devises,MATCH(IF($M2367="",Devise_Base,$M2367),Codes_Devises,0)),1))</f>
        <v/>
      </c>
      <c r="U2367" s="112">
        <f>IF($G2367="","",ROUND($G2367*$T2367,2))</f>
        <v/>
      </c>
      <c r="V2367" s="113">
        <f>IF($B2367="","",MONTH($B2367))</f>
        <v/>
      </c>
      <c r="W2367" s="113">
        <f>IF($B2367="","",YEAR($B2367))</f>
        <v/>
      </c>
    </row>
    <row r="2368">
      <c r="B2368" s="105" t="n"/>
      <c r="C2368" s="54" t="n"/>
      <c r="D2368" s="54" t="n"/>
      <c r="E2368" s="54" t="n"/>
      <c r="F2368" s="54" t="n"/>
      <c r="G2368" s="65" t="n"/>
      <c r="H2368" s="54" t="n"/>
      <c r="I2368" s="106">
        <f>IF($C2368="","",IFERROR(INDEX(Sens_Types,MATCH($C2368,Liste_Types,0)),""))</f>
        <v/>
      </c>
      <c r="J2368" s="107">
        <f>IF($I2368="▲ ENTRÉE",$U2368,"")</f>
        <v/>
      </c>
      <c r="K2368" s="108">
        <f>IF($I2368="▼ SORTIE",$U2368,"")</f>
        <v/>
      </c>
      <c r="L2368" s="109">
        <f>$L2367+N($J2368)-N($K2368)</f>
        <v/>
      </c>
      <c r="M2368" s="110" t="n"/>
      <c r="N2368" s="54" t="n"/>
      <c r="O2368" s="54" t="n"/>
      <c r="P2368" s="54" t="n"/>
      <c r="Q2368" s="110" t="n"/>
      <c r="R2368" s="110" t="n"/>
      <c r="S2368" s="54" t="n"/>
      <c r="T2368" s="111">
        <f>IF($G2368="","",IFERROR(INDEX(Taux_Devises,MATCH(IF($M2368="",Devise_Base,$M2368),Codes_Devises,0)),1))</f>
        <v/>
      </c>
      <c r="U2368" s="112">
        <f>IF($G2368="","",ROUND($G2368*$T2368,2))</f>
        <v/>
      </c>
      <c r="V2368" s="113">
        <f>IF($B2368="","",MONTH($B2368))</f>
        <v/>
      </c>
      <c r="W2368" s="113">
        <f>IF($B2368="","",YEAR($B2368))</f>
        <v/>
      </c>
    </row>
    <row r="2369">
      <c r="B2369" s="105" t="n"/>
      <c r="C2369" s="54" t="n"/>
      <c r="D2369" s="54" t="n"/>
      <c r="E2369" s="54" t="n"/>
      <c r="F2369" s="54" t="n"/>
      <c r="G2369" s="65" t="n"/>
      <c r="H2369" s="54" t="n"/>
      <c r="I2369" s="106">
        <f>IF($C2369="","",IFERROR(INDEX(Sens_Types,MATCH($C2369,Liste_Types,0)),""))</f>
        <v/>
      </c>
      <c r="J2369" s="107">
        <f>IF($I2369="▲ ENTRÉE",$U2369,"")</f>
        <v/>
      </c>
      <c r="K2369" s="108">
        <f>IF($I2369="▼ SORTIE",$U2369,"")</f>
        <v/>
      </c>
      <c r="L2369" s="109">
        <f>$L2368+N($J2369)-N($K2369)</f>
        <v/>
      </c>
      <c r="M2369" s="110" t="n"/>
      <c r="N2369" s="54" t="n"/>
      <c r="O2369" s="54" t="n"/>
      <c r="P2369" s="54" t="n"/>
      <c r="Q2369" s="110" t="n"/>
      <c r="R2369" s="110" t="n"/>
      <c r="S2369" s="54" t="n"/>
      <c r="T2369" s="111">
        <f>IF($G2369="","",IFERROR(INDEX(Taux_Devises,MATCH(IF($M2369="",Devise_Base,$M2369),Codes_Devises,0)),1))</f>
        <v/>
      </c>
      <c r="U2369" s="112">
        <f>IF($G2369="","",ROUND($G2369*$T2369,2))</f>
        <v/>
      </c>
      <c r="V2369" s="113">
        <f>IF($B2369="","",MONTH($B2369))</f>
        <v/>
      </c>
      <c r="W2369" s="113">
        <f>IF($B2369="","",YEAR($B2369))</f>
        <v/>
      </c>
    </row>
    <row r="2370">
      <c r="B2370" s="105" t="n"/>
      <c r="C2370" s="54" t="n"/>
      <c r="D2370" s="54" t="n"/>
      <c r="E2370" s="54" t="n"/>
      <c r="F2370" s="54" t="n"/>
      <c r="G2370" s="65" t="n"/>
      <c r="H2370" s="54" t="n"/>
      <c r="I2370" s="106">
        <f>IF($C2370="","",IFERROR(INDEX(Sens_Types,MATCH($C2370,Liste_Types,0)),""))</f>
        <v/>
      </c>
      <c r="J2370" s="107">
        <f>IF($I2370="▲ ENTRÉE",$U2370,"")</f>
        <v/>
      </c>
      <c r="K2370" s="108">
        <f>IF($I2370="▼ SORTIE",$U2370,"")</f>
        <v/>
      </c>
      <c r="L2370" s="109">
        <f>$L2369+N($J2370)-N($K2370)</f>
        <v/>
      </c>
      <c r="M2370" s="110" t="n"/>
      <c r="N2370" s="54" t="n"/>
      <c r="O2370" s="54" t="n"/>
      <c r="P2370" s="54" t="n"/>
      <c r="Q2370" s="110" t="n"/>
      <c r="R2370" s="110" t="n"/>
      <c r="S2370" s="54" t="n"/>
      <c r="T2370" s="111">
        <f>IF($G2370="","",IFERROR(INDEX(Taux_Devises,MATCH(IF($M2370="",Devise_Base,$M2370),Codes_Devises,0)),1))</f>
        <v/>
      </c>
      <c r="U2370" s="112">
        <f>IF($G2370="","",ROUND($G2370*$T2370,2))</f>
        <v/>
      </c>
      <c r="V2370" s="113">
        <f>IF($B2370="","",MONTH($B2370))</f>
        <v/>
      </c>
      <c r="W2370" s="113">
        <f>IF($B2370="","",YEAR($B2370))</f>
        <v/>
      </c>
    </row>
    <row r="2371">
      <c r="B2371" s="105" t="n"/>
      <c r="C2371" s="54" t="n"/>
      <c r="D2371" s="54" t="n"/>
      <c r="E2371" s="54" t="n"/>
      <c r="F2371" s="54" t="n"/>
      <c r="G2371" s="65" t="n"/>
      <c r="H2371" s="54" t="n"/>
      <c r="I2371" s="106">
        <f>IF($C2371="","",IFERROR(INDEX(Sens_Types,MATCH($C2371,Liste_Types,0)),""))</f>
        <v/>
      </c>
      <c r="J2371" s="107">
        <f>IF($I2371="▲ ENTRÉE",$U2371,"")</f>
        <v/>
      </c>
      <c r="K2371" s="108">
        <f>IF($I2371="▼ SORTIE",$U2371,"")</f>
        <v/>
      </c>
      <c r="L2371" s="109">
        <f>$L2370+N($J2371)-N($K2371)</f>
        <v/>
      </c>
      <c r="M2371" s="110" t="n"/>
      <c r="N2371" s="54" t="n"/>
      <c r="O2371" s="54" t="n"/>
      <c r="P2371" s="54" t="n"/>
      <c r="Q2371" s="110" t="n"/>
      <c r="R2371" s="110" t="n"/>
      <c r="S2371" s="54" t="n"/>
      <c r="T2371" s="111">
        <f>IF($G2371="","",IFERROR(INDEX(Taux_Devises,MATCH(IF($M2371="",Devise_Base,$M2371),Codes_Devises,0)),1))</f>
        <v/>
      </c>
      <c r="U2371" s="112">
        <f>IF($G2371="","",ROUND($G2371*$T2371,2))</f>
        <v/>
      </c>
      <c r="V2371" s="113">
        <f>IF($B2371="","",MONTH($B2371))</f>
        <v/>
      </c>
      <c r="W2371" s="113">
        <f>IF($B2371="","",YEAR($B2371))</f>
        <v/>
      </c>
    </row>
    <row r="2372">
      <c r="B2372" s="105" t="n"/>
      <c r="C2372" s="54" t="n"/>
      <c r="D2372" s="54" t="n"/>
      <c r="E2372" s="54" t="n"/>
      <c r="F2372" s="54" t="n"/>
      <c r="G2372" s="65" t="n"/>
      <c r="H2372" s="54" t="n"/>
      <c r="I2372" s="106">
        <f>IF($C2372="","",IFERROR(INDEX(Sens_Types,MATCH($C2372,Liste_Types,0)),""))</f>
        <v/>
      </c>
      <c r="J2372" s="107">
        <f>IF($I2372="▲ ENTRÉE",$U2372,"")</f>
        <v/>
      </c>
      <c r="K2372" s="108">
        <f>IF($I2372="▼ SORTIE",$U2372,"")</f>
        <v/>
      </c>
      <c r="L2372" s="109">
        <f>$L2371+N($J2372)-N($K2372)</f>
        <v/>
      </c>
      <c r="M2372" s="110" t="n"/>
      <c r="N2372" s="54" t="n"/>
      <c r="O2372" s="54" t="n"/>
      <c r="P2372" s="54" t="n"/>
      <c r="Q2372" s="110" t="n"/>
      <c r="R2372" s="110" t="n"/>
      <c r="S2372" s="54" t="n"/>
      <c r="T2372" s="111">
        <f>IF($G2372="","",IFERROR(INDEX(Taux_Devises,MATCH(IF($M2372="",Devise_Base,$M2372),Codes_Devises,0)),1))</f>
        <v/>
      </c>
      <c r="U2372" s="112">
        <f>IF($G2372="","",ROUND($G2372*$T2372,2))</f>
        <v/>
      </c>
      <c r="V2372" s="113">
        <f>IF($B2372="","",MONTH($B2372))</f>
        <v/>
      </c>
      <c r="W2372" s="113">
        <f>IF($B2372="","",YEAR($B2372))</f>
        <v/>
      </c>
    </row>
    <row r="2373">
      <c r="B2373" s="105" t="n"/>
      <c r="C2373" s="54" t="n"/>
      <c r="D2373" s="54" t="n"/>
      <c r="E2373" s="54" t="n"/>
      <c r="F2373" s="54" t="n"/>
      <c r="G2373" s="65" t="n"/>
      <c r="H2373" s="54" t="n"/>
      <c r="I2373" s="106">
        <f>IF($C2373="","",IFERROR(INDEX(Sens_Types,MATCH($C2373,Liste_Types,0)),""))</f>
        <v/>
      </c>
      <c r="J2373" s="107">
        <f>IF($I2373="▲ ENTRÉE",$U2373,"")</f>
        <v/>
      </c>
      <c r="K2373" s="108">
        <f>IF($I2373="▼ SORTIE",$U2373,"")</f>
        <v/>
      </c>
      <c r="L2373" s="109">
        <f>$L2372+N($J2373)-N($K2373)</f>
        <v/>
      </c>
      <c r="M2373" s="110" t="n"/>
      <c r="N2373" s="54" t="n"/>
      <c r="O2373" s="54" t="n"/>
      <c r="P2373" s="54" t="n"/>
      <c r="Q2373" s="110" t="n"/>
      <c r="R2373" s="110" t="n"/>
      <c r="S2373" s="54" t="n"/>
      <c r="T2373" s="111">
        <f>IF($G2373="","",IFERROR(INDEX(Taux_Devises,MATCH(IF($M2373="",Devise_Base,$M2373),Codes_Devises,0)),1))</f>
        <v/>
      </c>
      <c r="U2373" s="112">
        <f>IF($G2373="","",ROUND($G2373*$T2373,2))</f>
        <v/>
      </c>
      <c r="V2373" s="113">
        <f>IF($B2373="","",MONTH($B2373))</f>
        <v/>
      </c>
      <c r="W2373" s="113">
        <f>IF($B2373="","",YEAR($B2373))</f>
        <v/>
      </c>
    </row>
    <row r="2374">
      <c r="B2374" s="105" t="n"/>
      <c r="C2374" s="54" t="n"/>
      <c r="D2374" s="54" t="n"/>
      <c r="E2374" s="54" t="n"/>
      <c r="F2374" s="54" t="n"/>
      <c r="G2374" s="65" t="n"/>
      <c r="H2374" s="54" t="n"/>
      <c r="I2374" s="106">
        <f>IF($C2374="","",IFERROR(INDEX(Sens_Types,MATCH($C2374,Liste_Types,0)),""))</f>
        <v/>
      </c>
      <c r="J2374" s="107">
        <f>IF($I2374="▲ ENTRÉE",$U2374,"")</f>
        <v/>
      </c>
      <c r="K2374" s="108">
        <f>IF($I2374="▼ SORTIE",$U2374,"")</f>
        <v/>
      </c>
      <c r="L2374" s="109">
        <f>$L2373+N($J2374)-N($K2374)</f>
        <v/>
      </c>
      <c r="M2374" s="110" t="n"/>
      <c r="N2374" s="54" t="n"/>
      <c r="O2374" s="54" t="n"/>
      <c r="P2374" s="54" t="n"/>
      <c r="Q2374" s="110" t="n"/>
      <c r="R2374" s="110" t="n"/>
      <c r="S2374" s="54" t="n"/>
      <c r="T2374" s="111">
        <f>IF($G2374="","",IFERROR(INDEX(Taux_Devises,MATCH(IF($M2374="",Devise_Base,$M2374),Codes_Devises,0)),1))</f>
        <v/>
      </c>
      <c r="U2374" s="112">
        <f>IF($G2374="","",ROUND($G2374*$T2374,2))</f>
        <v/>
      </c>
      <c r="V2374" s="113">
        <f>IF($B2374="","",MONTH($B2374))</f>
        <v/>
      </c>
      <c r="W2374" s="113">
        <f>IF($B2374="","",YEAR($B2374))</f>
        <v/>
      </c>
    </row>
    <row r="2375">
      <c r="B2375" s="105" t="n"/>
      <c r="C2375" s="54" t="n"/>
      <c r="D2375" s="54" t="n"/>
      <c r="E2375" s="54" t="n"/>
      <c r="F2375" s="54" t="n"/>
      <c r="G2375" s="65" t="n"/>
      <c r="H2375" s="54" t="n"/>
      <c r="I2375" s="106">
        <f>IF($C2375="","",IFERROR(INDEX(Sens_Types,MATCH($C2375,Liste_Types,0)),""))</f>
        <v/>
      </c>
      <c r="J2375" s="107">
        <f>IF($I2375="▲ ENTRÉE",$U2375,"")</f>
        <v/>
      </c>
      <c r="K2375" s="108">
        <f>IF($I2375="▼ SORTIE",$U2375,"")</f>
        <v/>
      </c>
      <c r="L2375" s="109">
        <f>$L2374+N($J2375)-N($K2375)</f>
        <v/>
      </c>
      <c r="M2375" s="110" t="n"/>
      <c r="N2375" s="54" t="n"/>
      <c r="O2375" s="54" t="n"/>
      <c r="P2375" s="54" t="n"/>
      <c r="Q2375" s="110" t="n"/>
      <c r="R2375" s="110" t="n"/>
      <c r="S2375" s="54" t="n"/>
      <c r="T2375" s="111">
        <f>IF($G2375="","",IFERROR(INDEX(Taux_Devises,MATCH(IF($M2375="",Devise_Base,$M2375),Codes_Devises,0)),1))</f>
        <v/>
      </c>
      <c r="U2375" s="112">
        <f>IF($G2375="","",ROUND($G2375*$T2375,2))</f>
        <v/>
      </c>
      <c r="V2375" s="113">
        <f>IF($B2375="","",MONTH($B2375))</f>
        <v/>
      </c>
      <c r="W2375" s="113">
        <f>IF($B2375="","",YEAR($B2375))</f>
        <v/>
      </c>
    </row>
    <row r="2376">
      <c r="B2376" s="105" t="n"/>
      <c r="C2376" s="54" t="n"/>
      <c r="D2376" s="54" t="n"/>
      <c r="E2376" s="54" t="n"/>
      <c r="F2376" s="54" t="n"/>
      <c r="G2376" s="65" t="n"/>
      <c r="H2376" s="54" t="n"/>
      <c r="I2376" s="106">
        <f>IF($C2376="","",IFERROR(INDEX(Sens_Types,MATCH($C2376,Liste_Types,0)),""))</f>
        <v/>
      </c>
      <c r="J2376" s="107">
        <f>IF($I2376="▲ ENTRÉE",$U2376,"")</f>
        <v/>
      </c>
      <c r="K2376" s="108">
        <f>IF($I2376="▼ SORTIE",$U2376,"")</f>
        <v/>
      </c>
      <c r="L2376" s="109">
        <f>$L2375+N($J2376)-N($K2376)</f>
        <v/>
      </c>
      <c r="M2376" s="110" t="n"/>
      <c r="N2376" s="54" t="n"/>
      <c r="O2376" s="54" t="n"/>
      <c r="P2376" s="54" t="n"/>
      <c r="Q2376" s="110" t="n"/>
      <c r="R2376" s="110" t="n"/>
      <c r="S2376" s="54" t="n"/>
      <c r="T2376" s="111">
        <f>IF($G2376="","",IFERROR(INDEX(Taux_Devises,MATCH(IF($M2376="",Devise_Base,$M2376),Codes_Devises,0)),1))</f>
        <v/>
      </c>
      <c r="U2376" s="112">
        <f>IF($G2376="","",ROUND($G2376*$T2376,2))</f>
        <v/>
      </c>
      <c r="V2376" s="113">
        <f>IF($B2376="","",MONTH($B2376))</f>
        <v/>
      </c>
      <c r="W2376" s="113">
        <f>IF($B2376="","",YEAR($B2376))</f>
        <v/>
      </c>
    </row>
    <row r="2377">
      <c r="B2377" s="105" t="n"/>
      <c r="C2377" s="54" t="n"/>
      <c r="D2377" s="54" t="n"/>
      <c r="E2377" s="54" t="n"/>
      <c r="F2377" s="54" t="n"/>
      <c r="G2377" s="65" t="n"/>
      <c r="H2377" s="54" t="n"/>
      <c r="I2377" s="106">
        <f>IF($C2377="","",IFERROR(INDEX(Sens_Types,MATCH($C2377,Liste_Types,0)),""))</f>
        <v/>
      </c>
      <c r="J2377" s="107">
        <f>IF($I2377="▲ ENTRÉE",$U2377,"")</f>
        <v/>
      </c>
      <c r="K2377" s="108">
        <f>IF($I2377="▼ SORTIE",$U2377,"")</f>
        <v/>
      </c>
      <c r="L2377" s="109">
        <f>$L2376+N($J2377)-N($K2377)</f>
        <v/>
      </c>
      <c r="M2377" s="110" t="n"/>
      <c r="N2377" s="54" t="n"/>
      <c r="O2377" s="54" t="n"/>
      <c r="P2377" s="54" t="n"/>
      <c r="Q2377" s="110" t="n"/>
      <c r="R2377" s="110" t="n"/>
      <c r="S2377" s="54" t="n"/>
      <c r="T2377" s="111">
        <f>IF($G2377="","",IFERROR(INDEX(Taux_Devises,MATCH(IF($M2377="",Devise_Base,$M2377),Codes_Devises,0)),1))</f>
        <v/>
      </c>
      <c r="U2377" s="112">
        <f>IF($G2377="","",ROUND($G2377*$T2377,2))</f>
        <v/>
      </c>
      <c r="V2377" s="113">
        <f>IF($B2377="","",MONTH($B2377))</f>
        <v/>
      </c>
      <c r="W2377" s="113">
        <f>IF($B2377="","",YEAR($B2377))</f>
        <v/>
      </c>
    </row>
    <row r="2378">
      <c r="B2378" s="105" t="n"/>
      <c r="C2378" s="54" t="n"/>
      <c r="D2378" s="54" t="n"/>
      <c r="E2378" s="54" t="n"/>
      <c r="F2378" s="54" t="n"/>
      <c r="G2378" s="65" t="n"/>
      <c r="H2378" s="54" t="n"/>
      <c r="I2378" s="106">
        <f>IF($C2378="","",IFERROR(INDEX(Sens_Types,MATCH($C2378,Liste_Types,0)),""))</f>
        <v/>
      </c>
      <c r="J2378" s="107">
        <f>IF($I2378="▲ ENTRÉE",$U2378,"")</f>
        <v/>
      </c>
      <c r="K2378" s="108">
        <f>IF($I2378="▼ SORTIE",$U2378,"")</f>
        <v/>
      </c>
      <c r="L2378" s="109">
        <f>$L2377+N($J2378)-N($K2378)</f>
        <v/>
      </c>
      <c r="M2378" s="110" t="n"/>
      <c r="N2378" s="54" t="n"/>
      <c r="O2378" s="54" t="n"/>
      <c r="P2378" s="54" t="n"/>
      <c r="Q2378" s="110" t="n"/>
      <c r="R2378" s="110" t="n"/>
      <c r="S2378" s="54" t="n"/>
      <c r="T2378" s="111">
        <f>IF($G2378="","",IFERROR(INDEX(Taux_Devises,MATCH(IF($M2378="",Devise_Base,$M2378),Codes_Devises,0)),1))</f>
        <v/>
      </c>
      <c r="U2378" s="112">
        <f>IF($G2378="","",ROUND($G2378*$T2378,2))</f>
        <v/>
      </c>
      <c r="V2378" s="113">
        <f>IF($B2378="","",MONTH($B2378))</f>
        <v/>
      </c>
      <c r="W2378" s="113">
        <f>IF($B2378="","",YEAR($B2378))</f>
        <v/>
      </c>
    </row>
    <row r="2379">
      <c r="B2379" s="105" t="n"/>
      <c r="C2379" s="54" t="n"/>
      <c r="D2379" s="54" t="n"/>
      <c r="E2379" s="54" t="n"/>
      <c r="F2379" s="54" t="n"/>
      <c r="G2379" s="65" t="n"/>
      <c r="H2379" s="54" t="n"/>
      <c r="I2379" s="106">
        <f>IF($C2379="","",IFERROR(INDEX(Sens_Types,MATCH($C2379,Liste_Types,0)),""))</f>
        <v/>
      </c>
      <c r="J2379" s="107">
        <f>IF($I2379="▲ ENTRÉE",$U2379,"")</f>
        <v/>
      </c>
      <c r="K2379" s="108">
        <f>IF($I2379="▼ SORTIE",$U2379,"")</f>
        <v/>
      </c>
      <c r="L2379" s="109">
        <f>$L2378+N($J2379)-N($K2379)</f>
        <v/>
      </c>
      <c r="M2379" s="110" t="n"/>
      <c r="N2379" s="54" t="n"/>
      <c r="O2379" s="54" t="n"/>
      <c r="P2379" s="54" t="n"/>
      <c r="Q2379" s="110" t="n"/>
      <c r="R2379" s="110" t="n"/>
      <c r="S2379" s="54" t="n"/>
      <c r="T2379" s="111">
        <f>IF($G2379="","",IFERROR(INDEX(Taux_Devises,MATCH(IF($M2379="",Devise_Base,$M2379),Codes_Devises,0)),1))</f>
        <v/>
      </c>
      <c r="U2379" s="112">
        <f>IF($G2379="","",ROUND($G2379*$T2379,2))</f>
        <v/>
      </c>
      <c r="V2379" s="113">
        <f>IF($B2379="","",MONTH($B2379))</f>
        <v/>
      </c>
      <c r="W2379" s="113">
        <f>IF($B2379="","",YEAR($B2379))</f>
        <v/>
      </c>
    </row>
    <row r="2380">
      <c r="B2380" s="105" t="n"/>
      <c r="C2380" s="54" t="n"/>
      <c r="D2380" s="54" t="n"/>
      <c r="E2380" s="54" t="n"/>
      <c r="F2380" s="54" t="n"/>
      <c r="G2380" s="65" t="n"/>
      <c r="H2380" s="54" t="n"/>
      <c r="I2380" s="106">
        <f>IF($C2380="","",IFERROR(INDEX(Sens_Types,MATCH($C2380,Liste_Types,0)),""))</f>
        <v/>
      </c>
      <c r="J2380" s="107">
        <f>IF($I2380="▲ ENTRÉE",$U2380,"")</f>
        <v/>
      </c>
      <c r="K2380" s="108">
        <f>IF($I2380="▼ SORTIE",$U2380,"")</f>
        <v/>
      </c>
      <c r="L2380" s="109">
        <f>$L2379+N($J2380)-N($K2380)</f>
        <v/>
      </c>
      <c r="M2380" s="110" t="n"/>
      <c r="N2380" s="54" t="n"/>
      <c r="O2380" s="54" t="n"/>
      <c r="P2380" s="54" t="n"/>
      <c r="Q2380" s="110" t="n"/>
      <c r="R2380" s="110" t="n"/>
      <c r="S2380" s="54" t="n"/>
      <c r="T2380" s="111">
        <f>IF($G2380="","",IFERROR(INDEX(Taux_Devises,MATCH(IF($M2380="",Devise_Base,$M2380),Codes_Devises,0)),1))</f>
        <v/>
      </c>
      <c r="U2380" s="112">
        <f>IF($G2380="","",ROUND($G2380*$T2380,2))</f>
        <v/>
      </c>
      <c r="V2380" s="113">
        <f>IF($B2380="","",MONTH($B2380))</f>
        <v/>
      </c>
      <c r="W2380" s="113">
        <f>IF($B2380="","",YEAR($B2380))</f>
        <v/>
      </c>
    </row>
    <row r="2381">
      <c r="B2381" s="105" t="n"/>
      <c r="C2381" s="54" t="n"/>
      <c r="D2381" s="54" t="n"/>
      <c r="E2381" s="54" t="n"/>
      <c r="F2381" s="54" t="n"/>
      <c r="G2381" s="65" t="n"/>
      <c r="H2381" s="54" t="n"/>
      <c r="I2381" s="106">
        <f>IF($C2381="","",IFERROR(INDEX(Sens_Types,MATCH($C2381,Liste_Types,0)),""))</f>
        <v/>
      </c>
      <c r="J2381" s="107">
        <f>IF($I2381="▲ ENTRÉE",$U2381,"")</f>
        <v/>
      </c>
      <c r="K2381" s="108">
        <f>IF($I2381="▼ SORTIE",$U2381,"")</f>
        <v/>
      </c>
      <c r="L2381" s="109">
        <f>$L2380+N($J2381)-N($K2381)</f>
        <v/>
      </c>
      <c r="M2381" s="110" t="n"/>
      <c r="N2381" s="54" t="n"/>
      <c r="O2381" s="54" t="n"/>
      <c r="P2381" s="54" t="n"/>
      <c r="Q2381" s="110" t="n"/>
      <c r="R2381" s="110" t="n"/>
      <c r="S2381" s="54" t="n"/>
      <c r="T2381" s="111">
        <f>IF($G2381="","",IFERROR(INDEX(Taux_Devises,MATCH(IF($M2381="",Devise_Base,$M2381),Codes_Devises,0)),1))</f>
        <v/>
      </c>
      <c r="U2381" s="112">
        <f>IF($G2381="","",ROUND($G2381*$T2381,2))</f>
        <v/>
      </c>
      <c r="V2381" s="113">
        <f>IF($B2381="","",MONTH($B2381))</f>
        <v/>
      </c>
      <c r="W2381" s="113">
        <f>IF($B2381="","",YEAR($B2381))</f>
        <v/>
      </c>
    </row>
    <row r="2382">
      <c r="B2382" s="105" t="n"/>
      <c r="C2382" s="54" t="n"/>
      <c r="D2382" s="54" t="n"/>
      <c r="E2382" s="54" t="n"/>
      <c r="F2382" s="54" t="n"/>
      <c r="G2382" s="65" t="n"/>
      <c r="H2382" s="54" t="n"/>
      <c r="I2382" s="106">
        <f>IF($C2382="","",IFERROR(INDEX(Sens_Types,MATCH($C2382,Liste_Types,0)),""))</f>
        <v/>
      </c>
      <c r="J2382" s="107">
        <f>IF($I2382="▲ ENTRÉE",$U2382,"")</f>
        <v/>
      </c>
      <c r="K2382" s="108">
        <f>IF($I2382="▼ SORTIE",$U2382,"")</f>
        <v/>
      </c>
      <c r="L2382" s="109">
        <f>$L2381+N($J2382)-N($K2382)</f>
        <v/>
      </c>
      <c r="M2382" s="110" t="n"/>
      <c r="N2382" s="54" t="n"/>
      <c r="O2382" s="54" t="n"/>
      <c r="P2382" s="54" t="n"/>
      <c r="Q2382" s="110" t="n"/>
      <c r="R2382" s="110" t="n"/>
      <c r="S2382" s="54" t="n"/>
      <c r="T2382" s="111">
        <f>IF($G2382="","",IFERROR(INDEX(Taux_Devises,MATCH(IF($M2382="",Devise_Base,$M2382),Codes_Devises,0)),1))</f>
        <v/>
      </c>
      <c r="U2382" s="112">
        <f>IF($G2382="","",ROUND($G2382*$T2382,2))</f>
        <v/>
      </c>
      <c r="V2382" s="113">
        <f>IF($B2382="","",MONTH($B2382))</f>
        <v/>
      </c>
      <c r="W2382" s="113">
        <f>IF($B2382="","",YEAR($B2382))</f>
        <v/>
      </c>
    </row>
    <row r="2383">
      <c r="B2383" s="105" t="n"/>
      <c r="C2383" s="54" t="n"/>
      <c r="D2383" s="54" t="n"/>
      <c r="E2383" s="54" t="n"/>
      <c r="F2383" s="54" t="n"/>
      <c r="G2383" s="65" t="n"/>
      <c r="H2383" s="54" t="n"/>
      <c r="I2383" s="106">
        <f>IF($C2383="","",IFERROR(INDEX(Sens_Types,MATCH($C2383,Liste_Types,0)),""))</f>
        <v/>
      </c>
      <c r="J2383" s="107">
        <f>IF($I2383="▲ ENTRÉE",$U2383,"")</f>
        <v/>
      </c>
      <c r="K2383" s="108">
        <f>IF($I2383="▼ SORTIE",$U2383,"")</f>
        <v/>
      </c>
      <c r="L2383" s="109">
        <f>$L2382+N($J2383)-N($K2383)</f>
        <v/>
      </c>
      <c r="M2383" s="110" t="n"/>
      <c r="N2383" s="54" t="n"/>
      <c r="O2383" s="54" t="n"/>
      <c r="P2383" s="54" t="n"/>
      <c r="Q2383" s="110" t="n"/>
      <c r="R2383" s="110" t="n"/>
      <c r="S2383" s="54" t="n"/>
      <c r="T2383" s="111">
        <f>IF($G2383="","",IFERROR(INDEX(Taux_Devises,MATCH(IF($M2383="",Devise_Base,$M2383),Codes_Devises,0)),1))</f>
        <v/>
      </c>
      <c r="U2383" s="112">
        <f>IF($G2383="","",ROUND($G2383*$T2383,2))</f>
        <v/>
      </c>
      <c r="V2383" s="113">
        <f>IF($B2383="","",MONTH($B2383))</f>
        <v/>
      </c>
      <c r="W2383" s="113">
        <f>IF($B2383="","",YEAR($B2383))</f>
        <v/>
      </c>
    </row>
    <row r="2384">
      <c r="B2384" s="105" t="n"/>
      <c r="C2384" s="54" t="n"/>
      <c r="D2384" s="54" t="n"/>
      <c r="E2384" s="54" t="n"/>
      <c r="F2384" s="54" t="n"/>
      <c r="G2384" s="65" t="n"/>
      <c r="H2384" s="54" t="n"/>
      <c r="I2384" s="106">
        <f>IF($C2384="","",IFERROR(INDEX(Sens_Types,MATCH($C2384,Liste_Types,0)),""))</f>
        <v/>
      </c>
      <c r="J2384" s="107">
        <f>IF($I2384="▲ ENTRÉE",$U2384,"")</f>
        <v/>
      </c>
      <c r="K2384" s="108">
        <f>IF($I2384="▼ SORTIE",$U2384,"")</f>
        <v/>
      </c>
      <c r="L2384" s="109">
        <f>$L2383+N($J2384)-N($K2384)</f>
        <v/>
      </c>
      <c r="M2384" s="110" t="n"/>
      <c r="N2384" s="54" t="n"/>
      <c r="O2384" s="54" t="n"/>
      <c r="P2384" s="54" t="n"/>
      <c r="Q2384" s="110" t="n"/>
      <c r="R2384" s="110" t="n"/>
      <c r="S2384" s="54" t="n"/>
      <c r="T2384" s="111">
        <f>IF($G2384="","",IFERROR(INDEX(Taux_Devises,MATCH(IF($M2384="",Devise_Base,$M2384),Codes_Devises,0)),1))</f>
        <v/>
      </c>
      <c r="U2384" s="112">
        <f>IF($G2384="","",ROUND($G2384*$T2384,2))</f>
        <v/>
      </c>
      <c r="V2384" s="113">
        <f>IF($B2384="","",MONTH($B2384))</f>
        <v/>
      </c>
      <c r="W2384" s="113">
        <f>IF($B2384="","",YEAR($B2384))</f>
        <v/>
      </c>
    </row>
    <row r="2385">
      <c r="B2385" s="105" t="n"/>
      <c r="C2385" s="54" t="n"/>
      <c r="D2385" s="54" t="n"/>
      <c r="E2385" s="54" t="n"/>
      <c r="F2385" s="54" t="n"/>
      <c r="G2385" s="65" t="n"/>
      <c r="H2385" s="54" t="n"/>
      <c r="I2385" s="106">
        <f>IF($C2385="","",IFERROR(INDEX(Sens_Types,MATCH($C2385,Liste_Types,0)),""))</f>
        <v/>
      </c>
      <c r="J2385" s="107">
        <f>IF($I2385="▲ ENTRÉE",$U2385,"")</f>
        <v/>
      </c>
      <c r="K2385" s="108">
        <f>IF($I2385="▼ SORTIE",$U2385,"")</f>
        <v/>
      </c>
      <c r="L2385" s="109">
        <f>$L2384+N($J2385)-N($K2385)</f>
        <v/>
      </c>
      <c r="M2385" s="110" t="n"/>
      <c r="N2385" s="54" t="n"/>
      <c r="O2385" s="54" t="n"/>
      <c r="P2385" s="54" t="n"/>
      <c r="Q2385" s="110" t="n"/>
      <c r="R2385" s="110" t="n"/>
      <c r="S2385" s="54" t="n"/>
      <c r="T2385" s="111">
        <f>IF($G2385="","",IFERROR(INDEX(Taux_Devises,MATCH(IF($M2385="",Devise_Base,$M2385),Codes_Devises,0)),1))</f>
        <v/>
      </c>
      <c r="U2385" s="112">
        <f>IF($G2385="","",ROUND($G2385*$T2385,2))</f>
        <v/>
      </c>
      <c r="V2385" s="113">
        <f>IF($B2385="","",MONTH($B2385))</f>
        <v/>
      </c>
      <c r="W2385" s="113">
        <f>IF($B2385="","",YEAR($B2385))</f>
        <v/>
      </c>
    </row>
    <row r="2386">
      <c r="B2386" s="105" t="n"/>
      <c r="C2386" s="54" t="n"/>
      <c r="D2386" s="54" t="n"/>
      <c r="E2386" s="54" t="n"/>
      <c r="F2386" s="54" t="n"/>
      <c r="G2386" s="65" t="n"/>
      <c r="H2386" s="54" t="n"/>
      <c r="I2386" s="106">
        <f>IF($C2386="","",IFERROR(INDEX(Sens_Types,MATCH($C2386,Liste_Types,0)),""))</f>
        <v/>
      </c>
      <c r="J2386" s="107">
        <f>IF($I2386="▲ ENTRÉE",$U2386,"")</f>
        <v/>
      </c>
      <c r="K2386" s="108">
        <f>IF($I2386="▼ SORTIE",$U2386,"")</f>
        <v/>
      </c>
      <c r="L2386" s="109">
        <f>$L2385+N($J2386)-N($K2386)</f>
        <v/>
      </c>
      <c r="M2386" s="110" t="n"/>
      <c r="N2386" s="54" t="n"/>
      <c r="O2386" s="54" t="n"/>
      <c r="P2386" s="54" t="n"/>
      <c r="Q2386" s="110" t="n"/>
      <c r="R2386" s="110" t="n"/>
      <c r="S2386" s="54" t="n"/>
      <c r="T2386" s="111">
        <f>IF($G2386="","",IFERROR(INDEX(Taux_Devises,MATCH(IF($M2386="",Devise_Base,$M2386),Codes_Devises,0)),1))</f>
        <v/>
      </c>
      <c r="U2386" s="112">
        <f>IF($G2386="","",ROUND($G2386*$T2386,2))</f>
        <v/>
      </c>
      <c r="V2386" s="113">
        <f>IF($B2386="","",MONTH($B2386))</f>
        <v/>
      </c>
      <c r="W2386" s="113">
        <f>IF($B2386="","",YEAR($B2386))</f>
        <v/>
      </c>
    </row>
    <row r="2387">
      <c r="B2387" s="105" t="n"/>
      <c r="C2387" s="54" t="n"/>
      <c r="D2387" s="54" t="n"/>
      <c r="E2387" s="54" t="n"/>
      <c r="F2387" s="54" t="n"/>
      <c r="G2387" s="65" t="n"/>
      <c r="H2387" s="54" t="n"/>
      <c r="I2387" s="106">
        <f>IF($C2387="","",IFERROR(INDEX(Sens_Types,MATCH($C2387,Liste_Types,0)),""))</f>
        <v/>
      </c>
      <c r="J2387" s="107">
        <f>IF($I2387="▲ ENTRÉE",$U2387,"")</f>
        <v/>
      </c>
      <c r="K2387" s="108">
        <f>IF($I2387="▼ SORTIE",$U2387,"")</f>
        <v/>
      </c>
      <c r="L2387" s="109">
        <f>$L2386+N($J2387)-N($K2387)</f>
        <v/>
      </c>
      <c r="M2387" s="110" t="n"/>
      <c r="N2387" s="54" t="n"/>
      <c r="O2387" s="54" t="n"/>
      <c r="P2387" s="54" t="n"/>
      <c r="Q2387" s="110" t="n"/>
      <c r="R2387" s="110" t="n"/>
      <c r="S2387" s="54" t="n"/>
      <c r="T2387" s="111">
        <f>IF($G2387="","",IFERROR(INDEX(Taux_Devises,MATCH(IF($M2387="",Devise_Base,$M2387),Codes_Devises,0)),1))</f>
        <v/>
      </c>
      <c r="U2387" s="112">
        <f>IF($G2387="","",ROUND($G2387*$T2387,2))</f>
        <v/>
      </c>
      <c r="V2387" s="113">
        <f>IF($B2387="","",MONTH($B2387))</f>
        <v/>
      </c>
      <c r="W2387" s="113">
        <f>IF($B2387="","",YEAR($B2387))</f>
        <v/>
      </c>
    </row>
    <row r="2388">
      <c r="B2388" s="105" t="n"/>
      <c r="C2388" s="54" t="n"/>
      <c r="D2388" s="54" t="n"/>
      <c r="E2388" s="54" t="n"/>
      <c r="F2388" s="54" t="n"/>
      <c r="G2388" s="65" t="n"/>
      <c r="H2388" s="54" t="n"/>
      <c r="I2388" s="106">
        <f>IF($C2388="","",IFERROR(INDEX(Sens_Types,MATCH($C2388,Liste_Types,0)),""))</f>
        <v/>
      </c>
      <c r="J2388" s="107">
        <f>IF($I2388="▲ ENTRÉE",$U2388,"")</f>
        <v/>
      </c>
      <c r="K2388" s="108">
        <f>IF($I2388="▼ SORTIE",$U2388,"")</f>
        <v/>
      </c>
      <c r="L2388" s="109">
        <f>$L2387+N($J2388)-N($K2388)</f>
        <v/>
      </c>
      <c r="M2388" s="110" t="n"/>
      <c r="N2388" s="54" t="n"/>
      <c r="O2388" s="54" t="n"/>
      <c r="P2388" s="54" t="n"/>
      <c r="Q2388" s="110" t="n"/>
      <c r="R2388" s="110" t="n"/>
      <c r="S2388" s="54" t="n"/>
      <c r="T2388" s="111">
        <f>IF($G2388="","",IFERROR(INDEX(Taux_Devises,MATCH(IF($M2388="",Devise_Base,$M2388),Codes_Devises,0)),1))</f>
        <v/>
      </c>
      <c r="U2388" s="112">
        <f>IF($G2388="","",ROUND($G2388*$T2388,2))</f>
        <v/>
      </c>
      <c r="V2388" s="113">
        <f>IF($B2388="","",MONTH($B2388))</f>
        <v/>
      </c>
      <c r="W2388" s="113">
        <f>IF($B2388="","",YEAR($B2388))</f>
        <v/>
      </c>
    </row>
    <row r="2389">
      <c r="B2389" s="105" t="n"/>
      <c r="C2389" s="54" t="n"/>
      <c r="D2389" s="54" t="n"/>
      <c r="E2389" s="54" t="n"/>
      <c r="F2389" s="54" t="n"/>
      <c r="G2389" s="65" t="n"/>
      <c r="H2389" s="54" t="n"/>
      <c r="I2389" s="106">
        <f>IF($C2389="","",IFERROR(INDEX(Sens_Types,MATCH($C2389,Liste_Types,0)),""))</f>
        <v/>
      </c>
      <c r="J2389" s="107">
        <f>IF($I2389="▲ ENTRÉE",$U2389,"")</f>
        <v/>
      </c>
      <c r="K2389" s="108">
        <f>IF($I2389="▼ SORTIE",$U2389,"")</f>
        <v/>
      </c>
      <c r="L2389" s="109">
        <f>$L2388+N($J2389)-N($K2389)</f>
        <v/>
      </c>
      <c r="M2389" s="110" t="n"/>
      <c r="N2389" s="54" t="n"/>
      <c r="O2389" s="54" t="n"/>
      <c r="P2389" s="54" t="n"/>
      <c r="Q2389" s="110" t="n"/>
      <c r="R2389" s="110" t="n"/>
      <c r="S2389" s="54" t="n"/>
      <c r="T2389" s="111">
        <f>IF($G2389="","",IFERROR(INDEX(Taux_Devises,MATCH(IF($M2389="",Devise_Base,$M2389),Codes_Devises,0)),1))</f>
        <v/>
      </c>
      <c r="U2389" s="112">
        <f>IF($G2389="","",ROUND($G2389*$T2389,2))</f>
        <v/>
      </c>
      <c r="V2389" s="113">
        <f>IF($B2389="","",MONTH($B2389))</f>
        <v/>
      </c>
      <c r="W2389" s="113">
        <f>IF($B2389="","",YEAR($B2389))</f>
        <v/>
      </c>
    </row>
    <row r="2390">
      <c r="B2390" s="105" t="n"/>
      <c r="C2390" s="54" t="n"/>
      <c r="D2390" s="54" t="n"/>
      <c r="E2390" s="54" t="n"/>
      <c r="F2390" s="54" t="n"/>
      <c r="G2390" s="65" t="n"/>
      <c r="H2390" s="54" t="n"/>
      <c r="I2390" s="106">
        <f>IF($C2390="","",IFERROR(INDEX(Sens_Types,MATCH($C2390,Liste_Types,0)),""))</f>
        <v/>
      </c>
      <c r="J2390" s="107">
        <f>IF($I2390="▲ ENTRÉE",$U2390,"")</f>
        <v/>
      </c>
      <c r="K2390" s="108">
        <f>IF($I2390="▼ SORTIE",$U2390,"")</f>
        <v/>
      </c>
      <c r="L2390" s="109">
        <f>$L2389+N($J2390)-N($K2390)</f>
        <v/>
      </c>
      <c r="M2390" s="110" t="n"/>
      <c r="N2390" s="54" t="n"/>
      <c r="O2390" s="54" t="n"/>
      <c r="P2390" s="54" t="n"/>
      <c r="Q2390" s="110" t="n"/>
      <c r="R2390" s="110" t="n"/>
      <c r="S2390" s="54" t="n"/>
      <c r="T2390" s="111">
        <f>IF($G2390="","",IFERROR(INDEX(Taux_Devises,MATCH(IF($M2390="",Devise_Base,$M2390),Codes_Devises,0)),1))</f>
        <v/>
      </c>
      <c r="U2390" s="112">
        <f>IF($G2390="","",ROUND($G2390*$T2390,2))</f>
        <v/>
      </c>
      <c r="V2390" s="113">
        <f>IF($B2390="","",MONTH($B2390))</f>
        <v/>
      </c>
      <c r="W2390" s="113">
        <f>IF($B2390="","",YEAR($B2390))</f>
        <v/>
      </c>
    </row>
    <row r="2391">
      <c r="B2391" s="105" t="n"/>
      <c r="C2391" s="54" t="n"/>
      <c r="D2391" s="54" t="n"/>
      <c r="E2391" s="54" t="n"/>
      <c r="F2391" s="54" t="n"/>
      <c r="G2391" s="65" t="n"/>
      <c r="H2391" s="54" t="n"/>
      <c r="I2391" s="106">
        <f>IF($C2391="","",IFERROR(INDEX(Sens_Types,MATCH($C2391,Liste_Types,0)),""))</f>
        <v/>
      </c>
      <c r="J2391" s="107">
        <f>IF($I2391="▲ ENTRÉE",$U2391,"")</f>
        <v/>
      </c>
      <c r="K2391" s="108">
        <f>IF($I2391="▼ SORTIE",$U2391,"")</f>
        <v/>
      </c>
      <c r="L2391" s="109">
        <f>$L2390+N($J2391)-N($K2391)</f>
        <v/>
      </c>
      <c r="M2391" s="110" t="n"/>
      <c r="N2391" s="54" t="n"/>
      <c r="O2391" s="54" t="n"/>
      <c r="P2391" s="54" t="n"/>
      <c r="Q2391" s="110" t="n"/>
      <c r="R2391" s="110" t="n"/>
      <c r="S2391" s="54" t="n"/>
      <c r="T2391" s="111">
        <f>IF($G2391="","",IFERROR(INDEX(Taux_Devises,MATCH(IF($M2391="",Devise_Base,$M2391),Codes_Devises,0)),1))</f>
        <v/>
      </c>
      <c r="U2391" s="112">
        <f>IF($G2391="","",ROUND($G2391*$T2391,2))</f>
        <v/>
      </c>
      <c r="V2391" s="113">
        <f>IF($B2391="","",MONTH($B2391))</f>
        <v/>
      </c>
      <c r="W2391" s="113">
        <f>IF($B2391="","",YEAR($B2391))</f>
        <v/>
      </c>
    </row>
    <row r="2392">
      <c r="B2392" s="105" t="n"/>
      <c r="C2392" s="54" t="n"/>
      <c r="D2392" s="54" t="n"/>
      <c r="E2392" s="54" t="n"/>
      <c r="F2392" s="54" t="n"/>
      <c r="G2392" s="65" t="n"/>
      <c r="H2392" s="54" t="n"/>
      <c r="I2392" s="106">
        <f>IF($C2392="","",IFERROR(INDEX(Sens_Types,MATCH($C2392,Liste_Types,0)),""))</f>
        <v/>
      </c>
      <c r="J2392" s="107">
        <f>IF($I2392="▲ ENTRÉE",$U2392,"")</f>
        <v/>
      </c>
      <c r="K2392" s="108">
        <f>IF($I2392="▼ SORTIE",$U2392,"")</f>
        <v/>
      </c>
      <c r="L2392" s="109">
        <f>$L2391+N($J2392)-N($K2392)</f>
        <v/>
      </c>
      <c r="M2392" s="110" t="n"/>
      <c r="N2392" s="54" t="n"/>
      <c r="O2392" s="54" t="n"/>
      <c r="P2392" s="54" t="n"/>
      <c r="Q2392" s="110" t="n"/>
      <c r="R2392" s="110" t="n"/>
      <c r="S2392" s="54" t="n"/>
      <c r="T2392" s="111">
        <f>IF($G2392="","",IFERROR(INDEX(Taux_Devises,MATCH(IF($M2392="",Devise_Base,$M2392),Codes_Devises,0)),1))</f>
        <v/>
      </c>
      <c r="U2392" s="112">
        <f>IF($G2392="","",ROUND($G2392*$T2392,2))</f>
        <v/>
      </c>
      <c r="V2392" s="113">
        <f>IF($B2392="","",MONTH($B2392))</f>
        <v/>
      </c>
      <c r="W2392" s="113">
        <f>IF($B2392="","",YEAR($B2392))</f>
        <v/>
      </c>
    </row>
    <row r="2393">
      <c r="B2393" s="105" t="n"/>
      <c r="C2393" s="54" t="n"/>
      <c r="D2393" s="54" t="n"/>
      <c r="E2393" s="54" t="n"/>
      <c r="F2393" s="54" t="n"/>
      <c r="G2393" s="65" t="n"/>
      <c r="H2393" s="54" t="n"/>
      <c r="I2393" s="106">
        <f>IF($C2393="","",IFERROR(INDEX(Sens_Types,MATCH($C2393,Liste_Types,0)),""))</f>
        <v/>
      </c>
      <c r="J2393" s="107">
        <f>IF($I2393="▲ ENTRÉE",$U2393,"")</f>
        <v/>
      </c>
      <c r="K2393" s="108">
        <f>IF($I2393="▼ SORTIE",$U2393,"")</f>
        <v/>
      </c>
      <c r="L2393" s="109">
        <f>$L2392+N($J2393)-N($K2393)</f>
        <v/>
      </c>
      <c r="M2393" s="110" t="n"/>
      <c r="N2393" s="54" t="n"/>
      <c r="O2393" s="54" t="n"/>
      <c r="P2393" s="54" t="n"/>
      <c r="Q2393" s="110" t="n"/>
      <c r="R2393" s="110" t="n"/>
      <c r="S2393" s="54" t="n"/>
      <c r="T2393" s="111">
        <f>IF($G2393="","",IFERROR(INDEX(Taux_Devises,MATCH(IF($M2393="",Devise_Base,$M2393),Codes_Devises,0)),1))</f>
        <v/>
      </c>
      <c r="U2393" s="112">
        <f>IF($G2393="","",ROUND($G2393*$T2393,2))</f>
        <v/>
      </c>
      <c r="V2393" s="113">
        <f>IF($B2393="","",MONTH($B2393))</f>
        <v/>
      </c>
      <c r="W2393" s="113">
        <f>IF($B2393="","",YEAR($B2393))</f>
        <v/>
      </c>
    </row>
    <row r="2394">
      <c r="B2394" s="105" t="n"/>
      <c r="C2394" s="54" t="n"/>
      <c r="D2394" s="54" t="n"/>
      <c r="E2394" s="54" t="n"/>
      <c r="F2394" s="54" t="n"/>
      <c r="G2394" s="65" t="n"/>
      <c r="H2394" s="54" t="n"/>
      <c r="I2394" s="106">
        <f>IF($C2394="","",IFERROR(INDEX(Sens_Types,MATCH($C2394,Liste_Types,0)),""))</f>
        <v/>
      </c>
      <c r="J2394" s="107">
        <f>IF($I2394="▲ ENTRÉE",$U2394,"")</f>
        <v/>
      </c>
      <c r="K2394" s="108">
        <f>IF($I2394="▼ SORTIE",$U2394,"")</f>
        <v/>
      </c>
      <c r="L2394" s="109">
        <f>$L2393+N($J2394)-N($K2394)</f>
        <v/>
      </c>
      <c r="M2394" s="110" t="n"/>
      <c r="N2394" s="54" t="n"/>
      <c r="O2394" s="54" t="n"/>
      <c r="P2394" s="54" t="n"/>
      <c r="Q2394" s="110" t="n"/>
      <c r="R2394" s="110" t="n"/>
      <c r="S2394" s="54" t="n"/>
      <c r="T2394" s="111">
        <f>IF($G2394="","",IFERROR(INDEX(Taux_Devises,MATCH(IF($M2394="",Devise_Base,$M2394),Codes_Devises,0)),1))</f>
        <v/>
      </c>
      <c r="U2394" s="112">
        <f>IF($G2394="","",ROUND($G2394*$T2394,2))</f>
        <v/>
      </c>
      <c r="V2394" s="113">
        <f>IF($B2394="","",MONTH($B2394))</f>
        <v/>
      </c>
      <c r="W2394" s="113">
        <f>IF($B2394="","",YEAR($B2394))</f>
        <v/>
      </c>
    </row>
    <row r="2395">
      <c r="B2395" s="105" t="n"/>
      <c r="C2395" s="54" t="n"/>
      <c r="D2395" s="54" t="n"/>
      <c r="E2395" s="54" t="n"/>
      <c r="F2395" s="54" t="n"/>
      <c r="G2395" s="65" t="n"/>
      <c r="H2395" s="54" t="n"/>
      <c r="I2395" s="106">
        <f>IF($C2395="","",IFERROR(INDEX(Sens_Types,MATCH($C2395,Liste_Types,0)),""))</f>
        <v/>
      </c>
      <c r="J2395" s="107">
        <f>IF($I2395="▲ ENTRÉE",$U2395,"")</f>
        <v/>
      </c>
      <c r="K2395" s="108">
        <f>IF($I2395="▼ SORTIE",$U2395,"")</f>
        <v/>
      </c>
      <c r="L2395" s="109">
        <f>$L2394+N($J2395)-N($K2395)</f>
        <v/>
      </c>
      <c r="M2395" s="110" t="n"/>
      <c r="N2395" s="54" t="n"/>
      <c r="O2395" s="54" t="n"/>
      <c r="P2395" s="54" t="n"/>
      <c r="Q2395" s="110" t="n"/>
      <c r="R2395" s="110" t="n"/>
      <c r="S2395" s="54" t="n"/>
      <c r="T2395" s="111">
        <f>IF($G2395="","",IFERROR(INDEX(Taux_Devises,MATCH(IF($M2395="",Devise_Base,$M2395),Codes_Devises,0)),1))</f>
        <v/>
      </c>
      <c r="U2395" s="112">
        <f>IF($G2395="","",ROUND($G2395*$T2395,2))</f>
        <v/>
      </c>
      <c r="V2395" s="113">
        <f>IF($B2395="","",MONTH($B2395))</f>
        <v/>
      </c>
      <c r="W2395" s="113">
        <f>IF($B2395="","",YEAR($B2395))</f>
        <v/>
      </c>
    </row>
    <row r="2396">
      <c r="B2396" s="105" t="n"/>
      <c r="C2396" s="54" t="n"/>
      <c r="D2396" s="54" t="n"/>
      <c r="E2396" s="54" t="n"/>
      <c r="F2396" s="54" t="n"/>
      <c r="G2396" s="65" t="n"/>
      <c r="H2396" s="54" t="n"/>
      <c r="I2396" s="106">
        <f>IF($C2396="","",IFERROR(INDEX(Sens_Types,MATCH($C2396,Liste_Types,0)),""))</f>
        <v/>
      </c>
      <c r="J2396" s="107">
        <f>IF($I2396="▲ ENTRÉE",$U2396,"")</f>
        <v/>
      </c>
      <c r="K2396" s="108">
        <f>IF($I2396="▼ SORTIE",$U2396,"")</f>
        <v/>
      </c>
      <c r="L2396" s="109">
        <f>$L2395+N($J2396)-N($K2396)</f>
        <v/>
      </c>
      <c r="M2396" s="110" t="n"/>
      <c r="N2396" s="54" t="n"/>
      <c r="O2396" s="54" t="n"/>
      <c r="P2396" s="54" t="n"/>
      <c r="Q2396" s="110" t="n"/>
      <c r="R2396" s="110" t="n"/>
      <c r="S2396" s="54" t="n"/>
      <c r="T2396" s="111">
        <f>IF($G2396="","",IFERROR(INDEX(Taux_Devises,MATCH(IF($M2396="",Devise_Base,$M2396),Codes_Devises,0)),1))</f>
        <v/>
      </c>
      <c r="U2396" s="112">
        <f>IF($G2396="","",ROUND($G2396*$T2396,2))</f>
        <v/>
      </c>
      <c r="V2396" s="113">
        <f>IF($B2396="","",MONTH($B2396))</f>
        <v/>
      </c>
      <c r="W2396" s="113">
        <f>IF($B2396="","",YEAR($B2396))</f>
        <v/>
      </c>
    </row>
    <row r="2397">
      <c r="B2397" s="105" t="n"/>
      <c r="C2397" s="54" t="n"/>
      <c r="D2397" s="54" t="n"/>
      <c r="E2397" s="54" t="n"/>
      <c r="F2397" s="54" t="n"/>
      <c r="G2397" s="65" t="n"/>
      <c r="H2397" s="54" t="n"/>
      <c r="I2397" s="106">
        <f>IF($C2397="","",IFERROR(INDEX(Sens_Types,MATCH($C2397,Liste_Types,0)),""))</f>
        <v/>
      </c>
      <c r="J2397" s="107">
        <f>IF($I2397="▲ ENTRÉE",$U2397,"")</f>
        <v/>
      </c>
      <c r="K2397" s="108">
        <f>IF($I2397="▼ SORTIE",$U2397,"")</f>
        <v/>
      </c>
      <c r="L2397" s="109">
        <f>$L2396+N($J2397)-N($K2397)</f>
        <v/>
      </c>
      <c r="M2397" s="110" t="n"/>
      <c r="N2397" s="54" t="n"/>
      <c r="O2397" s="54" t="n"/>
      <c r="P2397" s="54" t="n"/>
      <c r="Q2397" s="110" t="n"/>
      <c r="R2397" s="110" t="n"/>
      <c r="S2397" s="54" t="n"/>
      <c r="T2397" s="111">
        <f>IF($G2397="","",IFERROR(INDEX(Taux_Devises,MATCH(IF($M2397="",Devise_Base,$M2397),Codes_Devises,0)),1))</f>
        <v/>
      </c>
      <c r="U2397" s="112">
        <f>IF($G2397="","",ROUND($G2397*$T2397,2))</f>
        <v/>
      </c>
      <c r="V2397" s="113">
        <f>IF($B2397="","",MONTH($B2397))</f>
        <v/>
      </c>
      <c r="W2397" s="113">
        <f>IF($B2397="","",YEAR($B2397))</f>
        <v/>
      </c>
    </row>
    <row r="2398">
      <c r="B2398" s="105" t="n"/>
      <c r="C2398" s="54" t="n"/>
      <c r="D2398" s="54" t="n"/>
      <c r="E2398" s="54" t="n"/>
      <c r="F2398" s="54" t="n"/>
      <c r="G2398" s="65" t="n"/>
      <c r="H2398" s="54" t="n"/>
      <c r="I2398" s="106">
        <f>IF($C2398="","",IFERROR(INDEX(Sens_Types,MATCH($C2398,Liste_Types,0)),""))</f>
        <v/>
      </c>
      <c r="J2398" s="107">
        <f>IF($I2398="▲ ENTRÉE",$U2398,"")</f>
        <v/>
      </c>
      <c r="K2398" s="108">
        <f>IF($I2398="▼ SORTIE",$U2398,"")</f>
        <v/>
      </c>
      <c r="L2398" s="109">
        <f>$L2397+N($J2398)-N($K2398)</f>
        <v/>
      </c>
      <c r="M2398" s="110" t="n"/>
      <c r="N2398" s="54" t="n"/>
      <c r="O2398" s="54" t="n"/>
      <c r="P2398" s="54" t="n"/>
      <c r="Q2398" s="110" t="n"/>
      <c r="R2398" s="110" t="n"/>
      <c r="S2398" s="54" t="n"/>
      <c r="T2398" s="111">
        <f>IF($G2398="","",IFERROR(INDEX(Taux_Devises,MATCH(IF($M2398="",Devise_Base,$M2398),Codes_Devises,0)),1))</f>
        <v/>
      </c>
      <c r="U2398" s="112">
        <f>IF($G2398="","",ROUND($G2398*$T2398,2))</f>
        <v/>
      </c>
      <c r="V2398" s="113">
        <f>IF($B2398="","",MONTH($B2398))</f>
        <v/>
      </c>
      <c r="W2398" s="113">
        <f>IF($B2398="","",YEAR($B2398))</f>
        <v/>
      </c>
    </row>
    <row r="2399">
      <c r="B2399" s="105" t="n"/>
      <c r="C2399" s="54" t="n"/>
      <c r="D2399" s="54" t="n"/>
      <c r="E2399" s="54" t="n"/>
      <c r="F2399" s="54" t="n"/>
      <c r="G2399" s="65" t="n"/>
      <c r="H2399" s="54" t="n"/>
      <c r="I2399" s="106">
        <f>IF($C2399="","",IFERROR(INDEX(Sens_Types,MATCH($C2399,Liste_Types,0)),""))</f>
        <v/>
      </c>
      <c r="J2399" s="107">
        <f>IF($I2399="▲ ENTRÉE",$U2399,"")</f>
        <v/>
      </c>
      <c r="K2399" s="108">
        <f>IF($I2399="▼ SORTIE",$U2399,"")</f>
        <v/>
      </c>
      <c r="L2399" s="109">
        <f>$L2398+N($J2399)-N($K2399)</f>
        <v/>
      </c>
      <c r="M2399" s="110" t="n"/>
      <c r="N2399" s="54" t="n"/>
      <c r="O2399" s="54" t="n"/>
      <c r="P2399" s="54" t="n"/>
      <c r="Q2399" s="110" t="n"/>
      <c r="R2399" s="110" t="n"/>
      <c r="S2399" s="54" t="n"/>
      <c r="T2399" s="111">
        <f>IF($G2399="","",IFERROR(INDEX(Taux_Devises,MATCH(IF($M2399="",Devise_Base,$M2399),Codes_Devises,0)),1))</f>
        <v/>
      </c>
      <c r="U2399" s="112">
        <f>IF($G2399="","",ROUND($G2399*$T2399,2))</f>
        <v/>
      </c>
      <c r="V2399" s="113">
        <f>IF($B2399="","",MONTH($B2399))</f>
        <v/>
      </c>
      <c r="W2399" s="113">
        <f>IF($B2399="","",YEAR($B2399))</f>
        <v/>
      </c>
    </row>
    <row r="2400">
      <c r="B2400" s="105" t="n"/>
      <c r="C2400" s="54" t="n"/>
      <c r="D2400" s="54" t="n"/>
      <c r="E2400" s="54" t="n"/>
      <c r="F2400" s="54" t="n"/>
      <c r="G2400" s="65" t="n"/>
      <c r="H2400" s="54" t="n"/>
      <c r="I2400" s="106">
        <f>IF($C2400="","",IFERROR(INDEX(Sens_Types,MATCH($C2400,Liste_Types,0)),""))</f>
        <v/>
      </c>
      <c r="J2400" s="107">
        <f>IF($I2400="▲ ENTRÉE",$U2400,"")</f>
        <v/>
      </c>
      <c r="K2400" s="108">
        <f>IF($I2400="▼ SORTIE",$U2400,"")</f>
        <v/>
      </c>
      <c r="L2400" s="109">
        <f>$L2399+N($J2400)-N($K2400)</f>
        <v/>
      </c>
      <c r="M2400" s="110" t="n"/>
      <c r="N2400" s="54" t="n"/>
      <c r="O2400" s="54" t="n"/>
      <c r="P2400" s="54" t="n"/>
      <c r="Q2400" s="110" t="n"/>
      <c r="R2400" s="110" t="n"/>
      <c r="S2400" s="54" t="n"/>
      <c r="T2400" s="111">
        <f>IF($G2400="","",IFERROR(INDEX(Taux_Devises,MATCH(IF($M2400="",Devise_Base,$M2400),Codes_Devises,0)),1))</f>
        <v/>
      </c>
      <c r="U2400" s="112">
        <f>IF($G2400="","",ROUND($G2400*$T2400,2))</f>
        <v/>
      </c>
      <c r="V2400" s="113">
        <f>IF($B2400="","",MONTH($B2400))</f>
        <v/>
      </c>
      <c r="W2400" s="113">
        <f>IF($B2400="","",YEAR($B2400))</f>
        <v/>
      </c>
    </row>
    <row r="2401">
      <c r="B2401" s="105" t="n"/>
      <c r="C2401" s="54" t="n"/>
      <c r="D2401" s="54" t="n"/>
      <c r="E2401" s="54" t="n"/>
      <c r="F2401" s="54" t="n"/>
      <c r="G2401" s="65" t="n"/>
      <c r="H2401" s="54" t="n"/>
      <c r="I2401" s="106">
        <f>IF($C2401="","",IFERROR(INDEX(Sens_Types,MATCH($C2401,Liste_Types,0)),""))</f>
        <v/>
      </c>
      <c r="J2401" s="107">
        <f>IF($I2401="▲ ENTRÉE",$U2401,"")</f>
        <v/>
      </c>
      <c r="K2401" s="108">
        <f>IF($I2401="▼ SORTIE",$U2401,"")</f>
        <v/>
      </c>
      <c r="L2401" s="109">
        <f>$L2400+N($J2401)-N($K2401)</f>
        <v/>
      </c>
      <c r="M2401" s="110" t="n"/>
      <c r="N2401" s="54" t="n"/>
      <c r="O2401" s="54" t="n"/>
      <c r="P2401" s="54" t="n"/>
      <c r="Q2401" s="110" t="n"/>
      <c r="R2401" s="110" t="n"/>
      <c r="S2401" s="54" t="n"/>
      <c r="T2401" s="111">
        <f>IF($G2401="","",IFERROR(INDEX(Taux_Devises,MATCH(IF($M2401="",Devise_Base,$M2401),Codes_Devises,0)),1))</f>
        <v/>
      </c>
      <c r="U2401" s="112">
        <f>IF($G2401="","",ROUND($G2401*$T2401,2))</f>
        <v/>
      </c>
      <c r="V2401" s="113">
        <f>IF($B2401="","",MONTH($B2401))</f>
        <v/>
      </c>
      <c r="W2401" s="113">
        <f>IF($B2401="","",YEAR($B2401))</f>
        <v/>
      </c>
    </row>
    <row r="2402">
      <c r="B2402" s="105" t="n"/>
      <c r="C2402" s="54" t="n"/>
      <c r="D2402" s="54" t="n"/>
      <c r="E2402" s="54" t="n"/>
      <c r="F2402" s="54" t="n"/>
      <c r="G2402" s="65" t="n"/>
      <c r="H2402" s="54" t="n"/>
      <c r="I2402" s="106">
        <f>IF($C2402="","",IFERROR(INDEX(Sens_Types,MATCH($C2402,Liste_Types,0)),""))</f>
        <v/>
      </c>
      <c r="J2402" s="107">
        <f>IF($I2402="▲ ENTRÉE",$U2402,"")</f>
        <v/>
      </c>
      <c r="K2402" s="108">
        <f>IF($I2402="▼ SORTIE",$U2402,"")</f>
        <v/>
      </c>
      <c r="L2402" s="109">
        <f>$L2401+N($J2402)-N($K2402)</f>
        <v/>
      </c>
      <c r="M2402" s="110" t="n"/>
      <c r="N2402" s="54" t="n"/>
      <c r="O2402" s="54" t="n"/>
      <c r="P2402" s="54" t="n"/>
      <c r="Q2402" s="110" t="n"/>
      <c r="R2402" s="110" t="n"/>
      <c r="S2402" s="54" t="n"/>
      <c r="T2402" s="111">
        <f>IF($G2402="","",IFERROR(INDEX(Taux_Devises,MATCH(IF($M2402="",Devise_Base,$M2402),Codes_Devises,0)),1))</f>
        <v/>
      </c>
      <c r="U2402" s="112">
        <f>IF($G2402="","",ROUND($G2402*$T2402,2))</f>
        <v/>
      </c>
      <c r="V2402" s="113">
        <f>IF($B2402="","",MONTH($B2402))</f>
        <v/>
      </c>
      <c r="W2402" s="113">
        <f>IF($B2402="","",YEAR($B2402))</f>
        <v/>
      </c>
    </row>
    <row r="2403">
      <c r="B2403" s="105" t="n"/>
      <c r="C2403" s="54" t="n"/>
      <c r="D2403" s="54" t="n"/>
      <c r="E2403" s="54" t="n"/>
      <c r="F2403" s="54" t="n"/>
      <c r="G2403" s="65" t="n"/>
      <c r="H2403" s="54" t="n"/>
      <c r="I2403" s="106">
        <f>IF($C2403="","",IFERROR(INDEX(Sens_Types,MATCH($C2403,Liste_Types,0)),""))</f>
        <v/>
      </c>
      <c r="J2403" s="107">
        <f>IF($I2403="▲ ENTRÉE",$U2403,"")</f>
        <v/>
      </c>
      <c r="K2403" s="108">
        <f>IF($I2403="▼ SORTIE",$U2403,"")</f>
        <v/>
      </c>
      <c r="L2403" s="109">
        <f>$L2402+N($J2403)-N($K2403)</f>
        <v/>
      </c>
      <c r="M2403" s="110" t="n"/>
      <c r="N2403" s="54" t="n"/>
      <c r="O2403" s="54" t="n"/>
      <c r="P2403" s="54" t="n"/>
      <c r="Q2403" s="110" t="n"/>
      <c r="R2403" s="110" t="n"/>
      <c r="S2403" s="54" t="n"/>
      <c r="T2403" s="111">
        <f>IF($G2403="","",IFERROR(INDEX(Taux_Devises,MATCH(IF($M2403="",Devise_Base,$M2403),Codes_Devises,0)),1))</f>
        <v/>
      </c>
      <c r="U2403" s="112">
        <f>IF($G2403="","",ROUND($G2403*$T2403,2))</f>
        <v/>
      </c>
      <c r="V2403" s="113">
        <f>IF($B2403="","",MONTH($B2403))</f>
        <v/>
      </c>
      <c r="W2403" s="113">
        <f>IF($B2403="","",YEAR($B2403))</f>
        <v/>
      </c>
    </row>
    <row r="2404">
      <c r="B2404" s="105" t="n"/>
      <c r="C2404" s="54" t="n"/>
      <c r="D2404" s="54" t="n"/>
      <c r="E2404" s="54" t="n"/>
      <c r="F2404" s="54" t="n"/>
      <c r="G2404" s="65" t="n"/>
      <c r="H2404" s="54" t="n"/>
      <c r="I2404" s="106">
        <f>IF($C2404="","",IFERROR(INDEX(Sens_Types,MATCH($C2404,Liste_Types,0)),""))</f>
        <v/>
      </c>
      <c r="J2404" s="107">
        <f>IF($I2404="▲ ENTRÉE",$U2404,"")</f>
        <v/>
      </c>
      <c r="K2404" s="108">
        <f>IF($I2404="▼ SORTIE",$U2404,"")</f>
        <v/>
      </c>
      <c r="L2404" s="109">
        <f>$L2403+N($J2404)-N($K2404)</f>
        <v/>
      </c>
      <c r="M2404" s="110" t="n"/>
      <c r="N2404" s="54" t="n"/>
      <c r="O2404" s="54" t="n"/>
      <c r="P2404" s="54" t="n"/>
      <c r="Q2404" s="110" t="n"/>
      <c r="R2404" s="110" t="n"/>
      <c r="S2404" s="54" t="n"/>
      <c r="T2404" s="111">
        <f>IF($G2404="","",IFERROR(INDEX(Taux_Devises,MATCH(IF($M2404="",Devise_Base,$M2404),Codes_Devises,0)),1))</f>
        <v/>
      </c>
      <c r="U2404" s="112">
        <f>IF($G2404="","",ROUND($G2404*$T2404,2))</f>
        <v/>
      </c>
      <c r="V2404" s="113">
        <f>IF($B2404="","",MONTH($B2404))</f>
        <v/>
      </c>
      <c r="W2404" s="113">
        <f>IF($B2404="","",YEAR($B2404))</f>
        <v/>
      </c>
    </row>
    <row r="2405">
      <c r="B2405" s="105" t="n"/>
      <c r="C2405" s="54" t="n"/>
      <c r="D2405" s="54" t="n"/>
      <c r="E2405" s="54" t="n"/>
      <c r="F2405" s="54" t="n"/>
      <c r="G2405" s="65" t="n"/>
      <c r="H2405" s="54" t="n"/>
      <c r="I2405" s="106">
        <f>IF($C2405="","",IFERROR(INDEX(Sens_Types,MATCH($C2405,Liste_Types,0)),""))</f>
        <v/>
      </c>
      <c r="J2405" s="107">
        <f>IF($I2405="▲ ENTRÉE",$U2405,"")</f>
        <v/>
      </c>
      <c r="K2405" s="108">
        <f>IF($I2405="▼ SORTIE",$U2405,"")</f>
        <v/>
      </c>
      <c r="L2405" s="109">
        <f>$L2404+N($J2405)-N($K2405)</f>
        <v/>
      </c>
      <c r="M2405" s="110" t="n"/>
      <c r="N2405" s="54" t="n"/>
      <c r="O2405" s="54" t="n"/>
      <c r="P2405" s="54" t="n"/>
      <c r="Q2405" s="110" t="n"/>
      <c r="R2405" s="110" t="n"/>
      <c r="S2405" s="54" t="n"/>
      <c r="T2405" s="111">
        <f>IF($G2405="","",IFERROR(INDEX(Taux_Devises,MATCH(IF($M2405="",Devise_Base,$M2405),Codes_Devises,0)),1))</f>
        <v/>
      </c>
      <c r="U2405" s="112">
        <f>IF($G2405="","",ROUND($G2405*$T2405,2))</f>
        <v/>
      </c>
      <c r="V2405" s="113">
        <f>IF($B2405="","",MONTH($B2405))</f>
        <v/>
      </c>
      <c r="W2405" s="113">
        <f>IF($B2405="","",YEAR($B2405))</f>
        <v/>
      </c>
    </row>
    <row r="2406">
      <c r="B2406" s="105" t="n"/>
      <c r="C2406" s="54" t="n"/>
      <c r="D2406" s="54" t="n"/>
      <c r="E2406" s="54" t="n"/>
      <c r="F2406" s="54" t="n"/>
      <c r="G2406" s="65" t="n"/>
      <c r="H2406" s="54" t="n"/>
      <c r="I2406" s="106">
        <f>IF($C2406="","",IFERROR(INDEX(Sens_Types,MATCH($C2406,Liste_Types,0)),""))</f>
        <v/>
      </c>
      <c r="J2406" s="107">
        <f>IF($I2406="▲ ENTRÉE",$U2406,"")</f>
        <v/>
      </c>
      <c r="K2406" s="108">
        <f>IF($I2406="▼ SORTIE",$U2406,"")</f>
        <v/>
      </c>
      <c r="L2406" s="109">
        <f>$L2405+N($J2406)-N($K2406)</f>
        <v/>
      </c>
      <c r="M2406" s="110" t="n"/>
      <c r="N2406" s="54" t="n"/>
      <c r="O2406" s="54" t="n"/>
      <c r="P2406" s="54" t="n"/>
      <c r="Q2406" s="110" t="n"/>
      <c r="R2406" s="110" t="n"/>
      <c r="S2406" s="54" t="n"/>
      <c r="T2406" s="111">
        <f>IF($G2406="","",IFERROR(INDEX(Taux_Devises,MATCH(IF($M2406="",Devise_Base,$M2406),Codes_Devises,0)),1))</f>
        <v/>
      </c>
      <c r="U2406" s="112">
        <f>IF($G2406="","",ROUND($G2406*$T2406,2))</f>
        <v/>
      </c>
      <c r="V2406" s="113">
        <f>IF($B2406="","",MONTH($B2406))</f>
        <v/>
      </c>
      <c r="W2406" s="113">
        <f>IF($B2406="","",YEAR($B2406))</f>
        <v/>
      </c>
    </row>
    <row r="2407">
      <c r="B2407" s="105" t="n"/>
      <c r="C2407" s="54" t="n"/>
      <c r="D2407" s="54" t="n"/>
      <c r="E2407" s="54" t="n"/>
      <c r="F2407" s="54" t="n"/>
      <c r="G2407" s="65" t="n"/>
      <c r="H2407" s="54" t="n"/>
      <c r="I2407" s="106">
        <f>IF($C2407="","",IFERROR(INDEX(Sens_Types,MATCH($C2407,Liste_Types,0)),""))</f>
        <v/>
      </c>
      <c r="J2407" s="107">
        <f>IF($I2407="▲ ENTRÉE",$U2407,"")</f>
        <v/>
      </c>
      <c r="K2407" s="108">
        <f>IF($I2407="▼ SORTIE",$U2407,"")</f>
        <v/>
      </c>
      <c r="L2407" s="109">
        <f>$L2406+N($J2407)-N($K2407)</f>
        <v/>
      </c>
      <c r="M2407" s="110" t="n"/>
      <c r="N2407" s="54" t="n"/>
      <c r="O2407" s="54" t="n"/>
      <c r="P2407" s="54" t="n"/>
      <c r="Q2407" s="110" t="n"/>
      <c r="R2407" s="110" t="n"/>
      <c r="S2407" s="54" t="n"/>
      <c r="T2407" s="111">
        <f>IF($G2407="","",IFERROR(INDEX(Taux_Devises,MATCH(IF($M2407="",Devise_Base,$M2407),Codes_Devises,0)),1))</f>
        <v/>
      </c>
      <c r="U2407" s="112">
        <f>IF($G2407="","",ROUND($G2407*$T2407,2))</f>
        <v/>
      </c>
      <c r="V2407" s="113">
        <f>IF($B2407="","",MONTH($B2407))</f>
        <v/>
      </c>
      <c r="W2407" s="113">
        <f>IF($B2407="","",YEAR($B2407))</f>
        <v/>
      </c>
    </row>
    <row r="2408">
      <c r="B2408" s="105" t="n"/>
      <c r="C2408" s="54" t="n"/>
      <c r="D2408" s="54" t="n"/>
      <c r="E2408" s="54" t="n"/>
      <c r="F2408" s="54" t="n"/>
      <c r="G2408" s="65" t="n"/>
      <c r="H2408" s="54" t="n"/>
      <c r="I2408" s="106">
        <f>IF($C2408="","",IFERROR(INDEX(Sens_Types,MATCH($C2408,Liste_Types,0)),""))</f>
        <v/>
      </c>
      <c r="J2408" s="107">
        <f>IF($I2408="▲ ENTRÉE",$U2408,"")</f>
        <v/>
      </c>
      <c r="K2408" s="108">
        <f>IF($I2408="▼ SORTIE",$U2408,"")</f>
        <v/>
      </c>
      <c r="L2408" s="109">
        <f>$L2407+N($J2408)-N($K2408)</f>
        <v/>
      </c>
      <c r="M2408" s="110" t="n"/>
      <c r="N2408" s="54" t="n"/>
      <c r="O2408" s="54" t="n"/>
      <c r="P2408" s="54" t="n"/>
      <c r="Q2408" s="110" t="n"/>
      <c r="R2408" s="110" t="n"/>
      <c r="S2408" s="54" t="n"/>
      <c r="T2408" s="111">
        <f>IF($G2408="","",IFERROR(INDEX(Taux_Devises,MATCH(IF($M2408="",Devise_Base,$M2408),Codes_Devises,0)),1))</f>
        <v/>
      </c>
      <c r="U2408" s="112">
        <f>IF($G2408="","",ROUND($G2408*$T2408,2))</f>
        <v/>
      </c>
      <c r="V2408" s="113">
        <f>IF($B2408="","",MONTH($B2408))</f>
        <v/>
      </c>
      <c r="W2408" s="113">
        <f>IF($B2408="","",YEAR($B2408))</f>
        <v/>
      </c>
    </row>
    <row r="2409">
      <c r="B2409" s="105" t="n"/>
      <c r="C2409" s="54" t="n"/>
      <c r="D2409" s="54" t="n"/>
      <c r="E2409" s="54" t="n"/>
      <c r="F2409" s="54" t="n"/>
      <c r="G2409" s="65" t="n"/>
      <c r="H2409" s="54" t="n"/>
      <c r="I2409" s="106">
        <f>IF($C2409="","",IFERROR(INDEX(Sens_Types,MATCH($C2409,Liste_Types,0)),""))</f>
        <v/>
      </c>
      <c r="J2409" s="107">
        <f>IF($I2409="▲ ENTRÉE",$U2409,"")</f>
        <v/>
      </c>
      <c r="K2409" s="108">
        <f>IF($I2409="▼ SORTIE",$U2409,"")</f>
        <v/>
      </c>
      <c r="L2409" s="109">
        <f>$L2408+N($J2409)-N($K2409)</f>
        <v/>
      </c>
      <c r="M2409" s="110" t="n"/>
      <c r="N2409" s="54" t="n"/>
      <c r="O2409" s="54" t="n"/>
      <c r="P2409" s="54" t="n"/>
      <c r="Q2409" s="110" t="n"/>
      <c r="R2409" s="110" t="n"/>
      <c r="S2409" s="54" t="n"/>
      <c r="T2409" s="111">
        <f>IF($G2409="","",IFERROR(INDEX(Taux_Devises,MATCH(IF($M2409="",Devise_Base,$M2409),Codes_Devises,0)),1))</f>
        <v/>
      </c>
      <c r="U2409" s="112">
        <f>IF($G2409="","",ROUND($G2409*$T2409,2))</f>
        <v/>
      </c>
      <c r="V2409" s="113">
        <f>IF($B2409="","",MONTH($B2409))</f>
        <v/>
      </c>
      <c r="W2409" s="113">
        <f>IF($B2409="","",YEAR($B2409))</f>
        <v/>
      </c>
    </row>
    <row r="2410">
      <c r="B2410" s="105" t="n"/>
      <c r="C2410" s="54" t="n"/>
      <c r="D2410" s="54" t="n"/>
      <c r="E2410" s="54" t="n"/>
      <c r="F2410" s="54" t="n"/>
      <c r="G2410" s="65" t="n"/>
      <c r="H2410" s="54" t="n"/>
      <c r="I2410" s="106">
        <f>IF($C2410="","",IFERROR(INDEX(Sens_Types,MATCH($C2410,Liste_Types,0)),""))</f>
        <v/>
      </c>
      <c r="J2410" s="107">
        <f>IF($I2410="▲ ENTRÉE",$U2410,"")</f>
        <v/>
      </c>
      <c r="K2410" s="108">
        <f>IF($I2410="▼ SORTIE",$U2410,"")</f>
        <v/>
      </c>
      <c r="L2410" s="109">
        <f>$L2409+N($J2410)-N($K2410)</f>
        <v/>
      </c>
      <c r="M2410" s="110" t="n"/>
      <c r="N2410" s="54" t="n"/>
      <c r="O2410" s="54" t="n"/>
      <c r="P2410" s="54" t="n"/>
      <c r="Q2410" s="110" t="n"/>
      <c r="R2410" s="110" t="n"/>
      <c r="S2410" s="54" t="n"/>
      <c r="T2410" s="111">
        <f>IF($G2410="","",IFERROR(INDEX(Taux_Devises,MATCH(IF($M2410="",Devise_Base,$M2410),Codes_Devises,0)),1))</f>
        <v/>
      </c>
      <c r="U2410" s="112">
        <f>IF($G2410="","",ROUND($G2410*$T2410,2))</f>
        <v/>
      </c>
      <c r="V2410" s="113">
        <f>IF($B2410="","",MONTH($B2410))</f>
        <v/>
      </c>
      <c r="W2410" s="113">
        <f>IF($B2410="","",YEAR($B2410))</f>
        <v/>
      </c>
    </row>
    <row r="2411">
      <c r="B2411" s="105" t="n"/>
      <c r="C2411" s="54" t="n"/>
      <c r="D2411" s="54" t="n"/>
      <c r="E2411" s="54" t="n"/>
      <c r="F2411" s="54" t="n"/>
      <c r="G2411" s="65" t="n"/>
      <c r="H2411" s="54" t="n"/>
      <c r="I2411" s="106">
        <f>IF($C2411="","",IFERROR(INDEX(Sens_Types,MATCH($C2411,Liste_Types,0)),""))</f>
        <v/>
      </c>
      <c r="J2411" s="107">
        <f>IF($I2411="▲ ENTRÉE",$U2411,"")</f>
        <v/>
      </c>
      <c r="K2411" s="108">
        <f>IF($I2411="▼ SORTIE",$U2411,"")</f>
        <v/>
      </c>
      <c r="L2411" s="109">
        <f>$L2410+N($J2411)-N($K2411)</f>
        <v/>
      </c>
      <c r="M2411" s="110" t="n"/>
      <c r="N2411" s="54" t="n"/>
      <c r="O2411" s="54" t="n"/>
      <c r="P2411" s="54" t="n"/>
      <c r="Q2411" s="110" t="n"/>
      <c r="R2411" s="110" t="n"/>
      <c r="S2411" s="54" t="n"/>
      <c r="T2411" s="111">
        <f>IF($G2411="","",IFERROR(INDEX(Taux_Devises,MATCH(IF($M2411="",Devise_Base,$M2411),Codes_Devises,0)),1))</f>
        <v/>
      </c>
      <c r="U2411" s="112">
        <f>IF($G2411="","",ROUND($G2411*$T2411,2))</f>
        <v/>
      </c>
      <c r="V2411" s="113">
        <f>IF($B2411="","",MONTH($B2411))</f>
        <v/>
      </c>
      <c r="W2411" s="113">
        <f>IF($B2411="","",YEAR($B2411))</f>
        <v/>
      </c>
    </row>
    <row r="2412">
      <c r="B2412" s="105" t="n"/>
      <c r="C2412" s="54" t="n"/>
      <c r="D2412" s="54" t="n"/>
      <c r="E2412" s="54" t="n"/>
      <c r="F2412" s="54" t="n"/>
      <c r="G2412" s="65" t="n"/>
      <c r="H2412" s="54" t="n"/>
      <c r="I2412" s="106">
        <f>IF($C2412="","",IFERROR(INDEX(Sens_Types,MATCH($C2412,Liste_Types,0)),""))</f>
        <v/>
      </c>
      <c r="J2412" s="107">
        <f>IF($I2412="▲ ENTRÉE",$U2412,"")</f>
        <v/>
      </c>
      <c r="K2412" s="108">
        <f>IF($I2412="▼ SORTIE",$U2412,"")</f>
        <v/>
      </c>
      <c r="L2412" s="109">
        <f>$L2411+N($J2412)-N($K2412)</f>
        <v/>
      </c>
      <c r="M2412" s="110" t="n"/>
      <c r="N2412" s="54" t="n"/>
      <c r="O2412" s="54" t="n"/>
      <c r="P2412" s="54" t="n"/>
      <c r="Q2412" s="110" t="n"/>
      <c r="R2412" s="110" t="n"/>
      <c r="S2412" s="54" t="n"/>
      <c r="T2412" s="111">
        <f>IF($G2412="","",IFERROR(INDEX(Taux_Devises,MATCH(IF($M2412="",Devise_Base,$M2412),Codes_Devises,0)),1))</f>
        <v/>
      </c>
      <c r="U2412" s="112">
        <f>IF($G2412="","",ROUND($G2412*$T2412,2))</f>
        <v/>
      </c>
      <c r="V2412" s="113">
        <f>IF($B2412="","",MONTH($B2412))</f>
        <v/>
      </c>
      <c r="W2412" s="113">
        <f>IF($B2412="","",YEAR($B2412))</f>
        <v/>
      </c>
    </row>
    <row r="2413">
      <c r="B2413" s="105" t="n"/>
      <c r="C2413" s="54" t="n"/>
      <c r="D2413" s="54" t="n"/>
      <c r="E2413" s="54" t="n"/>
      <c r="F2413" s="54" t="n"/>
      <c r="G2413" s="65" t="n"/>
      <c r="H2413" s="54" t="n"/>
      <c r="I2413" s="106">
        <f>IF($C2413="","",IFERROR(INDEX(Sens_Types,MATCH($C2413,Liste_Types,0)),""))</f>
        <v/>
      </c>
      <c r="J2413" s="107">
        <f>IF($I2413="▲ ENTRÉE",$U2413,"")</f>
        <v/>
      </c>
      <c r="K2413" s="108">
        <f>IF($I2413="▼ SORTIE",$U2413,"")</f>
        <v/>
      </c>
      <c r="L2413" s="109">
        <f>$L2412+N($J2413)-N($K2413)</f>
        <v/>
      </c>
      <c r="M2413" s="110" t="n"/>
      <c r="N2413" s="54" t="n"/>
      <c r="O2413" s="54" t="n"/>
      <c r="P2413" s="54" t="n"/>
      <c r="Q2413" s="110" t="n"/>
      <c r="R2413" s="110" t="n"/>
      <c r="S2413" s="54" t="n"/>
      <c r="T2413" s="111">
        <f>IF($G2413="","",IFERROR(INDEX(Taux_Devises,MATCH(IF($M2413="",Devise_Base,$M2413),Codes_Devises,0)),1))</f>
        <v/>
      </c>
      <c r="U2413" s="112">
        <f>IF($G2413="","",ROUND($G2413*$T2413,2))</f>
        <v/>
      </c>
      <c r="V2413" s="113">
        <f>IF($B2413="","",MONTH($B2413))</f>
        <v/>
      </c>
      <c r="W2413" s="113">
        <f>IF($B2413="","",YEAR($B2413))</f>
        <v/>
      </c>
    </row>
    <row r="2414">
      <c r="B2414" s="105" t="n"/>
      <c r="C2414" s="54" t="n"/>
      <c r="D2414" s="54" t="n"/>
      <c r="E2414" s="54" t="n"/>
      <c r="F2414" s="54" t="n"/>
      <c r="G2414" s="65" t="n"/>
      <c r="H2414" s="54" t="n"/>
      <c r="I2414" s="106">
        <f>IF($C2414="","",IFERROR(INDEX(Sens_Types,MATCH($C2414,Liste_Types,0)),""))</f>
        <v/>
      </c>
      <c r="J2414" s="107">
        <f>IF($I2414="▲ ENTRÉE",$U2414,"")</f>
        <v/>
      </c>
      <c r="K2414" s="108">
        <f>IF($I2414="▼ SORTIE",$U2414,"")</f>
        <v/>
      </c>
      <c r="L2414" s="109">
        <f>$L2413+N($J2414)-N($K2414)</f>
        <v/>
      </c>
      <c r="M2414" s="110" t="n"/>
      <c r="N2414" s="54" t="n"/>
      <c r="O2414" s="54" t="n"/>
      <c r="P2414" s="54" t="n"/>
      <c r="Q2414" s="110" t="n"/>
      <c r="R2414" s="110" t="n"/>
      <c r="S2414" s="54" t="n"/>
      <c r="T2414" s="111">
        <f>IF($G2414="","",IFERROR(INDEX(Taux_Devises,MATCH(IF($M2414="",Devise_Base,$M2414),Codes_Devises,0)),1))</f>
        <v/>
      </c>
      <c r="U2414" s="112">
        <f>IF($G2414="","",ROUND($G2414*$T2414,2))</f>
        <v/>
      </c>
      <c r="V2414" s="113">
        <f>IF($B2414="","",MONTH($B2414))</f>
        <v/>
      </c>
      <c r="W2414" s="113">
        <f>IF($B2414="","",YEAR($B2414))</f>
        <v/>
      </c>
    </row>
    <row r="2415">
      <c r="B2415" s="105" t="n"/>
      <c r="C2415" s="54" t="n"/>
      <c r="D2415" s="54" t="n"/>
      <c r="E2415" s="54" t="n"/>
      <c r="F2415" s="54" t="n"/>
      <c r="G2415" s="65" t="n"/>
      <c r="H2415" s="54" t="n"/>
      <c r="I2415" s="106">
        <f>IF($C2415="","",IFERROR(INDEX(Sens_Types,MATCH($C2415,Liste_Types,0)),""))</f>
        <v/>
      </c>
      <c r="J2415" s="107">
        <f>IF($I2415="▲ ENTRÉE",$U2415,"")</f>
        <v/>
      </c>
      <c r="K2415" s="108">
        <f>IF($I2415="▼ SORTIE",$U2415,"")</f>
        <v/>
      </c>
      <c r="L2415" s="109">
        <f>$L2414+N($J2415)-N($K2415)</f>
        <v/>
      </c>
      <c r="M2415" s="110" t="n"/>
      <c r="N2415" s="54" t="n"/>
      <c r="O2415" s="54" t="n"/>
      <c r="P2415" s="54" t="n"/>
      <c r="Q2415" s="110" t="n"/>
      <c r="R2415" s="110" t="n"/>
      <c r="S2415" s="54" t="n"/>
      <c r="T2415" s="111">
        <f>IF($G2415="","",IFERROR(INDEX(Taux_Devises,MATCH(IF($M2415="",Devise_Base,$M2415),Codes_Devises,0)),1))</f>
        <v/>
      </c>
      <c r="U2415" s="112">
        <f>IF($G2415="","",ROUND($G2415*$T2415,2))</f>
        <v/>
      </c>
      <c r="V2415" s="113">
        <f>IF($B2415="","",MONTH($B2415))</f>
        <v/>
      </c>
      <c r="W2415" s="113">
        <f>IF($B2415="","",YEAR($B2415))</f>
        <v/>
      </c>
    </row>
    <row r="2416">
      <c r="B2416" s="105" t="n"/>
      <c r="C2416" s="54" t="n"/>
      <c r="D2416" s="54" t="n"/>
      <c r="E2416" s="54" t="n"/>
      <c r="F2416" s="54" t="n"/>
      <c r="G2416" s="65" t="n"/>
      <c r="H2416" s="54" t="n"/>
      <c r="I2416" s="106">
        <f>IF($C2416="","",IFERROR(INDEX(Sens_Types,MATCH($C2416,Liste_Types,0)),""))</f>
        <v/>
      </c>
      <c r="J2416" s="107">
        <f>IF($I2416="▲ ENTRÉE",$U2416,"")</f>
        <v/>
      </c>
      <c r="K2416" s="108">
        <f>IF($I2416="▼ SORTIE",$U2416,"")</f>
        <v/>
      </c>
      <c r="L2416" s="109">
        <f>$L2415+N($J2416)-N($K2416)</f>
        <v/>
      </c>
      <c r="M2416" s="110" t="n"/>
      <c r="N2416" s="54" t="n"/>
      <c r="O2416" s="54" t="n"/>
      <c r="P2416" s="54" t="n"/>
      <c r="Q2416" s="110" t="n"/>
      <c r="R2416" s="110" t="n"/>
      <c r="S2416" s="54" t="n"/>
      <c r="T2416" s="111">
        <f>IF($G2416="","",IFERROR(INDEX(Taux_Devises,MATCH(IF($M2416="",Devise_Base,$M2416),Codes_Devises,0)),1))</f>
        <v/>
      </c>
      <c r="U2416" s="112">
        <f>IF($G2416="","",ROUND($G2416*$T2416,2))</f>
        <v/>
      </c>
      <c r="V2416" s="113">
        <f>IF($B2416="","",MONTH($B2416))</f>
        <v/>
      </c>
      <c r="W2416" s="113">
        <f>IF($B2416="","",YEAR($B2416))</f>
        <v/>
      </c>
    </row>
    <row r="2417">
      <c r="B2417" s="105" t="n"/>
      <c r="C2417" s="54" t="n"/>
      <c r="D2417" s="54" t="n"/>
      <c r="E2417" s="54" t="n"/>
      <c r="F2417" s="54" t="n"/>
      <c r="G2417" s="65" t="n"/>
      <c r="H2417" s="54" t="n"/>
      <c r="I2417" s="106">
        <f>IF($C2417="","",IFERROR(INDEX(Sens_Types,MATCH($C2417,Liste_Types,0)),""))</f>
        <v/>
      </c>
      <c r="J2417" s="107">
        <f>IF($I2417="▲ ENTRÉE",$U2417,"")</f>
        <v/>
      </c>
      <c r="K2417" s="108">
        <f>IF($I2417="▼ SORTIE",$U2417,"")</f>
        <v/>
      </c>
      <c r="L2417" s="109">
        <f>$L2416+N($J2417)-N($K2417)</f>
        <v/>
      </c>
      <c r="M2417" s="110" t="n"/>
      <c r="N2417" s="54" t="n"/>
      <c r="O2417" s="54" t="n"/>
      <c r="P2417" s="54" t="n"/>
      <c r="Q2417" s="110" t="n"/>
      <c r="R2417" s="110" t="n"/>
      <c r="S2417" s="54" t="n"/>
      <c r="T2417" s="111">
        <f>IF($G2417="","",IFERROR(INDEX(Taux_Devises,MATCH(IF($M2417="",Devise_Base,$M2417),Codes_Devises,0)),1))</f>
        <v/>
      </c>
      <c r="U2417" s="112">
        <f>IF($G2417="","",ROUND($G2417*$T2417,2))</f>
        <v/>
      </c>
      <c r="V2417" s="113">
        <f>IF($B2417="","",MONTH($B2417))</f>
        <v/>
      </c>
      <c r="W2417" s="113">
        <f>IF($B2417="","",YEAR($B2417))</f>
        <v/>
      </c>
    </row>
    <row r="2418">
      <c r="B2418" s="105" t="n"/>
      <c r="C2418" s="54" t="n"/>
      <c r="D2418" s="54" t="n"/>
      <c r="E2418" s="54" t="n"/>
      <c r="F2418" s="54" t="n"/>
      <c r="G2418" s="65" t="n"/>
      <c r="H2418" s="54" t="n"/>
      <c r="I2418" s="106">
        <f>IF($C2418="","",IFERROR(INDEX(Sens_Types,MATCH($C2418,Liste_Types,0)),""))</f>
        <v/>
      </c>
      <c r="J2418" s="107">
        <f>IF($I2418="▲ ENTRÉE",$U2418,"")</f>
        <v/>
      </c>
      <c r="K2418" s="108">
        <f>IF($I2418="▼ SORTIE",$U2418,"")</f>
        <v/>
      </c>
      <c r="L2418" s="109">
        <f>$L2417+N($J2418)-N($K2418)</f>
        <v/>
      </c>
      <c r="M2418" s="110" t="n"/>
      <c r="N2418" s="54" t="n"/>
      <c r="O2418" s="54" t="n"/>
      <c r="P2418" s="54" t="n"/>
      <c r="Q2418" s="110" t="n"/>
      <c r="R2418" s="110" t="n"/>
      <c r="S2418" s="54" t="n"/>
      <c r="T2418" s="111">
        <f>IF($G2418="","",IFERROR(INDEX(Taux_Devises,MATCH(IF($M2418="",Devise_Base,$M2418),Codes_Devises,0)),1))</f>
        <v/>
      </c>
      <c r="U2418" s="112">
        <f>IF($G2418="","",ROUND($G2418*$T2418,2))</f>
        <v/>
      </c>
      <c r="V2418" s="113">
        <f>IF($B2418="","",MONTH($B2418))</f>
        <v/>
      </c>
      <c r="W2418" s="113">
        <f>IF($B2418="","",YEAR($B2418))</f>
        <v/>
      </c>
    </row>
    <row r="2419">
      <c r="B2419" s="105" t="n"/>
      <c r="C2419" s="54" t="n"/>
      <c r="D2419" s="54" t="n"/>
      <c r="E2419" s="54" t="n"/>
      <c r="F2419" s="54" t="n"/>
      <c r="G2419" s="65" t="n"/>
      <c r="H2419" s="54" t="n"/>
      <c r="I2419" s="106">
        <f>IF($C2419="","",IFERROR(INDEX(Sens_Types,MATCH($C2419,Liste_Types,0)),""))</f>
        <v/>
      </c>
      <c r="J2419" s="107">
        <f>IF($I2419="▲ ENTRÉE",$U2419,"")</f>
        <v/>
      </c>
      <c r="K2419" s="108">
        <f>IF($I2419="▼ SORTIE",$U2419,"")</f>
        <v/>
      </c>
      <c r="L2419" s="109">
        <f>$L2418+N($J2419)-N($K2419)</f>
        <v/>
      </c>
      <c r="M2419" s="110" t="n"/>
      <c r="N2419" s="54" t="n"/>
      <c r="O2419" s="54" t="n"/>
      <c r="P2419" s="54" t="n"/>
      <c r="Q2419" s="110" t="n"/>
      <c r="R2419" s="110" t="n"/>
      <c r="S2419" s="54" t="n"/>
      <c r="T2419" s="111">
        <f>IF($G2419="","",IFERROR(INDEX(Taux_Devises,MATCH(IF($M2419="",Devise_Base,$M2419),Codes_Devises,0)),1))</f>
        <v/>
      </c>
      <c r="U2419" s="112">
        <f>IF($G2419="","",ROUND($G2419*$T2419,2))</f>
        <v/>
      </c>
      <c r="V2419" s="113">
        <f>IF($B2419="","",MONTH($B2419))</f>
        <v/>
      </c>
      <c r="W2419" s="113">
        <f>IF($B2419="","",YEAR($B2419))</f>
        <v/>
      </c>
    </row>
    <row r="2420">
      <c r="B2420" s="105" t="n"/>
      <c r="C2420" s="54" t="n"/>
      <c r="D2420" s="54" t="n"/>
      <c r="E2420" s="54" t="n"/>
      <c r="F2420" s="54" t="n"/>
      <c r="G2420" s="65" t="n"/>
      <c r="H2420" s="54" t="n"/>
      <c r="I2420" s="106">
        <f>IF($C2420="","",IFERROR(INDEX(Sens_Types,MATCH($C2420,Liste_Types,0)),""))</f>
        <v/>
      </c>
      <c r="J2420" s="107">
        <f>IF($I2420="▲ ENTRÉE",$U2420,"")</f>
        <v/>
      </c>
      <c r="K2420" s="108">
        <f>IF($I2420="▼ SORTIE",$U2420,"")</f>
        <v/>
      </c>
      <c r="L2420" s="109">
        <f>$L2419+N($J2420)-N($K2420)</f>
        <v/>
      </c>
      <c r="M2420" s="110" t="n"/>
      <c r="N2420" s="54" t="n"/>
      <c r="O2420" s="54" t="n"/>
      <c r="P2420" s="54" t="n"/>
      <c r="Q2420" s="110" t="n"/>
      <c r="R2420" s="110" t="n"/>
      <c r="S2420" s="54" t="n"/>
      <c r="T2420" s="111">
        <f>IF($G2420="","",IFERROR(INDEX(Taux_Devises,MATCH(IF($M2420="",Devise_Base,$M2420),Codes_Devises,0)),1))</f>
        <v/>
      </c>
      <c r="U2420" s="112">
        <f>IF($G2420="","",ROUND($G2420*$T2420,2))</f>
        <v/>
      </c>
      <c r="V2420" s="113">
        <f>IF($B2420="","",MONTH($B2420))</f>
        <v/>
      </c>
      <c r="W2420" s="113">
        <f>IF($B2420="","",YEAR($B2420))</f>
        <v/>
      </c>
    </row>
    <row r="2421">
      <c r="B2421" s="105" t="n"/>
      <c r="C2421" s="54" t="n"/>
      <c r="D2421" s="54" t="n"/>
      <c r="E2421" s="54" t="n"/>
      <c r="F2421" s="54" t="n"/>
      <c r="G2421" s="65" t="n"/>
      <c r="H2421" s="54" t="n"/>
      <c r="I2421" s="106">
        <f>IF($C2421="","",IFERROR(INDEX(Sens_Types,MATCH($C2421,Liste_Types,0)),""))</f>
        <v/>
      </c>
      <c r="J2421" s="107">
        <f>IF($I2421="▲ ENTRÉE",$U2421,"")</f>
        <v/>
      </c>
      <c r="K2421" s="108">
        <f>IF($I2421="▼ SORTIE",$U2421,"")</f>
        <v/>
      </c>
      <c r="L2421" s="109">
        <f>$L2420+N($J2421)-N($K2421)</f>
        <v/>
      </c>
      <c r="M2421" s="110" t="n"/>
      <c r="N2421" s="54" t="n"/>
      <c r="O2421" s="54" t="n"/>
      <c r="P2421" s="54" t="n"/>
      <c r="Q2421" s="110" t="n"/>
      <c r="R2421" s="110" t="n"/>
      <c r="S2421" s="54" t="n"/>
      <c r="T2421" s="111">
        <f>IF($G2421="","",IFERROR(INDEX(Taux_Devises,MATCH(IF($M2421="",Devise_Base,$M2421),Codes_Devises,0)),1))</f>
        <v/>
      </c>
      <c r="U2421" s="112">
        <f>IF($G2421="","",ROUND($G2421*$T2421,2))</f>
        <v/>
      </c>
      <c r="V2421" s="113">
        <f>IF($B2421="","",MONTH($B2421))</f>
        <v/>
      </c>
      <c r="W2421" s="113">
        <f>IF($B2421="","",YEAR($B2421))</f>
        <v/>
      </c>
    </row>
    <row r="2422">
      <c r="B2422" s="105" t="n"/>
      <c r="C2422" s="54" t="n"/>
      <c r="D2422" s="54" t="n"/>
      <c r="E2422" s="54" t="n"/>
      <c r="F2422" s="54" t="n"/>
      <c r="G2422" s="65" t="n"/>
      <c r="H2422" s="54" t="n"/>
      <c r="I2422" s="106">
        <f>IF($C2422="","",IFERROR(INDEX(Sens_Types,MATCH($C2422,Liste_Types,0)),""))</f>
        <v/>
      </c>
      <c r="J2422" s="107">
        <f>IF($I2422="▲ ENTRÉE",$U2422,"")</f>
        <v/>
      </c>
      <c r="K2422" s="108">
        <f>IF($I2422="▼ SORTIE",$U2422,"")</f>
        <v/>
      </c>
      <c r="L2422" s="109">
        <f>$L2421+N($J2422)-N($K2422)</f>
        <v/>
      </c>
      <c r="M2422" s="110" t="n"/>
      <c r="N2422" s="54" t="n"/>
      <c r="O2422" s="54" t="n"/>
      <c r="P2422" s="54" t="n"/>
      <c r="Q2422" s="110" t="n"/>
      <c r="R2422" s="110" t="n"/>
      <c r="S2422" s="54" t="n"/>
      <c r="T2422" s="111">
        <f>IF($G2422="","",IFERROR(INDEX(Taux_Devises,MATCH(IF($M2422="",Devise_Base,$M2422),Codes_Devises,0)),1))</f>
        <v/>
      </c>
      <c r="U2422" s="112">
        <f>IF($G2422="","",ROUND($G2422*$T2422,2))</f>
        <v/>
      </c>
      <c r="V2422" s="113">
        <f>IF($B2422="","",MONTH($B2422))</f>
        <v/>
      </c>
      <c r="W2422" s="113">
        <f>IF($B2422="","",YEAR($B2422))</f>
        <v/>
      </c>
    </row>
    <row r="2423">
      <c r="B2423" s="105" t="n"/>
      <c r="C2423" s="54" t="n"/>
      <c r="D2423" s="54" t="n"/>
      <c r="E2423" s="54" t="n"/>
      <c r="F2423" s="54" t="n"/>
      <c r="G2423" s="65" t="n"/>
      <c r="H2423" s="54" t="n"/>
      <c r="I2423" s="106">
        <f>IF($C2423="","",IFERROR(INDEX(Sens_Types,MATCH($C2423,Liste_Types,0)),""))</f>
        <v/>
      </c>
      <c r="J2423" s="107">
        <f>IF($I2423="▲ ENTRÉE",$U2423,"")</f>
        <v/>
      </c>
      <c r="K2423" s="108">
        <f>IF($I2423="▼ SORTIE",$U2423,"")</f>
        <v/>
      </c>
      <c r="L2423" s="109">
        <f>$L2422+N($J2423)-N($K2423)</f>
        <v/>
      </c>
      <c r="M2423" s="110" t="n"/>
      <c r="N2423" s="54" t="n"/>
      <c r="O2423" s="54" t="n"/>
      <c r="P2423" s="54" t="n"/>
      <c r="Q2423" s="110" t="n"/>
      <c r="R2423" s="110" t="n"/>
      <c r="S2423" s="54" t="n"/>
      <c r="T2423" s="111">
        <f>IF($G2423="","",IFERROR(INDEX(Taux_Devises,MATCH(IF($M2423="",Devise_Base,$M2423),Codes_Devises,0)),1))</f>
        <v/>
      </c>
      <c r="U2423" s="112">
        <f>IF($G2423="","",ROUND($G2423*$T2423,2))</f>
        <v/>
      </c>
      <c r="V2423" s="113">
        <f>IF($B2423="","",MONTH($B2423))</f>
        <v/>
      </c>
      <c r="W2423" s="113">
        <f>IF($B2423="","",YEAR($B2423))</f>
        <v/>
      </c>
    </row>
    <row r="2424">
      <c r="B2424" s="105" t="n"/>
      <c r="C2424" s="54" t="n"/>
      <c r="D2424" s="54" t="n"/>
      <c r="E2424" s="54" t="n"/>
      <c r="F2424" s="54" t="n"/>
      <c r="G2424" s="65" t="n"/>
      <c r="H2424" s="54" t="n"/>
      <c r="I2424" s="106">
        <f>IF($C2424="","",IFERROR(INDEX(Sens_Types,MATCH($C2424,Liste_Types,0)),""))</f>
        <v/>
      </c>
      <c r="J2424" s="107">
        <f>IF($I2424="▲ ENTRÉE",$U2424,"")</f>
        <v/>
      </c>
      <c r="K2424" s="108">
        <f>IF($I2424="▼ SORTIE",$U2424,"")</f>
        <v/>
      </c>
      <c r="L2424" s="109">
        <f>$L2423+N($J2424)-N($K2424)</f>
        <v/>
      </c>
      <c r="M2424" s="110" t="n"/>
      <c r="N2424" s="54" t="n"/>
      <c r="O2424" s="54" t="n"/>
      <c r="P2424" s="54" t="n"/>
      <c r="Q2424" s="110" t="n"/>
      <c r="R2424" s="110" t="n"/>
      <c r="S2424" s="54" t="n"/>
      <c r="T2424" s="111">
        <f>IF($G2424="","",IFERROR(INDEX(Taux_Devises,MATCH(IF($M2424="",Devise_Base,$M2424),Codes_Devises,0)),1))</f>
        <v/>
      </c>
      <c r="U2424" s="112">
        <f>IF($G2424="","",ROUND($G2424*$T2424,2))</f>
        <v/>
      </c>
      <c r="V2424" s="113">
        <f>IF($B2424="","",MONTH($B2424))</f>
        <v/>
      </c>
      <c r="W2424" s="113">
        <f>IF($B2424="","",YEAR($B2424))</f>
        <v/>
      </c>
    </row>
    <row r="2425">
      <c r="B2425" s="105" t="n"/>
      <c r="C2425" s="54" t="n"/>
      <c r="D2425" s="54" t="n"/>
      <c r="E2425" s="54" t="n"/>
      <c r="F2425" s="54" t="n"/>
      <c r="G2425" s="65" t="n"/>
      <c r="H2425" s="54" t="n"/>
      <c r="I2425" s="106">
        <f>IF($C2425="","",IFERROR(INDEX(Sens_Types,MATCH($C2425,Liste_Types,0)),""))</f>
        <v/>
      </c>
      <c r="J2425" s="107">
        <f>IF($I2425="▲ ENTRÉE",$U2425,"")</f>
        <v/>
      </c>
      <c r="K2425" s="108">
        <f>IF($I2425="▼ SORTIE",$U2425,"")</f>
        <v/>
      </c>
      <c r="L2425" s="109">
        <f>$L2424+N($J2425)-N($K2425)</f>
        <v/>
      </c>
      <c r="M2425" s="110" t="n"/>
      <c r="N2425" s="54" t="n"/>
      <c r="O2425" s="54" t="n"/>
      <c r="P2425" s="54" t="n"/>
      <c r="Q2425" s="110" t="n"/>
      <c r="R2425" s="110" t="n"/>
      <c r="S2425" s="54" t="n"/>
      <c r="T2425" s="111">
        <f>IF($G2425="","",IFERROR(INDEX(Taux_Devises,MATCH(IF($M2425="",Devise_Base,$M2425),Codes_Devises,0)),1))</f>
        <v/>
      </c>
      <c r="U2425" s="112">
        <f>IF($G2425="","",ROUND($G2425*$T2425,2))</f>
        <v/>
      </c>
      <c r="V2425" s="113">
        <f>IF($B2425="","",MONTH($B2425))</f>
        <v/>
      </c>
      <c r="W2425" s="113">
        <f>IF($B2425="","",YEAR($B2425))</f>
        <v/>
      </c>
    </row>
    <row r="2426">
      <c r="B2426" s="105" t="n"/>
      <c r="C2426" s="54" t="n"/>
      <c r="D2426" s="54" t="n"/>
      <c r="E2426" s="54" t="n"/>
      <c r="F2426" s="54" t="n"/>
      <c r="G2426" s="65" t="n"/>
      <c r="H2426" s="54" t="n"/>
      <c r="I2426" s="106">
        <f>IF($C2426="","",IFERROR(INDEX(Sens_Types,MATCH($C2426,Liste_Types,0)),""))</f>
        <v/>
      </c>
      <c r="J2426" s="107">
        <f>IF($I2426="▲ ENTRÉE",$U2426,"")</f>
        <v/>
      </c>
      <c r="K2426" s="108">
        <f>IF($I2426="▼ SORTIE",$U2426,"")</f>
        <v/>
      </c>
      <c r="L2426" s="109">
        <f>$L2425+N($J2426)-N($K2426)</f>
        <v/>
      </c>
      <c r="M2426" s="110" t="n"/>
      <c r="N2426" s="54" t="n"/>
      <c r="O2426" s="54" t="n"/>
      <c r="P2426" s="54" t="n"/>
      <c r="Q2426" s="110" t="n"/>
      <c r="R2426" s="110" t="n"/>
      <c r="S2426" s="54" t="n"/>
      <c r="T2426" s="111">
        <f>IF($G2426="","",IFERROR(INDEX(Taux_Devises,MATCH(IF($M2426="",Devise_Base,$M2426),Codes_Devises,0)),1))</f>
        <v/>
      </c>
      <c r="U2426" s="112">
        <f>IF($G2426="","",ROUND($G2426*$T2426,2))</f>
        <v/>
      </c>
      <c r="V2426" s="113">
        <f>IF($B2426="","",MONTH($B2426))</f>
        <v/>
      </c>
      <c r="W2426" s="113">
        <f>IF($B2426="","",YEAR($B2426))</f>
        <v/>
      </c>
    </row>
    <row r="2427">
      <c r="B2427" s="105" t="n"/>
      <c r="C2427" s="54" t="n"/>
      <c r="D2427" s="54" t="n"/>
      <c r="E2427" s="54" t="n"/>
      <c r="F2427" s="54" t="n"/>
      <c r="G2427" s="65" t="n"/>
      <c r="H2427" s="54" t="n"/>
      <c r="I2427" s="106">
        <f>IF($C2427="","",IFERROR(INDEX(Sens_Types,MATCH($C2427,Liste_Types,0)),""))</f>
        <v/>
      </c>
      <c r="J2427" s="107">
        <f>IF($I2427="▲ ENTRÉE",$U2427,"")</f>
        <v/>
      </c>
      <c r="K2427" s="108">
        <f>IF($I2427="▼ SORTIE",$U2427,"")</f>
        <v/>
      </c>
      <c r="L2427" s="109">
        <f>$L2426+N($J2427)-N($K2427)</f>
        <v/>
      </c>
      <c r="M2427" s="110" t="n"/>
      <c r="N2427" s="54" t="n"/>
      <c r="O2427" s="54" t="n"/>
      <c r="P2427" s="54" t="n"/>
      <c r="Q2427" s="110" t="n"/>
      <c r="R2427" s="110" t="n"/>
      <c r="S2427" s="54" t="n"/>
      <c r="T2427" s="111">
        <f>IF($G2427="","",IFERROR(INDEX(Taux_Devises,MATCH(IF($M2427="",Devise_Base,$M2427),Codes_Devises,0)),1))</f>
        <v/>
      </c>
      <c r="U2427" s="112">
        <f>IF($G2427="","",ROUND($G2427*$T2427,2))</f>
        <v/>
      </c>
      <c r="V2427" s="113">
        <f>IF($B2427="","",MONTH($B2427))</f>
        <v/>
      </c>
      <c r="W2427" s="113">
        <f>IF($B2427="","",YEAR($B2427))</f>
        <v/>
      </c>
    </row>
    <row r="2428">
      <c r="B2428" s="105" t="n"/>
      <c r="C2428" s="54" t="n"/>
      <c r="D2428" s="54" t="n"/>
      <c r="E2428" s="54" t="n"/>
      <c r="F2428" s="54" t="n"/>
      <c r="G2428" s="65" t="n"/>
      <c r="H2428" s="54" t="n"/>
      <c r="I2428" s="106">
        <f>IF($C2428="","",IFERROR(INDEX(Sens_Types,MATCH($C2428,Liste_Types,0)),""))</f>
        <v/>
      </c>
      <c r="J2428" s="107">
        <f>IF($I2428="▲ ENTRÉE",$U2428,"")</f>
        <v/>
      </c>
      <c r="K2428" s="108">
        <f>IF($I2428="▼ SORTIE",$U2428,"")</f>
        <v/>
      </c>
      <c r="L2428" s="109">
        <f>$L2427+N($J2428)-N($K2428)</f>
        <v/>
      </c>
      <c r="M2428" s="110" t="n"/>
      <c r="N2428" s="54" t="n"/>
      <c r="O2428" s="54" t="n"/>
      <c r="P2428" s="54" t="n"/>
      <c r="Q2428" s="110" t="n"/>
      <c r="R2428" s="110" t="n"/>
      <c r="S2428" s="54" t="n"/>
      <c r="T2428" s="111">
        <f>IF($G2428="","",IFERROR(INDEX(Taux_Devises,MATCH(IF($M2428="",Devise_Base,$M2428),Codes_Devises,0)),1))</f>
        <v/>
      </c>
      <c r="U2428" s="112">
        <f>IF($G2428="","",ROUND($G2428*$T2428,2))</f>
        <v/>
      </c>
      <c r="V2428" s="113">
        <f>IF($B2428="","",MONTH($B2428))</f>
        <v/>
      </c>
      <c r="W2428" s="113">
        <f>IF($B2428="","",YEAR($B2428))</f>
        <v/>
      </c>
    </row>
    <row r="2429">
      <c r="B2429" s="105" t="n"/>
      <c r="C2429" s="54" t="n"/>
      <c r="D2429" s="54" t="n"/>
      <c r="E2429" s="54" t="n"/>
      <c r="F2429" s="54" t="n"/>
      <c r="G2429" s="65" t="n"/>
      <c r="H2429" s="54" t="n"/>
      <c r="I2429" s="106">
        <f>IF($C2429="","",IFERROR(INDEX(Sens_Types,MATCH($C2429,Liste_Types,0)),""))</f>
        <v/>
      </c>
      <c r="J2429" s="107">
        <f>IF($I2429="▲ ENTRÉE",$U2429,"")</f>
        <v/>
      </c>
      <c r="K2429" s="108">
        <f>IF($I2429="▼ SORTIE",$U2429,"")</f>
        <v/>
      </c>
      <c r="L2429" s="109">
        <f>$L2428+N($J2429)-N($K2429)</f>
        <v/>
      </c>
      <c r="M2429" s="110" t="n"/>
      <c r="N2429" s="54" t="n"/>
      <c r="O2429" s="54" t="n"/>
      <c r="P2429" s="54" t="n"/>
      <c r="Q2429" s="110" t="n"/>
      <c r="R2429" s="110" t="n"/>
      <c r="S2429" s="54" t="n"/>
      <c r="T2429" s="111">
        <f>IF($G2429="","",IFERROR(INDEX(Taux_Devises,MATCH(IF($M2429="",Devise_Base,$M2429),Codes_Devises,0)),1))</f>
        <v/>
      </c>
      <c r="U2429" s="112">
        <f>IF($G2429="","",ROUND($G2429*$T2429,2))</f>
        <v/>
      </c>
      <c r="V2429" s="113">
        <f>IF($B2429="","",MONTH($B2429))</f>
        <v/>
      </c>
      <c r="W2429" s="113">
        <f>IF($B2429="","",YEAR($B2429))</f>
        <v/>
      </c>
    </row>
    <row r="2430">
      <c r="B2430" s="105" t="n"/>
      <c r="C2430" s="54" t="n"/>
      <c r="D2430" s="54" t="n"/>
      <c r="E2430" s="54" t="n"/>
      <c r="F2430" s="54" t="n"/>
      <c r="G2430" s="65" t="n"/>
      <c r="H2430" s="54" t="n"/>
      <c r="I2430" s="106">
        <f>IF($C2430="","",IFERROR(INDEX(Sens_Types,MATCH($C2430,Liste_Types,0)),""))</f>
        <v/>
      </c>
      <c r="J2430" s="107">
        <f>IF($I2430="▲ ENTRÉE",$U2430,"")</f>
        <v/>
      </c>
      <c r="K2430" s="108">
        <f>IF($I2430="▼ SORTIE",$U2430,"")</f>
        <v/>
      </c>
      <c r="L2430" s="109">
        <f>$L2429+N($J2430)-N($K2430)</f>
        <v/>
      </c>
      <c r="M2430" s="110" t="n"/>
      <c r="N2430" s="54" t="n"/>
      <c r="O2430" s="54" t="n"/>
      <c r="P2430" s="54" t="n"/>
      <c r="Q2430" s="110" t="n"/>
      <c r="R2430" s="110" t="n"/>
      <c r="S2430" s="54" t="n"/>
      <c r="T2430" s="111">
        <f>IF($G2430="","",IFERROR(INDEX(Taux_Devises,MATCH(IF($M2430="",Devise_Base,$M2430),Codes_Devises,0)),1))</f>
        <v/>
      </c>
      <c r="U2430" s="112">
        <f>IF($G2430="","",ROUND($G2430*$T2430,2))</f>
        <v/>
      </c>
      <c r="V2430" s="113">
        <f>IF($B2430="","",MONTH($B2430))</f>
        <v/>
      </c>
      <c r="W2430" s="113">
        <f>IF($B2430="","",YEAR($B2430))</f>
        <v/>
      </c>
    </row>
    <row r="2431">
      <c r="B2431" s="105" t="n"/>
      <c r="C2431" s="54" t="n"/>
      <c r="D2431" s="54" t="n"/>
      <c r="E2431" s="54" t="n"/>
      <c r="F2431" s="54" t="n"/>
      <c r="G2431" s="65" t="n"/>
      <c r="H2431" s="54" t="n"/>
      <c r="I2431" s="106">
        <f>IF($C2431="","",IFERROR(INDEX(Sens_Types,MATCH($C2431,Liste_Types,0)),""))</f>
        <v/>
      </c>
      <c r="J2431" s="107">
        <f>IF($I2431="▲ ENTRÉE",$U2431,"")</f>
        <v/>
      </c>
      <c r="K2431" s="108">
        <f>IF($I2431="▼ SORTIE",$U2431,"")</f>
        <v/>
      </c>
      <c r="L2431" s="109">
        <f>$L2430+N($J2431)-N($K2431)</f>
        <v/>
      </c>
      <c r="M2431" s="110" t="n"/>
      <c r="N2431" s="54" t="n"/>
      <c r="O2431" s="54" t="n"/>
      <c r="P2431" s="54" t="n"/>
      <c r="Q2431" s="110" t="n"/>
      <c r="R2431" s="110" t="n"/>
      <c r="S2431" s="54" t="n"/>
      <c r="T2431" s="111">
        <f>IF($G2431="","",IFERROR(INDEX(Taux_Devises,MATCH(IF($M2431="",Devise_Base,$M2431),Codes_Devises,0)),1))</f>
        <v/>
      </c>
      <c r="U2431" s="112">
        <f>IF($G2431="","",ROUND($G2431*$T2431,2))</f>
        <v/>
      </c>
      <c r="V2431" s="113">
        <f>IF($B2431="","",MONTH($B2431))</f>
        <v/>
      </c>
      <c r="W2431" s="113">
        <f>IF($B2431="","",YEAR($B2431))</f>
        <v/>
      </c>
    </row>
    <row r="2432">
      <c r="B2432" s="105" t="n"/>
      <c r="C2432" s="54" t="n"/>
      <c r="D2432" s="54" t="n"/>
      <c r="E2432" s="54" t="n"/>
      <c r="F2432" s="54" t="n"/>
      <c r="G2432" s="65" t="n"/>
      <c r="H2432" s="54" t="n"/>
      <c r="I2432" s="106">
        <f>IF($C2432="","",IFERROR(INDEX(Sens_Types,MATCH($C2432,Liste_Types,0)),""))</f>
        <v/>
      </c>
      <c r="J2432" s="107">
        <f>IF($I2432="▲ ENTRÉE",$U2432,"")</f>
        <v/>
      </c>
      <c r="K2432" s="108">
        <f>IF($I2432="▼ SORTIE",$U2432,"")</f>
        <v/>
      </c>
      <c r="L2432" s="109">
        <f>$L2431+N($J2432)-N($K2432)</f>
        <v/>
      </c>
      <c r="M2432" s="110" t="n"/>
      <c r="N2432" s="54" t="n"/>
      <c r="O2432" s="54" t="n"/>
      <c r="P2432" s="54" t="n"/>
      <c r="Q2432" s="110" t="n"/>
      <c r="R2432" s="110" t="n"/>
      <c r="S2432" s="54" t="n"/>
      <c r="T2432" s="111">
        <f>IF($G2432="","",IFERROR(INDEX(Taux_Devises,MATCH(IF($M2432="",Devise_Base,$M2432),Codes_Devises,0)),1))</f>
        <v/>
      </c>
      <c r="U2432" s="112">
        <f>IF($G2432="","",ROUND($G2432*$T2432,2))</f>
        <v/>
      </c>
      <c r="V2432" s="113">
        <f>IF($B2432="","",MONTH($B2432))</f>
        <v/>
      </c>
      <c r="W2432" s="113">
        <f>IF($B2432="","",YEAR($B2432))</f>
        <v/>
      </c>
    </row>
    <row r="2433">
      <c r="B2433" s="105" t="n"/>
      <c r="C2433" s="54" t="n"/>
      <c r="D2433" s="54" t="n"/>
      <c r="E2433" s="54" t="n"/>
      <c r="F2433" s="54" t="n"/>
      <c r="G2433" s="65" t="n"/>
      <c r="H2433" s="54" t="n"/>
      <c r="I2433" s="106">
        <f>IF($C2433="","",IFERROR(INDEX(Sens_Types,MATCH($C2433,Liste_Types,0)),""))</f>
        <v/>
      </c>
      <c r="J2433" s="107">
        <f>IF($I2433="▲ ENTRÉE",$U2433,"")</f>
        <v/>
      </c>
      <c r="K2433" s="108">
        <f>IF($I2433="▼ SORTIE",$U2433,"")</f>
        <v/>
      </c>
      <c r="L2433" s="109">
        <f>$L2432+N($J2433)-N($K2433)</f>
        <v/>
      </c>
      <c r="M2433" s="110" t="n"/>
      <c r="N2433" s="54" t="n"/>
      <c r="O2433" s="54" t="n"/>
      <c r="P2433" s="54" t="n"/>
      <c r="Q2433" s="110" t="n"/>
      <c r="R2433" s="110" t="n"/>
      <c r="S2433" s="54" t="n"/>
      <c r="T2433" s="111">
        <f>IF($G2433="","",IFERROR(INDEX(Taux_Devises,MATCH(IF($M2433="",Devise_Base,$M2433),Codes_Devises,0)),1))</f>
        <v/>
      </c>
      <c r="U2433" s="112">
        <f>IF($G2433="","",ROUND($G2433*$T2433,2))</f>
        <v/>
      </c>
      <c r="V2433" s="113">
        <f>IF($B2433="","",MONTH($B2433))</f>
        <v/>
      </c>
      <c r="W2433" s="113">
        <f>IF($B2433="","",YEAR($B2433))</f>
        <v/>
      </c>
    </row>
    <row r="2434">
      <c r="B2434" s="105" t="n"/>
      <c r="C2434" s="54" t="n"/>
      <c r="D2434" s="54" t="n"/>
      <c r="E2434" s="54" t="n"/>
      <c r="F2434" s="54" t="n"/>
      <c r="G2434" s="65" t="n"/>
      <c r="H2434" s="54" t="n"/>
      <c r="I2434" s="106">
        <f>IF($C2434="","",IFERROR(INDEX(Sens_Types,MATCH($C2434,Liste_Types,0)),""))</f>
        <v/>
      </c>
      <c r="J2434" s="107">
        <f>IF($I2434="▲ ENTRÉE",$U2434,"")</f>
        <v/>
      </c>
      <c r="K2434" s="108">
        <f>IF($I2434="▼ SORTIE",$U2434,"")</f>
        <v/>
      </c>
      <c r="L2434" s="109">
        <f>$L2433+N($J2434)-N($K2434)</f>
        <v/>
      </c>
      <c r="M2434" s="110" t="n"/>
      <c r="N2434" s="54" t="n"/>
      <c r="O2434" s="54" t="n"/>
      <c r="P2434" s="54" t="n"/>
      <c r="Q2434" s="110" t="n"/>
      <c r="R2434" s="110" t="n"/>
      <c r="S2434" s="54" t="n"/>
      <c r="T2434" s="111">
        <f>IF($G2434="","",IFERROR(INDEX(Taux_Devises,MATCH(IF($M2434="",Devise_Base,$M2434),Codes_Devises,0)),1))</f>
        <v/>
      </c>
      <c r="U2434" s="112">
        <f>IF($G2434="","",ROUND($G2434*$T2434,2))</f>
        <v/>
      </c>
      <c r="V2434" s="113">
        <f>IF($B2434="","",MONTH($B2434))</f>
        <v/>
      </c>
      <c r="W2434" s="113">
        <f>IF($B2434="","",YEAR($B2434))</f>
        <v/>
      </c>
    </row>
    <row r="2435">
      <c r="B2435" s="105" t="n"/>
      <c r="C2435" s="54" t="n"/>
      <c r="D2435" s="54" t="n"/>
      <c r="E2435" s="54" t="n"/>
      <c r="F2435" s="54" t="n"/>
      <c r="G2435" s="65" t="n"/>
      <c r="H2435" s="54" t="n"/>
      <c r="I2435" s="106">
        <f>IF($C2435="","",IFERROR(INDEX(Sens_Types,MATCH($C2435,Liste_Types,0)),""))</f>
        <v/>
      </c>
      <c r="J2435" s="107">
        <f>IF($I2435="▲ ENTRÉE",$U2435,"")</f>
        <v/>
      </c>
      <c r="K2435" s="108">
        <f>IF($I2435="▼ SORTIE",$U2435,"")</f>
        <v/>
      </c>
      <c r="L2435" s="109">
        <f>$L2434+N($J2435)-N($K2435)</f>
        <v/>
      </c>
      <c r="M2435" s="110" t="n"/>
      <c r="N2435" s="54" t="n"/>
      <c r="O2435" s="54" t="n"/>
      <c r="P2435" s="54" t="n"/>
      <c r="Q2435" s="110" t="n"/>
      <c r="R2435" s="110" t="n"/>
      <c r="S2435" s="54" t="n"/>
      <c r="T2435" s="111">
        <f>IF($G2435="","",IFERROR(INDEX(Taux_Devises,MATCH(IF($M2435="",Devise_Base,$M2435),Codes_Devises,0)),1))</f>
        <v/>
      </c>
      <c r="U2435" s="112">
        <f>IF($G2435="","",ROUND($G2435*$T2435,2))</f>
        <v/>
      </c>
      <c r="V2435" s="113">
        <f>IF($B2435="","",MONTH($B2435))</f>
        <v/>
      </c>
      <c r="W2435" s="113">
        <f>IF($B2435="","",YEAR($B2435))</f>
        <v/>
      </c>
    </row>
    <row r="2436">
      <c r="B2436" s="105" t="n"/>
      <c r="C2436" s="54" t="n"/>
      <c r="D2436" s="54" t="n"/>
      <c r="E2436" s="54" t="n"/>
      <c r="F2436" s="54" t="n"/>
      <c r="G2436" s="65" t="n"/>
      <c r="H2436" s="54" t="n"/>
      <c r="I2436" s="106">
        <f>IF($C2436="","",IFERROR(INDEX(Sens_Types,MATCH($C2436,Liste_Types,0)),""))</f>
        <v/>
      </c>
      <c r="J2436" s="107">
        <f>IF($I2436="▲ ENTRÉE",$U2436,"")</f>
        <v/>
      </c>
      <c r="K2436" s="108">
        <f>IF($I2436="▼ SORTIE",$U2436,"")</f>
        <v/>
      </c>
      <c r="L2436" s="109">
        <f>$L2435+N($J2436)-N($K2436)</f>
        <v/>
      </c>
      <c r="M2436" s="110" t="n"/>
      <c r="N2436" s="54" t="n"/>
      <c r="O2436" s="54" t="n"/>
      <c r="P2436" s="54" t="n"/>
      <c r="Q2436" s="110" t="n"/>
      <c r="R2436" s="110" t="n"/>
      <c r="S2436" s="54" t="n"/>
      <c r="T2436" s="111">
        <f>IF($G2436="","",IFERROR(INDEX(Taux_Devises,MATCH(IF($M2436="",Devise_Base,$M2436),Codes_Devises,0)),1))</f>
        <v/>
      </c>
      <c r="U2436" s="112">
        <f>IF($G2436="","",ROUND($G2436*$T2436,2))</f>
        <v/>
      </c>
      <c r="V2436" s="113">
        <f>IF($B2436="","",MONTH($B2436))</f>
        <v/>
      </c>
      <c r="W2436" s="113">
        <f>IF($B2436="","",YEAR($B2436))</f>
        <v/>
      </c>
    </row>
    <row r="2437">
      <c r="B2437" s="105" t="n"/>
      <c r="C2437" s="54" t="n"/>
      <c r="D2437" s="54" t="n"/>
      <c r="E2437" s="54" t="n"/>
      <c r="F2437" s="54" t="n"/>
      <c r="G2437" s="65" t="n"/>
      <c r="H2437" s="54" t="n"/>
      <c r="I2437" s="106">
        <f>IF($C2437="","",IFERROR(INDEX(Sens_Types,MATCH($C2437,Liste_Types,0)),""))</f>
        <v/>
      </c>
      <c r="J2437" s="107">
        <f>IF($I2437="▲ ENTRÉE",$U2437,"")</f>
        <v/>
      </c>
      <c r="K2437" s="108">
        <f>IF($I2437="▼ SORTIE",$U2437,"")</f>
        <v/>
      </c>
      <c r="L2437" s="109">
        <f>$L2436+N($J2437)-N($K2437)</f>
        <v/>
      </c>
      <c r="M2437" s="110" t="n"/>
      <c r="N2437" s="54" t="n"/>
      <c r="O2437" s="54" t="n"/>
      <c r="P2437" s="54" t="n"/>
      <c r="Q2437" s="110" t="n"/>
      <c r="R2437" s="110" t="n"/>
      <c r="S2437" s="54" t="n"/>
      <c r="T2437" s="111">
        <f>IF($G2437="","",IFERROR(INDEX(Taux_Devises,MATCH(IF($M2437="",Devise_Base,$M2437),Codes_Devises,0)),1))</f>
        <v/>
      </c>
      <c r="U2437" s="112">
        <f>IF($G2437="","",ROUND($G2437*$T2437,2))</f>
        <v/>
      </c>
      <c r="V2437" s="113">
        <f>IF($B2437="","",MONTH($B2437))</f>
        <v/>
      </c>
      <c r="W2437" s="113">
        <f>IF($B2437="","",YEAR($B2437))</f>
        <v/>
      </c>
    </row>
    <row r="2438">
      <c r="B2438" s="105" t="n"/>
      <c r="C2438" s="54" t="n"/>
      <c r="D2438" s="54" t="n"/>
      <c r="E2438" s="54" t="n"/>
      <c r="F2438" s="54" t="n"/>
      <c r="G2438" s="65" t="n"/>
      <c r="H2438" s="54" t="n"/>
      <c r="I2438" s="106">
        <f>IF($C2438="","",IFERROR(INDEX(Sens_Types,MATCH($C2438,Liste_Types,0)),""))</f>
        <v/>
      </c>
      <c r="J2438" s="107">
        <f>IF($I2438="▲ ENTRÉE",$U2438,"")</f>
        <v/>
      </c>
      <c r="K2438" s="108">
        <f>IF($I2438="▼ SORTIE",$U2438,"")</f>
        <v/>
      </c>
      <c r="L2438" s="109">
        <f>$L2437+N($J2438)-N($K2438)</f>
        <v/>
      </c>
      <c r="M2438" s="110" t="n"/>
      <c r="N2438" s="54" t="n"/>
      <c r="O2438" s="54" t="n"/>
      <c r="P2438" s="54" t="n"/>
      <c r="Q2438" s="110" t="n"/>
      <c r="R2438" s="110" t="n"/>
      <c r="S2438" s="54" t="n"/>
      <c r="T2438" s="111">
        <f>IF($G2438="","",IFERROR(INDEX(Taux_Devises,MATCH(IF($M2438="",Devise_Base,$M2438),Codes_Devises,0)),1))</f>
        <v/>
      </c>
      <c r="U2438" s="112">
        <f>IF($G2438="","",ROUND($G2438*$T2438,2))</f>
        <v/>
      </c>
      <c r="V2438" s="113">
        <f>IF($B2438="","",MONTH($B2438))</f>
        <v/>
      </c>
      <c r="W2438" s="113">
        <f>IF($B2438="","",YEAR($B2438))</f>
        <v/>
      </c>
    </row>
    <row r="2439">
      <c r="B2439" s="105" t="n"/>
      <c r="C2439" s="54" t="n"/>
      <c r="D2439" s="54" t="n"/>
      <c r="E2439" s="54" t="n"/>
      <c r="F2439" s="54" t="n"/>
      <c r="G2439" s="65" t="n"/>
      <c r="H2439" s="54" t="n"/>
      <c r="I2439" s="106">
        <f>IF($C2439="","",IFERROR(INDEX(Sens_Types,MATCH($C2439,Liste_Types,0)),""))</f>
        <v/>
      </c>
      <c r="J2439" s="107">
        <f>IF($I2439="▲ ENTRÉE",$U2439,"")</f>
        <v/>
      </c>
      <c r="K2439" s="108">
        <f>IF($I2439="▼ SORTIE",$U2439,"")</f>
        <v/>
      </c>
      <c r="L2439" s="109">
        <f>$L2438+N($J2439)-N($K2439)</f>
        <v/>
      </c>
      <c r="M2439" s="110" t="n"/>
      <c r="N2439" s="54" t="n"/>
      <c r="O2439" s="54" t="n"/>
      <c r="P2439" s="54" t="n"/>
      <c r="Q2439" s="110" t="n"/>
      <c r="R2439" s="110" t="n"/>
      <c r="S2439" s="54" t="n"/>
      <c r="T2439" s="111">
        <f>IF($G2439="","",IFERROR(INDEX(Taux_Devises,MATCH(IF($M2439="",Devise_Base,$M2439),Codes_Devises,0)),1))</f>
        <v/>
      </c>
      <c r="U2439" s="112">
        <f>IF($G2439="","",ROUND($G2439*$T2439,2))</f>
        <v/>
      </c>
      <c r="V2439" s="113">
        <f>IF($B2439="","",MONTH($B2439))</f>
        <v/>
      </c>
      <c r="W2439" s="113">
        <f>IF($B2439="","",YEAR($B2439))</f>
        <v/>
      </c>
    </row>
    <row r="2440">
      <c r="B2440" s="105" t="n"/>
      <c r="C2440" s="54" t="n"/>
      <c r="D2440" s="54" t="n"/>
      <c r="E2440" s="54" t="n"/>
      <c r="F2440" s="54" t="n"/>
      <c r="G2440" s="65" t="n"/>
      <c r="H2440" s="54" t="n"/>
      <c r="I2440" s="106">
        <f>IF($C2440="","",IFERROR(INDEX(Sens_Types,MATCH($C2440,Liste_Types,0)),""))</f>
        <v/>
      </c>
      <c r="J2440" s="107">
        <f>IF($I2440="▲ ENTRÉE",$U2440,"")</f>
        <v/>
      </c>
      <c r="K2440" s="108">
        <f>IF($I2440="▼ SORTIE",$U2440,"")</f>
        <v/>
      </c>
      <c r="L2440" s="109">
        <f>$L2439+N($J2440)-N($K2440)</f>
        <v/>
      </c>
      <c r="M2440" s="110" t="n"/>
      <c r="N2440" s="54" t="n"/>
      <c r="O2440" s="54" t="n"/>
      <c r="P2440" s="54" t="n"/>
      <c r="Q2440" s="110" t="n"/>
      <c r="R2440" s="110" t="n"/>
      <c r="S2440" s="54" t="n"/>
      <c r="T2440" s="111">
        <f>IF($G2440="","",IFERROR(INDEX(Taux_Devises,MATCH(IF($M2440="",Devise_Base,$M2440),Codes_Devises,0)),1))</f>
        <v/>
      </c>
      <c r="U2440" s="112">
        <f>IF($G2440="","",ROUND($G2440*$T2440,2))</f>
        <v/>
      </c>
      <c r="V2440" s="113">
        <f>IF($B2440="","",MONTH($B2440))</f>
        <v/>
      </c>
      <c r="W2440" s="113">
        <f>IF($B2440="","",YEAR($B2440))</f>
        <v/>
      </c>
    </row>
    <row r="2441">
      <c r="B2441" s="105" t="n"/>
      <c r="C2441" s="54" t="n"/>
      <c r="D2441" s="54" t="n"/>
      <c r="E2441" s="54" t="n"/>
      <c r="F2441" s="54" t="n"/>
      <c r="G2441" s="65" t="n"/>
      <c r="H2441" s="54" t="n"/>
      <c r="I2441" s="106">
        <f>IF($C2441="","",IFERROR(INDEX(Sens_Types,MATCH($C2441,Liste_Types,0)),""))</f>
        <v/>
      </c>
      <c r="J2441" s="107">
        <f>IF($I2441="▲ ENTRÉE",$U2441,"")</f>
        <v/>
      </c>
      <c r="K2441" s="108">
        <f>IF($I2441="▼ SORTIE",$U2441,"")</f>
        <v/>
      </c>
      <c r="L2441" s="109">
        <f>$L2440+N($J2441)-N($K2441)</f>
        <v/>
      </c>
      <c r="M2441" s="110" t="n"/>
      <c r="N2441" s="54" t="n"/>
      <c r="O2441" s="54" t="n"/>
      <c r="P2441" s="54" t="n"/>
      <c r="Q2441" s="110" t="n"/>
      <c r="R2441" s="110" t="n"/>
      <c r="S2441" s="54" t="n"/>
      <c r="T2441" s="111">
        <f>IF($G2441="","",IFERROR(INDEX(Taux_Devises,MATCH(IF($M2441="",Devise_Base,$M2441),Codes_Devises,0)),1))</f>
        <v/>
      </c>
      <c r="U2441" s="112">
        <f>IF($G2441="","",ROUND($G2441*$T2441,2))</f>
        <v/>
      </c>
      <c r="V2441" s="113">
        <f>IF($B2441="","",MONTH($B2441))</f>
        <v/>
      </c>
      <c r="W2441" s="113">
        <f>IF($B2441="","",YEAR($B2441))</f>
        <v/>
      </c>
    </row>
    <row r="2442">
      <c r="B2442" s="105" t="n"/>
      <c r="C2442" s="54" t="n"/>
      <c r="D2442" s="54" t="n"/>
      <c r="E2442" s="54" t="n"/>
      <c r="F2442" s="54" t="n"/>
      <c r="G2442" s="65" t="n"/>
      <c r="H2442" s="54" t="n"/>
      <c r="I2442" s="106">
        <f>IF($C2442="","",IFERROR(INDEX(Sens_Types,MATCH($C2442,Liste_Types,0)),""))</f>
        <v/>
      </c>
      <c r="J2442" s="107">
        <f>IF($I2442="▲ ENTRÉE",$U2442,"")</f>
        <v/>
      </c>
      <c r="K2442" s="108">
        <f>IF($I2442="▼ SORTIE",$U2442,"")</f>
        <v/>
      </c>
      <c r="L2442" s="109">
        <f>$L2441+N($J2442)-N($K2442)</f>
        <v/>
      </c>
      <c r="M2442" s="110" t="n"/>
      <c r="N2442" s="54" t="n"/>
      <c r="O2442" s="54" t="n"/>
      <c r="P2442" s="54" t="n"/>
      <c r="Q2442" s="110" t="n"/>
      <c r="R2442" s="110" t="n"/>
      <c r="S2442" s="54" t="n"/>
      <c r="T2442" s="111">
        <f>IF($G2442="","",IFERROR(INDEX(Taux_Devises,MATCH(IF($M2442="",Devise_Base,$M2442),Codes_Devises,0)),1))</f>
        <v/>
      </c>
      <c r="U2442" s="112">
        <f>IF($G2442="","",ROUND($G2442*$T2442,2))</f>
        <v/>
      </c>
      <c r="V2442" s="113">
        <f>IF($B2442="","",MONTH($B2442))</f>
        <v/>
      </c>
      <c r="W2442" s="113">
        <f>IF($B2442="","",YEAR($B2442))</f>
        <v/>
      </c>
    </row>
    <row r="2443">
      <c r="B2443" s="105" t="n"/>
      <c r="C2443" s="54" t="n"/>
      <c r="D2443" s="54" t="n"/>
      <c r="E2443" s="54" t="n"/>
      <c r="F2443" s="54" t="n"/>
      <c r="G2443" s="65" t="n"/>
      <c r="H2443" s="54" t="n"/>
      <c r="I2443" s="106">
        <f>IF($C2443="","",IFERROR(INDEX(Sens_Types,MATCH($C2443,Liste_Types,0)),""))</f>
        <v/>
      </c>
      <c r="J2443" s="107">
        <f>IF($I2443="▲ ENTRÉE",$U2443,"")</f>
        <v/>
      </c>
      <c r="K2443" s="108">
        <f>IF($I2443="▼ SORTIE",$U2443,"")</f>
        <v/>
      </c>
      <c r="L2443" s="109">
        <f>$L2442+N($J2443)-N($K2443)</f>
        <v/>
      </c>
      <c r="M2443" s="110" t="n"/>
      <c r="N2443" s="54" t="n"/>
      <c r="O2443" s="54" t="n"/>
      <c r="P2443" s="54" t="n"/>
      <c r="Q2443" s="110" t="n"/>
      <c r="R2443" s="110" t="n"/>
      <c r="S2443" s="54" t="n"/>
      <c r="T2443" s="111">
        <f>IF($G2443="","",IFERROR(INDEX(Taux_Devises,MATCH(IF($M2443="",Devise_Base,$M2443),Codes_Devises,0)),1))</f>
        <v/>
      </c>
      <c r="U2443" s="112">
        <f>IF($G2443="","",ROUND($G2443*$T2443,2))</f>
        <v/>
      </c>
      <c r="V2443" s="113">
        <f>IF($B2443="","",MONTH($B2443))</f>
        <v/>
      </c>
      <c r="W2443" s="113">
        <f>IF($B2443="","",YEAR($B2443))</f>
        <v/>
      </c>
    </row>
    <row r="2444">
      <c r="B2444" s="105" t="n"/>
      <c r="C2444" s="54" t="n"/>
      <c r="D2444" s="54" t="n"/>
      <c r="E2444" s="54" t="n"/>
      <c r="F2444" s="54" t="n"/>
      <c r="G2444" s="65" t="n"/>
      <c r="H2444" s="54" t="n"/>
      <c r="I2444" s="106">
        <f>IF($C2444="","",IFERROR(INDEX(Sens_Types,MATCH($C2444,Liste_Types,0)),""))</f>
        <v/>
      </c>
      <c r="J2444" s="107">
        <f>IF($I2444="▲ ENTRÉE",$U2444,"")</f>
        <v/>
      </c>
      <c r="K2444" s="108">
        <f>IF($I2444="▼ SORTIE",$U2444,"")</f>
        <v/>
      </c>
      <c r="L2444" s="109">
        <f>$L2443+N($J2444)-N($K2444)</f>
        <v/>
      </c>
      <c r="M2444" s="110" t="n"/>
      <c r="N2444" s="54" t="n"/>
      <c r="O2444" s="54" t="n"/>
      <c r="P2444" s="54" t="n"/>
      <c r="Q2444" s="110" t="n"/>
      <c r="R2444" s="110" t="n"/>
      <c r="S2444" s="54" t="n"/>
      <c r="T2444" s="111">
        <f>IF($G2444="","",IFERROR(INDEX(Taux_Devises,MATCH(IF($M2444="",Devise_Base,$M2444),Codes_Devises,0)),1))</f>
        <v/>
      </c>
      <c r="U2444" s="112">
        <f>IF($G2444="","",ROUND($G2444*$T2444,2))</f>
        <v/>
      </c>
      <c r="V2444" s="113">
        <f>IF($B2444="","",MONTH($B2444))</f>
        <v/>
      </c>
      <c r="W2444" s="113">
        <f>IF($B2444="","",YEAR($B2444))</f>
        <v/>
      </c>
    </row>
    <row r="2445">
      <c r="B2445" s="105" t="n"/>
      <c r="C2445" s="54" t="n"/>
      <c r="D2445" s="54" t="n"/>
      <c r="E2445" s="54" t="n"/>
      <c r="F2445" s="54" t="n"/>
      <c r="G2445" s="65" t="n"/>
      <c r="H2445" s="54" t="n"/>
      <c r="I2445" s="106">
        <f>IF($C2445="","",IFERROR(INDEX(Sens_Types,MATCH($C2445,Liste_Types,0)),""))</f>
        <v/>
      </c>
      <c r="J2445" s="107">
        <f>IF($I2445="▲ ENTRÉE",$U2445,"")</f>
        <v/>
      </c>
      <c r="K2445" s="108">
        <f>IF($I2445="▼ SORTIE",$U2445,"")</f>
        <v/>
      </c>
      <c r="L2445" s="109">
        <f>$L2444+N($J2445)-N($K2445)</f>
        <v/>
      </c>
      <c r="M2445" s="110" t="n"/>
      <c r="N2445" s="54" t="n"/>
      <c r="O2445" s="54" t="n"/>
      <c r="P2445" s="54" t="n"/>
      <c r="Q2445" s="110" t="n"/>
      <c r="R2445" s="110" t="n"/>
      <c r="S2445" s="54" t="n"/>
      <c r="T2445" s="111">
        <f>IF($G2445="","",IFERROR(INDEX(Taux_Devises,MATCH(IF($M2445="",Devise_Base,$M2445),Codes_Devises,0)),1))</f>
        <v/>
      </c>
      <c r="U2445" s="112">
        <f>IF($G2445="","",ROUND($G2445*$T2445,2))</f>
        <v/>
      </c>
      <c r="V2445" s="113">
        <f>IF($B2445="","",MONTH($B2445))</f>
        <v/>
      </c>
      <c r="W2445" s="113">
        <f>IF($B2445="","",YEAR($B2445))</f>
        <v/>
      </c>
    </row>
    <row r="2446">
      <c r="B2446" s="105" t="n"/>
      <c r="C2446" s="54" t="n"/>
      <c r="D2446" s="54" t="n"/>
      <c r="E2446" s="54" t="n"/>
      <c r="F2446" s="54" t="n"/>
      <c r="G2446" s="65" t="n"/>
      <c r="H2446" s="54" t="n"/>
      <c r="I2446" s="106">
        <f>IF($C2446="","",IFERROR(INDEX(Sens_Types,MATCH($C2446,Liste_Types,0)),""))</f>
        <v/>
      </c>
      <c r="J2446" s="107">
        <f>IF($I2446="▲ ENTRÉE",$U2446,"")</f>
        <v/>
      </c>
      <c r="K2446" s="108">
        <f>IF($I2446="▼ SORTIE",$U2446,"")</f>
        <v/>
      </c>
      <c r="L2446" s="109">
        <f>$L2445+N($J2446)-N($K2446)</f>
        <v/>
      </c>
      <c r="M2446" s="110" t="n"/>
      <c r="N2446" s="54" t="n"/>
      <c r="O2446" s="54" t="n"/>
      <c r="P2446" s="54" t="n"/>
      <c r="Q2446" s="110" t="n"/>
      <c r="R2446" s="110" t="n"/>
      <c r="S2446" s="54" t="n"/>
      <c r="T2446" s="111">
        <f>IF($G2446="","",IFERROR(INDEX(Taux_Devises,MATCH(IF($M2446="",Devise_Base,$M2446),Codes_Devises,0)),1))</f>
        <v/>
      </c>
      <c r="U2446" s="112">
        <f>IF($G2446="","",ROUND($G2446*$T2446,2))</f>
        <v/>
      </c>
      <c r="V2446" s="113">
        <f>IF($B2446="","",MONTH($B2446))</f>
        <v/>
      </c>
      <c r="W2446" s="113">
        <f>IF($B2446="","",YEAR($B2446))</f>
        <v/>
      </c>
    </row>
    <row r="2447">
      <c r="B2447" s="105" t="n"/>
      <c r="C2447" s="54" t="n"/>
      <c r="D2447" s="54" t="n"/>
      <c r="E2447" s="54" t="n"/>
      <c r="F2447" s="54" t="n"/>
      <c r="G2447" s="65" t="n"/>
      <c r="H2447" s="54" t="n"/>
      <c r="I2447" s="106">
        <f>IF($C2447="","",IFERROR(INDEX(Sens_Types,MATCH($C2447,Liste_Types,0)),""))</f>
        <v/>
      </c>
      <c r="J2447" s="107">
        <f>IF($I2447="▲ ENTRÉE",$U2447,"")</f>
        <v/>
      </c>
      <c r="K2447" s="108">
        <f>IF($I2447="▼ SORTIE",$U2447,"")</f>
        <v/>
      </c>
      <c r="L2447" s="109">
        <f>$L2446+N($J2447)-N($K2447)</f>
        <v/>
      </c>
      <c r="M2447" s="110" t="n"/>
      <c r="N2447" s="54" t="n"/>
      <c r="O2447" s="54" t="n"/>
      <c r="P2447" s="54" t="n"/>
      <c r="Q2447" s="110" t="n"/>
      <c r="R2447" s="110" t="n"/>
      <c r="S2447" s="54" t="n"/>
      <c r="T2447" s="111">
        <f>IF($G2447="","",IFERROR(INDEX(Taux_Devises,MATCH(IF($M2447="",Devise_Base,$M2447),Codes_Devises,0)),1))</f>
        <v/>
      </c>
      <c r="U2447" s="112">
        <f>IF($G2447="","",ROUND($G2447*$T2447,2))</f>
        <v/>
      </c>
      <c r="V2447" s="113">
        <f>IF($B2447="","",MONTH($B2447))</f>
        <v/>
      </c>
      <c r="W2447" s="113">
        <f>IF($B2447="","",YEAR($B2447))</f>
        <v/>
      </c>
    </row>
    <row r="2448">
      <c r="B2448" s="105" t="n"/>
      <c r="C2448" s="54" t="n"/>
      <c r="D2448" s="54" t="n"/>
      <c r="E2448" s="54" t="n"/>
      <c r="F2448" s="54" t="n"/>
      <c r="G2448" s="65" t="n"/>
      <c r="H2448" s="54" t="n"/>
      <c r="I2448" s="106">
        <f>IF($C2448="","",IFERROR(INDEX(Sens_Types,MATCH($C2448,Liste_Types,0)),""))</f>
        <v/>
      </c>
      <c r="J2448" s="107">
        <f>IF($I2448="▲ ENTRÉE",$U2448,"")</f>
        <v/>
      </c>
      <c r="K2448" s="108">
        <f>IF($I2448="▼ SORTIE",$U2448,"")</f>
        <v/>
      </c>
      <c r="L2448" s="109">
        <f>$L2447+N($J2448)-N($K2448)</f>
        <v/>
      </c>
      <c r="M2448" s="110" t="n"/>
      <c r="N2448" s="54" t="n"/>
      <c r="O2448" s="54" t="n"/>
      <c r="P2448" s="54" t="n"/>
      <c r="Q2448" s="110" t="n"/>
      <c r="R2448" s="110" t="n"/>
      <c r="S2448" s="54" t="n"/>
      <c r="T2448" s="111">
        <f>IF($G2448="","",IFERROR(INDEX(Taux_Devises,MATCH(IF($M2448="",Devise_Base,$M2448),Codes_Devises,0)),1))</f>
        <v/>
      </c>
      <c r="U2448" s="112">
        <f>IF($G2448="","",ROUND($G2448*$T2448,2))</f>
        <v/>
      </c>
      <c r="V2448" s="113">
        <f>IF($B2448="","",MONTH($B2448))</f>
        <v/>
      </c>
      <c r="W2448" s="113">
        <f>IF($B2448="","",YEAR($B2448))</f>
        <v/>
      </c>
    </row>
    <row r="2449">
      <c r="B2449" s="105" t="n"/>
      <c r="C2449" s="54" t="n"/>
      <c r="D2449" s="54" t="n"/>
      <c r="E2449" s="54" t="n"/>
      <c r="F2449" s="54" t="n"/>
      <c r="G2449" s="65" t="n"/>
      <c r="H2449" s="54" t="n"/>
      <c r="I2449" s="106">
        <f>IF($C2449="","",IFERROR(INDEX(Sens_Types,MATCH($C2449,Liste_Types,0)),""))</f>
        <v/>
      </c>
      <c r="J2449" s="107">
        <f>IF($I2449="▲ ENTRÉE",$U2449,"")</f>
        <v/>
      </c>
      <c r="K2449" s="108">
        <f>IF($I2449="▼ SORTIE",$U2449,"")</f>
        <v/>
      </c>
      <c r="L2449" s="109">
        <f>$L2448+N($J2449)-N($K2449)</f>
        <v/>
      </c>
      <c r="M2449" s="110" t="n"/>
      <c r="N2449" s="54" t="n"/>
      <c r="O2449" s="54" t="n"/>
      <c r="P2449" s="54" t="n"/>
      <c r="Q2449" s="110" t="n"/>
      <c r="R2449" s="110" t="n"/>
      <c r="S2449" s="54" t="n"/>
      <c r="T2449" s="111">
        <f>IF($G2449="","",IFERROR(INDEX(Taux_Devises,MATCH(IF($M2449="",Devise_Base,$M2449),Codes_Devises,0)),1))</f>
        <v/>
      </c>
      <c r="U2449" s="112">
        <f>IF($G2449="","",ROUND($G2449*$T2449,2))</f>
        <v/>
      </c>
      <c r="V2449" s="113">
        <f>IF($B2449="","",MONTH($B2449))</f>
        <v/>
      </c>
      <c r="W2449" s="113">
        <f>IF($B2449="","",YEAR($B2449))</f>
        <v/>
      </c>
    </row>
    <row r="2450">
      <c r="B2450" s="105" t="n"/>
      <c r="C2450" s="54" t="n"/>
      <c r="D2450" s="54" t="n"/>
      <c r="E2450" s="54" t="n"/>
      <c r="F2450" s="54" t="n"/>
      <c r="G2450" s="65" t="n"/>
      <c r="H2450" s="54" t="n"/>
      <c r="I2450" s="106">
        <f>IF($C2450="","",IFERROR(INDEX(Sens_Types,MATCH($C2450,Liste_Types,0)),""))</f>
        <v/>
      </c>
      <c r="J2450" s="107">
        <f>IF($I2450="▲ ENTRÉE",$U2450,"")</f>
        <v/>
      </c>
      <c r="K2450" s="108">
        <f>IF($I2450="▼ SORTIE",$U2450,"")</f>
        <v/>
      </c>
      <c r="L2450" s="109">
        <f>$L2449+N($J2450)-N($K2450)</f>
        <v/>
      </c>
      <c r="M2450" s="110" t="n"/>
      <c r="N2450" s="54" t="n"/>
      <c r="O2450" s="54" t="n"/>
      <c r="P2450" s="54" t="n"/>
      <c r="Q2450" s="110" t="n"/>
      <c r="R2450" s="110" t="n"/>
      <c r="S2450" s="54" t="n"/>
      <c r="T2450" s="111">
        <f>IF($G2450="","",IFERROR(INDEX(Taux_Devises,MATCH(IF($M2450="",Devise_Base,$M2450),Codes_Devises,0)),1))</f>
        <v/>
      </c>
      <c r="U2450" s="112">
        <f>IF($G2450="","",ROUND($G2450*$T2450,2))</f>
        <v/>
      </c>
      <c r="V2450" s="113">
        <f>IF($B2450="","",MONTH($B2450))</f>
        <v/>
      </c>
      <c r="W2450" s="113">
        <f>IF($B2450="","",YEAR($B2450))</f>
        <v/>
      </c>
    </row>
    <row r="2451">
      <c r="B2451" s="105" t="n"/>
      <c r="C2451" s="54" t="n"/>
      <c r="D2451" s="54" t="n"/>
      <c r="E2451" s="54" t="n"/>
      <c r="F2451" s="54" t="n"/>
      <c r="G2451" s="65" t="n"/>
      <c r="H2451" s="54" t="n"/>
      <c r="I2451" s="106">
        <f>IF($C2451="","",IFERROR(INDEX(Sens_Types,MATCH($C2451,Liste_Types,0)),""))</f>
        <v/>
      </c>
      <c r="J2451" s="107">
        <f>IF($I2451="▲ ENTRÉE",$U2451,"")</f>
        <v/>
      </c>
      <c r="K2451" s="108">
        <f>IF($I2451="▼ SORTIE",$U2451,"")</f>
        <v/>
      </c>
      <c r="L2451" s="109">
        <f>$L2450+N($J2451)-N($K2451)</f>
        <v/>
      </c>
      <c r="M2451" s="110" t="n"/>
      <c r="N2451" s="54" t="n"/>
      <c r="O2451" s="54" t="n"/>
      <c r="P2451" s="54" t="n"/>
      <c r="Q2451" s="110" t="n"/>
      <c r="R2451" s="110" t="n"/>
      <c r="S2451" s="54" t="n"/>
      <c r="T2451" s="111">
        <f>IF($G2451="","",IFERROR(INDEX(Taux_Devises,MATCH(IF($M2451="",Devise_Base,$M2451),Codes_Devises,0)),1))</f>
        <v/>
      </c>
      <c r="U2451" s="112">
        <f>IF($G2451="","",ROUND($G2451*$T2451,2))</f>
        <v/>
      </c>
      <c r="V2451" s="113">
        <f>IF($B2451="","",MONTH($B2451))</f>
        <v/>
      </c>
      <c r="W2451" s="113">
        <f>IF($B2451="","",YEAR($B2451))</f>
        <v/>
      </c>
    </row>
    <row r="2452">
      <c r="B2452" s="105" t="n"/>
      <c r="C2452" s="54" t="n"/>
      <c r="D2452" s="54" t="n"/>
      <c r="E2452" s="54" t="n"/>
      <c r="F2452" s="54" t="n"/>
      <c r="G2452" s="65" t="n"/>
      <c r="H2452" s="54" t="n"/>
      <c r="I2452" s="106">
        <f>IF($C2452="","",IFERROR(INDEX(Sens_Types,MATCH($C2452,Liste_Types,0)),""))</f>
        <v/>
      </c>
      <c r="J2452" s="107">
        <f>IF($I2452="▲ ENTRÉE",$U2452,"")</f>
        <v/>
      </c>
      <c r="K2452" s="108">
        <f>IF($I2452="▼ SORTIE",$U2452,"")</f>
        <v/>
      </c>
      <c r="L2452" s="109">
        <f>$L2451+N($J2452)-N($K2452)</f>
        <v/>
      </c>
      <c r="M2452" s="110" t="n"/>
      <c r="N2452" s="54" t="n"/>
      <c r="O2452" s="54" t="n"/>
      <c r="P2452" s="54" t="n"/>
      <c r="Q2452" s="110" t="n"/>
      <c r="R2452" s="110" t="n"/>
      <c r="S2452" s="54" t="n"/>
      <c r="T2452" s="111">
        <f>IF($G2452="","",IFERROR(INDEX(Taux_Devises,MATCH(IF($M2452="",Devise_Base,$M2452),Codes_Devises,0)),1))</f>
        <v/>
      </c>
      <c r="U2452" s="112">
        <f>IF($G2452="","",ROUND($G2452*$T2452,2))</f>
        <v/>
      </c>
      <c r="V2452" s="113">
        <f>IF($B2452="","",MONTH($B2452))</f>
        <v/>
      </c>
      <c r="W2452" s="113">
        <f>IF($B2452="","",YEAR($B2452))</f>
        <v/>
      </c>
    </row>
    <row r="2453">
      <c r="B2453" s="105" t="n"/>
      <c r="C2453" s="54" t="n"/>
      <c r="D2453" s="54" t="n"/>
      <c r="E2453" s="54" t="n"/>
      <c r="F2453" s="54" t="n"/>
      <c r="G2453" s="65" t="n"/>
      <c r="H2453" s="54" t="n"/>
      <c r="I2453" s="106">
        <f>IF($C2453="","",IFERROR(INDEX(Sens_Types,MATCH($C2453,Liste_Types,0)),""))</f>
        <v/>
      </c>
      <c r="J2453" s="107">
        <f>IF($I2453="▲ ENTRÉE",$U2453,"")</f>
        <v/>
      </c>
      <c r="K2453" s="108">
        <f>IF($I2453="▼ SORTIE",$U2453,"")</f>
        <v/>
      </c>
      <c r="L2453" s="109">
        <f>$L2452+N($J2453)-N($K2453)</f>
        <v/>
      </c>
      <c r="M2453" s="110" t="n"/>
      <c r="N2453" s="54" t="n"/>
      <c r="O2453" s="54" t="n"/>
      <c r="P2453" s="54" t="n"/>
      <c r="Q2453" s="110" t="n"/>
      <c r="R2453" s="110" t="n"/>
      <c r="S2453" s="54" t="n"/>
      <c r="T2453" s="111">
        <f>IF($G2453="","",IFERROR(INDEX(Taux_Devises,MATCH(IF($M2453="",Devise_Base,$M2453),Codes_Devises,0)),1))</f>
        <v/>
      </c>
      <c r="U2453" s="112">
        <f>IF($G2453="","",ROUND($G2453*$T2453,2))</f>
        <v/>
      </c>
      <c r="V2453" s="113">
        <f>IF($B2453="","",MONTH($B2453))</f>
        <v/>
      </c>
      <c r="W2453" s="113">
        <f>IF($B2453="","",YEAR($B2453))</f>
        <v/>
      </c>
    </row>
    <row r="2454">
      <c r="B2454" s="105" t="n"/>
      <c r="C2454" s="54" t="n"/>
      <c r="D2454" s="54" t="n"/>
      <c r="E2454" s="54" t="n"/>
      <c r="F2454" s="54" t="n"/>
      <c r="G2454" s="65" t="n"/>
      <c r="H2454" s="54" t="n"/>
      <c r="I2454" s="106">
        <f>IF($C2454="","",IFERROR(INDEX(Sens_Types,MATCH($C2454,Liste_Types,0)),""))</f>
        <v/>
      </c>
      <c r="J2454" s="107">
        <f>IF($I2454="▲ ENTRÉE",$U2454,"")</f>
        <v/>
      </c>
      <c r="K2454" s="108">
        <f>IF($I2454="▼ SORTIE",$U2454,"")</f>
        <v/>
      </c>
      <c r="L2454" s="109">
        <f>$L2453+N($J2454)-N($K2454)</f>
        <v/>
      </c>
      <c r="M2454" s="110" t="n"/>
      <c r="N2454" s="54" t="n"/>
      <c r="O2454" s="54" t="n"/>
      <c r="P2454" s="54" t="n"/>
      <c r="Q2454" s="110" t="n"/>
      <c r="R2454" s="110" t="n"/>
      <c r="S2454" s="54" t="n"/>
      <c r="T2454" s="111">
        <f>IF($G2454="","",IFERROR(INDEX(Taux_Devises,MATCH(IF($M2454="",Devise_Base,$M2454),Codes_Devises,0)),1))</f>
        <v/>
      </c>
      <c r="U2454" s="112">
        <f>IF($G2454="","",ROUND($G2454*$T2454,2))</f>
        <v/>
      </c>
      <c r="V2454" s="113">
        <f>IF($B2454="","",MONTH($B2454))</f>
        <v/>
      </c>
      <c r="W2454" s="113">
        <f>IF($B2454="","",YEAR($B2454))</f>
        <v/>
      </c>
    </row>
    <row r="2455">
      <c r="B2455" s="105" t="n"/>
      <c r="C2455" s="54" t="n"/>
      <c r="D2455" s="54" t="n"/>
      <c r="E2455" s="54" t="n"/>
      <c r="F2455" s="54" t="n"/>
      <c r="G2455" s="65" t="n"/>
      <c r="H2455" s="54" t="n"/>
      <c r="I2455" s="106">
        <f>IF($C2455="","",IFERROR(INDEX(Sens_Types,MATCH($C2455,Liste_Types,0)),""))</f>
        <v/>
      </c>
      <c r="J2455" s="107">
        <f>IF($I2455="▲ ENTRÉE",$U2455,"")</f>
        <v/>
      </c>
      <c r="K2455" s="108">
        <f>IF($I2455="▼ SORTIE",$U2455,"")</f>
        <v/>
      </c>
      <c r="L2455" s="109">
        <f>$L2454+N($J2455)-N($K2455)</f>
        <v/>
      </c>
      <c r="M2455" s="110" t="n"/>
      <c r="N2455" s="54" t="n"/>
      <c r="O2455" s="54" t="n"/>
      <c r="P2455" s="54" t="n"/>
      <c r="Q2455" s="110" t="n"/>
      <c r="R2455" s="110" t="n"/>
      <c r="S2455" s="54" t="n"/>
      <c r="T2455" s="111">
        <f>IF($G2455="","",IFERROR(INDEX(Taux_Devises,MATCH(IF($M2455="",Devise_Base,$M2455),Codes_Devises,0)),1))</f>
        <v/>
      </c>
      <c r="U2455" s="112">
        <f>IF($G2455="","",ROUND($G2455*$T2455,2))</f>
        <v/>
      </c>
      <c r="V2455" s="113">
        <f>IF($B2455="","",MONTH($B2455))</f>
        <v/>
      </c>
      <c r="W2455" s="113">
        <f>IF($B2455="","",YEAR($B2455))</f>
        <v/>
      </c>
    </row>
    <row r="2456">
      <c r="B2456" s="105" t="n"/>
      <c r="C2456" s="54" t="n"/>
      <c r="D2456" s="54" t="n"/>
      <c r="E2456" s="54" t="n"/>
      <c r="F2456" s="54" t="n"/>
      <c r="G2456" s="65" t="n"/>
      <c r="H2456" s="54" t="n"/>
      <c r="I2456" s="106">
        <f>IF($C2456="","",IFERROR(INDEX(Sens_Types,MATCH($C2456,Liste_Types,0)),""))</f>
        <v/>
      </c>
      <c r="J2456" s="107">
        <f>IF($I2456="▲ ENTRÉE",$U2456,"")</f>
        <v/>
      </c>
      <c r="K2456" s="108">
        <f>IF($I2456="▼ SORTIE",$U2456,"")</f>
        <v/>
      </c>
      <c r="L2456" s="109">
        <f>$L2455+N($J2456)-N($K2456)</f>
        <v/>
      </c>
      <c r="M2456" s="110" t="n"/>
      <c r="N2456" s="54" t="n"/>
      <c r="O2456" s="54" t="n"/>
      <c r="P2456" s="54" t="n"/>
      <c r="Q2456" s="110" t="n"/>
      <c r="R2456" s="110" t="n"/>
      <c r="S2456" s="54" t="n"/>
      <c r="T2456" s="111">
        <f>IF($G2456="","",IFERROR(INDEX(Taux_Devises,MATCH(IF($M2456="",Devise_Base,$M2456),Codes_Devises,0)),1))</f>
        <v/>
      </c>
      <c r="U2456" s="112">
        <f>IF($G2456="","",ROUND($G2456*$T2456,2))</f>
        <v/>
      </c>
      <c r="V2456" s="113">
        <f>IF($B2456="","",MONTH($B2456))</f>
        <v/>
      </c>
      <c r="W2456" s="113">
        <f>IF($B2456="","",YEAR($B2456))</f>
        <v/>
      </c>
    </row>
    <row r="2457">
      <c r="B2457" s="105" t="n"/>
      <c r="C2457" s="54" t="n"/>
      <c r="D2457" s="54" t="n"/>
      <c r="E2457" s="54" t="n"/>
      <c r="F2457" s="54" t="n"/>
      <c r="G2457" s="65" t="n"/>
      <c r="H2457" s="54" t="n"/>
      <c r="I2457" s="106">
        <f>IF($C2457="","",IFERROR(INDEX(Sens_Types,MATCH($C2457,Liste_Types,0)),""))</f>
        <v/>
      </c>
      <c r="J2457" s="107">
        <f>IF($I2457="▲ ENTRÉE",$U2457,"")</f>
        <v/>
      </c>
      <c r="K2457" s="108">
        <f>IF($I2457="▼ SORTIE",$U2457,"")</f>
        <v/>
      </c>
      <c r="L2457" s="109">
        <f>$L2456+N($J2457)-N($K2457)</f>
        <v/>
      </c>
      <c r="M2457" s="110" t="n"/>
      <c r="N2457" s="54" t="n"/>
      <c r="O2457" s="54" t="n"/>
      <c r="P2457" s="54" t="n"/>
      <c r="Q2457" s="110" t="n"/>
      <c r="R2457" s="110" t="n"/>
      <c r="S2457" s="54" t="n"/>
      <c r="T2457" s="111">
        <f>IF($G2457="","",IFERROR(INDEX(Taux_Devises,MATCH(IF($M2457="",Devise_Base,$M2457),Codes_Devises,0)),1))</f>
        <v/>
      </c>
      <c r="U2457" s="112">
        <f>IF($G2457="","",ROUND($G2457*$T2457,2))</f>
        <v/>
      </c>
      <c r="V2457" s="113">
        <f>IF($B2457="","",MONTH($B2457))</f>
        <v/>
      </c>
      <c r="W2457" s="113">
        <f>IF($B2457="","",YEAR($B2457))</f>
        <v/>
      </c>
    </row>
    <row r="2458">
      <c r="B2458" s="105" t="n"/>
      <c r="C2458" s="54" t="n"/>
      <c r="D2458" s="54" t="n"/>
      <c r="E2458" s="54" t="n"/>
      <c r="F2458" s="54" t="n"/>
      <c r="G2458" s="65" t="n"/>
      <c r="H2458" s="54" t="n"/>
      <c r="I2458" s="106">
        <f>IF($C2458="","",IFERROR(INDEX(Sens_Types,MATCH($C2458,Liste_Types,0)),""))</f>
        <v/>
      </c>
      <c r="J2458" s="107">
        <f>IF($I2458="▲ ENTRÉE",$U2458,"")</f>
        <v/>
      </c>
      <c r="K2458" s="108">
        <f>IF($I2458="▼ SORTIE",$U2458,"")</f>
        <v/>
      </c>
      <c r="L2458" s="109">
        <f>$L2457+N($J2458)-N($K2458)</f>
        <v/>
      </c>
      <c r="M2458" s="110" t="n"/>
      <c r="N2458" s="54" t="n"/>
      <c r="O2458" s="54" t="n"/>
      <c r="P2458" s="54" t="n"/>
      <c r="Q2458" s="110" t="n"/>
      <c r="R2458" s="110" t="n"/>
      <c r="S2458" s="54" t="n"/>
      <c r="T2458" s="111">
        <f>IF($G2458="","",IFERROR(INDEX(Taux_Devises,MATCH(IF($M2458="",Devise_Base,$M2458),Codes_Devises,0)),1))</f>
        <v/>
      </c>
      <c r="U2458" s="112">
        <f>IF($G2458="","",ROUND($G2458*$T2458,2))</f>
        <v/>
      </c>
      <c r="V2458" s="113">
        <f>IF($B2458="","",MONTH($B2458))</f>
        <v/>
      </c>
      <c r="W2458" s="113">
        <f>IF($B2458="","",YEAR($B2458))</f>
        <v/>
      </c>
    </row>
    <row r="2459">
      <c r="B2459" s="105" t="n"/>
      <c r="C2459" s="54" t="n"/>
      <c r="D2459" s="54" t="n"/>
      <c r="E2459" s="54" t="n"/>
      <c r="F2459" s="54" t="n"/>
      <c r="G2459" s="65" t="n"/>
      <c r="H2459" s="54" t="n"/>
      <c r="I2459" s="106">
        <f>IF($C2459="","",IFERROR(INDEX(Sens_Types,MATCH($C2459,Liste_Types,0)),""))</f>
        <v/>
      </c>
      <c r="J2459" s="107">
        <f>IF($I2459="▲ ENTRÉE",$U2459,"")</f>
        <v/>
      </c>
      <c r="K2459" s="108">
        <f>IF($I2459="▼ SORTIE",$U2459,"")</f>
        <v/>
      </c>
      <c r="L2459" s="109">
        <f>$L2458+N($J2459)-N($K2459)</f>
        <v/>
      </c>
      <c r="M2459" s="110" t="n"/>
      <c r="N2459" s="54" t="n"/>
      <c r="O2459" s="54" t="n"/>
      <c r="P2459" s="54" t="n"/>
      <c r="Q2459" s="110" t="n"/>
      <c r="R2459" s="110" t="n"/>
      <c r="S2459" s="54" t="n"/>
      <c r="T2459" s="111">
        <f>IF($G2459="","",IFERROR(INDEX(Taux_Devises,MATCH(IF($M2459="",Devise_Base,$M2459),Codes_Devises,0)),1))</f>
        <v/>
      </c>
      <c r="U2459" s="112">
        <f>IF($G2459="","",ROUND($G2459*$T2459,2))</f>
        <v/>
      </c>
      <c r="V2459" s="113">
        <f>IF($B2459="","",MONTH($B2459))</f>
        <v/>
      </c>
      <c r="W2459" s="113">
        <f>IF($B2459="","",YEAR($B2459))</f>
        <v/>
      </c>
    </row>
    <row r="2460">
      <c r="B2460" s="105" t="n"/>
      <c r="C2460" s="54" t="n"/>
      <c r="D2460" s="54" t="n"/>
      <c r="E2460" s="54" t="n"/>
      <c r="F2460" s="54" t="n"/>
      <c r="G2460" s="65" t="n"/>
      <c r="H2460" s="54" t="n"/>
      <c r="I2460" s="106">
        <f>IF($C2460="","",IFERROR(INDEX(Sens_Types,MATCH($C2460,Liste_Types,0)),""))</f>
        <v/>
      </c>
      <c r="J2460" s="107">
        <f>IF($I2460="▲ ENTRÉE",$U2460,"")</f>
        <v/>
      </c>
      <c r="K2460" s="108">
        <f>IF($I2460="▼ SORTIE",$U2460,"")</f>
        <v/>
      </c>
      <c r="L2460" s="109">
        <f>$L2459+N($J2460)-N($K2460)</f>
        <v/>
      </c>
      <c r="M2460" s="110" t="n"/>
      <c r="N2460" s="54" t="n"/>
      <c r="O2460" s="54" t="n"/>
      <c r="P2460" s="54" t="n"/>
      <c r="Q2460" s="110" t="n"/>
      <c r="R2460" s="110" t="n"/>
      <c r="S2460" s="54" t="n"/>
      <c r="T2460" s="111">
        <f>IF($G2460="","",IFERROR(INDEX(Taux_Devises,MATCH(IF($M2460="",Devise_Base,$M2460),Codes_Devises,0)),1))</f>
        <v/>
      </c>
      <c r="U2460" s="112">
        <f>IF($G2460="","",ROUND($G2460*$T2460,2))</f>
        <v/>
      </c>
      <c r="V2460" s="113">
        <f>IF($B2460="","",MONTH($B2460))</f>
        <v/>
      </c>
      <c r="W2460" s="113">
        <f>IF($B2460="","",YEAR($B2460))</f>
        <v/>
      </c>
    </row>
    <row r="2461">
      <c r="B2461" s="105" t="n"/>
      <c r="C2461" s="54" t="n"/>
      <c r="D2461" s="54" t="n"/>
      <c r="E2461" s="54" t="n"/>
      <c r="F2461" s="54" t="n"/>
      <c r="G2461" s="65" t="n"/>
      <c r="H2461" s="54" t="n"/>
      <c r="I2461" s="106">
        <f>IF($C2461="","",IFERROR(INDEX(Sens_Types,MATCH($C2461,Liste_Types,0)),""))</f>
        <v/>
      </c>
      <c r="J2461" s="107">
        <f>IF($I2461="▲ ENTRÉE",$U2461,"")</f>
        <v/>
      </c>
      <c r="K2461" s="108">
        <f>IF($I2461="▼ SORTIE",$U2461,"")</f>
        <v/>
      </c>
      <c r="L2461" s="109">
        <f>$L2460+N($J2461)-N($K2461)</f>
        <v/>
      </c>
      <c r="M2461" s="110" t="n"/>
      <c r="N2461" s="54" t="n"/>
      <c r="O2461" s="54" t="n"/>
      <c r="P2461" s="54" t="n"/>
      <c r="Q2461" s="110" t="n"/>
      <c r="R2461" s="110" t="n"/>
      <c r="S2461" s="54" t="n"/>
      <c r="T2461" s="111">
        <f>IF($G2461="","",IFERROR(INDEX(Taux_Devises,MATCH(IF($M2461="",Devise_Base,$M2461),Codes_Devises,0)),1))</f>
        <v/>
      </c>
      <c r="U2461" s="112">
        <f>IF($G2461="","",ROUND($G2461*$T2461,2))</f>
        <v/>
      </c>
      <c r="V2461" s="113">
        <f>IF($B2461="","",MONTH($B2461))</f>
        <v/>
      </c>
      <c r="W2461" s="113">
        <f>IF($B2461="","",YEAR($B2461))</f>
        <v/>
      </c>
    </row>
    <row r="2462">
      <c r="B2462" s="105" t="n"/>
      <c r="C2462" s="54" t="n"/>
      <c r="D2462" s="54" t="n"/>
      <c r="E2462" s="54" t="n"/>
      <c r="F2462" s="54" t="n"/>
      <c r="G2462" s="65" t="n"/>
      <c r="H2462" s="54" t="n"/>
      <c r="I2462" s="106">
        <f>IF($C2462="","",IFERROR(INDEX(Sens_Types,MATCH($C2462,Liste_Types,0)),""))</f>
        <v/>
      </c>
      <c r="J2462" s="107">
        <f>IF($I2462="▲ ENTRÉE",$U2462,"")</f>
        <v/>
      </c>
      <c r="K2462" s="108">
        <f>IF($I2462="▼ SORTIE",$U2462,"")</f>
        <v/>
      </c>
      <c r="L2462" s="109">
        <f>$L2461+N($J2462)-N($K2462)</f>
        <v/>
      </c>
      <c r="M2462" s="110" t="n"/>
      <c r="N2462" s="54" t="n"/>
      <c r="O2462" s="54" t="n"/>
      <c r="P2462" s="54" t="n"/>
      <c r="Q2462" s="110" t="n"/>
      <c r="R2462" s="110" t="n"/>
      <c r="S2462" s="54" t="n"/>
      <c r="T2462" s="111">
        <f>IF($G2462="","",IFERROR(INDEX(Taux_Devises,MATCH(IF($M2462="",Devise_Base,$M2462),Codes_Devises,0)),1))</f>
        <v/>
      </c>
      <c r="U2462" s="112">
        <f>IF($G2462="","",ROUND($G2462*$T2462,2))</f>
        <v/>
      </c>
      <c r="V2462" s="113">
        <f>IF($B2462="","",MONTH($B2462))</f>
        <v/>
      </c>
      <c r="W2462" s="113">
        <f>IF($B2462="","",YEAR($B2462))</f>
        <v/>
      </c>
    </row>
    <row r="2463">
      <c r="B2463" s="105" t="n"/>
      <c r="C2463" s="54" t="n"/>
      <c r="D2463" s="54" t="n"/>
      <c r="E2463" s="54" t="n"/>
      <c r="F2463" s="54" t="n"/>
      <c r="G2463" s="65" t="n"/>
      <c r="H2463" s="54" t="n"/>
      <c r="I2463" s="106">
        <f>IF($C2463="","",IFERROR(INDEX(Sens_Types,MATCH($C2463,Liste_Types,0)),""))</f>
        <v/>
      </c>
      <c r="J2463" s="107">
        <f>IF($I2463="▲ ENTRÉE",$U2463,"")</f>
        <v/>
      </c>
      <c r="K2463" s="108">
        <f>IF($I2463="▼ SORTIE",$U2463,"")</f>
        <v/>
      </c>
      <c r="L2463" s="109">
        <f>$L2462+N($J2463)-N($K2463)</f>
        <v/>
      </c>
      <c r="M2463" s="110" t="n"/>
      <c r="N2463" s="54" t="n"/>
      <c r="O2463" s="54" t="n"/>
      <c r="P2463" s="54" t="n"/>
      <c r="Q2463" s="110" t="n"/>
      <c r="R2463" s="110" t="n"/>
      <c r="S2463" s="54" t="n"/>
      <c r="T2463" s="111">
        <f>IF($G2463="","",IFERROR(INDEX(Taux_Devises,MATCH(IF($M2463="",Devise_Base,$M2463),Codes_Devises,0)),1))</f>
        <v/>
      </c>
      <c r="U2463" s="112">
        <f>IF($G2463="","",ROUND($G2463*$T2463,2))</f>
        <v/>
      </c>
      <c r="V2463" s="113">
        <f>IF($B2463="","",MONTH($B2463))</f>
        <v/>
      </c>
      <c r="W2463" s="113">
        <f>IF($B2463="","",YEAR($B2463))</f>
        <v/>
      </c>
    </row>
    <row r="2464">
      <c r="B2464" s="105" t="n"/>
      <c r="C2464" s="54" t="n"/>
      <c r="D2464" s="54" t="n"/>
      <c r="E2464" s="54" t="n"/>
      <c r="F2464" s="54" t="n"/>
      <c r="G2464" s="65" t="n"/>
      <c r="H2464" s="54" t="n"/>
      <c r="I2464" s="106">
        <f>IF($C2464="","",IFERROR(INDEX(Sens_Types,MATCH($C2464,Liste_Types,0)),""))</f>
        <v/>
      </c>
      <c r="J2464" s="107">
        <f>IF($I2464="▲ ENTRÉE",$U2464,"")</f>
        <v/>
      </c>
      <c r="K2464" s="108">
        <f>IF($I2464="▼ SORTIE",$U2464,"")</f>
        <v/>
      </c>
      <c r="L2464" s="109">
        <f>$L2463+N($J2464)-N($K2464)</f>
        <v/>
      </c>
      <c r="M2464" s="110" t="n"/>
      <c r="N2464" s="54" t="n"/>
      <c r="O2464" s="54" t="n"/>
      <c r="P2464" s="54" t="n"/>
      <c r="Q2464" s="110" t="n"/>
      <c r="R2464" s="110" t="n"/>
      <c r="S2464" s="54" t="n"/>
      <c r="T2464" s="111">
        <f>IF($G2464="","",IFERROR(INDEX(Taux_Devises,MATCH(IF($M2464="",Devise_Base,$M2464),Codes_Devises,0)),1))</f>
        <v/>
      </c>
      <c r="U2464" s="112">
        <f>IF($G2464="","",ROUND($G2464*$T2464,2))</f>
        <v/>
      </c>
      <c r="V2464" s="113">
        <f>IF($B2464="","",MONTH($B2464))</f>
        <v/>
      </c>
      <c r="W2464" s="113">
        <f>IF($B2464="","",YEAR($B2464))</f>
        <v/>
      </c>
    </row>
    <row r="2465">
      <c r="B2465" s="105" t="n"/>
      <c r="C2465" s="54" t="n"/>
      <c r="D2465" s="54" t="n"/>
      <c r="E2465" s="54" t="n"/>
      <c r="F2465" s="54" t="n"/>
      <c r="G2465" s="65" t="n"/>
      <c r="H2465" s="54" t="n"/>
      <c r="I2465" s="106">
        <f>IF($C2465="","",IFERROR(INDEX(Sens_Types,MATCH($C2465,Liste_Types,0)),""))</f>
        <v/>
      </c>
      <c r="J2465" s="107">
        <f>IF($I2465="▲ ENTRÉE",$U2465,"")</f>
        <v/>
      </c>
      <c r="K2465" s="108">
        <f>IF($I2465="▼ SORTIE",$U2465,"")</f>
        <v/>
      </c>
      <c r="L2465" s="109">
        <f>$L2464+N($J2465)-N($K2465)</f>
        <v/>
      </c>
      <c r="M2465" s="110" t="n"/>
      <c r="N2465" s="54" t="n"/>
      <c r="O2465" s="54" t="n"/>
      <c r="P2465" s="54" t="n"/>
      <c r="Q2465" s="110" t="n"/>
      <c r="R2465" s="110" t="n"/>
      <c r="S2465" s="54" t="n"/>
      <c r="T2465" s="111">
        <f>IF($G2465="","",IFERROR(INDEX(Taux_Devises,MATCH(IF($M2465="",Devise_Base,$M2465),Codes_Devises,0)),1))</f>
        <v/>
      </c>
      <c r="U2465" s="112">
        <f>IF($G2465="","",ROUND($G2465*$T2465,2))</f>
        <v/>
      </c>
      <c r="V2465" s="113">
        <f>IF($B2465="","",MONTH($B2465))</f>
        <v/>
      </c>
      <c r="W2465" s="113">
        <f>IF($B2465="","",YEAR($B2465))</f>
        <v/>
      </c>
    </row>
    <row r="2466">
      <c r="B2466" s="105" t="n"/>
      <c r="C2466" s="54" t="n"/>
      <c r="D2466" s="54" t="n"/>
      <c r="E2466" s="54" t="n"/>
      <c r="F2466" s="54" t="n"/>
      <c r="G2466" s="65" t="n"/>
      <c r="H2466" s="54" t="n"/>
      <c r="I2466" s="106">
        <f>IF($C2466="","",IFERROR(INDEX(Sens_Types,MATCH($C2466,Liste_Types,0)),""))</f>
        <v/>
      </c>
      <c r="J2466" s="107">
        <f>IF($I2466="▲ ENTRÉE",$U2466,"")</f>
        <v/>
      </c>
      <c r="K2466" s="108">
        <f>IF($I2466="▼ SORTIE",$U2466,"")</f>
        <v/>
      </c>
      <c r="L2466" s="109">
        <f>$L2465+N($J2466)-N($K2466)</f>
        <v/>
      </c>
      <c r="M2466" s="110" t="n"/>
      <c r="N2466" s="54" t="n"/>
      <c r="O2466" s="54" t="n"/>
      <c r="P2466" s="54" t="n"/>
      <c r="Q2466" s="110" t="n"/>
      <c r="R2466" s="110" t="n"/>
      <c r="S2466" s="54" t="n"/>
      <c r="T2466" s="111">
        <f>IF($G2466="","",IFERROR(INDEX(Taux_Devises,MATCH(IF($M2466="",Devise_Base,$M2466),Codes_Devises,0)),1))</f>
        <v/>
      </c>
      <c r="U2466" s="112">
        <f>IF($G2466="","",ROUND($G2466*$T2466,2))</f>
        <v/>
      </c>
      <c r="V2466" s="113">
        <f>IF($B2466="","",MONTH($B2466))</f>
        <v/>
      </c>
      <c r="W2466" s="113">
        <f>IF($B2466="","",YEAR($B2466))</f>
        <v/>
      </c>
    </row>
    <row r="2467">
      <c r="B2467" s="105" t="n"/>
      <c r="C2467" s="54" t="n"/>
      <c r="D2467" s="54" t="n"/>
      <c r="E2467" s="54" t="n"/>
      <c r="F2467" s="54" t="n"/>
      <c r="G2467" s="65" t="n"/>
      <c r="H2467" s="54" t="n"/>
      <c r="I2467" s="106">
        <f>IF($C2467="","",IFERROR(INDEX(Sens_Types,MATCH($C2467,Liste_Types,0)),""))</f>
        <v/>
      </c>
      <c r="J2467" s="107">
        <f>IF($I2467="▲ ENTRÉE",$U2467,"")</f>
        <v/>
      </c>
      <c r="K2467" s="108">
        <f>IF($I2467="▼ SORTIE",$U2467,"")</f>
        <v/>
      </c>
      <c r="L2467" s="109">
        <f>$L2466+N($J2467)-N($K2467)</f>
        <v/>
      </c>
      <c r="M2467" s="110" t="n"/>
      <c r="N2467" s="54" t="n"/>
      <c r="O2467" s="54" t="n"/>
      <c r="P2467" s="54" t="n"/>
      <c r="Q2467" s="110" t="n"/>
      <c r="R2467" s="110" t="n"/>
      <c r="S2467" s="54" t="n"/>
      <c r="T2467" s="111">
        <f>IF($G2467="","",IFERROR(INDEX(Taux_Devises,MATCH(IF($M2467="",Devise_Base,$M2467),Codes_Devises,0)),1))</f>
        <v/>
      </c>
      <c r="U2467" s="112">
        <f>IF($G2467="","",ROUND($G2467*$T2467,2))</f>
        <v/>
      </c>
      <c r="V2467" s="113">
        <f>IF($B2467="","",MONTH($B2467))</f>
        <v/>
      </c>
      <c r="W2467" s="113">
        <f>IF($B2467="","",YEAR($B2467))</f>
        <v/>
      </c>
    </row>
    <row r="2468">
      <c r="B2468" s="105" t="n"/>
      <c r="C2468" s="54" t="n"/>
      <c r="D2468" s="54" t="n"/>
      <c r="E2468" s="54" t="n"/>
      <c r="F2468" s="54" t="n"/>
      <c r="G2468" s="65" t="n"/>
      <c r="H2468" s="54" t="n"/>
      <c r="I2468" s="106">
        <f>IF($C2468="","",IFERROR(INDEX(Sens_Types,MATCH($C2468,Liste_Types,0)),""))</f>
        <v/>
      </c>
      <c r="J2468" s="107">
        <f>IF($I2468="▲ ENTRÉE",$U2468,"")</f>
        <v/>
      </c>
      <c r="K2468" s="108">
        <f>IF($I2468="▼ SORTIE",$U2468,"")</f>
        <v/>
      </c>
      <c r="L2468" s="109">
        <f>$L2467+N($J2468)-N($K2468)</f>
        <v/>
      </c>
      <c r="M2468" s="110" t="n"/>
      <c r="N2468" s="54" t="n"/>
      <c r="O2468" s="54" t="n"/>
      <c r="P2468" s="54" t="n"/>
      <c r="Q2468" s="110" t="n"/>
      <c r="R2468" s="110" t="n"/>
      <c r="S2468" s="54" t="n"/>
      <c r="T2468" s="111">
        <f>IF($G2468="","",IFERROR(INDEX(Taux_Devises,MATCH(IF($M2468="",Devise_Base,$M2468),Codes_Devises,0)),1))</f>
        <v/>
      </c>
      <c r="U2468" s="112">
        <f>IF($G2468="","",ROUND($G2468*$T2468,2))</f>
        <v/>
      </c>
      <c r="V2468" s="113">
        <f>IF($B2468="","",MONTH($B2468))</f>
        <v/>
      </c>
      <c r="W2468" s="113">
        <f>IF($B2468="","",YEAR($B2468))</f>
        <v/>
      </c>
    </row>
    <row r="2469">
      <c r="B2469" s="105" t="n"/>
      <c r="C2469" s="54" t="n"/>
      <c r="D2469" s="54" t="n"/>
      <c r="E2469" s="54" t="n"/>
      <c r="F2469" s="54" t="n"/>
      <c r="G2469" s="65" t="n"/>
      <c r="H2469" s="54" t="n"/>
      <c r="I2469" s="106">
        <f>IF($C2469="","",IFERROR(INDEX(Sens_Types,MATCH($C2469,Liste_Types,0)),""))</f>
        <v/>
      </c>
      <c r="J2469" s="107">
        <f>IF($I2469="▲ ENTRÉE",$U2469,"")</f>
        <v/>
      </c>
      <c r="K2469" s="108">
        <f>IF($I2469="▼ SORTIE",$U2469,"")</f>
        <v/>
      </c>
      <c r="L2469" s="109">
        <f>$L2468+N($J2469)-N($K2469)</f>
        <v/>
      </c>
      <c r="M2469" s="110" t="n"/>
      <c r="N2469" s="54" t="n"/>
      <c r="O2469" s="54" t="n"/>
      <c r="P2469" s="54" t="n"/>
      <c r="Q2469" s="110" t="n"/>
      <c r="R2469" s="110" t="n"/>
      <c r="S2469" s="54" t="n"/>
      <c r="T2469" s="111">
        <f>IF($G2469="","",IFERROR(INDEX(Taux_Devises,MATCH(IF($M2469="",Devise_Base,$M2469),Codes_Devises,0)),1))</f>
        <v/>
      </c>
      <c r="U2469" s="112">
        <f>IF($G2469="","",ROUND($G2469*$T2469,2))</f>
        <v/>
      </c>
      <c r="V2469" s="113">
        <f>IF($B2469="","",MONTH($B2469))</f>
        <v/>
      </c>
      <c r="W2469" s="113">
        <f>IF($B2469="","",YEAR($B2469))</f>
        <v/>
      </c>
    </row>
    <row r="2470">
      <c r="B2470" s="105" t="n"/>
      <c r="C2470" s="54" t="n"/>
      <c r="D2470" s="54" t="n"/>
      <c r="E2470" s="54" t="n"/>
      <c r="F2470" s="54" t="n"/>
      <c r="G2470" s="65" t="n"/>
      <c r="H2470" s="54" t="n"/>
      <c r="I2470" s="106">
        <f>IF($C2470="","",IFERROR(INDEX(Sens_Types,MATCH($C2470,Liste_Types,0)),""))</f>
        <v/>
      </c>
      <c r="J2470" s="107">
        <f>IF($I2470="▲ ENTRÉE",$U2470,"")</f>
        <v/>
      </c>
      <c r="K2470" s="108">
        <f>IF($I2470="▼ SORTIE",$U2470,"")</f>
        <v/>
      </c>
      <c r="L2470" s="109">
        <f>$L2469+N($J2470)-N($K2470)</f>
        <v/>
      </c>
      <c r="M2470" s="110" t="n"/>
      <c r="N2470" s="54" t="n"/>
      <c r="O2470" s="54" t="n"/>
      <c r="P2470" s="54" t="n"/>
      <c r="Q2470" s="110" t="n"/>
      <c r="R2470" s="110" t="n"/>
      <c r="S2470" s="54" t="n"/>
      <c r="T2470" s="111">
        <f>IF($G2470="","",IFERROR(INDEX(Taux_Devises,MATCH(IF($M2470="",Devise_Base,$M2470),Codes_Devises,0)),1))</f>
        <v/>
      </c>
      <c r="U2470" s="112">
        <f>IF($G2470="","",ROUND($G2470*$T2470,2))</f>
        <v/>
      </c>
      <c r="V2470" s="113">
        <f>IF($B2470="","",MONTH($B2470))</f>
        <v/>
      </c>
      <c r="W2470" s="113">
        <f>IF($B2470="","",YEAR($B2470))</f>
        <v/>
      </c>
    </row>
    <row r="2471">
      <c r="B2471" s="105" t="n"/>
      <c r="C2471" s="54" t="n"/>
      <c r="D2471" s="54" t="n"/>
      <c r="E2471" s="54" t="n"/>
      <c r="F2471" s="54" t="n"/>
      <c r="G2471" s="65" t="n"/>
      <c r="H2471" s="54" t="n"/>
      <c r="I2471" s="106">
        <f>IF($C2471="","",IFERROR(INDEX(Sens_Types,MATCH($C2471,Liste_Types,0)),""))</f>
        <v/>
      </c>
      <c r="J2471" s="107">
        <f>IF($I2471="▲ ENTRÉE",$U2471,"")</f>
        <v/>
      </c>
      <c r="K2471" s="108">
        <f>IF($I2471="▼ SORTIE",$U2471,"")</f>
        <v/>
      </c>
      <c r="L2471" s="109">
        <f>$L2470+N($J2471)-N($K2471)</f>
        <v/>
      </c>
      <c r="M2471" s="110" t="n"/>
      <c r="N2471" s="54" t="n"/>
      <c r="O2471" s="54" t="n"/>
      <c r="P2471" s="54" t="n"/>
      <c r="Q2471" s="110" t="n"/>
      <c r="R2471" s="110" t="n"/>
      <c r="S2471" s="54" t="n"/>
      <c r="T2471" s="111">
        <f>IF($G2471="","",IFERROR(INDEX(Taux_Devises,MATCH(IF($M2471="",Devise_Base,$M2471),Codes_Devises,0)),1))</f>
        <v/>
      </c>
      <c r="U2471" s="112">
        <f>IF($G2471="","",ROUND($G2471*$T2471,2))</f>
        <v/>
      </c>
      <c r="V2471" s="113">
        <f>IF($B2471="","",MONTH($B2471))</f>
        <v/>
      </c>
      <c r="W2471" s="113">
        <f>IF($B2471="","",YEAR($B2471))</f>
        <v/>
      </c>
    </row>
    <row r="2472">
      <c r="B2472" s="105" t="n"/>
      <c r="C2472" s="54" t="n"/>
      <c r="D2472" s="54" t="n"/>
      <c r="E2472" s="54" t="n"/>
      <c r="F2472" s="54" t="n"/>
      <c r="G2472" s="65" t="n"/>
      <c r="H2472" s="54" t="n"/>
      <c r="I2472" s="106">
        <f>IF($C2472="","",IFERROR(INDEX(Sens_Types,MATCH($C2472,Liste_Types,0)),""))</f>
        <v/>
      </c>
      <c r="J2472" s="107">
        <f>IF($I2472="▲ ENTRÉE",$U2472,"")</f>
        <v/>
      </c>
      <c r="K2472" s="108">
        <f>IF($I2472="▼ SORTIE",$U2472,"")</f>
        <v/>
      </c>
      <c r="L2472" s="109">
        <f>$L2471+N($J2472)-N($K2472)</f>
        <v/>
      </c>
      <c r="M2472" s="110" t="n"/>
      <c r="N2472" s="54" t="n"/>
      <c r="O2472" s="54" t="n"/>
      <c r="P2472" s="54" t="n"/>
      <c r="Q2472" s="110" t="n"/>
      <c r="R2472" s="110" t="n"/>
      <c r="S2472" s="54" t="n"/>
      <c r="T2472" s="111">
        <f>IF($G2472="","",IFERROR(INDEX(Taux_Devises,MATCH(IF($M2472="",Devise_Base,$M2472),Codes_Devises,0)),1))</f>
        <v/>
      </c>
      <c r="U2472" s="112">
        <f>IF($G2472="","",ROUND($G2472*$T2472,2))</f>
        <v/>
      </c>
      <c r="V2472" s="113">
        <f>IF($B2472="","",MONTH($B2472))</f>
        <v/>
      </c>
      <c r="W2472" s="113">
        <f>IF($B2472="","",YEAR($B2472))</f>
        <v/>
      </c>
    </row>
    <row r="2473">
      <c r="B2473" s="105" t="n"/>
      <c r="C2473" s="54" t="n"/>
      <c r="D2473" s="54" t="n"/>
      <c r="E2473" s="54" t="n"/>
      <c r="F2473" s="54" t="n"/>
      <c r="G2473" s="65" t="n"/>
      <c r="H2473" s="54" t="n"/>
      <c r="I2473" s="106">
        <f>IF($C2473="","",IFERROR(INDEX(Sens_Types,MATCH($C2473,Liste_Types,0)),""))</f>
        <v/>
      </c>
      <c r="J2473" s="107">
        <f>IF($I2473="▲ ENTRÉE",$U2473,"")</f>
        <v/>
      </c>
      <c r="K2473" s="108">
        <f>IF($I2473="▼ SORTIE",$U2473,"")</f>
        <v/>
      </c>
      <c r="L2473" s="109">
        <f>$L2472+N($J2473)-N($K2473)</f>
        <v/>
      </c>
      <c r="M2473" s="110" t="n"/>
      <c r="N2473" s="54" t="n"/>
      <c r="O2473" s="54" t="n"/>
      <c r="P2473" s="54" t="n"/>
      <c r="Q2473" s="110" t="n"/>
      <c r="R2473" s="110" t="n"/>
      <c r="S2473" s="54" t="n"/>
      <c r="T2473" s="111">
        <f>IF($G2473="","",IFERROR(INDEX(Taux_Devises,MATCH(IF($M2473="",Devise_Base,$M2473),Codes_Devises,0)),1))</f>
        <v/>
      </c>
      <c r="U2473" s="112">
        <f>IF($G2473="","",ROUND($G2473*$T2473,2))</f>
        <v/>
      </c>
      <c r="V2473" s="113">
        <f>IF($B2473="","",MONTH($B2473))</f>
        <v/>
      </c>
      <c r="W2473" s="113">
        <f>IF($B2473="","",YEAR($B2473))</f>
        <v/>
      </c>
    </row>
    <row r="2474">
      <c r="B2474" s="105" t="n"/>
      <c r="C2474" s="54" t="n"/>
      <c r="D2474" s="54" t="n"/>
      <c r="E2474" s="54" t="n"/>
      <c r="F2474" s="54" t="n"/>
      <c r="G2474" s="65" t="n"/>
      <c r="H2474" s="54" t="n"/>
      <c r="I2474" s="106">
        <f>IF($C2474="","",IFERROR(INDEX(Sens_Types,MATCH($C2474,Liste_Types,0)),""))</f>
        <v/>
      </c>
      <c r="J2474" s="107">
        <f>IF($I2474="▲ ENTRÉE",$U2474,"")</f>
        <v/>
      </c>
      <c r="K2474" s="108">
        <f>IF($I2474="▼ SORTIE",$U2474,"")</f>
        <v/>
      </c>
      <c r="L2474" s="109">
        <f>$L2473+N($J2474)-N($K2474)</f>
        <v/>
      </c>
      <c r="M2474" s="110" t="n"/>
      <c r="N2474" s="54" t="n"/>
      <c r="O2474" s="54" t="n"/>
      <c r="P2474" s="54" t="n"/>
      <c r="Q2474" s="110" t="n"/>
      <c r="R2474" s="110" t="n"/>
      <c r="S2474" s="54" t="n"/>
      <c r="T2474" s="111">
        <f>IF($G2474="","",IFERROR(INDEX(Taux_Devises,MATCH(IF($M2474="",Devise_Base,$M2474),Codes_Devises,0)),1))</f>
        <v/>
      </c>
      <c r="U2474" s="112">
        <f>IF($G2474="","",ROUND($G2474*$T2474,2))</f>
        <v/>
      </c>
      <c r="V2474" s="113">
        <f>IF($B2474="","",MONTH($B2474))</f>
        <v/>
      </c>
      <c r="W2474" s="113">
        <f>IF($B2474="","",YEAR($B2474))</f>
        <v/>
      </c>
    </row>
    <row r="2475">
      <c r="B2475" s="105" t="n"/>
      <c r="C2475" s="54" t="n"/>
      <c r="D2475" s="54" t="n"/>
      <c r="E2475" s="54" t="n"/>
      <c r="F2475" s="54" t="n"/>
      <c r="G2475" s="65" t="n"/>
      <c r="H2475" s="54" t="n"/>
      <c r="I2475" s="106">
        <f>IF($C2475="","",IFERROR(INDEX(Sens_Types,MATCH($C2475,Liste_Types,0)),""))</f>
        <v/>
      </c>
      <c r="J2475" s="107">
        <f>IF($I2475="▲ ENTRÉE",$U2475,"")</f>
        <v/>
      </c>
      <c r="K2475" s="108">
        <f>IF($I2475="▼ SORTIE",$U2475,"")</f>
        <v/>
      </c>
      <c r="L2475" s="109">
        <f>$L2474+N($J2475)-N($K2475)</f>
        <v/>
      </c>
      <c r="M2475" s="110" t="n"/>
      <c r="N2475" s="54" t="n"/>
      <c r="O2475" s="54" t="n"/>
      <c r="P2475" s="54" t="n"/>
      <c r="Q2475" s="110" t="n"/>
      <c r="R2475" s="110" t="n"/>
      <c r="S2475" s="54" t="n"/>
      <c r="T2475" s="111">
        <f>IF($G2475="","",IFERROR(INDEX(Taux_Devises,MATCH(IF($M2475="",Devise_Base,$M2475),Codes_Devises,0)),1))</f>
        <v/>
      </c>
      <c r="U2475" s="112">
        <f>IF($G2475="","",ROUND($G2475*$T2475,2))</f>
        <v/>
      </c>
      <c r="V2475" s="113">
        <f>IF($B2475="","",MONTH($B2475))</f>
        <v/>
      </c>
      <c r="W2475" s="113">
        <f>IF($B2475="","",YEAR($B2475))</f>
        <v/>
      </c>
    </row>
    <row r="2476">
      <c r="B2476" s="105" t="n"/>
      <c r="C2476" s="54" t="n"/>
      <c r="D2476" s="54" t="n"/>
      <c r="E2476" s="54" t="n"/>
      <c r="F2476" s="54" t="n"/>
      <c r="G2476" s="65" t="n"/>
      <c r="H2476" s="54" t="n"/>
      <c r="I2476" s="106">
        <f>IF($C2476="","",IFERROR(INDEX(Sens_Types,MATCH($C2476,Liste_Types,0)),""))</f>
        <v/>
      </c>
      <c r="J2476" s="107">
        <f>IF($I2476="▲ ENTRÉE",$U2476,"")</f>
        <v/>
      </c>
      <c r="K2476" s="108">
        <f>IF($I2476="▼ SORTIE",$U2476,"")</f>
        <v/>
      </c>
      <c r="L2476" s="109">
        <f>$L2475+N($J2476)-N($K2476)</f>
        <v/>
      </c>
      <c r="M2476" s="110" t="n"/>
      <c r="N2476" s="54" t="n"/>
      <c r="O2476" s="54" t="n"/>
      <c r="P2476" s="54" t="n"/>
      <c r="Q2476" s="110" t="n"/>
      <c r="R2476" s="110" t="n"/>
      <c r="S2476" s="54" t="n"/>
      <c r="T2476" s="111">
        <f>IF($G2476="","",IFERROR(INDEX(Taux_Devises,MATCH(IF($M2476="",Devise_Base,$M2476),Codes_Devises,0)),1))</f>
        <v/>
      </c>
      <c r="U2476" s="112">
        <f>IF($G2476="","",ROUND($G2476*$T2476,2))</f>
        <v/>
      </c>
      <c r="V2476" s="113">
        <f>IF($B2476="","",MONTH($B2476))</f>
        <v/>
      </c>
      <c r="W2476" s="113">
        <f>IF($B2476="","",YEAR($B2476))</f>
        <v/>
      </c>
    </row>
    <row r="2477">
      <c r="B2477" s="105" t="n"/>
      <c r="C2477" s="54" t="n"/>
      <c r="D2477" s="54" t="n"/>
      <c r="E2477" s="54" t="n"/>
      <c r="F2477" s="54" t="n"/>
      <c r="G2477" s="65" t="n"/>
      <c r="H2477" s="54" t="n"/>
      <c r="I2477" s="106">
        <f>IF($C2477="","",IFERROR(INDEX(Sens_Types,MATCH($C2477,Liste_Types,0)),""))</f>
        <v/>
      </c>
      <c r="J2477" s="107">
        <f>IF($I2477="▲ ENTRÉE",$U2477,"")</f>
        <v/>
      </c>
      <c r="K2477" s="108">
        <f>IF($I2477="▼ SORTIE",$U2477,"")</f>
        <v/>
      </c>
      <c r="L2477" s="109">
        <f>$L2476+N($J2477)-N($K2477)</f>
        <v/>
      </c>
      <c r="M2477" s="110" t="n"/>
      <c r="N2477" s="54" t="n"/>
      <c r="O2477" s="54" t="n"/>
      <c r="P2477" s="54" t="n"/>
      <c r="Q2477" s="110" t="n"/>
      <c r="R2477" s="110" t="n"/>
      <c r="S2477" s="54" t="n"/>
      <c r="T2477" s="111">
        <f>IF($G2477="","",IFERROR(INDEX(Taux_Devises,MATCH(IF($M2477="",Devise_Base,$M2477),Codes_Devises,0)),1))</f>
        <v/>
      </c>
      <c r="U2477" s="112">
        <f>IF($G2477="","",ROUND($G2477*$T2477,2))</f>
        <v/>
      </c>
      <c r="V2477" s="113">
        <f>IF($B2477="","",MONTH($B2477))</f>
        <v/>
      </c>
      <c r="W2477" s="113">
        <f>IF($B2477="","",YEAR($B2477))</f>
        <v/>
      </c>
    </row>
    <row r="2478">
      <c r="B2478" s="105" t="n"/>
      <c r="C2478" s="54" t="n"/>
      <c r="D2478" s="54" t="n"/>
      <c r="E2478" s="54" t="n"/>
      <c r="F2478" s="54" t="n"/>
      <c r="G2478" s="65" t="n"/>
      <c r="H2478" s="54" t="n"/>
      <c r="I2478" s="106">
        <f>IF($C2478="","",IFERROR(INDEX(Sens_Types,MATCH($C2478,Liste_Types,0)),""))</f>
        <v/>
      </c>
      <c r="J2478" s="107">
        <f>IF($I2478="▲ ENTRÉE",$U2478,"")</f>
        <v/>
      </c>
      <c r="K2478" s="108">
        <f>IF($I2478="▼ SORTIE",$U2478,"")</f>
        <v/>
      </c>
      <c r="L2478" s="109">
        <f>$L2477+N($J2478)-N($K2478)</f>
        <v/>
      </c>
      <c r="M2478" s="110" t="n"/>
      <c r="N2478" s="54" t="n"/>
      <c r="O2478" s="54" t="n"/>
      <c r="P2478" s="54" t="n"/>
      <c r="Q2478" s="110" t="n"/>
      <c r="R2478" s="110" t="n"/>
      <c r="S2478" s="54" t="n"/>
      <c r="T2478" s="111">
        <f>IF($G2478="","",IFERROR(INDEX(Taux_Devises,MATCH(IF($M2478="",Devise_Base,$M2478),Codes_Devises,0)),1))</f>
        <v/>
      </c>
      <c r="U2478" s="112">
        <f>IF($G2478="","",ROUND($G2478*$T2478,2))</f>
        <v/>
      </c>
      <c r="V2478" s="113">
        <f>IF($B2478="","",MONTH($B2478))</f>
        <v/>
      </c>
      <c r="W2478" s="113">
        <f>IF($B2478="","",YEAR($B2478))</f>
        <v/>
      </c>
    </row>
    <row r="2479">
      <c r="B2479" s="105" t="n"/>
      <c r="C2479" s="54" t="n"/>
      <c r="D2479" s="54" t="n"/>
      <c r="E2479" s="54" t="n"/>
      <c r="F2479" s="54" t="n"/>
      <c r="G2479" s="65" t="n"/>
      <c r="H2479" s="54" t="n"/>
      <c r="I2479" s="106">
        <f>IF($C2479="","",IFERROR(INDEX(Sens_Types,MATCH($C2479,Liste_Types,0)),""))</f>
        <v/>
      </c>
      <c r="J2479" s="107">
        <f>IF($I2479="▲ ENTRÉE",$U2479,"")</f>
        <v/>
      </c>
      <c r="K2479" s="108">
        <f>IF($I2479="▼ SORTIE",$U2479,"")</f>
        <v/>
      </c>
      <c r="L2479" s="109">
        <f>$L2478+N($J2479)-N($K2479)</f>
        <v/>
      </c>
      <c r="M2479" s="110" t="n"/>
      <c r="N2479" s="54" t="n"/>
      <c r="O2479" s="54" t="n"/>
      <c r="P2479" s="54" t="n"/>
      <c r="Q2479" s="110" t="n"/>
      <c r="R2479" s="110" t="n"/>
      <c r="S2479" s="54" t="n"/>
      <c r="T2479" s="111">
        <f>IF($G2479="","",IFERROR(INDEX(Taux_Devises,MATCH(IF($M2479="",Devise_Base,$M2479),Codes_Devises,0)),1))</f>
        <v/>
      </c>
      <c r="U2479" s="112">
        <f>IF($G2479="","",ROUND($G2479*$T2479,2))</f>
        <v/>
      </c>
      <c r="V2479" s="113">
        <f>IF($B2479="","",MONTH($B2479))</f>
        <v/>
      </c>
      <c r="W2479" s="113">
        <f>IF($B2479="","",YEAR($B2479))</f>
        <v/>
      </c>
    </row>
    <row r="2480">
      <c r="B2480" s="105" t="n"/>
      <c r="C2480" s="54" t="n"/>
      <c r="D2480" s="54" t="n"/>
      <c r="E2480" s="54" t="n"/>
      <c r="F2480" s="54" t="n"/>
      <c r="G2480" s="65" t="n"/>
      <c r="H2480" s="54" t="n"/>
      <c r="I2480" s="106">
        <f>IF($C2480="","",IFERROR(INDEX(Sens_Types,MATCH($C2480,Liste_Types,0)),""))</f>
        <v/>
      </c>
      <c r="J2480" s="107">
        <f>IF($I2480="▲ ENTRÉE",$U2480,"")</f>
        <v/>
      </c>
      <c r="K2480" s="108">
        <f>IF($I2480="▼ SORTIE",$U2480,"")</f>
        <v/>
      </c>
      <c r="L2480" s="109">
        <f>$L2479+N($J2480)-N($K2480)</f>
        <v/>
      </c>
      <c r="M2480" s="110" t="n"/>
      <c r="N2480" s="54" t="n"/>
      <c r="O2480" s="54" t="n"/>
      <c r="P2480" s="54" t="n"/>
      <c r="Q2480" s="110" t="n"/>
      <c r="R2480" s="110" t="n"/>
      <c r="S2480" s="54" t="n"/>
      <c r="T2480" s="111">
        <f>IF($G2480="","",IFERROR(INDEX(Taux_Devises,MATCH(IF($M2480="",Devise_Base,$M2480),Codes_Devises,0)),1))</f>
        <v/>
      </c>
      <c r="U2480" s="112">
        <f>IF($G2480="","",ROUND($G2480*$T2480,2))</f>
        <v/>
      </c>
      <c r="V2480" s="113">
        <f>IF($B2480="","",MONTH($B2480))</f>
        <v/>
      </c>
      <c r="W2480" s="113">
        <f>IF($B2480="","",YEAR($B2480))</f>
        <v/>
      </c>
    </row>
    <row r="2481">
      <c r="B2481" s="105" t="n"/>
      <c r="C2481" s="54" t="n"/>
      <c r="D2481" s="54" t="n"/>
      <c r="E2481" s="54" t="n"/>
      <c r="F2481" s="54" t="n"/>
      <c r="G2481" s="65" t="n"/>
      <c r="H2481" s="54" t="n"/>
      <c r="I2481" s="106">
        <f>IF($C2481="","",IFERROR(INDEX(Sens_Types,MATCH($C2481,Liste_Types,0)),""))</f>
        <v/>
      </c>
      <c r="J2481" s="107">
        <f>IF($I2481="▲ ENTRÉE",$U2481,"")</f>
        <v/>
      </c>
      <c r="K2481" s="108">
        <f>IF($I2481="▼ SORTIE",$U2481,"")</f>
        <v/>
      </c>
      <c r="L2481" s="109">
        <f>$L2480+N($J2481)-N($K2481)</f>
        <v/>
      </c>
      <c r="M2481" s="110" t="n"/>
      <c r="N2481" s="54" t="n"/>
      <c r="O2481" s="54" t="n"/>
      <c r="P2481" s="54" t="n"/>
      <c r="Q2481" s="110" t="n"/>
      <c r="R2481" s="110" t="n"/>
      <c r="S2481" s="54" t="n"/>
      <c r="T2481" s="111">
        <f>IF($G2481="","",IFERROR(INDEX(Taux_Devises,MATCH(IF($M2481="",Devise_Base,$M2481),Codes_Devises,0)),1))</f>
        <v/>
      </c>
      <c r="U2481" s="112">
        <f>IF($G2481="","",ROUND($G2481*$T2481,2))</f>
        <v/>
      </c>
      <c r="V2481" s="113">
        <f>IF($B2481="","",MONTH($B2481))</f>
        <v/>
      </c>
      <c r="W2481" s="113">
        <f>IF($B2481="","",YEAR($B2481))</f>
        <v/>
      </c>
    </row>
    <row r="2482">
      <c r="B2482" s="105" t="n"/>
      <c r="C2482" s="54" t="n"/>
      <c r="D2482" s="54" t="n"/>
      <c r="E2482" s="54" t="n"/>
      <c r="F2482" s="54" t="n"/>
      <c r="G2482" s="65" t="n"/>
      <c r="H2482" s="54" t="n"/>
      <c r="I2482" s="106">
        <f>IF($C2482="","",IFERROR(INDEX(Sens_Types,MATCH($C2482,Liste_Types,0)),""))</f>
        <v/>
      </c>
      <c r="J2482" s="107">
        <f>IF($I2482="▲ ENTRÉE",$U2482,"")</f>
        <v/>
      </c>
      <c r="K2482" s="108">
        <f>IF($I2482="▼ SORTIE",$U2482,"")</f>
        <v/>
      </c>
      <c r="L2482" s="109">
        <f>$L2481+N($J2482)-N($K2482)</f>
        <v/>
      </c>
      <c r="M2482" s="110" t="n"/>
      <c r="N2482" s="54" t="n"/>
      <c r="O2482" s="54" t="n"/>
      <c r="P2482" s="54" t="n"/>
      <c r="Q2482" s="110" t="n"/>
      <c r="R2482" s="110" t="n"/>
      <c r="S2482" s="54" t="n"/>
      <c r="T2482" s="111">
        <f>IF($G2482="","",IFERROR(INDEX(Taux_Devises,MATCH(IF($M2482="",Devise_Base,$M2482),Codes_Devises,0)),1))</f>
        <v/>
      </c>
      <c r="U2482" s="112">
        <f>IF($G2482="","",ROUND($G2482*$T2482,2))</f>
        <v/>
      </c>
      <c r="V2482" s="113">
        <f>IF($B2482="","",MONTH($B2482))</f>
        <v/>
      </c>
      <c r="W2482" s="113">
        <f>IF($B2482="","",YEAR($B2482))</f>
        <v/>
      </c>
    </row>
    <row r="2483">
      <c r="B2483" s="105" t="n"/>
      <c r="C2483" s="54" t="n"/>
      <c r="D2483" s="54" t="n"/>
      <c r="E2483" s="54" t="n"/>
      <c r="F2483" s="54" t="n"/>
      <c r="G2483" s="65" t="n"/>
      <c r="H2483" s="54" t="n"/>
      <c r="I2483" s="106">
        <f>IF($C2483="","",IFERROR(INDEX(Sens_Types,MATCH($C2483,Liste_Types,0)),""))</f>
        <v/>
      </c>
      <c r="J2483" s="107">
        <f>IF($I2483="▲ ENTRÉE",$U2483,"")</f>
        <v/>
      </c>
      <c r="K2483" s="108">
        <f>IF($I2483="▼ SORTIE",$U2483,"")</f>
        <v/>
      </c>
      <c r="L2483" s="109">
        <f>$L2482+N($J2483)-N($K2483)</f>
        <v/>
      </c>
      <c r="M2483" s="110" t="n"/>
      <c r="N2483" s="54" t="n"/>
      <c r="O2483" s="54" t="n"/>
      <c r="P2483" s="54" t="n"/>
      <c r="Q2483" s="110" t="n"/>
      <c r="R2483" s="110" t="n"/>
      <c r="S2483" s="54" t="n"/>
      <c r="T2483" s="111">
        <f>IF($G2483="","",IFERROR(INDEX(Taux_Devises,MATCH(IF($M2483="",Devise_Base,$M2483),Codes_Devises,0)),1))</f>
        <v/>
      </c>
      <c r="U2483" s="112">
        <f>IF($G2483="","",ROUND($G2483*$T2483,2))</f>
        <v/>
      </c>
      <c r="V2483" s="113">
        <f>IF($B2483="","",MONTH($B2483))</f>
        <v/>
      </c>
      <c r="W2483" s="113">
        <f>IF($B2483="","",YEAR($B2483))</f>
        <v/>
      </c>
    </row>
    <row r="2484">
      <c r="B2484" s="105" t="n"/>
      <c r="C2484" s="54" t="n"/>
      <c r="D2484" s="54" t="n"/>
      <c r="E2484" s="54" t="n"/>
      <c r="F2484" s="54" t="n"/>
      <c r="G2484" s="65" t="n"/>
      <c r="H2484" s="54" t="n"/>
      <c r="I2484" s="106">
        <f>IF($C2484="","",IFERROR(INDEX(Sens_Types,MATCH($C2484,Liste_Types,0)),""))</f>
        <v/>
      </c>
      <c r="J2484" s="107">
        <f>IF($I2484="▲ ENTRÉE",$U2484,"")</f>
        <v/>
      </c>
      <c r="K2484" s="108">
        <f>IF($I2484="▼ SORTIE",$U2484,"")</f>
        <v/>
      </c>
      <c r="L2484" s="109">
        <f>$L2483+N($J2484)-N($K2484)</f>
        <v/>
      </c>
      <c r="M2484" s="110" t="n"/>
      <c r="N2484" s="54" t="n"/>
      <c r="O2484" s="54" t="n"/>
      <c r="P2484" s="54" t="n"/>
      <c r="Q2484" s="110" t="n"/>
      <c r="R2484" s="110" t="n"/>
      <c r="S2484" s="54" t="n"/>
      <c r="T2484" s="111">
        <f>IF($G2484="","",IFERROR(INDEX(Taux_Devises,MATCH(IF($M2484="",Devise_Base,$M2484),Codes_Devises,0)),1))</f>
        <v/>
      </c>
      <c r="U2484" s="112">
        <f>IF($G2484="","",ROUND($G2484*$T2484,2))</f>
        <v/>
      </c>
      <c r="V2484" s="113">
        <f>IF($B2484="","",MONTH($B2484))</f>
        <v/>
      </c>
      <c r="W2484" s="113">
        <f>IF($B2484="","",YEAR($B2484))</f>
        <v/>
      </c>
    </row>
    <row r="2485">
      <c r="B2485" s="105" t="n"/>
      <c r="C2485" s="54" t="n"/>
      <c r="D2485" s="54" t="n"/>
      <c r="E2485" s="54" t="n"/>
      <c r="F2485" s="54" t="n"/>
      <c r="G2485" s="65" t="n"/>
      <c r="H2485" s="54" t="n"/>
      <c r="I2485" s="106">
        <f>IF($C2485="","",IFERROR(INDEX(Sens_Types,MATCH($C2485,Liste_Types,0)),""))</f>
        <v/>
      </c>
      <c r="J2485" s="107">
        <f>IF($I2485="▲ ENTRÉE",$U2485,"")</f>
        <v/>
      </c>
      <c r="K2485" s="108">
        <f>IF($I2485="▼ SORTIE",$U2485,"")</f>
        <v/>
      </c>
      <c r="L2485" s="109">
        <f>$L2484+N($J2485)-N($K2485)</f>
        <v/>
      </c>
      <c r="M2485" s="110" t="n"/>
      <c r="N2485" s="54" t="n"/>
      <c r="O2485" s="54" t="n"/>
      <c r="P2485" s="54" t="n"/>
      <c r="Q2485" s="110" t="n"/>
      <c r="R2485" s="110" t="n"/>
      <c r="S2485" s="54" t="n"/>
      <c r="T2485" s="111">
        <f>IF($G2485="","",IFERROR(INDEX(Taux_Devises,MATCH(IF($M2485="",Devise_Base,$M2485),Codes_Devises,0)),1))</f>
        <v/>
      </c>
      <c r="U2485" s="112">
        <f>IF($G2485="","",ROUND($G2485*$T2485,2))</f>
        <v/>
      </c>
      <c r="V2485" s="113">
        <f>IF($B2485="","",MONTH($B2485))</f>
        <v/>
      </c>
      <c r="W2485" s="113">
        <f>IF($B2485="","",YEAR($B2485))</f>
        <v/>
      </c>
    </row>
    <row r="2486">
      <c r="B2486" s="105" t="n"/>
      <c r="C2486" s="54" t="n"/>
      <c r="D2486" s="54" t="n"/>
      <c r="E2486" s="54" t="n"/>
      <c r="F2486" s="54" t="n"/>
      <c r="G2486" s="65" t="n"/>
      <c r="H2486" s="54" t="n"/>
      <c r="I2486" s="106">
        <f>IF($C2486="","",IFERROR(INDEX(Sens_Types,MATCH($C2486,Liste_Types,0)),""))</f>
        <v/>
      </c>
      <c r="J2486" s="107">
        <f>IF($I2486="▲ ENTRÉE",$U2486,"")</f>
        <v/>
      </c>
      <c r="K2486" s="108">
        <f>IF($I2486="▼ SORTIE",$U2486,"")</f>
        <v/>
      </c>
      <c r="L2486" s="109">
        <f>$L2485+N($J2486)-N($K2486)</f>
        <v/>
      </c>
      <c r="M2486" s="110" t="n"/>
      <c r="N2486" s="54" t="n"/>
      <c r="O2486" s="54" t="n"/>
      <c r="P2486" s="54" t="n"/>
      <c r="Q2486" s="110" t="n"/>
      <c r="R2486" s="110" t="n"/>
      <c r="S2486" s="54" t="n"/>
      <c r="T2486" s="111">
        <f>IF($G2486="","",IFERROR(INDEX(Taux_Devises,MATCH(IF($M2486="",Devise_Base,$M2486),Codes_Devises,0)),1))</f>
        <v/>
      </c>
      <c r="U2486" s="112">
        <f>IF($G2486="","",ROUND($G2486*$T2486,2))</f>
        <v/>
      </c>
      <c r="V2486" s="113">
        <f>IF($B2486="","",MONTH($B2486))</f>
        <v/>
      </c>
      <c r="W2486" s="113">
        <f>IF($B2486="","",YEAR($B2486))</f>
        <v/>
      </c>
    </row>
    <row r="2487">
      <c r="B2487" s="105" t="n"/>
      <c r="C2487" s="54" t="n"/>
      <c r="D2487" s="54" t="n"/>
      <c r="E2487" s="54" t="n"/>
      <c r="F2487" s="54" t="n"/>
      <c r="G2487" s="65" t="n"/>
      <c r="H2487" s="54" t="n"/>
      <c r="I2487" s="106">
        <f>IF($C2487="","",IFERROR(INDEX(Sens_Types,MATCH($C2487,Liste_Types,0)),""))</f>
        <v/>
      </c>
      <c r="J2487" s="107">
        <f>IF($I2487="▲ ENTRÉE",$U2487,"")</f>
        <v/>
      </c>
      <c r="K2487" s="108">
        <f>IF($I2487="▼ SORTIE",$U2487,"")</f>
        <v/>
      </c>
      <c r="L2487" s="109">
        <f>$L2486+N($J2487)-N($K2487)</f>
        <v/>
      </c>
      <c r="M2487" s="110" t="n"/>
      <c r="N2487" s="54" t="n"/>
      <c r="O2487" s="54" t="n"/>
      <c r="P2487" s="54" t="n"/>
      <c r="Q2487" s="110" t="n"/>
      <c r="R2487" s="110" t="n"/>
      <c r="S2487" s="54" t="n"/>
      <c r="T2487" s="111">
        <f>IF($G2487="","",IFERROR(INDEX(Taux_Devises,MATCH(IF($M2487="",Devise_Base,$M2487),Codes_Devises,0)),1))</f>
        <v/>
      </c>
      <c r="U2487" s="112">
        <f>IF($G2487="","",ROUND($G2487*$T2487,2))</f>
        <v/>
      </c>
      <c r="V2487" s="113">
        <f>IF($B2487="","",MONTH($B2487))</f>
        <v/>
      </c>
      <c r="W2487" s="113">
        <f>IF($B2487="","",YEAR($B2487))</f>
        <v/>
      </c>
    </row>
    <row r="2488">
      <c r="B2488" s="105" t="n"/>
      <c r="C2488" s="54" t="n"/>
      <c r="D2488" s="54" t="n"/>
      <c r="E2488" s="54" t="n"/>
      <c r="F2488" s="54" t="n"/>
      <c r="G2488" s="65" t="n"/>
      <c r="H2488" s="54" t="n"/>
      <c r="I2488" s="106">
        <f>IF($C2488="","",IFERROR(INDEX(Sens_Types,MATCH($C2488,Liste_Types,0)),""))</f>
        <v/>
      </c>
      <c r="J2488" s="107">
        <f>IF($I2488="▲ ENTRÉE",$U2488,"")</f>
        <v/>
      </c>
      <c r="K2488" s="108">
        <f>IF($I2488="▼ SORTIE",$U2488,"")</f>
        <v/>
      </c>
      <c r="L2488" s="109">
        <f>$L2487+N($J2488)-N($K2488)</f>
        <v/>
      </c>
      <c r="M2488" s="110" t="n"/>
      <c r="N2488" s="54" t="n"/>
      <c r="O2488" s="54" t="n"/>
      <c r="P2488" s="54" t="n"/>
      <c r="Q2488" s="110" t="n"/>
      <c r="R2488" s="110" t="n"/>
      <c r="S2488" s="54" t="n"/>
      <c r="T2488" s="111">
        <f>IF($G2488="","",IFERROR(INDEX(Taux_Devises,MATCH(IF($M2488="",Devise_Base,$M2488),Codes_Devises,0)),1))</f>
        <v/>
      </c>
      <c r="U2488" s="112">
        <f>IF($G2488="","",ROUND($G2488*$T2488,2))</f>
        <v/>
      </c>
      <c r="V2488" s="113">
        <f>IF($B2488="","",MONTH($B2488))</f>
        <v/>
      </c>
      <c r="W2488" s="113">
        <f>IF($B2488="","",YEAR($B2488))</f>
        <v/>
      </c>
    </row>
    <row r="2489">
      <c r="B2489" s="105" t="n"/>
      <c r="C2489" s="54" t="n"/>
      <c r="D2489" s="54" t="n"/>
      <c r="E2489" s="54" t="n"/>
      <c r="F2489" s="54" t="n"/>
      <c r="G2489" s="65" t="n"/>
      <c r="H2489" s="54" t="n"/>
      <c r="I2489" s="106">
        <f>IF($C2489="","",IFERROR(INDEX(Sens_Types,MATCH($C2489,Liste_Types,0)),""))</f>
        <v/>
      </c>
      <c r="J2489" s="107">
        <f>IF($I2489="▲ ENTRÉE",$U2489,"")</f>
        <v/>
      </c>
      <c r="K2489" s="108">
        <f>IF($I2489="▼ SORTIE",$U2489,"")</f>
        <v/>
      </c>
      <c r="L2489" s="109">
        <f>$L2488+N($J2489)-N($K2489)</f>
        <v/>
      </c>
      <c r="M2489" s="110" t="n"/>
      <c r="N2489" s="54" t="n"/>
      <c r="O2489" s="54" t="n"/>
      <c r="P2489" s="54" t="n"/>
      <c r="Q2489" s="110" t="n"/>
      <c r="R2489" s="110" t="n"/>
      <c r="S2489" s="54" t="n"/>
      <c r="T2489" s="111">
        <f>IF($G2489="","",IFERROR(INDEX(Taux_Devises,MATCH(IF($M2489="",Devise_Base,$M2489),Codes_Devises,0)),1))</f>
        <v/>
      </c>
      <c r="U2489" s="112">
        <f>IF($G2489="","",ROUND($G2489*$T2489,2))</f>
        <v/>
      </c>
      <c r="V2489" s="113">
        <f>IF($B2489="","",MONTH($B2489))</f>
        <v/>
      </c>
      <c r="W2489" s="113">
        <f>IF($B2489="","",YEAR($B2489))</f>
        <v/>
      </c>
    </row>
    <row r="2490">
      <c r="B2490" s="105" t="n"/>
      <c r="C2490" s="54" t="n"/>
      <c r="D2490" s="54" t="n"/>
      <c r="E2490" s="54" t="n"/>
      <c r="F2490" s="54" t="n"/>
      <c r="G2490" s="65" t="n"/>
      <c r="H2490" s="54" t="n"/>
      <c r="I2490" s="106">
        <f>IF($C2490="","",IFERROR(INDEX(Sens_Types,MATCH($C2490,Liste_Types,0)),""))</f>
        <v/>
      </c>
      <c r="J2490" s="107">
        <f>IF($I2490="▲ ENTRÉE",$U2490,"")</f>
        <v/>
      </c>
      <c r="K2490" s="108">
        <f>IF($I2490="▼ SORTIE",$U2490,"")</f>
        <v/>
      </c>
      <c r="L2490" s="109">
        <f>$L2489+N($J2490)-N($K2490)</f>
        <v/>
      </c>
      <c r="M2490" s="110" t="n"/>
      <c r="N2490" s="54" t="n"/>
      <c r="O2490" s="54" t="n"/>
      <c r="P2490" s="54" t="n"/>
      <c r="Q2490" s="110" t="n"/>
      <c r="R2490" s="110" t="n"/>
      <c r="S2490" s="54" t="n"/>
      <c r="T2490" s="111">
        <f>IF($G2490="","",IFERROR(INDEX(Taux_Devises,MATCH(IF($M2490="",Devise_Base,$M2490),Codes_Devises,0)),1))</f>
        <v/>
      </c>
      <c r="U2490" s="112">
        <f>IF($G2490="","",ROUND($G2490*$T2490,2))</f>
        <v/>
      </c>
      <c r="V2490" s="113">
        <f>IF($B2490="","",MONTH($B2490))</f>
        <v/>
      </c>
      <c r="W2490" s="113">
        <f>IF($B2490="","",YEAR($B2490))</f>
        <v/>
      </c>
    </row>
    <row r="2491">
      <c r="B2491" s="105" t="n"/>
      <c r="C2491" s="54" t="n"/>
      <c r="D2491" s="54" t="n"/>
      <c r="E2491" s="54" t="n"/>
      <c r="F2491" s="54" t="n"/>
      <c r="G2491" s="65" t="n"/>
      <c r="H2491" s="54" t="n"/>
      <c r="I2491" s="106">
        <f>IF($C2491="","",IFERROR(INDEX(Sens_Types,MATCH($C2491,Liste_Types,0)),""))</f>
        <v/>
      </c>
      <c r="J2491" s="107">
        <f>IF($I2491="▲ ENTRÉE",$U2491,"")</f>
        <v/>
      </c>
      <c r="K2491" s="108">
        <f>IF($I2491="▼ SORTIE",$U2491,"")</f>
        <v/>
      </c>
      <c r="L2491" s="109">
        <f>$L2490+N($J2491)-N($K2491)</f>
        <v/>
      </c>
      <c r="M2491" s="110" t="n"/>
      <c r="N2491" s="54" t="n"/>
      <c r="O2491" s="54" t="n"/>
      <c r="P2491" s="54" t="n"/>
      <c r="Q2491" s="110" t="n"/>
      <c r="R2491" s="110" t="n"/>
      <c r="S2491" s="54" t="n"/>
      <c r="T2491" s="111">
        <f>IF($G2491="","",IFERROR(INDEX(Taux_Devises,MATCH(IF($M2491="",Devise_Base,$M2491),Codes_Devises,0)),1))</f>
        <v/>
      </c>
      <c r="U2491" s="112">
        <f>IF($G2491="","",ROUND($G2491*$T2491,2))</f>
        <v/>
      </c>
      <c r="V2491" s="113">
        <f>IF($B2491="","",MONTH($B2491))</f>
        <v/>
      </c>
      <c r="W2491" s="113">
        <f>IF($B2491="","",YEAR($B2491))</f>
        <v/>
      </c>
    </row>
    <row r="2492">
      <c r="B2492" s="105" t="n"/>
      <c r="C2492" s="54" t="n"/>
      <c r="D2492" s="54" t="n"/>
      <c r="E2492" s="54" t="n"/>
      <c r="F2492" s="54" t="n"/>
      <c r="G2492" s="65" t="n"/>
      <c r="H2492" s="54" t="n"/>
      <c r="I2492" s="106">
        <f>IF($C2492="","",IFERROR(INDEX(Sens_Types,MATCH($C2492,Liste_Types,0)),""))</f>
        <v/>
      </c>
      <c r="J2492" s="107">
        <f>IF($I2492="▲ ENTRÉE",$U2492,"")</f>
        <v/>
      </c>
      <c r="K2492" s="108">
        <f>IF($I2492="▼ SORTIE",$U2492,"")</f>
        <v/>
      </c>
      <c r="L2492" s="109">
        <f>$L2491+N($J2492)-N($K2492)</f>
        <v/>
      </c>
      <c r="M2492" s="110" t="n"/>
      <c r="N2492" s="54" t="n"/>
      <c r="O2492" s="54" t="n"/>
      <c r="P2492" s="54" t="n"/>
      <c r="Q2492" s="110" t="n"/>
      <c r="R2492" s="110" t="n"/>
      <c r="S2492" s="54" t="n"/>
      <c r="T2492" s="111">
        <f>IF($G2492="","",IFERROR(INDEX(Taux_Devises,MATCH(IF($M2492="",Devise_Base,$M2492),Codes_Devises,0)),1))</f>
        <v/>
      </c>
      <c r="U2492" s="112">
        <f>IF($G2492="","",ROUND($G2492*$T2492,2))</f>
        <v/>
      </c>
      <c r="V2492" s="113">
        <f>IF($B2492="","",MONTH($B2492))</f>
        <v/>
      </c>
      <c r="W2492" s="113">
        <f>IF($B2492="","",YEAR($B2492))</f>
        <v/>
      </c>
    </row>
    <row r="2493">
      <c r="B2493" s="105" t="n"/>
      <c r="C2493" s="54" t="n"/>
      <c r="D2493" s="54" t="n"/>
      <c r="E2493" s="54" t="n"/>
      <c r="F2493" s="54" t="n"/>
      <c r="G2493" s="65" t="n"/>
      <c r="H2493" s="54" t="n"/>
      <c r="I2493" s="106">
        <f>IF($C2493="","",IFERROR(INDEX(Sens_Types,MATCH($C2493,Liste_Types,0)),""))</f>
        <v/>
      </c>
      <c r="J2493" s="107">
        <f>IF($I2493="▲ ENTRÉE",$U2493,"")</f>
        <v/>
      </c>
      <c r="K2493" s="108">
        <f>IF($I2493="▼ SORTIE",$U2493,"")</f>
        <v/>
      </c>
      <c r="L2493" s="109">
        <f>$L2492+N($J2493)-N($K2493)</f>
        <v/>
      </c>
      <c r="M2493" s="110" t="n"/>
      <c r="N2493" s="54" t="n"/>
      <c r="O2493" s="54" t="n"/>
      <c r="P2493" s="54" t="n"/>
      <c r="Q2493" s="110" t="n"/>
      <c r="R2493" s="110" t="n"/>
      <c r="S2493" s="54" t="n"/>
      <c r="T2493" s="111">
        <f>IF($G2493="","",IFERROR(INDEX(Taux_Devises,MATCH(IF($M2493="",Devise_Base,$M2493),Codes_Devises,0)),1))</f>
        <v/>
      </c>
      <c r="U2493" s="112">
        <f>IF($G2493="","",ROUND($G2493*$T2493,2))</f>
        <v/>
      </c>
      <c r="V2493" s="113">
        <f>IF($B2493="","",MONTH($B2493))</f>
        <v/>
      </c>
      <c r="W2493" s="113">
        <f>IF($B2493="","",YEAR($B2493))</f>
        <v/>
      </c>
    </row>
    <row r="2494">
      <c r="B2494" s="105" t="n"/>
      <c r="C2494" s="54" t="n"/>
      <c r="D2494" s="54" t="n"/>
      <c r="E2494" s="54" t="n"/>
      <c r="F2494" s="54" t="n"/>
      <c r="G2494" s="65" t="n"/>
      <c r="H2494" s="54" t="n"/>
      <c r="I2494" s="106">
        <f>IF($C2494="","",IFERROR(INDEX(Sens_Types,MATCH($C2494,Liste_Types,0)),""))</f>
        <v/>
      </c>
      <c r="J2494" s="107">
        <f>IF($I2494="▲ ENTRÉE",$U2494,"")</f>
        <v/>
      </c>
      <c r="K2494" s="108">
        <f>IF($I2494="▼ SORTIE",$U2494,"")</f>
        <v/>
      </c>
      <c r="L2494" s="109">
        <f>$L2493+N($J2494)-N($K2494)</f>
        <v/>
      </c>
      <c r="M2494" s="110" t="n"/>
      <c r="N2494" s="54" t="n"/>
      <c r="O2494" s="54" t="n"/>
      <c r="P2494" s="54" t="n"/>
      <c r="Q2494" s="110" t="n"/>
      <c r="R2494" s="110" t="n"/>
      <c r="S2494" s="54" t="n"/>
      <c r="T2494" s="111">
        <f>IF($G2494="","",IFERROR(INDEX(Taux_Devises,MATCH(IF($M2494="",Devise_Base,$M2494),Codes_Devises,0)),1))</f>
        <v/>
      </c>
      <c r="U2494" s="112">
        <f>IF($G2494="","",ROUND($G2494*$T2494,2))</f>
        <v/>
      </c>
      <c r="V2494" s="113">
        <f>IF($B2494="","",MONTH($B2494))</f>
        <v/>
      </c>
      <c r="W2494" s="113">
        <f>IF($B2494="","",YEAR($B2494))</f>
        <v/>
      </c>
    </row>
    <row r="2495">
      <c r="B2495" s="105" t="n"/>
      <c r="C2495" s="54" t="n"/>
      <c r="D2495" s="54" t="n"/>
      <c r="E2495" s="54" t="n"/>
      <c r="F2495" s="54" t="n"/>
      <c r="G2495" s="65" t="n"/>
      <c r="H2495" s="54" t="n"/>
      <c r="I2495" s="106">
        <f>IF($C2495="","",IFERROR(INDEX(Sens_Types,MATCH($C2495,Liste_Types,0)),""))</f>
        <v/>
      </c>
      <c r="J2495" s="107">
        <f>IF($I2495="▲ ENTRÉE",$U2495,"")</f>
        <v/>
      </c>
      <c r="K2495" s="108">
        <f>IF($I2495="▼ SORTIE",$U2495,"")</f>
        <v/>
      </c>
      <c r="L2495" s="109">
        <f>$L2494+N($J2495)-N($K2495)</f>
        <v/>
      </c>
      <c r="M2495" s="110" t="n"/>
      <c r="N2495" s="54" t="n"/>
      <c r="O2495" s="54" t="n"/>
      <c r="P2495" s="54" t="n"/>
      <c r="Q2495" s="110" t="n"/>
      <c r="R2495" s="110" t="n"/>
      <c r="S2495" s="54" t="n"/>
      <c r="T2495" s="111">
        <f>IF($G2495="","",IFERROR(INDEX(Taux_Devises,MATCH(IF($M2495="",Devise_Base,$M2495),Codes_Devises,0)),1))</f>
        <v/>
      </c>
      <c r="U2495" s="112">
        <f>IF($G2495="","",ROUND($G2495*$T2495,2))</f>
        <v/>
      </c>
      <c r="V2495" s="113">
        <f>IF($B2495="","",MONTH($B2495))</f>
        <v/>
      </c>
      <c r="W2495" s="113">
        <f>IF($B2495="","",YEAR($B2495))</f>
        <v/>
      </c>
    </row>
    <row r="2496">
      <c r="B2496" s="105" t="n"/>
      <c r="C2496" s="54" t="n"/>
      <c r="D2496" s="54" t="n"/>
      <c r="E2496" s="54" t="n"/>
      <c r="F2496" s="54" t="n"/>
      <c r="G2496" s="65" t="n"/>
      <c r="H2496" s="54" t="n"/>
      <c r="I2496" s="106">
        <f>IF($C2496="","",IFERROR(INDEX(Sens_Types,MATCH($C2496,Liste_Types,0)),""))</f>
        <v/>
      </c>
      <c r="J2496" s="107">
        <f>IF($I2496="▲ ENTRÉE",$U2496,"")</f>
        <v/>
      </c>
      <c r="K2496" s="108">
        <f>IF($I2496="▼ SORTIE",$U2496,"")</f>
        <v/>
      </c>
      <c r="L2496" s="109">
        <f>$L2495+N($J2496)-N($K2496)</f>
        <v/>
      </c>
      <c r="M2496" s="110" t="n"/>
      <c r="N2496" s="54" t="n"/>
      <c r="O2496" s="54" t="n"/>
      <c r="P2496" s="54" t="n"/>
      <c r="Q2496" s="110" t="n"/>
      <c r="R2496" s="110" t="n"/>
      <c r="S2496" s="54" t="n"/>
      <c r="T2496" s="111">
        <f>IF($G2496="","",IFERROR(INDEX(Taux_Devises,MATCH(IF($M2496="",Devise_Base,$M2496),Codes_Devises,0)),1))</f>
        <v/>
      </c>
      <c r="U2496" s="112">
        <f>IF($G2496="","",ROUND($G2496*$T2496,2))</f>
        <v/>
      </c>
      <c r="V2496" s="113">
        <f>IF($B2496="","",MONTH($B2496))</f>
        <v/>
      </c>
      <c r="W2496" s="113">
        <f>IF($B2496="","",YEAR($B2496))</f>
        <v/>
      </c>
    </row>
    <row r="2497">
      <c r="B2497" s="105" t="n"/>
      <c r="C2497" s="54" t="n"/>
      <c r="D2497" s="54" t="n"/>
      <c r="E2497" s="54" t="n"/>
      <c r="F2497" s="54" t="n"/>
      <c r="G2497" s="65" t="n"/>
      <c r="H2497" s="54" t="n"/>
      <c r="I2497" s="106">
        <f>IF($C2497="","",IFERROR(INDEX(Sens_Types,MATCH($C2497,Liste_Types,0)),""))</f>
        <v/>
      </c>
      <c r="J2497" s="107">
        <f>IF($I2497="▲ ENTRÉE",$U2497,"")</f>
        <v/>
      </c>
      <c r="K2497" s="108">
        <f>IF($I2497="▼ SORTIE",$U2497,"")</f>
        <v/>
      </c>
      <c r="L2497" s="109">
        <f>$L2496+N($J2497)-N($K2497)</f>
        <v/>
      </c>
      <c r="M2497" s="110" t="n"/>
      <c r="N2497" s="54" t="n"/>
      <c r="O2497" s="54" t="n"/>
      <c r="P2497" s="54" t="n"/>
      <c r="Q2497" s="110" t="n"/>
      <c r="R2497" s="110" t="n"/>
      <c r="S2497" s="54" t="n"/>
      <c r="T2497" s="111">
        <f>IF($G2497="","",IFERROR(INDEX(Taux_Devises,MATCH(IF($M2497="",Devise_Base,$M2497),Codes_Devises,0)),1))</f>
        <v/>
      </c>
      <c r="U2497" s="112">
        <f>IF($G2497="","",ROUND($G2497*$T2497,2))</f>
        <v/>
      </c>
      <c r="V2497" s="113">
        <f>IF($B2497="","",MONTH($B2497))</f>
        <v/>
      </c>
      <c r="W2497" s="113">
        <f>IF($B2497="","",YEAR($B2497))</f>
        <v/>
      </c>
    </row>
    <row r="2498">
      <c r="B2498" s="105" t="n"/>
      <c r="C2498" s="54" t="n"/>
      <c r="D2498" s="54" t="n"/>
      <c r="E2498" s="54" t="n"/>
      <c r="F2498" s="54" t="n"/>
      <c r="G2498" s="65" t="n"/>
      <c r="H2498" s="54" t="n"/>
      <c r="I2498" s="106">
        <f>IF($C2498="","",IFERROR(INDEX(Sens_Types,MATCH($C2498,Liste_Types,0)),""))</f>
        <v/>
      </c>
      <c r="J2498" s="107">
        <f>IF($I2498="▲ ENTRÉE",$U2498,"")</f>
        <v/>
      </c>
      <c r="K2498" s="108">
        <f>IF($I2498="▼ SORTIE",$U2498,"")</f>
        <v/>
      </c>
      <c r="L2498" s="109">
        <f>$L2497+N($J2498)-N($K2498)</f>
        <v/>
      </c>
      <c r="M2498" s="110" t="n"/>
      <c r="N2498" s="54" t="n"/>
      <c r="O2498" s="54" t="n"/>
      <c r="P2498" s="54" t="n"/>
      <c r="Q2498" s="110" t="n"/>
      <c r="R2498" s="110" t="n"/>
      <c r="S2498" s="54" t="n"/>
      <c r="T2498" s="111">
        <f>IF($G2498="","",IFERROR(INDEX(Taux_Devises,MATCH(IF($M2498="",Devise_Base,$M2498),Codes_Devises,0)),1))</f>
        <v/>
      </c>
      <c r="U2498" s="112">
        <f>IF($G2498="","",ROUND($G2498*$T2498,2))</f>
        <v/>
      </c>
      <c r="V2498" s="113">
        <f>IF($B2498="","",MONTH($B2498))</f>
        <v/>
      </c>
      <c r="W2498" s="113">
        <f>IF($B2498="","",YEAR($B2498))</f>
        <v/>
      </c>
    </row>
    <row r="2499">
      <c r="B2499" s="105" t="n"/>
      <c r="C2499" s="54" t="n"/>
      <c r="D2499" s="54" t="n"/>
      <c r="E2499" s="54" t="n"/>
      <c r="F2499" s="54" t="n"/>
      <c r="G2499" s="65" t="n"/>
      <c r="H2499" s="54" t="n"/>
      <c r="I2499" s="106">
        <f>IF($C2499="","",IFERROR(INDEX(Sens_Types,MATCH($C2499,Liste_Types,0)),""))</f>
        <v/>
      </c>
      <c r="J2499" s="107">
        <f>IF($I2499="▲ ENTRÉE",$U2499,"")</f>
        <v/>
      </c>
      <c r="K2499" s="108">
        <f>IF($I2499="▼ SORTIE",$U2499,"")</f>
        <v/>
      </c>
      <c r="L2499" s="109">
        <f>$L2498+N($J2499)-N($K2499)</f>
        <v/>
      </c>
      <c r="M2499" s="110" t="n"/>
      <c r="N2499" s="54" t="n"/>
      <c r="O2499" s="54" t="n"/>
      <c r="P2499" s="54" t="n"/>
      <c r="Q2499" s="110" t="n"/>
      <c r="R2499" s="110" t="n"/>
      <c r="S2499" s="54" t="n"/>
      <c r="T2499" s="111">
        <f>IF($G2499="","",IFERROR(INDEX(Taux_Devises,MATCH(IF($M2499="",Devise_Base,$M2499),Codes_Devises,0)),1))</f>
        <v/>
      </c>
      <c r="U2499" s="112">
        <f>IF($G2499="","",ROUND($G2499*$T2499,2))</f>
        <v/>
      </c>
      <c r="V2499" s="113">
        <f>IF($B2499="","",MONTH($B2499))</f>
        <v/>
      </c>
      <c r="W2499" s="113">
        <f>IF($B2499="","",YEAR($B2499))</f>
        <v/>
      </c>
    </row>
    <row r="2500">
      <c r="B2500" s="105" t="n"/>
      <c r="C2500" s="54" t="n"/>
      <c r="D2500" s="54" t="n"/>
      <c r="E2500" s="54" t="n"/>
      <c r="F2500" s="54" t="n"/>
      <c r="G2500" s="65" t="n"/>
      <c r="H2500" s="54" t="n"/>
      <c r="I2500" s="106">
        <f>IF($C2500="","",IFERROR(INDEX(Sens_Types,MATCH($C2500,Liste_Types,0)),""))</f>
        <v/>
      </c>
      <c r="J2500" s="107">
        <f>IF($I2500="▲ ENTRÉE",$U2500,"")</f>
        <v/>
      </c>
      <c r="K2500" s="108">
        <f>IF($I2500="▼ SORTIE",$U2500,"")</f>
        <v/>
      </c>
      <c r="L2500" s="109">
        <f>$L2499+N($J2500)-N($K2500)</f>
        <v/>
      </c>
      <c r="M2500" s="110" t="n"/>
      <c r="N2500" s="54" t="n"/>
      <c r="O2500" s="54" t="n"/>
      <c r="P2500" s="54" t="n"/>
      <c r="Q2500" s="110" t="n"/>
      <c r="R2500" s="110" t="n"/>
      <c r="S2500" s="54" t="n"/>
      <c r="T2500" s="111">
        <f>IF($G2500="","",IFERROR(INDEX(Taux_Devises,MATCH(IF($M2500="",Devise_Base,$M2500),Codes_Devises,0)),1))</f>
        <v/>
      </c>
      <c r="U2500" s="112">
        <f>IF($G2500="","",ROUND($G2500*$T2500,2))</f>
        <v/>
      </c>
      <c r="V2500" s="113">
        <f>IF($B2500="","",MONTH($B2500))</f>
        <v/>
      </c>
      <c r="W2500" s="113">
        <f>IF($B2500="","",YEAR($B2500))</f>
        <v/>
      </c>
    </row>
    <row r="2501">
      <c r="B2501" s="105" t="n"/>
      <c r="C2501" s="54" t="n"/>
      <c r="D2501" s="54" t="n"/>
      <c r="E2501" s="54" t="n"/>
      <c r="F2501" s="54" t="n"/>
      <c r="G2501" s="65" t="n"/>
      <c r="H2501" s="54" t="n"/>
      <c r="I2501" s="106">
        <f>IF($C2501="","",IFERROR(INDEX(Sens_Types,MATCH($C2501,Liste_Types,0)),""))</f>
        <v/>
      </c>
      <c r="J2501" s="107">
        <f>IF($I2501="▲ ENTRÉE",$U2501,"")</f>
        <v/>
      </c>
      <c r="K2501" s="108">
        <f>IF($I2501="▼ SORTIE",$U2501,"")</f>
        <v/>
      </c>
      <c r="L2501" s="109">
        <f>$L2500+N($J2501)-N($K2501)</f>
        <v/>
      </c>
      <c r="M2501" s="110" t="n"/>
      <c r="N2501" s="54" t="n"/>
      <c r="O2501" s="54" t="n"/>
      <c r="P2501" s="54" t="n"/>
      <c r="Q2501" s="110" t="n"/>
      <c r="R2501" s="110" t="n"/>
      <c r="S2501" s="54" t="n"/>
      <c r="T2501" s="111">
        <f>IF($G2501="","",IFERROR(INDEX(Taux_Devises,MATCH(IF($M2501="",Devise_Base,$M2501),Codes_Devises,0)),1))</f>
        <v/>
      </c>
      <c r="U2501" s="112">
        <f>IF($G2501="","",ROUND($G2501*$T2501,2))</f>
        <v/>
      </c>
      <c r="V2501" s="113">
        <f>IF($B2501="","",MONTH($B2501))</f>
        <v/>
      </c>
      <c r="W2501" s="113">
        <f>IF($B2501="","",YEAR($B2501))</f>
        <v/>
      </c>
    </row>
    <row r="2502">
      <c r="B2502" s="105" t="n"/>
      <c r="C2502" s="54" t="n"/>
      <c r="D2502" s="54" t="n"/>
      <c r="E2502" s="54" t="n"/>
      <c r="F2502" s="54" t="n"/>
      <c r="G2502" s="65" t="n"/>
      <c r="H2502" s="54" t="n"/>
      <c r="I2502" s="106">
        <f>IF($C2502="","",IFERROR(INDEX(Sens_Types,MATCH($C2502,Liste_Types,0)),""))</f>
        <v/>
      </c>
      <c r="J2502" s="107">
        <f>IF($I2502="▲ ENTRÉE",$U2502,"")</f>
        <v/>
      </c>
      <c r="K2502" s="108">
        <f>IF($I2502="▼ SORTIE",$U2502,"")</f>
        <v/>
      </c>
      <c r="L2502" s="109">
        <f>$L2501+N($J2502)-N($K2502)</f>
        <v/>
      </c>
      <c r="M2502" s="110" t="n"/>
      <c r="N2502" s="54" t="n"/>
      <c r="O2502" s="54" t="n"/>
      <c r="P2502" s="54" t="n"/>
      <c r="Q2502" s="110" t="n"/>
      <c r="R2502" s="110" t="n"/>
      <c r="S2502" s="54" t="n"/>
      <c r="T2502" s="111">
        <f>IF($G2502="","",IFERROR(INDEX(Taux_Devises,MATCH(IF($M2502="",Devise_Base,$M2502),Codes_Devises,0)),1))</f>
        <v/>
      </c>
      <c r="U2502" s="112">
        <f>IF($G2502="","",ROUND($G2502*$T2502,2))</f>
        <v/>
      </c>
      <c r="V2502" s="113">
        <f>IF($B2502="","",MONTH($B2502))</f>
        <v/>
      </c>
      <c r="W2502" s="113">
        <f>IF($B2502="","",YEAR($B2502))</f>
        <v/>
      </c>
    </row>
    <row r="2503">
      <c r="B2503" s="105" t="n"/>
      <c r="C2503" s="54" t="n"/>
      <c r="D2503" s="54" t="n"/>
      <c r="E2503" s="54" t="n"/>
      <c r="F2503" s="54" t="n"/>
      <c r="G2503" s="65" t="n"/>
      <c r="H2503" s="54" t="n"/>
      <c r="I2503" s="106">
        <f>IF($C2503="","",IFERROR(INDEX(Sens_Types,MATCH($C2503,Liste_Types,0)),""))</f>
        <v/>
      </c>
      <c r="J2503" s="107">
        <f>IF($I2503="▲ ENTRÉE",$U2503,"")</f>
        <v/>
      </c>
      <c r="K2503" s="108">
        <f>IF($I2503="▼ SORTIE",$U2503,"")</f>
        <v/>
      </c>
      <c r="L2503" s="109">
        <f>$L2502+N($J2503)-N($K2503)</f>
        <v/>
      </c>
      <c r="M2503" s="110" t="n"/>
      <c r="N2503" s="54" t="n"/>
      <c r="O2503" s="54" t="n"/>
      <c r="P2503" s="54" t="n"/>
      <c r="Q2503" s="110" t="n"/>
      <c r="R2503" s="110" t="n"/>
      <c r="S2503" s="54" t="n"/>
      <c r="T2503" s="111">
        <f>IF($G2503="","",IFERROR(INDEX(Taux_Devises,MATCH(IF($M2503="",Devise_Base,$M2503),Codes_Devises,0)),1))</f>
        <v/>
      </c>
      <c r="U2503" s="112">
        <f>IF($G2503="","",ROUND($G2503*$T2503,2))</f>
        <v/>
      </c>
      <c r="V2503" s="113">
        <f>IF($B2503="","",MONTH($B2503))</f>
        <v/>
      </c>
      <c r="W2503" s="113">
        <f>IF($B2503="","",YEAR($B2503))</f>
        <v/>
      </c>
    </row>
    <row r="2504">
      <c r="B2504" s="105" t="n"/>
      <c r="C2504" s="54" t="n"/>
      <c r="D2504" s="54" t="n"/>
      <c r="E2504" s="54" t="n"/>
      <c r="F2504" s="54" t="n"/>
      <c r="G2504" s="65" t="n"/>
      <c r="H2504" s="54" t="n"/>
      <c r="I2504" s="106">
        <f>IF($C2504="","",IFERROR(INDEX(Sens_Types,MATCH($C2504,Liste_Types,0)),""))</f>
        <v/>
      </c>
      <c r="J2504" s="107">
        <f>IF($I2504="▲ ENTRÉE",$U2504,"")</f>
        <v/>
      </c>
      <c r="K2504" s="108">
        <f>IF($I2504="▼ SORTIE",$U2504,"")</f>
        <v/>
      </c>
      <c r="L2504" s="109">
        <f>$L2503+N($J2504)-N($K2504)</f>
        <v/>
      </c>
      <c r="M2504" s="110" t="n"/>
      <c r="N2504" s="54" t="n"/>
      <c r="O2504" s="54" t="n"/>
      <c r="P2504" s="54" t="n"/>
      <c r="Q2504" s="110" t="n"/>
      <c r="R2504" s="110" t="n"/>
      <c r="S2504" s="54" t="n"/>
      <c r="T2504" s="111">
        <f>IF($G2504="","",IFERROR(INDEX(Taux_Devises,MATCH(IF($M2504="",Devise_Base,$M2504),Codes_Devises,0)),1))</f>
        <v/>
      </c>
      <c r="U2504" s="112">
        <f>IF($G2504="","",ROUND($G2504*$T2504,2))</f>
        <v/>
      </c>
      <c r="V2504" s="113">
        <f>IF($B2504="","",MONTH($B2504))</f>
        <v/>
      </c>
      <c r="W2504" s="113">
        <f>IF($B2504="","",YEAR($B2504))</f>
        <v/>
      </c>
    </row>
    <row r="2505">
      <c r="B2505" s="105" t="n"/>
      <c r="C2505" s="54" t="n"/>
      <c r="D2505" s="54" t="n"/>
      <c r="E2505" s="54" t="n"/>
      <c r="F2505" s="54" t="n"/>
      <c r="G2505" s="65" t="n"/>
      <c r="H2505" s="54" t="n"/>
      <c r="I2505" s="106">
        <f>IF($C2505="","",IFERROR(INDEX(Sens_Types,MATCH($C2505,Liste_Types,0)),""))</f>
        <v/>
      </c>
      <c r="J2505" s="107">
        <f>IF($I2505="▲ ENTRÉE",$U2505,"")</f>
        <v/>
      </c>
      <c r="K2505" s="108">
        <f>IF($I2505="▼ SORTIE",$U2505,"")</f>
        <v/>
      </c>
      <c r="L2505" s="109">
        <f>$L2504+N($J2505)-N($K2505)</f>
        <v/>
      </c>
      <c r="M2505" s="110" t="n"/>
      <c r="N2505" s="54" t="n"/>
      <c r="O2505" s="54" t="n"/>
      <c r="P2505" s="54" t="n"/>
      <c r="Q2505" s="110" t="n"/>
      <c r="R2505" s="110" t="n"/>
      <c r="S2505" s="54" t="n"/>
      <c r="T2505" s="111">
        <f>IF($G2505="","",IFERROR(INDEX(Taux_Devises,MATCH(IF($M2505="",Devise_Base,$M2505),Codes_Devises,0)),1))</f>
        <v/>
      </c>
      <c r="U2505" s="112">
        <f>IF($G2505="","",ROUND($G2505*$T2505,2))</f>
        <v/>
      </c>
      <c r="V2505" s="113">
        <f>IF($B2505="","",MONTH($B2505))</f>
        <v/>
      </c>
      <c r="W2505" s="113">
        <f>IF($B2505="","",YEAR($B2505))</f>
        <v/>
      </c>
    </row>
    <row r="2506">
      <c r="B2506" s="105" t="n"/>
      <c r="C2506" s="54" t="n"/>
      <c r="D2506" s="54" t="n"/>
      <c r="E2506" s="54" t="n"/>
      <c r="F2506" s="54" t="n"/>
      <c r="G2506" s="65" t="n"/>
      <c r="H2506" s="54" t="n"/>
      <c r="I2506" s="106">
        <f>IF($C2506="","",IFERROR(INDEX(Sens_Types,MATCH($C2506,Liste_Types,0)),""))</f>
        <v/>
      </c>
      <c r="J2506" s="107">
        <f>IF($I2506="▲ ENTRÉE",$U2506,"")</f>
        <v/>
      </c>
      <c r="K2506" s="108">
        <f>IF($I2506="▼ SORTIE",$U2506,"")</f>
        <v/>
      </c>
      <c r="L2506" s="109">
        <f>$L2505+N($J2506)-N($K2506)</f>
        <v/>
      </c>
      <c r="M2506" s="110" t="n"/>
      <c r="N2506" s="54" t="n"/>
      <c r="O2506" s="54" t="n"/>
      <c r="P2506" s="54" t="n"/>
      <c r="Q2506" s="110" t="n"/>
      <c r="R2506" s="110" t="n"/>
      <c r="S2506" s="54" t="n"/>
      <c r="T2506" s="111">
        <f>IF($G2506="","",IFERROR(INDEX(Taux_Devises,MATCH(IF($M2506="",Devise_Base,$M2506),Codes_Devises,0)),1))</f>
        <v/>
      </c>
      <c r="U2506" s="112">
        <f>IF($G2506="","",ROUND($G2506*$T2506,2))</f>
        <v/>
      </c>
      <c r="V2506" s="113">
        <f>IF($B2506="","",MONTH($B2506))</f>
        <v/>
      </c>
      <c r="W2506" s="113">
        <f>IF($B2506="","",YEAR($B2506))</f>
        <v/>
      </c>
    </row>
    <row r="2507">
      <c r="B2507" s="105" t="n"/>
      <c r="C2507" s="54" t="n"/>
      <c r="D2507" s="54" t="n"/>
      <c r="E2507" s="54" t="n"/>
      <c r="F2507" s="54" t="n"/>
      <c r="G2507" s="65" t="n"/>
      <c r="H2507" s="54" t="n"/>
      <c r="I2507" s="106">
        <f>IF($C2507="","",IFERROR(INDEX(Sens_Types,MATCH($C2507,Liste_Types,0)),""))</f>
        <v/>
      </c>
      <c r="J2507" s="107">
        <f>IF($I2507="▲ ENTRÉE",$U2507,"")</f>
        <v/>
      </c>
      <c r="K2507" s="108">
        <f>IF($I2507="▼ SORTIE",$U2507,"")</f>
        <v/>
      </c>
      <c r="L2507" s="109">
        <f>$L2506+N($J2507)-N($K2507)</f>
        <v/>
      </c>
      <c r="M2507" s="110" t="n"/>
      <c r="N2507" s="54" t="n"/>
      <c r="O2507" s="54" t="n"/>
      <c r="P2507" s="54" t="n"/>
      <c r="Q2507" s="110" t="n"/>
      <c r="R2507" s="110" t="n"/>
      <c r="S2507" s="54" t="n"/>
      <c r="T2507" s="111">
        <f>IF($G2507="","",IFERROR(INDEX(Taux_Devises,MATCH(IF($M2507="",Devise_Base,$M2507),Codes_Devises,0)),1))</f>
        <v/>
      </c>
      <c r="U2507" s="112">
        <f>IF($G2507="","",ROUND($G2507*$T2507,2))</f>
        <v/>
      </c>
      <c r="V2507" s="113">
        <f>IF($B2507="","",MONTH($B2507))</f>
        <v/>
      </c>
      <c r="W2507" s="113">
        <f>IF($B2507="","",YEAR($B2507))</f>
        <v/>
      </c>
    </row>
    <row r="2508">
      <c r="B2508" s="105" t="n"/>
      <c r="C2508" s="54" t="n"/>
      <c r="D2508" s="54" t="n"/>
      <c r="E2508" s="54" t="n"/>
      <c r="F2508" s="54" t="n"/>
      <c r="G2508" s="65" t="n"/>
      <c r="H2508" s="54" t="n"/>
      <c r="I2508" s="106">
        <f>IF($C2508="","",IFERROR(INDEX(Sens_Types,MATCH($C2508,Liste_Types,0)),""))</f>
        <v/>
      </c>
      <c r="J2508" s="107">
        <f>IF($I2508="▲ ENTRÉE",$U2508,"")</f>
        <v/>
      </c>
      <c r="K2508" s="108">
        <f>IF($I2508="▼ SORTIE",$U2508,"")</f>
        <v/>
      </c>
      <c r="L2508" s="109">
        <f>$L2507+N($J2508)-N($K2508)</f>
        <v/>
      </c>
      <c r="M2508" s="110" t="n"/>
      <c r="N2508" s="54" t="n"/>
      <c r="O2508" s="54" t="n"/>
      <c r="P2508" s="54" t="n"/>
      <c r="Q2508" s="110" t="n"/>
      <c r="R2508" s="110" t="n"/>
      <c r="S2508" s="54" t="n"/>
      <c r="T2508" s="111">
        <f>IF($G2508="","",IFERROR(INDEX(Taux_Devises,MATCH(IF($M2508="",Devise_Base,$M2508),Codes_Devises,0)),1))</f>
        <v/>
      </c>
      <c r="U2508" s="112">
        <f>IF($G2508="","",ROUND($G2508*$T2508,2))</f>
        <v/>
      </c>
      <c r="V2508" s="113">
        <f>IF($B2508="","",MONTH($B2508))</f>
        <v/>
      </c>
      <c r="W2508" s="113">
        <f>IF($B2508="","",YEAR($B2508))</f>
        <v/>
      </c>
    </row>
    <row r="2509">
      <c r="B2509" s="105" t="n"/>
      <c r="C2509" s="54" t="n"/>
      <c r="D2509" s="54" t="n"/>
      <c r="E2509" s="54" t="n"/>
      <c r="F2509" s="54" t="n"/>
      <c r="G2509" s="65" t="n"/>
      <c r="H2509" s="54" t="n"/>
      <c r="I2509" s="106">
        <f>IF($C2509="","",IFERROR(INDEX(Sens_Types,MATCH($C2509,Liste_Types,0)),""))</f>
        <v/>
      </c>
      <c r="J2509" s="107">
        <f>IF($I2509="▲ ENTRÉE",$U2509,"")</f>
        <v/>
      </c>
      <c r="K2509" s="108">
        <f>IF($I2509="▼ SORTIE",$U2509,"")</f>
        <v/>
      </c>
      <c r="L2509" s="109">
        <f>$L2508+N($J2509)-N($K2509)</f>
        <v/>
      </c>
      <c r="M2509" s="110" t="n"/>
      <c r="N2509" s="54" t="n"/>
      <c r="O2509" s="54" t="n"/>
      <c r="P2509" s="54" t="n"/>
      <c r="Q2509" s="110" t="n"/>
      <c r="R2509" s="110" t="n"/>
      <c r="S2509" s="54" t="n"/>
      <c r="T2509" s="111">
        <f>IF($G2509="","",IFERROR(INDEX(Taux_Devises,MATCH(IF($M2509="",Devise_Base,$M2509),Codes_Devises,0)),1))</f>
        <v/>
      </c>
      <c r="U2509" s="112">
        <f>IF($G2509="","",ROUND($G2509*$T2509,2))</f>
        <v/>
      </c>
      <c r="V2509" s="113">
        <f>IF($B2509="","",MONTH($B2509))</f>
        <v/>
      </c>
      <c r="W2509" s="113">
        <f>IF($B2509="","",YEAR($B2509))</f>
        <v/>
      </c>
    </row>
    <row r="2510">
      <c r="B2510" s="105" t="n"/>
      <c r="C2510" s="54" t="n"/>
      <c r="D2510" s="54" t="n"/>
      <c r="E2510" s="54" t="n"/>
      <c r="F2510" s="54" t="n"/>
      <c r="G2510" s="65" t="n"/>
      <c r="H2510" s="54" t="n"/>
      <c r="I2510" s="106">
        <f>IF($C2510="","",IFERROR(INDEX(Sens_Types,MATCH($C2510,Liste_Types,0)),""))</f>
        <v/>
      </c>
      <c r="J2510" s="107">
        <f>IF($I2510="▲ ENTRÉE",$U2510,"")</f>
        <v/>
      </c>
      <c r="K2510" s="108">
        <f>IF($I2510="▼ SORTIE",$U2510,"")</f>
        <v/>
      </c>
      <c r="L2510" s="109">
        <f>$L2509+N($J2510)-N($K2510)</f>
        <v/>
      </c>
      <c r="M2510" s="110" t="n"/>
      <c r="N2510" s="54" t="n"/>
      <c r="O2510" s="54" t="n"/>
      <c r="P2510" s="54" t="n"/>
      <c r="Q2510" s="110" t="n"/>
      <c r="R2510" s="110" t="n"/>
      <c r="S2510" s="54" t="n"/>
      <c r="T2510" s="111">
        <f>IF($G2510="","",IFERROR(INDEX(Taux_Devises,MATCH(IF($M2510="",Devise_Base,$M2510),Codes_Devises,0)),1))</f>
        <v/>
      </c>
      <c r="U2510" s="112">
        <f>IF($G2510="","",ROUND($G2510*$T2510,2))</f>
        <v/>
      </c>
      <c r="V2510" s="113">
        <f>IF($B2510="","",MONTH($B2510))</f>
        <v/>
      </c>
      <c r="W2510" s="113">
        <f>IF($B2510="","",YEAR($B2510))</f>
        <v/>
      </c>
    </row>
    <row r="2511">
      <c r="B2511" s="105" t="n"/>
      <c r="C2511" s="54" t="n"/>
      <c r="D2511" s="54" t="n"/>
      <c r="E2511" s="54" t="n"/>
      <c r="F2511" s="54" t="n"/>
      <c r="G2511" s="65" t="n"/>
      <c r="H2511" s="54" t="n"/>
      <c r="I2511" s="106">
        <f>IF($C2511="","",IFERROR(INDEX(Sens_Types,MATCH($C2511,Liste_Types,0)),""))</f>
        <v/>
      </c>
      <c r="J2511" s="107">
        <f>IF($I2511="▲ ENTRÉE",$U2511,"")</f>
        <v/>
      </c>
      <c r="K2511" s="108">
        <f>IF($I2511="▼ SORTIE",$U2511,"")</f>
        <v/>
      </c>
      <c r="L2511" s="109">
        <f>$L2510+N($J2511)-N($K2511)</f>
        <v/>
      </c>
      <c r="M2511" s="110" t="n"/>
      <c r="N2511" s="54" t="n"/>
      <c r="O2511" s="54" t="n"/>
      <c r="P2511" s="54" t="n"/>
      <c r="Q2511" s="110" t="n"/>
      <c r="R2511" s="110" t="n"/>
      <c r="S2511" s="54" t="n"/>
      <c r="T2511" s="111">
        <f>IF($G2511="","",IFERROR(INDEX(Taux_Devises,MATCH(IF($M2511="",Devise_Base,$M2511),Codes_Devises,0)),1))</f>
        <v/>
      </c>
      <c r="U2511" s="112">
        <f>IF($G2511="","",ROUND($G2511*$T2511,2))</f>
        <v/>
      </c>
      <c r="V2511" s="113">
        <f>IF($B2511="","",MONTH($B2511))</f>
        <v/>
      </c>
      <c r="W2511" s="113">
        <f>IF($B2511="","",YEAR($B2511))</f>
        <v/>
      </c>
    </row>
    <row r="2512">
      <c r="B2512" s="105" t="n"/>
      <c r="C2512" s="54" t="n"/>
      <c r="D2512" s="54" t="n"/>
      <c r="E2512" s="54" t="n"/>
      <c r="F2512" s="54" t="n"/>
      <c r="G2512" s="65" t="n"/>
      <c r="H2512" s="54" t="n"/>
      <c r="I2512" s="106">
        <f>IF($C2512="","",IFERROR(INDEX(Sens_Types,MATCH($C2512,Liste_Types,0)),""))</f>
        <v/>
      </c>
      <c r="J2512" s="107">
        <f>IF($I2512="▲ ENTRÉE",$U2512,"")</f>
        <v/>
      </c>
      <c r="K2512" s="108">
        <f>IF($I2512="▼ SORTIE",$U2512,"")</f>
        <v/>
      </c>
      <c r="L2512" s="109">
        <f>$L2511+N($J2512)-N($K2512)</f>
        <v/>
      </c>
      <c r="M2512" s="110" t="n"/>
      <c r="N2512" s="54" t="n"/>
      <c r="O2512" s="54" t="n"/>
      <c r="P2512" s="54" t="n"/>
      <c r="Q2512" s="110" t="n"/>
      <c r="R2512" s="110" t="n"/>
      <c r="S2512" s="54" t="n"/>
      <c r="T2512" s="111">
        <f>IF($G2512="","",IFERROR(INDEX(Taux_Devises,MATCH(IF($M2512="",Devise_Base,$M2512),Codes_Devises,0)),1))</f>
        <v/>
      </c>
      <c r="U2512" s="112">
        <f>IF($G2512="","",ROUND($G2512*$T2512,2))</f>
        <v/>
      </c>
      <c r="V2512" s="113">
        <f>IF($B2512="","",MONTH($B2512))</f>
        <v/>
      </c>
      <c r="W2512" s="113">
        <f>IF($B2512="","",YEAR($B2512))</f>
        <v/>
      </c>
    </row>
    <row r="2513">
      <c r="B2513" s="105" t="n"/>
      <c r="C2513" s="54" t="n"/>
      <c r="D2513" s="54" t="n"/>
      <c r="E2513" s="54" t="n"/>
      <c r="F2513" s="54" t="n"/>
      <c r="G2513" s="65" t="n"/>
      <c r="H2513" s="54" t="n"/>
      <c r="I2513" s="106">
        <f>IF($C2513="","",IFERROR(INDEX(Sens_Types,MATCH($C2513,Liste_Types,0)),""))</f>
        <v/>
      </c>
      <c r="J2513" s="107">
        <f>IF($I2513="▲ ENTRÉE",$U2513,"")</f>
        <v/>
      </c>
      <c r="K2513" s="108">
        <f>IF($I2513="▼ SORTIE",$U2513,"")</f>
        <v/>
      </c>
      <c r="L2513" s="109">
        <f>$L2512+N($J2513)-N($K2513)</f>
        <v/>
      </c>
      <c r="M2513" s="110" t="n"/>
      <c r="N2513" s="54" t="n"/>
      <c r="O2513" s="54" t="n"/>
      <c r="P2513" s="54" t="n"/>
      <c r="Q2513" s="110" t="n"/>
      <c r="R2513" s="110" t="n"/>
      <c r="S2513" s="54" t="n"/>
      <c r="T2513" s="111">
        <f>IF($G2513="","",IFERROR(INDEX(Taux_Devises,MATCH(IF($M2513="",Devise_Base,$M2513),Codes_Devises,0)),1))</f>
        <v/>
      </c>
      <c r="U2513" s="112">
        <f>IF($G2513="","",ROUND($G2513*$T2513,2))</f>
        <v/>
      </c>
      <c r="V2513" s="113">
        <f>IF($B2513="","",MONTH($B2513))</f>
        <v/>
      </c>
      <c r="W2513" s="113">
        <f>IF($B2513="","",YEAR($B2513))</f>
        <v/>
      </c>
    </row>
    <row r="2514">
      <c r="B2514" s="105" t="n"/>
      <c r="C2514" s="54" t="n"/>
      <c r="D2514" s="54" t="n"/>
      <c r="E2514" s="54" t="n"/>
      <c r="F2514" s="54" t="n"/>
      <c r="G2514" s="65" t="n"/>
      <c r="H2514" s="54" t="n"/>
      <c r="I2514" s="106">
        <f>IF($C2514="","",IFERROR(INDEX(Sens_Types,MATCH($C2514,Liste_Types,0)),""))</f>
        <v/>
      </c>
      <c r="J2514" s="107">
        <f>IF($I2514="▲ ENTRÉE",$U2514,"")</f>
        <v/>
      </c>
      <c r="K2514" s="108">
        <f>IF($I2514="▼ SORTIE",$U2514,"")</f>
        <v/>
      </c>
      <c r="L2514" s="109">
        <f>$L2513+N($J2514)-N($K2514)</f>
        <v/>
      </c>
      <c r="M2514" s="110" t="n"/>
      <c r="N2514" s="54" t="n"/>
      <c r="O2514" s="54" t="n"/>
      <c r="P2514" s="54" t="n"/>
      <c r="Q2514" s="110" t="n"/>
      <c r="R2514" s="110" t="n"/>
      <c r="S2514" s="54" t="n"/>
      <c r="T2514" s="111">
        <f>IF($G2514="","",IFERROR(INDEX(Taux_Devises,MATCH(IF($M2514="",Devise_Base,$M2514),Codes_Devises,0)),1))</f>
        <v/>
      </c>
      <c r="U2514" s="112">
        <f>IF($G2514="","",ROUND($G2514*$T2514,2))</f>
        <v/>
      </c>
      <c r="V2514" s="113">
        <f>IF($B2514="","",MONTH($B2514))</f>
        <v/>
      </c>
      <c r="W2514" s="113">
        <f>IF($B2514="","",YEAR($B2514))</f>
        <v/>
      </c>
    </row>
    <row r="2515">
      <c r="B2515" s="105" t="n"/>
      <c r="C2515" s="54" t="n"/>
      <c r="D2515" s="54" t="n"/>
      <c r="E2515" s="54" t="n"/>
      <c r="F2515" s="54" t="n"/>
      <c r="G2515" s="65" t="n"/>
      <c r="H2515" s="54" t="n"/>
      <c r="I2515" s="106">
        <f>IF($C2515="","",IFERROR(INDEX(Sens_Types,MATCH($C2515,Liste_Types,0)),""))</f>
        <v/>
      </c>
      <c r="J2515" s="107">
        <f>IF($I2515="▲ ENTRÉE",$U2515,"")</f>
        <v/>
      </c>
      <c r="K2515" s="108">
        <f>IF($I2515="▼ SORTIE",$U2515,"")</f>
        <v/>
      </c>
      <c r="L2515" s="109">
        <f>$L2514+N($J2515)-N($K2515)</f>
        <v/>
      </c>
      <c r="M2515" s="110" t="n"/>
      <c r="N2515" s="54" t="n"/>
      <c r="O2515" s="54" t="n"/>
      <c r="P2515" s="54" t="n"/>
      <c r="Q2515" s="110" t="n"/>
      <c r="R2515" s="110" t="n"/>
      <c r="S2515" s="54" t="n"/>
      <c r="T2515" s="111">
        <f>IF($G2515="","",IFERROR(INDEX(Taux_Devises,MATCH(IF($M2515="",Devise_Base,$M2515),Codes_Devises,0)),1))</f>
        <v/>
      </c>
      <c r="U2515" s="112">
        <f>IF($G2515="","",ROUND($G2515*$T2515,2))</f>
        <v/>
      </c>
      <c r="V2515" s="113">
        <f>IF($B2515="","",MONTH($B2515))</f>
        <v/>
      </c>
      <c r="W2515" s="113">
        <f>IF($B2515="","",YEAR($B2515))</f>
        <v/>
      </c>
    </row>
    <row r="2516">
      <c r="B2516" s="105" t="n"/>
      <c r="C2516" s="54" t="n"/>
      <c r="D2516" s="54" t="n"/>
      <c r="E2516" s="54" t="n"/>
      <c r="F2516" s="54" t="n"/>
      <c r="G2516" s="65" t="n"/>
      <c r="H2516" s="54" t="n"/>
      <c r="I2516" s="106">
        <f>IF($C2516="","",IFERROR(INDEX(Sens_Types,MATCH($C2516,Liste_Types,0)),""))</f>
        <v/>
      </c>
      <c r="J2516" s="107">
        <f>IF($I2516="▲ ENTRÉE",$U2516,"")</f>
        <v/>
      </c>
      <c r="K2516" s="108">
        <f>IF($I2516="▼ SORTIE",$U2516,"")</f>
        <v/>
      </c>
      <c r="L2516" s="109">
        <f>$L2515+N($J2516)-N($K2516)</f>
        <v/>
      </c>
      <c r="M2516" s="110" t="n"/>
      <c r="N2516" s="54" t="n"/>
      <c r="O2516" s="54" t="n"/>
      <c r="P2516" s="54" t="n"/>
      <c r="Q2516" s="110" t="n"/>
      <c r="R2516" s="110" t="n"/>
      <c r="S2516" s="54" t="n"/>
      <c r="T2516" s="111">
        <f>IF($G2516="","",IFERROR(INDEX(Taux_Devises,MATCH(IF($M2516="",Devise_Base,$M2516),Codes_Devises,0)),1))</f>
        <v/>
      </c>
      <c r="U2516" s="112">
        <f>IF($G2516="","",ROUND($G2516*$T2516,2))</f>
        <v/>
      </c>
      <c r="V2516" s="113">
        <f>IF($B2516="","",MONTH($B2516))</f>
        <v/>
      </c>
      <c r="W2516" s="113">
        <f>IF($B2516="","",YEAR($B2516))</f>
        <v/>
      </c>
    </row>
    <row r="2517">
      <c r="B2517" s="105" t="n"/>
      <c r="C2517" s="54" t="n"/>
      <c r="D2517" s="54" t="n"/>
      <c r="E2517" s="54" t="n"/>
      <c r="F2517" s="54" t="n"/>
      <c r="G2517" s="65" t="n"/>
      <c r="H2517" s="54" t="n"/>
      <c r="I2517" s="106">
        <f>IF($C2517="","",IFERROR(INDEX(Sens_Types,MATCH($C2517,Liste_Types,0)),""))</f>
        <v/>
      </c>
      <c r="J2517" s="107">
        <f>IF($I2517="▲ ENTRÉE",$U2517,"")</f>
        <v/>
      </c>
      <c r="K2517" s="108">
        <f>IF($I2517="▼ SORTIE",$U2517,"")</f>
        <v/>
      </c>
      <c r="L2517" s="109">
        <f>$L2516+N($J2517)-N($K2517)</f>
        <v/>
      </c>
      <c r="M2517" s="110" t="n"/>
      <c r="N2517" s="54" t="n"/>
      <c r="O2517" s="54" t="n"/>
      <c r="P2517" s="54" t="n"/>
      <c r="Q2517" s="110" t="n"/>
      <c r="R2517" s="110" t="n"/>
      <c r="S2517" s="54" t="n"/>
      <c r="T2517" s="111">
        <f>IF($G2517="","",IFERROR(INDEX(Taux_Devises,MATCH(IF($M2517="",Devise_Base,$M2517),Codes_Devises,0)),1))</f>
        <v/>
      </c>
      <c r="U2517" s="112">
        <f>IF($G2517="","",ROUND($G2517*$T2517,2))</f>
        <v/>
      </c>
      <c r="V2517" s="113">
        <f>IF($B2517="","",MONTH($B2517))</f>
        <v/>
      </c>
      <c r="W2517" s="113">
        <f>IF($B2517="","",YEAR($B2517))</f>
        <v/>
      </c>
    </row>
    <row r="2518">
      <c r="B2518" s="105" t="n"/>
      <c r="C2518" s="54" t="n"/>
      <c r="D2518" s="54" t="n"/>
      <c r="E2518" s="54" t="n"/>
      <c r="F2518" s="54" t="n"/>
      <c r="G2518" s="65" t="n"/>
      <c r="H2518" s="54" t="n"/>
      <c r="I2518" s="106">
        <f>IF($C2518="","",IFERROR(INDEX(Sens_Types,MATCH($C2518,Liste_Types,0)),""))</f>
        <v/>
      </c>
      <c r="J2518" s="107">
        <f>IF($I2518="▲ ENTRÉE",$U2518,"")</f>
        <v/>
      </c>
      <c r="K2518" s="108">
        <f>IF($I2518="▼ SORTIE",$U2518,"")</f>
        <v/>
      </c>
      <c r="L2518" s="109">
        <f>$L2517+N($J2518)-N($K2518)</f>
        <v/>
      </c>
      <c r="M2518" s="110" t="n"/>
      <c r="N2518" s="54" t="n"/>
      <c r="O2518" s="54" t="n"/>
      <c r="P2518" s="54" t="n"/>
      <c r="Q2518" s="110" t="n"/>
      <c r="R2518" s="110" t="n"/>
      <c r="S2518" s="54" t="n"/>
      <c r="T2518" s="111">
        <f>IF($G2518="","",IFERROR(INDEX(Taux_Devises,MATCH(IF($M2518="",Devise_Base,$M2518),Codes_Devises,0)),1))</f>
        <v/>
      </c>
      <c r="U2518" s="112">
        <f>IF($G2518="","",ROUND($G2518*$T2518,2))</f>
        <v/>
      </c>
      <c r="V2518" s="113">
        <f>IF($B2518="","",MONTH($B2518))</f>
        <v/>
      </c>
      <c r="W2518" s="113">
        <f>IF($B2518="","",YEAR($B2518))</f>
        <v/>
      </c>
    </row>
    <row r="2519">
      <c r="B2519" s="105" t="n"/>
      <c r="C2519" s="54" t="n"/>
      <c r="D2519" s="54" t="n"/>
      <c r="E2519" s="54" t="n"/>
      <c r="F2519" s="54" t="n"/>
      <c r="G2519" s="65" t="n"/>
      <c r="H2519" s="54" t="n"/>
      <c r="I2519" s="106">
        <f>IF($C2519="","",IFERROR(INDEX(Sens_Types,MATCH($C2519,Liste_Types,0)),""))</f>
        <v/>
      </c>
      <c r="J2519" s="107">
        <f>IF($I2519="▲ ENTRÉE",$U2519,"")</f>
        <v/>
      </c>
      <c r="K2519" s="108">
        <f>IF($I2519="▼ SORTIE",$U2519,"")</f>
        <v/>
      </c>
      <c r="L2519" s="109">
        <f>$L2518+N($J2519)-N($K2519)</f>
        <v/>
      </c>
      <c r="M2519" s="110" t="n"/>
      <c r="N2519" s="54" t="n"/>
      <c r="O2519" s="54" t="n"/>
      <c r="P2519" s="54" t="n"/>
      <c r="Q2519" s="110" t="n"/>
      <c r="R2519" s="110" t="n"/>
      <c r="S2519" s="54" t="n"/>
      <c r="T2519" s="111">
        <f>IF($G2519="","",IFERROR(INDEX(Taux_Devises,MATCH(IF($M2519="",Devise_Base,$M2519),Codes_Devises,0)),1))</f>
        <v/>
      </c>
      <c r="U2519" s="112">
        <f>IF($G2519="","",ROUND($G2519*$T2519,2))</f>
        <v/>
      </c>
      <c r="V2519" s="113">
        <f>IF($B2519="","",MONTH($B2519))</f>
        <v/>
      </c>
      <c r="W2519" s="113">
        <f>IF($B2519="","",YEAR($B2519))</f>
        <v/>
      </c>
    </row>
    <row r="2520">
      <c r="B2520" s="105" t="n"/>
      <c r="C2520" s="54" t="n"/>
      <c r="D2520" s="54" t="n"/>
      <c r="E2520" s="54" t="n"/>
      <c r="F2520" s="54" t="n"/>
      <c r="G2520" s="65" t="n"/>
      <c r="H2520" s="54" t="n"/>
      <c r="I2520" s="106">
        <f>IF($C2520="","",IFERROR(INDEX(Sens_Types,MATCH($C2520,Liste_Types,0)),""))</f>
        <v/>
      </c>
      <c r="J2520" s="107">
        <f>IF($I2520="▲ ENTRÉE",$U2520,"")</f>
        <v/>
      </c>
      <c r="K2520" s="108">
        <f>IF($I2520="▼ SORTIE",$U2520,"")</f>
        <v/>
      </c>
      <c r="L2520" s="109">
        <f>$L2519+N($J2520)-N($K2520)</f>
        <v/>
      </c>
      <c r="M2520" s="110" t="n"/>
      <c r="N2520" s="54" t="n"/>
      <c r="O2520" s="54" t="n"/>
      <c r="P2520" s="54" t="n"/>
      <c r="Q2520" s="110" t="n"/>
      <c r="R2520" s="110" t="n"/>
      <c r="S2520" s="54" t="n"/>
      <c r="T2520" s="111">
        <f>IF($G2520="","",IFERROR(INDEX(Taux_Devises,MATCH(IF($M2520="",Devise_Base,$M2520),Codes_Devises,0)),1))</f>
        <v/>
      </c>
      <c r="U2520" s="112">
        <f>IF($G2520="","",ROUND($G2520*$T2520,2))</f>
        <v/>
      </c>
      <c r="V2520" s="113">
        <f>IF($B2520="","",MONTH($B2520))</f>
        <v/>
      </c>
      <c r="W2520" s="113">
        <f>IF($B2520="","",YEAR($B2520))</f>
        <v/>
      </c>
    </row>
    <row r="2521">
      <c r="B2521" s="105" t="n"/>
      <c r="C2521" s="54" t="n"/>
      <c r="D2521" s="54" t="n"/>
      <c r="E2521" s="54" t="n"/>
      <c r="F2521" s="54" t="n"/>
      <c r="G2521" s="65" t="n"/>
      <c r="H2521" s="54" t="n"/>
      <c r="I2521" s="106">
        <f>IF($C2521="","",IFERROR(INDEX(Sens_Types,MATCH($C2521,Liste_Types,0)),""))</f>
        <v/>
      </c>
      <c r="J2521" s="107">
        <f>IF($I2521="▲ ENTRÉE",$U2521,"")</f>
        <v/>
      </c>
      <c r="K2521" s="108">
        <f>IF($I2521="▼ SORTIE",$U2521,"")</f>
        <v/>
      </c>
      <c r="L2521" s="109">
        <f>$L2520+N($J2521)-N($K2521)</f>
        <v/>
      </c>
      <c r="M2521" s="110" t="n"/>
      <c r="N2521" s="54" t="n"/>
      <c r="O2521" s="54" t="n"/>
      <c r="P2521" s="54" t="n"/>
      <c r="Q2521" s="110" t="n"/>
      <c r="R2521" s="110" t="n"/>
      <c r="S2521" s="54" t="n"/>
      <c r="T2521" s="111">
        <f>IF($G2521="","",IFERROR(INDEX(Taux_Devises,MATCH(IF($M2521="",Devise_Base,$M2521),Codes_Devises,0)),1))</f>
        <v/>
      </c>
      <c r="U2521" s="112">
        <f>IF($G2521="","",ROUND($G2521*$T2521,2))</f>
        <v/>
      </c>
      <c r="V2521" s="113">
        <f>IF($B2521="","",MONTH($B2521))</f>
        <v/>
      </c>
      <c r="W2521" s="113">
        <f>IF($B2521="","",YEAR($B2521))</f>
        <v/>
      </c>
    </row>
    <row r="2522">
      <c r="B2522" s="105" t="n"/>
      <c r="C2522" s="54" t="n"/>
      <c r="D2522" s="54" t="n"/>
      <c r="E2522" s="54" t="n"/>
      <c r="F2522" s="54" t="n"/>
      <c r="G2522" s="65" t="n"/>
      <c r="H2522" s="54" t="n"/>
      <c r="I2522" s="106">
        <f>IF($C2522="","",IFERROR(INDEX(Sens_Types,MATCH($C2522,Liste_Types,0)),""))</f>
        <v/>
      </c>
      <c r="J2522" s="107">
        <f>IF($I2522="▲ ENTRÉE",$U2522,"")</f>
        <v/>
      </c>
      <c r="K2522" s="108">
        <f>IF($I2522="▼ SORTIE",$U2522,"")</f>
        <v/>
      </c>
      <c r="L2522" s="109">
        <f>$L2521+N($J2522)-N($K2522)</f>
        <v/>
      </c>
      <c r="M2522" s="110" t="n"/>
      <c r="N2522" s="54" t="n"/>
      <c r="O2522" s="54" t="n"/>
      <c r="P2522" s="54" t="n"/>
      <c r="Q2522" s="110" t="n"/>
      <c r="R2522" s="110" t="n"/>
      <c r="S2522" s="54" t="n"/>
      <c r="T2522" s="111">
        <f>IF($G2522="","",IFERROR(INDEX(Taux_Devises,MATCH(IF($M2522="",Devise_Base,$M2522),Codes_Devises,0)),1))</f>
        <v/>
      </c>
      <c r="U2522" s="112">
        <f>IF($G2522="","",ROUND($G2522*$T2522,2))</f>
        <v/>
      </c>
      <c r="V2522" s="113">
        <f>IF($B2522="","",MONTH($B2522))</f>
        <v/>
      </c>
      <c r="W2522" s="113">
        <f>IF($B2522="","",YEAR($B2522))</f>
        <v/>
      </c>
    </row>
    <row r="2523">
      <c r="B2523" s="105" t="n"/>
      <c r="C2523" s="54" t="n"/>
      <c r="D2523" s="54" t="n"/>
      <c r="E2523" s="54" t="n"/>
      <c r="F2523" s="54" t="n"/>
      <c r="G2523" s="65" t="n"/>
      <c r="H2523" s="54" t="n"/>
      <c r="I2523" s="106">
        <f>IF($C2523="","",IFERROR(INDEX(Sens_Types,MATCH($C2523,Liste_Types,0)),""))</f>
        <v/>
      </c>
      <c r="J2523" s="107">
        <f>IF($I2523="▲ ENTRÉE",$U2523,"")</f>
        <v/>
      </c>
      <c r="K2523" s="108">
        <f>IF($I2523="▼ SORTIE",$U2523,"")</f>
        <v/>
      </c>
      <c r="L2523" s="109">
        <f>$L2522+N($J2523)-N($K2523)</f>
        <v/>
      </c>
      <c r="M2523" s="110" t="n"/>
      <c r="N2523" s="54" t="n"/>
      <c r="O2523" s="54" t="n"/>
      <c r="P2523" s="54" t="n"/>
      <c r="Q2523" s="110" t="n"/>
      <c r="R2523" s="110" t="n"/>
      <c r="S2523" s="54" t="n"/>
      <c r="T2523" s="111">
        <f>IF($G2523="","",IFERROR(INDEX(Taux_Devises,MATCH(IF($M2523="",Devise_Base,$M2523),Codes_Devises,0)),1))</f>
        <v/>
      </c>
      <c r="U2523" s="112">
        <f>IF($G2523="","",ROUND($G2523*$T2523,2))</f>
        <v/>
      </c>
      <c r="V2523" s="113">
        <f>IF($B2523="","",MONTH($B2523))</f>
        <v/>
      </c>
      <c r="W2523" s="113">
        <f>IF($B2523="","",YEAR($B2523))</f>
        <v/>
      </c>
    </row>
    <row r="2524">
      <c r="B2524" s="105" t="n"/>
      <c r="C2524" s="54" t="n"/>
      <c r="D2524" s="54" t="n"/>
      <c r="E2524" s="54" t="n"/>
      <c r="F2524" s="54" t="n"/>
      <c r="G2524" s="65" t="n"/>
      <c r="H2524" s="54" t="n"/>
      <c r="I2524" s="106">
        <f>IF($C2524="","",IFERROR(INDEX(Sens_Types,MATCH($C2524,Liste_Types,0)),""))</f>
        <v/>
      </c>
      <c r="J2524" s="107">
        <f>IF($I2524="▲ ENTRÉE",$U2524,"")</f>
        <v/>
      </c>
      <c r="K2524" s="108">
        <f>IF($I2524="▼ SORTIE",$U2524,"")</f>
        <v/>
      </c>
      <c r="L2524" s="109">
        <f>$L2523+N($J2524)-N($K2524)</f>
        <v/>
      </c>
      <c r="M2524" s="110" t="n"/>
      <c r="N2524" s="54" t="n"/>
      <c r="O2524" s="54" t="n"/>
      <c r="P2524" s="54" t="n"/>
      <c r="Q2524" s="110" t="n"/>
      <c r="R2524" s="110" t="n"/>
      <c r="S2524" s="54" t="n"/>
      <c r="T2524" s="111">
        <f>IF($G2524="","",IFERROR(INDEX(Taux_Devises,MATCH(IF($M2524="",Devise_Base,$M2524),Codes_Devises,0)),1))</f>
        <v/>
      </c>
      <c r="U2524" s="112">
        <f>IF($G2524="","",ROUND($G2524*$T2524,2))</f>
        <v/>
      </c>
      <c r="V2524" s="113">
        <f>IF($B2524="","",MONTH($B2524))</f>
        <v/>
      </c>
      <c r="W2524" s="113">
        <f>IF($B2524="","",YEAR($B2524))</f>
        <v/>
      </c>
    </row>
    <row r="2525">
      <c r="B2525" s="105" t="n"/>
      <c r="C2525" s="54" t="n"/>
      <c r="D2525" s="54" t="n"/>
      <c r="E2525" s="54" t="n"/>
      <c r="F2525" s="54" t="n"/>
      <c r="G2525" s="65" t="n"/>
      <c r="H2525" s="54" t="n"/>
      <c r="I2525" s="106">
        <f>IF($C2525="","",IFERROR(INDEX(Sens_Types,MATCH($C2525,Liste_Types,0)),""))</f>
        <v/>
      </c>
      <c r="J2525" s="107">
        <f>IF($I2525="▲ ENTRÉE",$U2525,"")</f>
        <v/>
      </c>
      <c r="K2525" s="108">
        <f>IF($I2525="▼ SORTIE",$U2525,"")</f>
        <v/>
      </c>
      <c r="L2525" s="109">
        <f>$L2524+N($J2525)-N($K2525)</f>
        <v/>
      </c>
      <c r="M2525" s="110" t="n"/>
      <c r="N2525" s="54" t="n"/>
      <c r="O2525" s="54" t="n"/>
      <c r="P2525" s="54" t="n"/>
      <c r="Q2525" s="110" t="n"/>
      <c r="R2525" s="110" t="n"/>
      <c r="S2525" s="54" t="n"/>
      <c r="T2525" s="111">
        <f>IF($G2525="","",IFERROR(INDEX(Taux_Devises,MATCH(IF($M2525="",Devise_Base,$M2525),Codes_Devises,0)),1))</f>
        <v/>
      </c>
      <c r="U2525" s="112">
        <f>IF($G2525="","",ROUND($G2525*$T2525,2))</f>
        <v/>
      </c>
      <c r="V2525" s="113">
        <f>IF($B2525="","",MONTH($B2525))</f>
        <v/>
      </c>
      <c r="W2525" s="113">
        <f>IF($B2525="","",YEAR($B2525))</f>
        <v/>
      </c>
    </row>
    <row r="2526">
      <c r="B2526" s="105" t="n"/>
      <c r="C2526" s="54" t="n"/>
      <c r="D2526" s="54" t="n"/>
      <c r="E2526" s="54" t="n"/>
      <c r="F2526" s="54" t="n"/>
      <c r="G2526" s="65" t="n"/>
      <c r="H2526" s="54" t="n"/>
      <c r="I2526" s="106">
        <f>IF($C2526="","",IFERROR(INDEX(Sens_Types,MATCH($C2526,Liste_Types,0)),""))</f>
        <v/>
      </c>
      <c r="J2526" s="107">
        <f>IF($I2526="▲ ENTRÉE",$U2526,"")</f>
        <v/>
      </c>
      <c r="K2526" s="108">
        <f>IF($I2526="▼ SORTIE",$U2526,"")</f>
        <v/>
      </c>
      <c r="L2526" s="109">
        <f>$L2525+N($J2526)-N($K2526)</f>
        <v/>
      </c>
      <c r="M2526" s="110" t="n"/>
      <c r="N2526" s="54" t="n"/>
      <c r="O2526" s="54" t="n"/>
      <c r="P2526" s="54" t="n"/>
      <c r="Q2526" s="110" t="n"/>
      <c r="R2526" s="110" t="n"/>
      <c r="S2526" s="54" t="n"/>
      <c r="T2526" s="111">
        <f>IF($G2526="","",IFERROR(INDEX(Taux_Devises,MATCH(IF($M2526="",Devise_Base,$M2526),Codes_Devises,0)),1))</f>
        <v/>
      </c>
      <c r="U2526" s="112">
        <f>IF($G2526="","",ROUND($G2526*$T2526,2))</f>
        <v/>
      </c>
      <c r="V2526" s="113">
        <f>IF($B2526="","",MONTH($B2526))</f>
        <v/>
      </c>
      <c r="W2526" s="113">
        <f>IF($B2526="","",YEAR($B2526))</f>
        <v/>
      </c>
    </row>
    <row r="2527">
      <c r="B2527" s="105" t="n"/>
      <c r="C2527" s="54" t="n"/>
      <c r="D2527" s="54" t="n"/>
      <c r="E2527" s="54" t="n"/>
      <c r="F2527" s="54" t="n"/>
      <c r="G2527" s="65" t="n"/>
      <c r="H2527" s="54" t="n"/>
      <c r="I2527" s="106">
        <f>IF($C2527="","",IFERROR(INDEX(Sens_Types,MATCH($C2527,Liste_Types,0)),""))</f>
        <v/>
      </c>
      <c r="J2527" s="107">
        <f>IF($I2527="▲ ENTRÉE",$U2527,"")</f>
        <v/>
      </c>
      <c r="K2527" s="108">
        <f>IF($I2527="▼ SORTIE",$U2527,"")</f>
        <v/>
      </c>
      <c r="L2527" s="109">
        <f>$L2526+N($J2527)-N($K2527)</f>
        <v/>
      </c>
      <c r="M2527" s="110" t="n"/>
      <c r="N2527" s="54" t="n"/>
      <c r="O2527" s="54" t="n"/>
      <c r="P2527" s="54" t="n"/>
      <c r="Q2527" s="110" t="n"/>
      <c r="R2527" s="110" t="n"/>
      <c r="S2527" s="54" t="n"/>
      <c r="T2527" s="111">
        <f>IF($G2527="","",IFERROR(INDEX(Taux_Devises,MATCH(IF($M2527="",Devise_Base,$M2527),Codes_Devises,0)),1))</f>
        <v/>
      </c>
      <c r="U2527" s="112">
        <f>IF($G2527="","",ROUND($G2527*$T2527,2))</f>
        <v/>
      </c>
      <c r="V2527" s="113">
        <f>IF($B2527="","",MONTH($B2527))</f>
        <v/>
      </c>
      <c r="W2527" s="113">
        <f>IF($B2527="","",YEAR($B2527))</f>
        <v/>
      </c>
    </row>
    <row r="2528">
      <c r="B2528" s="105" t="n"/>
      <c r="C2528" s="54" t="n"/>
      <c r="D2528" s="54" t="n"/>
      <c r="E2528" s="54" t="n"/>
      <c r="F2528" s="54" t="n"/>
      <c r="G2528" s="65" t="n"/>
      <c r="H2528" s="54" t="n"/>
      <c r="I2528" s="106">
        <f>IF($C2528="","",IFERROR(INDEX(Sens_Types,MATCH($C2528,Liste_Types,0)),""))</f>
        <v/>
      </c>
      <c r="J2528" s="107">
        <f>IF($I2528="▲ ENTRÉE",$U2528,"")</f>
        <v/>
      </c>
      <c r="K2528" s="108">
        <f>IF($I2528="▼ SORTIE",$U2528,"")</f>
        <v/>
      </c>
      <c r="L2528" s="109">
        <f>$L2527+N($J2528)-N($K2528)</f>
        <v/>
      </c>
      <c r="M2528" s="110" t="n"/>
      <c r="N2528" s="54" t="n"/>
      <c r="O2528" s="54" t="n"/>
      <c r="P2528" s="54" t="n"/>
      <c r="Q2528" s="110" t="n"/>
      <c r="R2528" s="110" t="n"/>
      <c r="S2528" s="54" t="n"/>
      <c r="T2528" s="111">
        <f>IF($G2528="","",IFERROR(INDEX(Taux_Devises,MATCH(IF($M2528="",Devise_Base,$M2528),Codes_Devises,0)),1))</f>
        <v/>
      </c>
      <c r="U2528" s="112">
        <f>IF($G2528="","",ROUND($G2528*$T2528,2))</f>
        <v/>
      </c>
      <c r="V2528" s="113">
        <f>IF($B2528="","",MONTH($B2528))</f>
        <v/>
      </c>
      <c r="W2528" s="113">
        <f>IF($B2528="","",YEAR($B2528))</f>
        <v/>
      </c>
    </row>
    <row r="2529">
      <c r="B2529" s="105" t="n"/>
      <c r="C2529" s="54" t="n"/>
      <c r="D2529" s="54" t="n"/>
      <c r="E2529" s="54" t="n"/>
      <c r="F2529" s="54" t="n"/>
      <c r="G2529" s="65" t="n"/>
      <c r="H2529" s="54" t="n"/>
      <c r="I2529" s="106">
        <f>IF($C2529="","",IFERROR(INDEX(Sens_Types,MATCH($C2529,Liste_Types,0)),""))</f>
        <v/>
      </c>
      <c r="J2529" s="107">
        <f>IF($I2529="▲ ENTRÉE",$U2529,"")</f>
        <v/>
      </c>
      <c r="K2529" s="108">
        <f>IF($I2529="▼ SORTIE",$U2529,"")</f>
        <v/>
      </c>
      <c r="L2529" s="109">
        <f>$L2528+N($J2529)-N($K2529)</f>
        <v/>
      </c>
      <c r="M2529" s="110" t="n"/>
      <c r="N2529" s="54" t="n"/>
      <c r="O2529" s="54" t="n"/>
      <c r="P2529" s="54" t="n"/>
      <c r="Q2529" s="110" t="n"/>
      <c r="R2529" s="110" t="n"/>
      <c r="S2529" s="54" t="n"/>
      <c r="T2529" s="111">
        <f>IF($G2529="","",IFERROR(INDEX(Taux_Devises,MATCH(IF($M2529="",Devise_Base,$M2529),Codes_Devises,0)),1))</f>
        <v/>
      </c>
      <c r="U2529" s="112">
        <f>IF($G2529="","",ROUND($G2529*$T2529,2))</f>
        <v/>
      </c>
      <c r="V2529" s="113">
        <f>IF($B2529="","",MONTH($B2529))</f>
        <v/>
      </c>
      <c r="W2529" s="113">
        <f>IF($B2529="","",YEAR($B2529))</f>
        <v/>
      </c>
    </row>
    <row r="2530">
      <c r="B2530" s="105" t="n"/>
      <c r="C2530" s="54" t="n"/>
      <c r="D2530" s="54" t="n"/>
      <c r="E2530" s="54" t="n"/>
      <c r="F2530" s="54" t="n"/>
      <c r="G2530" s="65" t="n"/>
      <c r="H2530" s="54" t="n"/>
      <c r="I2530" s="106">
        <f>IF($C2530="","",IFERROR(INDEX(Sens_Types,MATCH($C2530,Liste_Types,0)),""))</f>
        <v/>
      </c>
      <c r="J2530" s="107">
        <f>IF($I2530="▲ ENTRÉE",$U2530,"")</f>
        <v/>
      </c>
      <c r="K2530" s="108">
        <f>IF($I2530="▼ SORTIE",$U2530,"")</f>
        <v/>
      </c>
      <c r="L2530" s="109">
        <f>$L2529+N($J2530)-N($K2530)</f>
        <v/>
      </c>
      <c r="M2530" s="110" t="n"/>
      <c r="N2530" s="54" t="n"/>
      <c r="O2530" s="54" t="n"/>
      <c r="P2530" s="54" t="n"/>
      <c r="Q2530" s="110" t="n"/>
      <c r="R2530" s="110" t="n"/>
      <c r="S2530" s="54" t="n"/>
      <c r="T2530" s="111">
        <f>IF($G2530="","",IFERROR(INDEX(Taux_Devises,MATCH(IF($M2530="",Devise_Base,$M2530),Codes_Devises,0)),1))</f>
        <v/>
      </c>
      <c r="U2530" s="112">
        <f>IF($G2530="","",ROUND($G2530*$T2530,2))</f>
        <v/>
      </c>
      <c r="V2530" s="113">
        <f>IF($B2530="","",MONTH($B2530))</f>
        <v/>
      </c>
      <c r="W2530" s="113">
        <f>IF($B2530="","",YEAR($B2530))</f>
        <v/>
      </c>
    </row>
    <row r="2531">
      <c r="B2531" s="105" t="n"/>
      <c r="C2531" s="54" t="n"/>
      <c r="D2531" s="54" t="n"/>
      <c r="E2531" s="54" t="n"/>
      <c r="F2531" s="54" t="n"/>
      <c r="G2531" s="65" t="n"/>
      <c r="H2531" s="54" t="n"/>
      <c r="I2531" s="106">
        <f>IF($C2531="","",IFERROR(INDEX(Sens_Types,MATCH($C2531,Liste_Types,0)),""))</f>
        <v/>
      </c>
      <c r="J2531" s="107">
        <f>IF($I2531="▲ ENTRÉE",$U2531,"")</f>
        <v/>
      </c>
      <c r="K2531" s="108">
        <f>IF($I2531="▼ SORTIE",$U2531,"")</f>
        <v/>
      </c>
      <c r="L2531" s="109">
        <f>$L2530+N($J2531)-N($K2531)</f>
        <v/>
      </c>
      <c r="M2531" s="110" t="n"/>
      <c r="N2531" s="54" t="n"/>
      <c r="O2531" s="54" t="n"/>
      <c r="P2531" s="54" t="n"/>
      <c r="Q2531" s="110" t="n"/>
      <c r="R2531" s="110" t="n"/>
      <c r="S2531" s="54" t="n"/>
      <c r="T2531" s="111">
        <f>IF($G2531="","",IFERROR(INDEX(Taux_Devises,MATCH(IF($M2531="",Devise_Base,$M2531),Codes_Devises,0)),1))</f>
        <v/>
      </c>
      <c r="U2531" s="112">
        <f>IF($G2531="","",ROUND($G2531*$T2531,2))</f>
        <v/>
      </c>
      <c r="V2531" s="113">
        <f>IF($B2531="","",MONTH($B2531))</f>
        <v/>
      </c>
      <c r="W2531" s="113">
        <f>IF($B2531="","",YEAR($B2531))</f>
        <v/>
      </c>
    </row>
    <row r="2532">
      <c r="B2532" s="105" t="n"/>
      <c r="C2532" s="54" t="n"/>
      <c r="D2532" s="54" t="n"/>
      <c r="E2532" s="54" t="n"/>
      <c r="F2532" s="54" t="n"/>
      <c r="G2532" s="65" t="n"/>
      <c r="H2532" s="54" t="n"/>
      <c r="I2532" s="106">
        <f>IF($C2532="","",IFERROR(INDEX(Sens_Types,MATCH($C2532,Liste_Types,0)),""))</f>
        <v/>
      </c>
      <c r="J2532" s="107">
        <f>IF($I2532="▲ ENTRÉE",$U2532,"")</f>
        <v/>
      </c>
      <c r="K2532" s="108">
        <f>IF($I2532="▼ SORTIE",$U2532,"")</f>
        <v/>
      </c>
      <c r="L2532" s="109">
        <f>$L2531+N($J2532)-N($K2532)</f>
        <v/>
      </c>
      <c r="M2532" s="110" t="n"/>
      <c r="N2532" s="54" t="n"/>
      <c r="O2532" s="54" t="n"/>
      <c r="P2532" s="54" t="n"/>
      <c r="Q2532" s="110" t="n"/>
      <c r="R2532" s="110" t="n"/>
      <c r="S2532" s="54" t="n"/>
      <c r="T2532" s="111">
        <f>IF($G2532="","",IFERROR(INDEX(Taux_Devises,MATCH(IF($M2532="",Devise_Base,$M2532),Codes_Devises,0)),1))</f>
        <v/>
      </c>
      <c r="U2532" s="112">
        <f>IF($G2532="","",ROUND($G2532*$T2532,2))</f>
        <v/>
      </c>
      <c r="V2532" s="113">
        <f>IF($B2532="","",MONTH($B2532))</f>
        <v/>
      </c>
      <c r="W2532" s="113">
        <f>IF($B2532="","",YEAR($B2532))</f>
        <v/>
      </c>
    </row>
    <row r="2533">
      <c r="B2533" s="105" t="n"/>
      <c r="C2533" s="54" t="n"/>
      <c r="D2533" s="54" t="n"/>
      <c r="E2533" s="54" t="n"/>
      <c r="F2533" s="54" t="n"/>
      <c r="G2533" s="65" t="n"/>
      <c r="H2533" s="54" t="n"/>
      <c r="I2533" s="106">
        <f>IF($C2533="","",IFERROR(INDEX(Sens_Types,MATCH($C2533,Liste_Types,0)),""))</f>
        <v/>
      </c>
      <c r="J2533" s="107">
        <f>IF($I2533="▲ ENTRÉE",$U2533,"")</f>
        <v/>
      </c>
      <c r="K2533" s="108">
        <f>IF($I2533="▼ SORTIE",$U2533,"")</f>
        <v/>
      </c>
      <c r="L2533" s="109">
        <f>$L2532+N($J2533)-N($K2533)</f>
        <v/>
      </c>
      <c r="M2533" s="110" t="n"/>
      <c r="N2533" s="54" t="n"/>
      <c r="O2533" s="54" t="n"/>
      <c r="P2533" s="54" t="n"/>
      <c r="Q2533" s="110" t="n"/>
      <c r="R2533" s="110" t="n"/>
      <c r="S2533" s="54" t="n"/>
      <c r="T2533" s="111">
        <f>IF($G2533="","",IFERROR(INDEX(Taux_Devises,MATCH(IF($M2533="",Devise_Base,$M2533),Codes_Devises,0)),1))</f>
        <v/>
      </c>
      <c r="U2533" s="112">
        <f>IF($G2533="","",ROUND($G2533*$T2533,2))</f>
        <v/>
      </c>
      <c r="V2533" s="113">
        <f>IF($B2533="","",MONTH($B2533))</f>
        <v/>
      </c>
      <c r="W2533" s="113">
        <f>IF($B2533="","",YEAR($B2533))</f>
        <v/>
      </c>
    </row>
    <row r="2534">
      <c r="B2534" s="105" t="n"/>
      <c r="C2534" s="54" t="n"/>
      <c r="D2534" s="54" t="n"/>
      <c r="E2534" s="54" t="n"/>
      <c r="F2534" s="54" t="n"/>
      <c r="G2534" s="65" t="n"/>
      <c r="H2534" s="54" t="n"/>
      <c r="I2534" s="106">
        <f>IF($C2534="","",IFERROR(INDEX(Sens_Types,MATCH($C2534,Liste_Types,0)),""))</f>
        <v/>
      </c>
      <c r="J2534" s="107">
        <f>IF($I2534="▲ ENTRÉE",$U2534,"")</f>
        <v/>
      </c>
      <c r="K2534" s="108">
        <f>IF($I2534="▼ SORTIE",$U2534,"")</f>
        <v/>
      </c>
      <c r="L2534" s="109">
        <f>$L2533+N($J2534)-N($K2534)</f>
        <v/>
      </c>
      <c r="M2534" s="110" t="n"/>
      <c r="N2534" s="54" t="n"/>
      <c r="O2534" s="54" t="n"/>
      <c r="P2534" s="54" t="n"/>
      <c r="Q2534" s="110" t="n"/>
      <c r="R2534" s="110" t="n"/>
      <c r="S2534" s="54" t="n"/>
      <c r="T2534" s="111">
        <f>IF($G2534="","",IFERROR(INDEX(Taux_Devises,MATCH(IF($M2534="",Devise_Base,$M2534),Codes_Devises,0)),1))</f>
        <v/>
      </c>
      <c r="U2534" s="112">
        <f>IF($G2534="","",ROUND($G2534*$T2534,2))</f>
        <v/>
      </c>
      <c r="V2534" s="113">
        <f>IF($B2534="","",MONTH($B2534))</f>
        <v/>
      </c>
      <c r="W2534" s="113">
        <f>IF($B2534="","",YEAR($B2534))</f>
        <v/>
      </c>
    </row>
    <row r="2535">
      <c r="B2535" s="105" t="n"/>
      <c r="C2535" s="54" t="n"/>
      <c r="D2535" s="54" t="n"/>
      <c r="E2535" s="54" t="n"/>
      <c r="F2535" s="54" t="n"/>
      <c r="G2535" s="65" t="n"/>
      <c r="H2535" s="54" t="n"/>
      <c r="I2535" s="106">
        <f>IF($C2535="","",IFERROR(INDEX(Sens_Types,MATCH($C2535,Liste_Types,0)),""))</f>
        <v/>
      </c>
      <c r="J2535" s="107">
        <f>IF($I2535="▲ ENTRÉE",$U2535,"")</f>
        <v/>
      </c>
      <c r="K2535" s="108">
        <f>IF($I2535="▼ SORTIE",$U2535,"")</f>
        <v/>
      </c>
      <c r="L2535" s="109">
        <f>$L2534+N($J2535)-N($K2535)</f>
        <v/>
      </c>
      <c r="M2535" s="110" t="n"/>
      <c r="N2535" s="54" t="n"/>
      <c r="O2535" s="54" t="n"/>
      <c r="P2535" s="54" t="n"/>
      <c r="Q2535" s="110" t="n"/>
      <c r="R2535" s="110" t="n"/>
      <c r="S2535" s="54" t="n"/>
      <c r="T2535" s="111">
        <f>IF($G2535="","",IFERROR(INDEX(Taux_Devises,MATCH(IF($M2535="",Devise_Base,$M2535),Codes_Devises,0)),1))</f>
        <v/>
      </c>
      <c r="U2535" s="112">
        <f>IF($G2535="","",ROUND($G2535*$T2535,2))</f>
        <v/>
      </c>
      <c r="V2535" s="113">
        <f>IF($B2535="","",MONTH($B2535))</f>
        <v/>
      </c>
      <c r="W2535" s="113">
        <f>IF($B2535="","",YEAR($B2535))</f>
        <v/>
      </c>
    </row>
    <row r="2536">
      <c r="B2536" s="105" t="n"/>
      <c r="C2536" s="54" t="n"/>
      <c r="D2536" s="54" t="n"/>
      <c r="E2536" s="54" t="n"/>
      <c r="F2536" s="54" t="n"/>
      <c r="G2536" s="65" t="n"/>
      <c r="H2536" s="54" t="n"/>
      <c r="I2536" s="106">
        <f>IF($C2536="","",IFERROR(INDEX(Sens_Types,MATCH($C2536,Liste_Types,0)),""))</f>
        <v/>
      </c>
      <c r="J2536" s="107">
        <f>IF($I2536="▲ ENTRÉE",$U2536,"")</f>
        <v/>
      </c>
      <c r="K2536" s="108">
        <f>IF($I2536="▼ SORTIE",$U2536,"")</f>
        <v/>
      </c>
      <c r="L2536" s="109">
        <f>$L2535+N($J2536)-N($K2536)</f>
        <v/>
      </c>
      <c r="M2536" s="110" t="n"/>
      <c r="N2536" s="54" t="n"/>
      <c r="O2536" s="54" t="n"/>
      <c r="P2536" s="54" t="n"/>
      <c r="Q2536" s="110" t="n"/>
      <c r="R2536" s="110" t="n"/>
      <c r="S2536" s="54" t="n"/>
      <c r="T2536" s="111">
        <f>IF($G2536="","",IFERROR(INDEX(Taux_Devises,MATCH(IF($M2536="",Devise_Base,$M2536),Codes_Devises,0)),1))</f>
        <v/>
      </c>
      <c r="U2536" s="112">
        <f>IF($G2536="","",ROUND($G2536*$T2536,2))</f>
        <v/>
      </c>
      <c r="V2536" s="113">
        <f>IF($B2536="","",MONTH($B2536))</f>
        <v/>
      </c>
      <c r="W2536" s="113">
        <f>IF($B2536="","",YEAR($B2536))</f>
        <v/>
      </c>
    </row>
    <row r="2537">
      <c r="B2537" s="105" t="n"/>
      <c r="C2537" s="54" t="n"/>
      <c r="D2537" s="54" t="n"/>
      <c r="E2537" s="54" t="n"/>
      <c r="F2537" s="54" t="n"/>
      <c r="G2537" s="65" t="n"/>
      <c r="H2537" s="54" t="n"/>
      <c r="I2537" s="106">
        <f>IF($C2537="","",IFERROR(INDEX(Sens_Types,MATCH($C2537,Liste_Types,0)),""))</f>
        <v/>
      </c>
      <c r="J2537" s="107">
        <f>IF($I2537="▲ ENTRÉE",$U2537,"")</f>
        <v/>
      </c>
      <c r="K2537" s="108">
        <f>IF($I2537="▼ SORTIE",$U2537,"")</f>
        <v/>
      </c>
      <c r="L2537" s="109">
        <f>$L2536+N($J2537)-N($K2537)</f>
        <v/>
      </c>
      <c r="M2537" s="110" t="n"/>
      <c r="N2537" s="54" t="n"/>
      <c r="O2537" s="54" t="n"/>
      <c r="P2537" s="54" t="n"/>
      <c r="Q2537" s="110" t="n"/>
      <c r="R2537" s="110" t="n"/>
      <c r="S2537" s="54" t="n"/>
      <c r="T2537" s="111">
        <f>IF($G2537="","",IFERROR(INDEX(Taux_Devises,MATCH(IF($M2537="",Devise_Base,$M2537),Codes_Devises,0)),1))</f>
        <v/>
      </c>
      <c r="U2537" s="112">
        <f>IF($G2537="","",ROUND($G2537*$T2537,2))</f>
        <v/>
      </c>
      <c r="V2537" s="113">
        <f>IF($B2537="","",MONTH($B2537))</f>
        <v/>
      </c>
      <c r="W2537" s="113">
        <f>IF($B2537="","",YEAR($B2537))</f>
        <v/>
      </c>
    </row>
    <row r="2538">
      <c r="B2538" s="105" t="n"/>
      <c r="C2538" s="54" t="n"/>
      <c r="D2538" s="54" t="n"/>
      <c r="E2538" s="54" t="n"/>
      <c r="F2538" s="54" t="n"/>
      <c r="G2538" s="65" t="n"/>
      <c r="H2538" s="54" t="n"/>
      <c r="I2538" s="106">
        <f>IF($C2538="","",IFERROR(INDEX(Sens_Types,MATCH($C2538,Liste_Types,0)),""))</f>
        <v/>
      </c>
      <c r="J2538" s="107">
        <f>IF($I2538="▲ ENTRÉE",$U2538,"")</f>
        <v/>
      </c>
      <c r="K2538" s="108">
        <f>IF($I2538="▼ SORTIE",$U2538,"")</f>
        <v/>
      </c>
      <c r="L2538" s="109">
        <f>$L2537+N($J2538)-N($K2538)</f>
        <v/>
      </c>
      <c r="M2538" s="110" t="n"/>
      <c r="N2538" s="54" t="n"/>
      <c r="O2538" s="54" t="n"/>
      <c r="P2538" s="54" t="n"/>
      <c r="Q2538" s="110" t="n"/>
      <c r="R2538" s="110" t="n"/>
      <c r="S2538" s="54" t="n"/>
      <c r="T2538" s="111">
        <f>IF($G2538="","",IFERROR(INDEX(Taux_Devises,MATCH(IF($M2538="",Devise_Base,$M2538),Codes_Devises,0)),1))</f>
        <v/>
      </c>
      <c r="U2538" s="112">
        <f>IF($G2538="","",ROUND($G2538*$T2538,2))</f>
        <v/>
      </c>
      <c r="V2538" s="113">
        <f>IF($B2538="","",MONTH($B2538))</f>
        <v/>
      </c>
      <c r="W2538" s="113">
        <f>IF($B2538="","",YEAR($B2538))</f>
        <v/>
      </c>
    </row>
    <row r="2539">
      <c r="B2539" s="105" t="n"/>
      <c r="C2539" s="54" t="n"/>
      <c r="D2539" s="54" t="n"/>
      <c r="E2539" s="54" t="n"/>
      <c r="F2539" s="54" t="n"/>
      <c r="G2539" s="65" t="n"/>
      <c r="H2539" s="54" t="n"/>
      <c r="I2539" s="106">
        <f>IF($C2539="","",IFERROR(INDEX(Sens_Types,MATCH($C2539,Liste_Types,0)),""))</f>
        <v/>
      </c>
      <c r="J2539" s="107">
        <f>IF($I2539="▲ ENTRÉE",$U2539,"")</f>
        <v/>
      </c>
      <c r="K2539" s="108">
        <f>IF($I2539="▼ SORTIE",$U2539,"")</f>
        <v/>
      </c>
      <c r="L2539" s="109">
        <f>$L2538+N($J2539)-N($K2539)</f>
        <v/>
      </c>
      <c r="M2539" s="110" t="n"/>
      <c r="N2539" s="54" t="n"/>
      <c r="O2539" s="54" t="n"/>
      <c r="P2539" s="54" t="n"/>
      <c r="Q2539" s="110" t="n"/>
      <c r="R2539" s="110" t="n"/>
      <c r="S2539" s="54" t="n"/>
      <c r="T2539" s="111">
        <f>IF($G2539="","",IFERROR(INDEX(Taux_Devises,MATCH(IF($M2539="",Devise_Base,$M2539),Codes_Devises,0)),1))</f>
        <v/>
      </c>
      <c r="U2539" s="112">
        <f>IF($G2539="","",ROUND($G2539*$T2539,2))</f>
        <v/>
      </c>
      <c r="V2539" s="113">
        <f>IF($B2539="","",MONTH($B2539))</f>
        <v/>
      </c>
      <c r="W2539" s="113">
        <f>IF($B2539="","",YEAR($B2539))</f>
        <v/>
      </c>
    </row>
    <row r="2540">
      <c r="B2540" s="105" t="n"/>
      <c r="C2540" s="54" t="n"/>
      <c r="D2540" s="54" t="n"/>
      <c r="E2540" s="54" t="n"/>
      <c r="F2540" s="54" t="n"/>
      <c r="G2540" s="65" t="n"/>
      <c r="H2540" s="54" t="n"/>
      <c r="I2540" s="106">
        <f>IF($C2540="","",IFERROR(INDEX(Sens_Types,MATCH($C2540,Liste_Types,0)),""))</f>
        <v/>
      </c>
      <c r="J2540" s="107">
        <f>IF($I2540="▲ ENTRÉE",$U2540,"")</f>
        <v/>
      </c>
      <c r="K2540" s="108">
        <f>IF($I2540="▼ SORTIE",$U2540,"")</f>
        <v/>
      </c>
      <c r="L2540" s="109">
        <f>$L2539+N($J2540)-N($K2540)</f>
        <v/>
      </c>
      <c r="M2540" s="110" t="n"/>
      <c r="N2540" s="54" t="n"/>
      <c r="O2540" s="54" t="n"/>
      <c r="P2540" s="54" t="n"/>
      <c r="Q2540" s="110" t="n"/>
      <c r="R2540" s="110" t="n"/>
      <c r="S2540" s="54" t="n"/>
      <c r="T2540" s="111">
        <f>IF($G2540="","",IFERROR(INDEX(Taux_Devises,MATCH(IF($M2540="",Devise_Base,$M2540),Codes_Devises,0)),1))</f>
        <v/>
      </c>
      <c r="U2540" s="112">
        <f>IF($G2540="","",ROUND($G2540*$T2540,2))</f>
        <v/>
      </c>
      <c r="V2540" s="113">
        <f>IF($B2540="","",MONTH($B2540))</f>
        <v/>
      </c>
      <c r="W2540" s="113">
        <f>IF($B2540="","",YEAR($B2540))</f>
        <v/>
      </c>
    </row>
    <row r="2541">
      <c r="B2541" s="105" t="n"/>
      <c r="C2541" s="54" t="n"/>
      <c r="D2541" s="54" t="n"/>
      <c r="E2541" s="54" t="n"/>
      <c r="F2541" s="54" t="n"/>
      <c r="G2541" s="65" t="n"/>
      <c r="H2541" s="54" t="n"/>
      <c r="I2541" s="106">
        <f>IF($C2541="","",IFERROR(INDEX(Sens_Types,MATCH($C2541,Liste_Types,0)),""))</f>
        <v/>
      </c>
      <c r="J2541" s="107">
        <f>IF($I2541="▲ ENTRÉE",$U2541,"")</f>
        <v/>
      </c>
      <c r="K2541" s="108">
        <f>IF($I2541="▼ SORTIE",$U2541,"")</f>
        <v/>
      </c>
      <c r="L2541" s="109">
        <f>$L2540+N($J2541)-N($K2541)</f>
        <v/>
      </c>
      <c r="M2541" s="110" t="n"/>
      <c r="N2541" s="54" t="n"/>
      <c r="O2541" s="54" t="n"/>
      <c r="P2541" s="54" t="n"/>
      <c r="Q2541" s="110" t="n"/>
      <c r="R2541" s="110" t="n"/>
      <c r="S2541" s="54" t="n"/>
      <c r="T2541" s="111">
        <f>IF($G2541="","",IFERROR(INDEX(Taux_Devises,MATCH(IF($M2541="",Devise_Base,$M2541),Codes_Devises,0)),1))</f>
        <v/>
      </c>
      <c r="U2541" s="112">
        <f>IF($G2541="","",ROUND($G2541*$T2541,2))</f>
        <v/>
      </c>
      <c r="V2541" s="113">
        <f>IF($B2541="","",MONTH($B2541))</f>
        <v/>
      </c>
      <c r="W2541" s="113">
        <f>IF($B2541="","",YEAR($B2541))</f>
        <v/>
      </c>
    </row>
    <row r="2542">
      <c r="B2542" s="105" t="n"/>
      <c r="C2542" s="54" t="n"/>
      <c r="D2542" s="54" t="n"/>
      <c r="E2542" s="54" t="n"/>
      <c r="F2542" s="54" t="n"/>
      <c r="G2542" s="65" t="n"/>
      <c r="H2542" s="54" t="n"/>
      <c r="I2542" s="106">
        <f>IF($C2542="","",IFERROR(INDEX(Sens_Types,MATCH($C2542,Liste_Types,0)),""))</f>
        <v/>
      </c>
      <c r="J2542" s="107">
        <f>IF($I2542="▲ ENTRÉE",$U2542,"")</f>
        <v/>
      </c>
      <c r="K2542" s="108">
        <f>IF($I2542="▼ SORTIE",$U2542,"")</f>
        <v/>
      </c>
      <c r="L2542" s="109">
        <f>$L2541+N($J2542)-N($K2542)</f>
        <v/>
      </c>
      <c r="M2542" s="110" t="n"/>
      <c r="N2542" s="54" t="n"/>
      <c r="O2542" s="54" t="n"/>
      <c r="P2542" s="54" t="n"/>
      <c r="Q2542" s="110" t="n"/>
      <c r="R2542" s="110" t="n"/>
      <c r="S2542" s="54" t="n"/>
      <c r="T2542" s="111">
        <f>IF($G2542="","",IFERROR(INDEX(Taux_Devises,MATCH(IF($M2542="",Devise_Base,$M2542),Codes_Devises,0)),1))</f>
        <v/>
      </c>
      <c r="U2542" s="112">
        <f>IF($G2542="","",ROUND($G2542*$T2542,2))</f>
        <v/>
      </c>
      <c r="V2542" s="113">
        <f>IF($B2542="","",MONTH($B2542))</f>
        <v/>
      </c>
      <c r="W2542" s="113">
        <f>IF($B2542="","",YEAR($B2542))</f>
        <v/>
      </c>
    </row>
    <row r="2543">
      <c r="B2543" s="105" t="n"/>
      <c r="C2543" s="54" t="n"/>
      <c r="D2543" s="54" t="n"/>
      <c r="E2543" s="54" t="n"/>
      <c r="F2543" s="54" t="n"/>
      <c r="G2543" s="65" t="n"/>
      <c r="H2543" s="54" t="n"/>
      <c r="I2543" s="106">
        <f>IF($C2543="","",IFERROR(INDEX(Sens_Types,MATCH($C2543,Liste_Types,0)),""))</f>
        <v/>
      </c>
      <c r="J2543" s="107">
        <f>IF($I2543="▲ ENTRÉE",$U2543,"")</f>
        <v/>
      </c>
      <c r="K2543" s="108">
        <f>IF($I2543="▼ SORTIE",$U2543,"")</f>
        <v/>
      </c>
      <c r="L2543" s="109">
        <f>$L2542+N($J2543)-N($K2543)</f>
        <v/>
      </c>
      <c r="M2543" s="110" t="n"/>
      <c r="N2543" s="54" t="n"/>
      <c r="O2543" s="54" t="n"/>
      <c r="P2543" s="54" t="n"/>
      <c r="Q2543" s="110" t="n"/>
      <c r="R2543" s="110" t="n"/>
      <c r="S2543" s="54" t="n"/>
      <c r="T2543" s="111">
        <f>IF($G2543="","",IFERROR(INDEX(Taux_Devises,MATCH(IF($M2543="",Devise_Base,$M2543),Codes_Devises,0)),1))</f>
        <v/>
      </c>
      <c r="U2543" s="112">
        <f>IF($G2543="","",ROUND($G2543*$T2543,2))</f>
        <v/>
      </c>
      <c r="V2543" s="113">
        <f>IF($B2543="","",MONTH($B2543))</f>
        <v/>
      </c>
      <c r="W2543" s="113">
        <f>IF($B2543="","",YEAR($B2543))</f>
        <v/>
      </c>
    </row>
    <row r="2544">
      <c r="B2544" s="105" t="n"/>
      <c r="C2544" s="54" t="n"/>
      <c r="D2544" s="54" t="n"/>
      <c r="E2544" s="54" t="n"/>
      <c r="F2544" s="54" t="n"/>
      <c r="G2544" s="65" t="n"/>
      <c r="H2544" s="54" t="n"/>
      <c r="I2544" s="106">
        <f>IF($C2544="","",IFERROR(INDEX(Sens_Types,MATCH($C2544,Liste_Types,0)),""))</f>
        <v/>
      </c>
      <c r="J2544" s="107">
        <f>IF($I2544="▲ ENTRÉE",$U2544,"")</f>
        <v/>
      </c>
      <c r="K2544" s="108">
        <f>IF($I2544="▼ SORTIE",$U2544,"")</f>
        <v/>
      </c>
      <c r="L2544" s="109">
        <f>$L2543+N($J2544)-N($K2544)</f>
        <v/>
      </c>
      <c r="M2544" s="110" t="n"/>
      <c r="N2544" s="54" t="n"/>
      <c r="O2544" s="54" t="n"/>
      <c r="P2544" s="54" t="n"/>
      <c r="Q2544" s="110" t="n"/>
      <c r="R2544" s="110" t="n"/>
      <c r="S2544" s="54" t="n"/>
      <c r="T2544" s="111">
        <f>IF($G2544="","",IFERROR(INDEX(Taux_Devises,MATCH(IF($M2544="",Devise_Base,$M2544),Codes_Devises,0)),1))</f>
        <v/>
      </c>
      <c r="U2544" s="112">
        <f>IF($G2544="","",ROUND($G2544*$T2544,2))</f>
        <v/>
      </c>
      <c r="V2544" s="113">
        <f>IF($B2544="","",MONTH($B2544))</f>
        <v/>
      </c>
      <c r="W2544" s="113">
        <f>IF($B2544="","",YEAR($B2544))</f>
        <v/>
      </c>
    </row>
    <row r="2545">
      <c r="B2545" s="105" t="n"/>
      <c r="C2545" s="54" t="n"/>
      <c r="D2545" s="54" t="n"/>
      <c r="E2545" s="54" t="n"/>
      <c r="F2545" s="54" t="n"/>
      <c r="G2545" s="65" t="n"/>
      <c r="H2545" s="54" t="n"/>
      <c r="I2545" s="106">
        <f>IF($C2545="","",IFERROR(INDEX(Sens_Types,MATCH($C2545,Liste_Types,0)),""))</f>
        <v/>
      </c>
      <c r="J2545" s="107">
        <f>IF($I2545="▲ ENTRÉE",$U2545,"")</f>
        <v/>
      </c>
      <c r="K2545" s="108">
        <f>IF($I2545="▼ SORTIE",$U2545,"")</f>
        <v/>
      </c>
      <c r="L2545" s="109">
        <f>$L2544+N($J2545)-N($K2545)</f>
        <v/>
      </c>
      <c r="M2545" s="110" t="n"/>
      <c r="N2545" s="54" t="n"/>
      <c r="O2545" s="54" t="n"/>
      <c r="P2545" s="54" t="n"/>
      <c r="Q2545" s="110" t="n"/>
      <c r="R2545" s="110" t="n"/>
      <c r="S2545" s="54" t="n"/>
      <c r="T2545" s="111">
        <f>IF($G2545="","",IFERROR(INDEX(Taux_Devises,MATCH(IF($M2545="",Devise_Base,$M2545),Codes_Devises,0)),1))</f>
        <v/>
      </c>
      <c r="U2545" s="112">
        <f>IF($G2545="","",ROUND($G2545*$T2545,2))</f>
        <v/>
      </c>
      <c r="V2545" s="113">
        <f>IF($B2545="","",MONTH($B2545))</f>
        <v/>
      </c>
      <c r="W2545" s="113">
        <f>IF($B2545="","",YEAR($B2545))</f>
        <v/>
      </c>
    </row>
    <row r="2546">
      <c r="B2546" s="105" t="n"/>
      <c r="C2546" s="54" t="n"/>
      <c r="D2546" s="54" t="n"/>
      <c r="E2546" s="54" t="n"/>
      <c r="F2546" s="54" t="n"/>
      <c r="G2546" s="65" t="n"/>
      <c r="H2546" s="54" t="n"/>
      <c r="I2546" s="106">
        <f>IF($C2546="","",IFERROR(INDEX(Sens_Types,MATCH($C2546,Liste_Types,0)),""))</f>
        <v/>
      </c>
      <c r="J2546" s="107">
        <f>IF($I2546="▲ ENTRÉE",$U2546,"")</f>
        <v/>
      </c>
      <c r="K2546" s="108">
        <f>IF($I2546="▼ SORTIE",$U2546,"")</f>
        <v/>
      </c>
      <c r="L2546" s="109">
        <f>$L2545+N($J2546)-N($K2546)</f>
        <v/>
      </c>
      <c r="M2546" s="110" t="n"/>
      <c r="N2546" s="54" t="n"/>
      <c r="O2546" s="54" t="n"/>
      <c r="P2546" s="54" t="n"/>
      <c r="Q2546" s="110" t="n"/>
      <c r="R2546" s="110" t="n"/>
      <c r="S2546" s="54" t="n"/>
      <c r="T2546" s="111">
        <f>IF($G2546="","",IFERROR(INDEX(Taux_Devises,MATCH(IF($M2546="",Devise_Base,$M2546),Codes_Devises,0)),1))</f>
        <v/>
      </c>
      <c r="U2546" s="112">
        <f>IF($G2546="","",ROUND($G2546*$T2546,2))</f>
        <v/>
      </c>
      <c r="V2546" s="113">
        <f>IF($B2546="","",MONTH($B2546))</f>
        <v/>
      </c>
      <c r="W2546" s="113">
        <f>IF($B2546="","",YEAR($B2546))</f>
        <v/>
      </c>
    </row>
    <row r="2547">
      <c r="B2547" s="105" t="n"/>
      <c r="C2547" s="54" t="n"/>
      <c r="D2547" s="54" t="n"/>
      <c r="E2547" s="54" t="n"/>
      <c r="F2547" s="54" t="n"/>
      <c r="G2547" s="65" t="n"/>
      <c r="H2547" s="54" t="n"/>
      <c r="I2547" s="106">
        <f>IF($C2547="","",IFERROR(INDEX(Sens_Types,MATCH($C2547,Liste_Types,0)),""))</f>
        <v/>
      </c>
      <c r="J2547" s="107">
        <f>IF($I2547="▲ ENTRÉE",$U2547,"")</f>
        <v/>
      </c>
      <c r="K2547" s="108">
        <f>IF($I2547="▼ SORTIE",$U2547,"")</f>
        <v/>
      </c>
      <c r="L2547" s="109">
        <f>$L2546+N($J2547)-N($K2547)</f>
        <v/>
      </c>
      <c r="M2547" s="110" t="n"/>
      <c r="N2547" s="54" t="n"/>
      <c r="O2547" s="54" t="n"/>
      <c r="P2547" s="54" t="n"/>
      <c r="Q2547" s="110" t="n"/>
      <c r="R2547" s="110" t="n"/>
      <c r="S2547" s="54" t="n"/>
      <c r="T2547" s="111">
        <f>IF($G2547="","",IFERROR(INDEX(Taux_Devises,MATCH(IF($M2547="",Devise_Base,$M2547),Codes_Devises,0)),1))</f>
        <v/>
      </c>
      <c r="U2547" s="112">
        <f>IF($G2547="","",ROUND($G2547*$T2547,2))</f>
        <v/>
      </c>
      <c r="V2547" s="113">
        <f>IF($B2547="","",MONTH($B2547))</f>
        <v/>
      </c>
      <c r="W2547" s="113">
        <f>IF($B2547="","",YEAR($B2547))</f>
        <v/>
      </c>
    </row>
    <row r="2548">
      <c r="B2548" s="105" t="n"/>
      <c r="C2548" s="54" t="n"/>
      <c r="D2548" s="54" t="n"/>
      <c r="E2548" s="54" t="n"/>
      <c r="F2548" s="54" t="n"/>
      <c r="G2548" s="65" t="n"/>
      <c r="H2548" s="54" t="n"/>
      <c r="I2548" s="106">
        <f>IF($C2548="","",IFERROR(INDEX(Sens_Types,MATCH($C2548,Liste_Types,0)),""))</f>
        <v/>
      </c>
      <c r="J2548" s="107">
        <f>IF($I2548="▲ ENTRÉE",$U2548,"")</f>
        <v/>
      </c>
      <c r="K2548" s="108">
        <f>IF($I2548="▼ SORTIE",$U2548,"")</f>
        <v/>
      </c>
      <c r="L2548" s="109">
        <f>$L2547+N($J2548)-N($K2548)</f>
        <v/>
      </c>
      <c r="M2548" s="110" t="n"/>
      <c r="N2548" s="54" t="n"/>
      <c r="O2548" s="54" t="n"/>
      <c r="P2548" s="54" t="n"/>
      <c r="Q2548" s="110" t="n"/>
      <c r="R2548" s="110" t="n"/>
      <c r="S2548" s="54" t="n"/>
      <c r="T2548" s="111">
        <f>IF($G2548="","",IFERROR(INDEX(Taux_Devises,MATCH(IF($M2548="",Devise_Base,$M2548),Codes_Devises,0)),1))</f>
        <v/>
      </c>
      <c r="U2548" s="112">
        <f>IF($G2548="","",ROUND($G2548*$T2548,2))</f>
        <v/>
      </c>
      <c r="V2548" s="113">
        <f>IF($B2548="","",MONTH($B2548))</f>
        <v/>
      </c>
      <c r="W2548" s="113">
        <f>IF($B2548="","",YEAR($B2548))</f>
        <v/>
      </c>
    </row>
    <row r="2549">
      <c r="B2549" s="105" t="n"/>
      <c r="C2549" s="54" t="n"/>
      <c r="D2549" s="54" t="n"/>
      <c r="E2549" s="54" t="n"/>
      <c r="F2549" s="54" t="n"/>
      <c r="G2549" s="65" t="n"/>
      <c r="H2549" s="54" t="n"/>
      <c r="I2549" s="106">
        <f>IF($C2549="","",IFERROR(INDEX(Sens_Types,MATCH($C2549,Liste_Types,0)),""))</f>
        <v/>
      </c>
      <c r="J2549" s="107">
        <f>IF($I2549="▲ ENTRÉE",$U2549,"")</f>
        <v/>
      </c>
      <c r="K2549" s="108">
        <f>IF($I2549="▼ SORTIE",$U2549,"")</f>
        <v/>
      </c>
      <c r="L2549" s="109">
        <f>$L2548+N($J2549)-N($K2549)</f>
        <v/>
      </c>
      <c r="M2549" s="110" t="n"/>
      <c r="N2549" s="54" t="n"/>
      <c r="O2549" s="54" t="n"/>
      <c r="P2549" s="54" t="n"/>
      <c r="Q2549" s="110" t="n"/>
      <c r="R2549" s="110" t="n"/>
      <c r="S2549" s="54" t="n"/>
      <c r="T2549" s="111">
        <f>IF($G2549="","",IFERROR(INDEX(Taux_Devises,MATCH(IF($M2549="",Devise_Base,$M2549),Codes_Devises,0)),1))</f>
        <v/>
      </c>
      <c r="U2549" s="112">
        <f>IF($G2549="","",ROUND($G2549*$T2549,2))</f>
        <v/>
      </c>
      <c r="V2549" s="113">
        <f>IF($B2549="","",MONTH($B2549))</f>
        <v/>
      </c>
      <c r="W2549" s="113">
        <f>IF($B2549="","",YEAR($B2549))</f>
        <v/>
      </c>
    </row>
    <row r="2550">
      <c r="B2550" s="105" t="n"/>
      <c r="C2550" s="54" t="n"/>
      <c r="D2550" s="54" t="n"/>
      <c r="E2550" s="54" t="n"/>
      <c r="F2550" s="54" t="n"/>
      <c r="G2550" s="65" t="n"/>
      <c r="H2550" s="54" t="n"/>
      <c r="I2550" s="106">
        <f>IF($C2550="","",IFERROR(INDEX(Sens_Types,MATCH($C2550,Liste_Types,0)),""))</f>
        <v/>
      </c>
      <c r="J2550" s="107">
        <f>IF($I2550="▲ ENTRÉE",$U2550,"")</f>
        <v/>
      </c>
      <c r="K2550" s="108">
        <f>IF($I2550="▼ SORTIE",$U2550,"")</f>
        <v/>
      </c>
      <c r="L2550" s="109">
        <f>$L2549+N($J2550)-N($K2550)</f>
        <v/>
      </c>
      <c r="M2550" s="110" t="n"/>
      <c r="N2550" s="54" t="n"/>
      <c r="O2550" s="54" t="n"/>
      <c r="P2550" s="54" t="n"/>
      <c r="Q2550" s="110" t="n"/>
      <c r="R2550" s="110" t="n"/>
      <c r="S2550" s="54" t="n"/>
      <c r="T2550" s="111">
        <f>IF($G2550="","",IFERROR(INDEX(Taux_Devises,MATCH(IF($M2550="",Devise_Base,$M2550),Codes_Devises,0)),1))</f>
        <v/>
      </c>
      <c r="U2550" s="112">
        <f>IF($G2550="","",ROUND($G2550*$T2550,2))</f>
        <v/>
      </c>
      <c r="V2550" s="113">
        <f>IF($B2550="","",MONTH($B2550))</f>
        <v/>
      </c>
      <c r="W2550" s="113">
        <f>IF($B2550="","",YEAR($B2550))</f>
        <v/>
      </c>
    </row>
    <row r="2551">
      <c r="B2551" s="105" t="n"/>
      <c r="C2551" s="54" t="n"/>
      <c r="D2551" s="54" t="n"/>
      <c r="E2551" s="54" t="n"/>
      <c r="F2551" s="54" t="n"/>
      <c r="G2551" s="65" t="n"/>
      <c r="H2551" s="54" t="n"/>
      <c r="I2551" s="106">
        <f>IF($C2551="","",IFERROR(INDEX(Sens_Types,MATCH($C2551,Liste_Types,0)),""))</f>
        <v/>
      </c>
      <c r="J2551" s="107">
        <f>IF($I2551="▲ ENTRÉE",$U2551,"")</f>
        <v/>
      </c>
      <c r="K2551" s="108">
        <f>IF($I2551="▼ SORTIE",$U2551,"")</f>
        <v/>
      </c>
      <c r="L2551" s="109">
        <f>$L2550+N($J2551)-N($K2551)</f>
        <v/>
      </c>
      <c r="M2551" s="110" t="n"/>
      <c r="N2551" s="54" t="n"/>
      <c r="O2551" s="54" t="n"/>
      <c r="P2551" s="54" t="n"/>
      <c r="Q2551" s="110" t="n"/>
      <c r="R2551" s="110" t="n"/>
      <c r="S2551" s="54" t="n"/>
      <c r="T2551" s="111">
        <f>IF($G2551="","",IFERROR(INDEX(Taux_Devises,MATCH(IF($M2551="",Devise_Base,$M2551),Codes_Devises,0)),1))</f>
        <v/>
      </c>
      <c r="U2551" s="112">
        <f>IF($G2551="","",ROUND($G2551*$T2551,2))</f>
        <v/>
      </c>
      <c r="V2551" s="113">
        <f>IF($B2551="","",MONTH($B2551))</f>
        <v/>
      </c>
      <c r="W2551" s="113">
        <f>IF($B2551="","",YEAR($B2551))</f>
        <v/>
      </c>
    </row>
    <row r="2552">
      <c r="B2552" s="105" t="n"/>
      <c r="C2552" s="54" t="n"/>
      <c r="D2552" s="54" t="n"/>
      <c r="E2552" s="54" t="n"/>
      <c r="F2552" s="54" t="n"/>
      <c r="G2552" s="65" t="n"/>
      <c r="H2552" s="54" t="n"/>
      <c r="I2552" s="106">
        <f>IF($C2552="","",IFERROR(INDEX(Sens_Types,MATCH($C2552,Liste_Types,0)),""))</f>
        <v/>
      </c>
      <c r="J2552" s="107">
        <f>IF($I2552="▲ ENTRÉE",$U2552,"")</f>
        <v/>
      </c>
      <c r="K2552" s="108">
        <f>IF($I2552="▼ SORTIE",$U2552,"")</f>
        <v/>
      </c>
      <c r="L2552" s="109">
        <f>$L2551+N($J2552)-N($K2552)</f>
        <v/>
      </c>
      <c r="M2552" s="110" t="n"/>
      <c r="N2552" s="54" t="n"/>
      <c r="O2552" s="54" t="n"/>
      <c r="P2552" s="54" t="n"/>
      <c r="Q2552" s="110" t="n"/>
      <c r="R2552" s="110" t="n"/>
      <c r="S2552" s="54" t="n"/>
      <c r="T2552" s="111">
        <f>IF($G2552="","",IFERROR(INDEX(Taux_Devises,MATCH(IF($M2552="",Devise_Base,$M2552),Codes_Devises,0)),1))</f>
        <v/>
      </c>
      <c r="U2552" s="112">
        <f>IF($G2552="","",ROUND($G2552*$T2552,2))</f>
        <v/>
      </c>
      <c r="V2552" s="113">
        <f>IF($B2552="","",MONTH($B2552))</f>
        <v/>
      </c>
      <c r="W2552" s="113">
        <f>IF($B2552="","",YEAR($B2552))</f>
        <v/>
      </c>
    </row>
    <row r="2553">
      <c r="B2553" s="105" t="n"/>
      <c r="C2553" s="54" t="n"/>
      <c r="D2553" s="54" t="n"/>
      <c r="E2553" s="54" t="n"/>
      <c r="F2553" s="54" t="n"/>
      <c r="G2553" s="65" t="n"/>
      <c r="H2553" s="54" t="n"/>
      <c r="I2553" s="106">
        <f>IF($C2553="","",IFERROR(INDEX(Sens_Types,MATCH($C2553,Liste_Types,0)),""))</f>
        <v/>
      </c>
      <c r="J2553" s="107">
        <f>IF($I2553="▲ ENTRÉE",$U2553,"")</f>
        <v/>
      </c>
      <c r="K2553" s="108">
        <f>IF($I2553="▼ SORTIE",$U2553,"")</f>
        <v/>
      </c>
      <c r="L2553" s="109">
        <f>$L2552+N($J2553)-N($K2553)</f>
        <v/>
      </c>
      <c r="M2553" s="110" t="n"/>
      <c r="N2553" s="54" t="n"/>
      <c r="O2553" s="54" t="n"/>
      <c r="P2553" s="54" t="n"/>
      <c r="Q2553" s="110" t="n"/>
      <c r="R2553" s="110" t="n"/>
      <c r="S2553" s="54" t="n"/>
      <c r="T2553" s="111">
        <f>IF($G2553="","",IFERROR(INDEX(Taux_Devises,MATCH(IF($M2553="",Devise_Base,$M2553),Codes_Devises,0)),1))</f>
        <v/>
      </c>
      <c r="U2553" s="112">
        <f>IF($G2553="","",ROUND($G2553*$T2553,2))</f>
        <v/>
      </c>
      <c r="V2553" s="113">
        <f>IF($B2553="","",MONTH($B2553))</f>
        <v/>
      </c>
      <c r="W2553" s="113">
        <f>IF($B2553="","",YEAR($B2553))</f>
        <v/>
      </c>
    </row>
    <row r="2554">
      <c r="B2554" s="105" t="n"/>
      <c r="C2554" s="54" t="n"/>
      <c r="D2554" s="54" t="n"/>
      <c r="E2554" s="54" t="n"/>
      <c r="F2554" s="54" t="n"/>
      <c r="G2554" s="65" t="n"/>
      <c r="H2554" s="54" t="n"/>
      <c r="I2554" s="106">
        <f>IF($C2554="","",IFERROR(INDEX(Sens_Types,MATCH($C2554,Liste_Types,0)),""))</f>
        <v/>
      </c>
      <c r="J2554" s="107">
        <f>IF($I2554="▲ ENTRÉE",$U2554,"")</f>
        <v/>
      </c>
      <c r="K2554" s="108">
        <f>IF($I2554="▼ SORTIE",$U2554,"")</f>
        <v/>
      </c>
      <c r="L2554" s="109">
        <f>$L2553+N($J2554)-N($K2554)</f>
        <v/>
      </c>
      <c r="M2554" s="110" t="n"/>
      <c r="N2554" s="54" t="n"/>
      <c r="O2554" s="54" t="n"/>
      <c r="P2554" s="54" t="n"/>
      <c r="Q2554" s="110" t="n"/>
      <c r="R2554" s="110" t="n"/>
      <c r="S2554" s="54" t="n"/>
      <c r="T2554" s="111">
        <f>IF($G2554="","",IFERROR(INDEX(Taux_Devises,MATCH(IF($M2554="",Devise_Base,$M2554),Codes_Devises,0)),1))</f>
        <v/>
      </c>
      <c r="U2554" s="112">
        <f>IF($G2554="","",ROUND($G2554*$T2554,2))</f>
        <v/>
      </c>
      <c r="V2554" s="113">
        <f>IF($B2554="","",MONTH($B2554))</f>
        <v/>
      </c>
      <c r="W2554" s="113">
        <f>IF($B2554="","",YEAR($B2554))</f>
        <v/>
      </c>
    </row>
    <row r="2555">
      <c r="B2555" s="105" t="n"/>
      <c r="C2555" s="54" t="n"/>
      <c r="D2555" s="54" t="n"/>
      <c r="E2555" s="54" t="n"/>
      <c r="F2555" s="54" t="n"/>
      <c r="G2555" s="65" t="n"/>
      <c r="H2555" s="54" t="n"/>
      <c r="I2555" s="106">
        <f>IF($C2555="","",IFERROR(INDEX(Sens_Types,MATCH($C2555,Liste_Types,0)),""))</f>
        <v/>
      </c>
      <c r="J2555" s="107">
        <f>IF($I2555="▲ ENTRÉE",$U2555,"")</f>
        <v/>
      </c>
      <c r="K2555" s="108">
        <f>IF($I2555="▼ SORTIE",$U2555,"")</f>
        <v/>
      </c>
      <c r="L2555" s="109">
        <f>$L2554+N($J2555)-N($K2555)</f>
        <v/>
      </c>
      <c r="M2555" s="110" t="n"/>
      <c r="N2555" s="54" t="n"/>
      <c r="O2555" s="54" t="n"/>
      <c r="P2555" s="54" t="n"/>
      <c r="Q2555" s="110" t="n"/>
      <c r="R2555" s="110" t="n"/>
      <c r="S2555" s="54" t="n"/>
      <c r="T2555" s="111">
        <f>IF($G2555="","",IFERROR(INDEX(Taux_Devises,MATCH(IF($M2555="",Devise_Base,$M2555),Codes_Devises,0)),1))</f>
        <v/>
      </c>
      <c r="U2555" s="112">
        <f>IF($G2555="","",ROUND($G2555*$T2555,2))</f>
        <v/>
      </c>
      <c r="V2555" s="113">
        <f>IF($B2555="","",MONTH($B2555))</f>
        <v/>
      </c>
      <c r="W2555" s="113">
        <f>IF($B2555="","",YEAR($B2555))</f>
        <v/>
      </c>
    </row>
    <row r="2556">
      <c r="B2556" s="105" t="n"/>
      <c r="C2556" s="54" t="n"/>
      <c r="D2556" s="54" t="n"/>
      <c r="E2556" s="54" t="n"/>
      <c r="F2556" s="54" t="n"/>
      <c r="G2556" s="65" t="n"/>
      <c r="H2556" s="54" t="n"/>
      <c r="I2556" s="106">
        <f>IF($C2556="","",IFERROR(INDEX(Sens_Types,MATCH($C2556,Liste_Types,0)),""))</f>
        <v/>
      </c>
      <c r="J2556" s="107">
        <f>IF($I2556="▲ ENTRÉE",$U2556,"")</f>
        <v/>
      </c>
      <c r="K2556" s="108">
        <f>IF($I2556="▼ SORTIE",$U2556,"")</f>
        <v/>
      </c>
      <c r="L2556" s="109">
        <f>$L2555+N($J2556)-N($K2556)</f>
        <v/>
      </c>
      <c r="M2556" s="110" t="n"/>
      <c r="N2556" s="54" t="n"/>
      <c r="O2556" s="54" t="n"/>
      <c r="P2556" s="54" t="n"/>
      <c r="Q2556" s="110" t="n"/>
      <c r="R2556" s="110" t="n"/>
      <c r="S2556" s="54" t="n"/>
      <c r="T2556" s="111">
        <f>IF($G2556="","",IFERROR(INDEX(Taux_Devises,MATCH(IF($M2556="",Devise_Base,$M2556),Codes_Devises,0)),1))</f>
        <v/>
      </c>
      <c r="U2556" s="112">
        <f>IF($G2556="","",ROUND($G2556*$T2556,2))</f>
        <v/>
      </c>
      <c r="V2556" s="113">
        <f>IF($B2556="","",MONTH($B2556))</f>
        <v/>
      </c>
      <c r="W2556" s="113">
        <f>IF($B2556="","",YEAR($B2556))</f>
        <v/>
      </c>
    </row>
    <row r="2557">
      <c r="B2557" s="105" t="n"/>
      <c r="C2557" s="54" t="n"/>
      <c r="D2557" s="54" t="n"/>
      <c r="E2557" s="54" t="n"/>
      <c r="F2557" s="54" t="n"/>
      <c r="G2557" s="65" t="n"/>
      <c r="H2557" s="54" t="n"/>
      <c r="I2557" s="106">
        <f>IF($C2557="","",IFERROR(INDEX(Sens_Types,MATCH($C2557,Liste_Types,0)),""))</f>
        <v/>
      </c>
      <c r="J2557" s="107">
        <f>IF($I2557="▲ ENTRÉE",$U2557,"")</f>
        <v/>
      </c>
      <c r="K2557" s="108">
        <f>IF($I2557="▼ SORTIE",$U2557,"")</f>
        <v/>
      </c>
      <c r="L2557" s="109">
        <f>$L2556+N($J2557)-N($K2557)</f>
        <v/>
      </c>
      <c r="M2557" s="110" t="n"/>
      <c r="N2557" s="54" t="n"/>
      <c r="O2557" s="54" t="n"/>
      <c r="P2557" s="54" t="n"/>
      <c r="Q2557" s="110" t="n"/>
      <c r="R2557" s="110" t="n"/>
      <c r="S2557" s="54" t="n"/>
      <c r="T2557" s="111">
        <f>IF($G2557="","",IFERROR(INDEX(Taux_Devises,MATCH(IF($M2557="",Devise_Base,$M2557),Codes_Devises,0)),1))</f>
        <v/>
      </c>
      <c r="U2557" s="112">
        <f>IF($G2557="","",ROUND($G2557*$T2557,2))</f>
        <v/>
      </c>
      <c r="V2557" s="113">
        <f>IF($B2557="","",MONTH($B2557))</f>
        <v/>
      </c>
      <c r="W2557" s="113">
        <f>IF($B2557="","",YEAR($B2557))</f>
        <v/>
      </c>
    </row>
    <row r="2558">
      <c r="B2558" s="105" t="n"/>
      <c r="C2558" s="54" t="n"/>
      <c r="D2558" s="54" t="n"/>
      <c r="E2558" s="54" t="n"/>
      <c r="F2558" s="54" t="n"/>
      <c r="G2558" s="65" t="n"/>
      <c r="H2558" s="54" t="n"/>
      <c r="I2558" s="106">
        <f>IF($C2558="","",IFERROR(INDEX(Sens_Types,MATCH($C2558,Liste_Types,0)),""))</f>
        <v/>
      </c>
      <c r="J2558" s="107">
        <f>IF($I2558="▲ ENTRÉE",$U2558,"")</f>
        <v/>
      </c>
      <c r="K2558" s="108">
        <f>IF($I2558="▼ SORTIE",$U2558,"")</f>
        <v/>
      </c>
      <c r="L2558" s="109">
        <f>$L2557+N($J2558)-N($K2558)</f>
        <v/>
      </c>
      <c r="M2558" s="110" t="n"/>
      <c r="N2558" s="54" t="n"/>
      <c r="O2558" s="54" t="n"/>
      <c r="P2558" s="54" t="n"/>
      <c r="Q2558" s="110" t="n"/>
      <c r="R2558" s="110" t="n"/>
      <c r="S2558" s="54" t="n"/>
      <c r="T2558" s="111">
        <f>IF($G2558="","",IFERROR(INDEX(Taux_Devises,MATCH(IF($M2558="",Devise_Base,$M2558),Codes_Devises,0)),1))</f>
        <v/>
      </c>
      <c r="U2558" s="112">
        <f>IF($G2558="","",ROUND($G2558*$T2558,2))</f>
        <v/>
      </c>
      <c r="V2558" s="113">
        <f>IF($B2558="","",MONTH($B2558))</f>
        <v/>
      </c>
      <c r="W2558" s="113">
        <f>IF($B2558="","",YEAR($B2558))</f>
        <v/>
      </c>
    </row>
    <row r="2559">
      <c r="B2559" s="105" t="n"/>
      <c r="C2559" s="54" t="n"/>
      <c r="D2559" s="54" t="n"/>
      <c r="E2559" s="54" t="n"/>
      <c r="F2559" s="54" t="n"/>
      <c r="G2559" s="65" t="n"/>
      <c r="H2559" s="54" t="n"/>
      <c r="I2559" s="106">
        <f>IF($C2559="","",IFERROR(INDEX(Sens_Types,MATCH($C2559,Liste_Types,0)),""))</f>
        <v/>
      </c>
      <c r="J2559" s="107">
        <f>IF($I2559="▲ ENTRÉE",$U2559,"")</f>
        <v/>
      </c>
      <c r="K2559" s="108">
        <f>IF($I2559="▼ SORTIE",$U2559,"")</f>
        <v/>
      </c>
      <c r="L2559" s="109">
        <f>$L2558+N($J2559)-N($K2559)</f>
        <v/>
      </c>
      <c r="M2559" s="110" t="n"/>
      <c r="N2559" s="54" t="n"/>
      <c r="O2559" s="54" t="n"/>
      <c r="P2559" s="54" t="n"/>
      <c r="Q2559" s="110" t="n"/>
      <c r="R2559" s="110" t="n"/>
      <c r="S2559" s="54" t="n"/>
      <c r="T2559" s="111">
        <f>IF($G2559="","",IFERROR(INDEX(Taux_Devises,MATCH(IF($M2559="",Devise_Base,$M2559),Codes_Devises,0)),1))</f>
        <v/>
      </c>
      <c r="U2559" s="112">
        <f>IF($G2559="","",ROUND($G2559*$T2559,2))</f>
        <v/>
      </c>
      <c r="V2559" s="113">
        <f>IF($B2559="","",MONTH($B2559))</f>
        <v/>
      </c>
      <c r="W2559" s="113">
        <f>IF($B2559="","",YEAR($B2559))</f>
        <v/>
      </c>
    </row>
    <row r="2560">
      <c r="B2560" s="105" t="n"/>
      <c r="C2560" s="54" t="n"/>
      <c r="D2560" s="54" t="n"/>
      <c r="E2560" s="54" t="n"/>
      <c r="F2560" s="54" t="n"/>
      <c r="G2560" s="65" t="n"/>
      <c r="H2560" s="54" t="n"/>
      <c r="I2560" s="106">
        <f>IF($C2560="","",IFERROR(INDEX(Sens_Types,MATCH($C2560,Liste_Types,0)),""))</f>
        <v/>
      </c>
      <c r="J2560" s="107">
        <f>IF($I2560="▲ ENTRÉE",$U2560,"")</f>
        <v/>
      </c>
      <c r="K2560" s="108">
        <f>IF($I2560="▼ SORTIE",$U2560,"")</f>
        <v/>
      </c>
      <c r="L2560" s="109">
        <f>$L2559+N($J2560)-N($K2560)</f>
        <v/>
      </c>
      <c r="M2560" s="110" t="n"/>
      <c r="N2560" s="54" t="n"/>
      <c r="O2560" s="54" t="n"/>
      <c r="P2560" s="54" t="n"/>
      <c r="Q2560" s="110" t="n"/>
      <c r="R2560" s="110" t="n"/>
      <c r="S2560" s="54" t="n"/>
      <c r="T2560" s="111">
        <f>IF($G2560="","",IFERROR(INDEX(Taux_Devises,MATCH(IF($M2560="",Devise_Base,$M2560),Codes_Devises,0)),1))</f>
        <v/>
      </c>
      <c r="U2560" s="112">
        <f>IF($G2560="","",ROUND($G2560*$T2560,2))</f>
        <v/>
      </c>
      <c r="V2560" s="113">
        <f>IF($B2560="","",MONTH($B2560))</f>
        <v/>
      </c>
      <c r="W2560" s="113">
        <f>IF($B2560="","",YEAR($B2560))</f>
        <v/>
      </c>
    </row>
    <row r="2561">
      <c r="B2561" s="105" t="n"/>
      <c r="C2561" s="54" t="n"/>
      <c r="D2561" s="54" t="n"/>
      <c r="E2561" s="54" t="n"/>
      <c r="F2561" s="54" t="n"/>
      <c r="G2561" s="65" t="n"/>
      <c r="H2561" s="54" t="n"/>
      <c r="I2561" s="106">
        <f>IF($C2561="","",IFERROR(INDEX(Sens_Types,MATCH($C2561,Liste_Types,0)),""))</f>
        <v/>
      </c>
      <c r="J2561" s="107">
        <f>IF($I2561="▲ ENTRÉE",$U2561,"")</f>
        <v/>
      </c>
      <c r="K2561" s="108">
        <f>IF($I2561="▼ SORTIE",$U2561,"")</f>
        <v/>
      </c>
      <c r="L2561" s="109">
        <f>$L2560+N($J2561)-N($K2561)</f>
        <v/>
      </c>
      <c r="M2561" s="110" t="n"/>
      <c r="N2561" s="54" t="n"/>
      <c r="O2561" s="54" t="n"/>
      <c r="P2561" s="54" t="n"/>
      <c r="Q2561" s="110" t="n"/>
      <c r="R2561" s="110" t="n"/>
      <c r="S2561" s="54" t="n"/>
      <c r="T2561" s="111">
        <f>IF($G2561="","",IFERROR(INDEX(Taux_Devises,MATCH(IF($M2561="",Devise_Base,$M2561),Codes_Devises,0)),1))</f>
        <v/>
      </c>
      <c r="U2561" s="112">
        <f>IF($G2561="","",ROUND($G2561*$T2561,2))</f>
        <v/>
      </c>
      <c r="V2561" s="113">
        <f>IF($B2561="","",MONTH($B2561))</f>
        <v/>
      </c>
      <c r="W2561" s="113">
        <f>IF($B2561="","",YEAR($B2561))</f>
        <v/>
      </c>
    </row>
    <row r="2562">
      <c r="B2562" s="105" t="n"/>
      <c r="C2562" s="54" t="n"/>
      <c r="D2562" s="54" t="n"/>
      <c r="E2562" s="54" t="n"/>
      <c r="F2562" s="54" t="n"/>
      <c r="G2562" s="65" t="n"/>
      <c r="H2562" s="54" t="n"/>
      <c r="I2562" s="106">
        <f>IF($C2562="","",IFERROR(INDEX(Sens_Types,MATCH($C2562,Liste_Types,0)),""))</f>
        <v/>
      </c>
      <c r="J2562" s="107">
        <f>IF($I2562="▲ ENTRÉE",$U2562,"")</f>
        <v/>
      </c>
      <c r="K2562" s="108">
        <f>IF($I2562="▼ SORTIE",$U2562,"")</f>
        <v/>
      </c>
      <c r="L2562" s="109">
        <f>$L2561+N($J2562)-N($K2562)</f>
        <v/>
      </c>
      <c r="M2562" s="110" t="n"/>
      <c r="N2562" s="54" t="n"/>
      <c r="O2562" s="54" t="n"/>
      <c r="P2562" s="54" t="n"/>
      <c r="Q2562" s="110" t="n"/>
      <c r="R2562" s="110" t="n"/>
      <c r="S2562" s="54" t="n"/>
      <c r="T2562" s="111">
        <f>IF($G2562="","",IFERROR(INDEX(Taux_Devises,MATCH(IF($M2562="",Devise_Base,$M2562),Codes_Devises,0)),1))</f>
        <v/>
      </c>
      <c r="U2562" s="112">
        <f>IF($G2562="","",ROUND($G2562*$T2562,2))</f>
        <v/>
      </c>
      <c r="V2562" s="113">
        <f>IF($B2562="","",MONTH($B2562))</f>
        <v/>
      </c>
      <c r="W2562" s="113">
        <f>IF($B2562="","",YEAR($B2562))</f>
        <v/>
      </c>
    </row>
    <row r="2563">
      <c r="B2563" s="105" t="n"/>
      <c r="C2563" s="54" t="n"/>
      <c r="D2563" s="54" t="n"/>
      <c r="E2563" s="54" t="n"/>
      <c r="F2563" s="54" t="n"/>
      <c r="G2563" s="65" t="n"/>
      <c r="H2563" s="54" t="n"/>
      <c r="I2563" s="106">
        <f>IF($C2563="","",IFERROR(INDEX(Sens_Types,MATCH($C2563,Liste_Types,0)),""))</f>
        <v/>
      </c>
      <c r="J2563" s="107">
        <f>IF($I2563="▲ ENTRÉE",$U2563,"")</f>
        <v/>
      </c>
      <c r="K2563" s="108">
        <f>IF($I2563="▼ SORTIE",$U2563,"")</f>
        <v/>
      </c>
      <c r="L2563" s="109">
        <f>$L2562+N($J2563)-N($K2563)</f>
        <v/>
      </c>
      <c r="M2563" s="110" t="n"/>
      <c r="N2563" s="54" t="n"/>
      <c r="O2563" s="54" t="n"/>
      <c r="P2563" s="54" t="n"/>
      <c r="Q2563" s="110" t="n"/>
      <c r="R2563" s="110" t="n"/>
      <c r="S2563" s="54" t="n"/>
      <c r="T2563" s="111">
        <f>IF($G2563="","",IFERROR(INDEX(Taux_Devises,MATCH(IF($M2563="",Devise_Base,$M2563),Codes_Devises,0)),1))</f>
        <v/>
      </c>
      <c r="U2563" s="112">
        <f>IF($G2563="","",ROUND($G2563*$T2563,2))</f>
        <v/>
      </c>
      <c r="V2563" s="113">
        <f>IF($B2563="","",MONTH($B2563))</f>
        <v/>
      </c>
      <c r="W2563" s="113">
        <f>IF($B2563="","",YEAR($B2563))</f>
        <v/>
      </c>
    </row>
    <row r="2564">
      <c r="B2564" s="105" t="n"/>
      <c r="C2564" s="54" t="n"/>
      <c r="D2564" s="54" t="n"/>
      <c r="E2564" s="54" t="n"/>
      <c r="F2564" s="54" t="n"/>
      <c r="G2564" s="65" t="n"/>
      <c r="H2564" s="54" t="n"/>
      <c r="I2564" s="106">
        <f>IF($C2564="","",IFERROR(INDEX(Sens_Types,MATCH($C2564,Liste_Types,0)),""))</f>
        <v/>
      </c>
      <c r="J2564" s="107">
        <f>IF($I2564="▲ ENTRÉE",$U2564,"")</f>
        <v/>
      </c>
      <c r="K2564" s="108">
        <f>IF($I2564="▼ SORTIE",$U2564,"")</f>
        <v/>
      </c>
      <c r="L2564" s="109">
        <f>$L2563+N($J2564)-N($K2564)</f>
        <v/>
      </c>
      <c r="M2564" s="110" t="n"/>
      <c r="N2564" s="54" t="n"/>
      <c r="O2564" s="54" t="n"/>
      <c r="P2564" s="54" t="n"/>
      <c r="Q2564" s="110" t="n"/>
      <c r="R2564" s="110" t="n"/>
      <c r="S2564" s="54" t="n"/>
      <c r="T2564" s="111">
        <f>IF($G2564="","",IFERROR(INDEX(Taux_Devises,MATCH(IF($M2564="",Devise_Base,$M2564),Codes_Devises,0)),1))</f>
        <v/>
      </c>
      <c r="U2564" s="112">
        <f>IF($G2564="","",ROUND($G2564*$T2564,2))</f>
        <v/>
      </c>
      <c r="V2564" s="113">
        <f>IF($B2564="","",MONTH($B2564))</f>
        <v/>
      </c>
      <c r="W2564" s="113">
        <f>IF($B2564="","",YEAR($B2564))</f>
        <v/>
      </c>
    </row>
    <row r="2565">
      <c r="B2565" s="105" t="n"/>
      <c r="C2565" s="54" t="n"/>
      <c r="D2565" s="54" t="n"/>
      <c r="E2565" s="54" t="n"/>
      <c r="F2565" s="54" t="n"/>
      <c r="G2565" s="65" t="n"/>
      <c r="H2565" s="54" t="n"/>
      <c r="I2565" s="106">
        <f>IF($C2565="","",IFERROR(INDEX(Sens_Types,MATCH($C2565,Liste_Types,0)),""))</f>
        <v/>
      </c>
      <c r="J2565" s="107">
        <f>IF($I2565="▲ ENTRÉE",$U2565,"")</f>
        <v/>
      </c>
      <c r="K2565" s="108">
        <f>IF($I2565="▼ SORTIE",$U2565,"")</f>
        <v/>
      </c>
      <c r="L2565" s="109">
        <f>$L2564+N($J2565)-N($K2565)</f>
        <v/>
      </c>
      <c r="M2565" s="110" t="n"/>
      <c r="N2565" s="54" t="n"/>
      <c r="O2565" s="54" t="n"/>
      <c r="P2565" s="54" t="n"/>
      <c r="Q2565" s="110" t="n"/>
      <c r="R2565" s="110" t="n"/>
      <c r="S2565" s="54" t="n"/>
      <c r="T2565" s="111">
        <f>IF($G2565="","",IFERROR(INDEX(Taux_Devises,MATCH(IF($M2565="",Devise_Base,$M2565),Codes_Devises,0)),1))</f>
        <v/>
      </c>
      <c r="U2565" s="112">
        <f>IF($G2565="","",ROUND($G2565*$T2565,2))</f>
        <v/>
      </c>
      <c r="V2565" s="113">
        <f>IF($B2565="","",MONTH($B2565))</f>
        <v/>
      </c>
      <c r="W2565" s="113">
        <f>IF($B2565="","",YEAR($B2565))</f>
        <v/>
      </c>
    </row>
    <row r="2566">
      <c r="B2566" s="105" t="n"/>
      <c r="C2566" s="54" t="n"/>
      <c r="D2566" s="54" t="n"/>
      <c r="E2566" s="54" t="n"/>
      <c r="F2566" s="54" t="n"/>
      <c r="G2566" s="65" t="n"/>
      <c r="H2566" s="54" t="n"/>
      <c r="I2566" s="106">
        <f>IF($C2566="","",IFERROR(INDEX(Sens_Types,MATCH($C2566,Liste_Types,0)),""))</f>
        <v/>
      </c>
      <c r="J2566" s="107">
        <f>IF($I2566="▲ ENTRÉE",$U2566,"")</f>
        <v/>
      </c>
      <c r="K2566" s="108">
        <f>IF($I2566="▼ SORTIE",$U2566,"")</f>
        <v/>
      </c>
      <c r="L2566" s="109">
        <f>$L2565+N($J2566)-N($K2566)</f>
        <v/>
      </c>
      <c r="M2566" s="110" t="n"/>
      <c r="N2566" s="54" t="n"/>
      <c r="O2566" s="54" t="n"/>
      <c r="P2566" s="54" t="n"/>
      <c r="Q2566" s="110" t="n"/>
      <c r="R2566" s="110" t="n"/>
      <c r="S2566" s="54" t="n"/>
      <c r="T2566" s="111">
        <f>IF($G2566="","",IFERROR(INDEX(Taux_Devises,MATCH(IF($M2566="",Devise_Base,$M2566),Codes_Devises,0)),1))</f>
        <v/>
      </c>
      <c r="U2566" s="112">
        <f>IF($G2566="","",ROUND($G2566*$T2566,2))</f>
        <v/>
      </c>
      <c r="V2566" s="113">
        <f>IF($B2566="","",MONTH($B2566))</f>
        <v/>
      </c>
      <c r="W2566" s="113">
        <f>IF($B2566="","",YEAR($B2566))</f>
        <v/>
      </c>
    </row>
    <row r="2567">
      <c r="B2567" s="105" t="n"/>
      <c r="C2567" s="54" t="n"/>
      <c r="D2567" s="54" t="n"/>
      <c r="E2567" s="54" t="n"/>
      <c r="F2567" s="54" t="n"/>
      <c r="G2567" s="65" t="n"/>
      <c r="H2567" s="54" t="n"/>
      <c r="I2567" s="106">
        <f>IF($C2567="","",IFERROR(INDEX(Sens_Types,MATCH($C2567,Liste_Types,0)),""))</f>
        <v/>
      </c>
      <c r="J2567" s="107">
        <f>IF($I2567="▲ ENTRÉE",$U2567,"")</f>
        <v/>
      </c>
      <c r="K2567" s="108">
        <f>IF($I2567="▼ SORTIE",$U2567,"")</f>
        <v/>
      </c>
      <c r="L2567" s="109">
        <f>$L2566+N($J2567)-N($K2567)</f>
        <v/>
      </c>
      <c r="M2567" s="110" t="n"/>
      <c r="N2567" s="54" t="n"/>
      <c r="O2567" s="54" t="n"/>
      <c r="P2567" s="54" t="n"/>
      <c r="Q2567" s="110" t="n"/>
      <c r="R2567" s="110" t="n"/>
      <c r="S2567" s="54" t="n"/>
      <c r="T2567" s="111">
        <f>IF($G2567="","",IFERROR(INDEX(Taux_Devises,MATCH(IF($M2567="",Devise_Base,$M2567),Codes_Devises,0)),1))</f>
        <v/>
      </c>
      <c r="U2567" s="112">
        <f>IF($G2567="","",ROUND($G2567*$T2567,2))</f>
        <v/>
      </c>
      <c r="V2567" s="113">
        <f>IF($B2567="","",MONTH($B2567))</f>
        <v/>
      </c>
      <c r="W2567" s="113">
        <f>IF($B2567="","",YEAR($B2567))</f>
        <v/>
      </c>
    </row>
    <row r="2568">
      <c r="B2568" s="105" t="n"/>
      <c r="C2568" s="54" t="n"/>
      <c r="D2568" s="54" t="n"/>
      <c r="E2568" s="54" t="n"/>
      <c r="F2568" s="54" t="n"/>
      <c r="G2568" s="65" t="n"/>
      <c r="H2568" s="54" t="n"/>
      <c r="I2568" s="106">
        <f>IF($C2568="","",IFERROR(INDEX(Sens_Types,MATCH($C2568,Liste_Types,0)),""))</f>
        <v/>
      </c>
      <c r="J2568" s="107">
        <f>IF($I2568="▲ ENTRÉE",$U2568,"")</f>
        <v/>
      </c>
      <c r="K2568" s="108">
        <f>IF($I2568="▼ SORTIE",$U2568,"")</f>
        <v/>
      </c>
      <c r="L2568" s="109">
        <f>$L2567+N($J2568)-N($K2568)</f>
        <v/>
      </c>
      <c r="M2568" s="110" t="n"/>
      <c r="N2568" s="54" t="n"/>
      <c r="O2568" s="54" t="n"/>
      <c r="P2568" s="54" t="n"/>
      <c r="Q2568" s="110" t="n"/>
      <c r="R2568" s="110" t="n"/>
      <c r="S2568" s="54" t="n"/>
      <c r="T2568" s="111">
        <f>IF($G2568="","",IFERROR(INDEX(Taux_Devises,MATCH(IF($M2568="",Devise_Base,$M2568),Codes_Devises,0)),1))</f>
        <v/>
      </c>
      <c r="U2568" s="112">
        <f>IF($G2568="","",ROUND($G2568*$T2568,2))</f>
        <v/>
      </c>
      <c r="V2568" s="113">
        <f>IF($B2568="","",MONTH($B2568))</f>
        <v/>
      </c>
      <c r="W2568" s="113">
        <f>IF($B2568="","",YEAR($B2568))</f>
        <v/>
      </c>
    </row>
    <row r="2569">
      <c r="B2569" s="105" t="n"/>
      <c r="C2569" s="54" t="n"/>
      <c r="D2569" s="54" t="n"/>
      <c r="E2569" s="54" t="n"/>
      <c r="F2569" s="54" t="n"/>
      <c r="G2569" s="65" t="n"/>
      <c r="H2569" s="54" t="n"/>
      <c r="I2569" s="106">
        <f>IF($C2569="","",IFERROR(INDEX(Sens_Types,MATCH($C2569,Liste_Types,0)),""))</f>
        <v/>
      </c>
      <c r="J2569" s="107">
        <f>IF($I2569="▲ ENTRÉE",$U2569,"")</f>
        <v/>
      </c>
      <c r="K2569" s="108">
        <f>IF($I2569="▼ SORTIE",$U2569,"")</f>
        <v/>
      </c>
      <c r="L2569" s="109">
        <f>$L2568+N($J2569)-N($K2569)</f>
        <v/>
      </c>
      <c r="M2569" s="110" t="n"/>
      <c r="N2569" s="54" t="n"/>
      <c r="O2569" s="54" t="n"/>
      <c r="P2569" s="54" t="n"/>
      <c r="Q2569" s="110" t="n"/>
      <c r="R2569" s="110" t="n"/>
      <c r="S2569" s="54" t="n"/>
      <c r="T2569" s="111">
        <f>IF($G2569="","",IFERROR(INDEX(Taux_Devises,MATCH(IF($M2569="",Devise_Base,$M2569),Codes_Devises,0)),1))</f>
        <v/>
      </c>
      <c r="U2569" s="112">
        <f>IF($G2569="","",ROUND($G2569*$T2569,2))</f>
        <v/>
      </c>
      <c r="V2569" s="113">
        <f>IF($B2569="","",MONTH($B2569))</f>
        <v/>
      </c>
      <c r="W2569" s="113">
        <f>IF($B2569="","",YEAR($B2569))</f>
        <v/>
      </c>
    </row>
    <row r="2570">
      <c r="B2570" s="105" t="n"/>
      <c r="C2570" s="54" t="n"/>
      <c r="D2570" s="54" t="n"/>
      <c r="E2570" s="54" t="n"/>
      <c r="F2570" s="54" t="n"/>
      <c r="G2570" s="65" t="n"/>
      <c r="H2570" s="54" t="n"/>
      <c r="I2570" s="106">
        <f>IF($C2570="","",IFERROR(INDEX(Sens_Types,MATCH($C2570,Liste_Types,0)),""))</f>
        <v/>
      </c>
      <c r="J2570" s="107">
        <f>IF($I2570="▲ ENTRÉE",$U2570,"")</f>
        <v/>
      </c>
      <c r="K2570" s="108">
        <f>IF($I2570="▼ SORTIE",$U2570,"")</f>
        <v/>
      </c>
      <c r="L2570" s="109">
        <f>$L2569+N($J2570)-N($K2570)</f>
        <v/>
      </c>
      <c r="M2570" s="110" t="n"/>
      <c r="N2570" s="54" t="n"/>
      <c r="O2570" s="54" t="n"/>
      <c r="P2570" s="54" t="n"/>
      <c r="Q2570" s="110" t="n"/>
      <c r="R2570" s="110" t="n"/>
      <c r="S2570" s="54" t="n"/>
      <c r="T2570" s="111">
        <f>IF($G2570="","",IFERROR(INDEX(Taux_Devises,MATCH(IF($M2570="",Devise_Base,$M2570),Codes_Devises,0)),1))</f>
        <v/>
      </c>
      <c r="U2570" s="112">
        <f>IF($G2570="","",ROUND($G2570*$T2570,2))</f>
        <v/>
      </c>
      <c r="V2570" s="113">
        <f>IF($B2570="","",MONTH($B2570))</f>
        <v/>
      </c>
      <c r="W2570" s="113">
        <f>IF($B2570="","",YEAR($B2570))</f>
        <v/>
      </c>
    </row>
    <row r="2571">
      <c r="B2571" s="105" t="n"/>
      <c r="C2571" s="54" t="n"/>
      <c r="D2571" s="54" t="n"/>
      <c r="E2571" s="54" t="n"/>
      <c r="F2571" s="54" t="n"/>
      <c r="G2571" s="65" t="n"/>
      <c r="H2571" s="54" t="n"/>
      <c r="I2571" s="106">
        <f>IF($C2571="","",IFERROR(INDEX(Sens_Types,MATCH($C2571,Liste_Types,0)),""))</f>
        <v/>
      </c>
      <c r="J2571" s="107">
        <f>IF($I2571="▲ ENTRÉE",$U2571,"")</f>
        <v/>
      </c>
      <c r="K2571" s="108">
        <f>IF($I2571="▼ SORTIE",$U2571,"")</f>
        <v/>
      </c>
      <c r="L2571" s="109">
        <f>$L2570+N($J2571)-N($K2571)</f>
        <v/>
      </c>
      <c r="M2571" s="110" t="n"/>
      <c r="N2571" s="54" t="n"/>
      <c r="O2571" s="54" t="n"/>
      <c r="P2571" s="54" t="n"/>
      <c r="Q2571" s="110" t="n"/>
      <c r="R2571" s="110" t="n"/>
      <c r="S2571" s="54" t="n"/>
      <c r="T2571" s="111">
        <f>IF($G2571="","",IFERROR(INDEX(Taux_Devises,MATCH(IF($M2571="",Devise_Base,$M2571),Codes_Devises,0)),1))</f>
        <v/>
      </c>
      <c r="U2571" s="112">
        <f>IF($G2571="","",ROUND($G2571*$T2571,2))</f>
        <v/>
      </c>
      <c r="V2571" s="113">
        <f>IF($B2571="","",MONTH($B2571))</f>
        <v/>
      </c>
      <c r="W2571" s="113">
        <f>IF($B2571="","",YEAR($B2571))</f>
        <v/>
      </c>
    </row>
    <row r="2572">
      <c r="B2572" s="105" t="n"/>
      <c r="C2572" s="54" t="n"/>
      <c r="D2572" s="54" t="n"/>
      <c r="E2572" s="54" t="n"/>
      <c r="F2572" s="54" t="n"/>
      <c r="G2572" s="65" t="n"/>
      <c r="H2572" s="54" t="n"/>
      <c r="I2572" s="106">
        <f>IF($C2572="","",IFERROR(INDEX(Sens_Types,MATCH($C2572,Liste_Types,0)),""))</f>
        <v/>
      </c>
      <c r="J2572" s="107">
        <f>IF($I2572="▲ ENTRÉE",$U2572,"")</f>
        <v/>
      </c>
      <c r="K2572" s="108">
        <f>IF($I2572="▼ SORTIE",$U2572,"")</f>
        <v/>
      </c>
      <c r="L2572" s="109">
        <f>$L2571+N($J2572)-N($K2572)</f>
        <v/>
      </c>
      <c r="M2572" s="110" t="n"/>
      <c r="N2572" s="54" t="n"/>
      <c r="O2572" s="54" t="n"/>
      <c r="P2572" s="54" t="n"/>
      <c r="Q2572" s="110" t="n"/>
      <c r="R2572" s="110" t="n"/>
      <c r="S2572" s="54" t="n"/>
      <c r="T2572" s="111">
        <f>IF($G2572="","",IFERROR(INDEX(Taux_Devises,MATCH(IF($M2572="",Devise_Base,$M2572),Codes_Devises,0)),1))</f>
        <v/>
      </c>
      <c r="U2572" s="112">
        <f>IF($G2572="","",ROUND($G2572*$T2572,2))</f>
        <v/>
      </c>
      <c r="V2572" s="113">
        <f>IF($B2572="","",MONTH($B2572))</f>
        <v/>
      </c>
      <c r="W2572" s="113">
        <f>IF($B2572="","",YEAR($B2572))</f>
        <v/>
      </c>
    </row>
    <row r="2573">
      <c r="B2573" s="105" t="n"/>
      <c r="C2573" s="54" t="n"/>
      <c r="D2573" s="54" t="n"/>
      <c r="E2573" s="54" t="n"/>
      <c r="F2573" s="54" t="n"/>
      <c r="G2573" s="65" t="n"/>
      <c r="H2573" s="54" t="n"/>
      <c r="I2573" s="106">
        <f>IF($C2573="","",IFERROR(INDEX(Sens_Types,MATCH($C2573,Liste_Types,0)),""))</f>
        <v/>
      </c>
      <c r="J2573" s="107">
        <f>IF($I2573="▲ ENTRÉE",$U2573,"")</f>
        <v/>
      </c>
      <c r="K2573" s="108">
        <f>IF($I2573="▼ SORTIE",$U2573,"")</f>
        <v/>
      </c>
      <c r="L2573" s="109">
        <f>$L2572+N($J2573)-N($K2573)</f>
        <v/>
      </c>
      <c r="M2573" s="110" t="n"/>
      <c r="N2573" s="54" t="n"/>
      <c r="O2573" s="54" t="n"/>
      <c r="P2573" s="54" t="n"/>
      <c r="Q2573" s="110" t="n"/>
      <c r="R2573" s="110" t="n"/>
      <c r="S2573" s="54" t="n"/>
      <c r="T2573" s="111">
        <f>IF($G2573="","",IFERROR(INDEX(Taux_Devises,MATCH(IF($M2573="",Devise_Base,$M2573),Codes_Devises,0)),1))</f>
        <v/>
      </c>
      <c r="U2573" s="112">
        <f>IF($G2573="","",ROUND($G2573*$T2573,2))</f>
        <v/>
      </c>
      <c r="V2573" s="113">
        <f>IF($B2573="","",MONTH($B2573))</f>
        <v/>
      </c>
      <c r="W2573" s="113">
        <f>IF($B2573="","",YEAR($B2573))</f>
        <v/>
      </c>
    </row>
    <row r="2574">
      <c r="B2574" s="105" t="n"/>
      <c r="C2574" s="54" t="n"/>
      <c r="D2574" s="54" t="n"/>
      <c r="E2574" s="54" t="n"/>
      <c r="F2574" s="54" t="n"/>
      <c r="G2574" s="65" t="n"/>
      <c r="H2574" s="54" t="n"/>
      <c r="I2574" s="106">
        <f>IF($C2574="","",IFERROR(INDEX(Sens_Types,MATCH($C2574,Liste_Types,0)),""))</f>
        <v/>
      </c>
      <c r="J2574" s="107">
        <f>IF($I2574="▲ ENTRÉE",$U2574,"")</f>
        <v/>
      </c>
      <c r="K2574" s="108">
        <f>IF($I2574="▼ SORTIE",$U2574,"")</f>
        <v/>
      </c>
      <c r="L2574" s="109">
        <f>$L2573+N($J2574)-N($K2574)</f>
        <v/>
      </c>
      <c r="M2574" s="110" t="n"/>
      <c r="N2574" s="54" t="n"/>
      <c r="O2574" s="54" t="n"/>
      <c r="P2574" s="54" t="n"/>
      <c r="Q2574" s="110" t="n"/>
      <c r="R2574" s="110" t="n"/>
      <c r="S2574" s="54" t="n"/>
      <c r="T2574" s="111">
        <f>IF($G2574="","",IFERROR(INDEX(Taux_Devises,MATCH(IF($M2574="",Devise_Base,$M2574),Codes_Devises,0)),1))</f>
        <v/>
      </c>
      <c r="U2574" s="112">
        <f>IF($G2574="","",ROUND($G2574*$T2574,2))</f>
        <v/>
      </c>
      <c r="V2574" s="113">
        <f>IF($B2574="","",MONTH($B2574))</f>
        <v/>
      </c>
      <c r="W2574" s="113">
        <f>IF($B2574="","",YEAR($B2574))</f>
        <v/>
      </c>
    </row>
    <row r="2575">
      <c r="B2575" s="105" t="n"/>
      <c r="C2575" s="54" t="n"/>
      <c r="D2575" s="54" t="n"/>
      <c r="E2575" s="54" t="n"/>
      <c r="F2575" s="54" t="n"/>
      <c r="G2575" s="65" t="n"/>
      <c r="H2575" s="54" t="n"/>
      <c r="I2575" s="106">
        <f>IF($C2575="","",IFERROR(INDEX(Sens_Types,MATCH($C2575,Liste_Types,0)),""))</f>
        <v/>
      </c>
      <c r="J2575" s="107">
        <f>IF($I2575="▲ ENTRÉE",$U2575,"")</f>
        <v/>
      </c>
      <c r="K2575" s="108">
        <f>IF($I2575="▼ SORTIE",$U2575,"")</f>
        <v/>
      </c>
      <c r="L2575" s="109">
        <f>$L2574+N($J2575)-N($K2575)</f>
        <v/>
      </c>
      <c r="M2575" s="110" t="n"/>
      <c r="N2575" s="54" t="n"/>
      <c r="O2575" s="54" t="n"/>
      <c r="P2575" s="54" t="n"/>
      <c r="Q2575" s="110" t="n"/>
      <c r="R2575" s="110" t="n"/>
      <c r="S2575" s="54" t="n"/>
      <c r="T2575" s="111">
        <f>IF($G2575="","",IFERROR(INDEX(Taux_Devises,MATCH(IF($M2575="",Devise_Base,$M2575),Codes_Devises,0)),1))</f>
        <v/>
      </c>
      <c r="U2575" s="112">
        <f>IF($G2575="","",ROUND($G2575*$T2575,2))</f>
        <v/>
      </c>
      <c r="V2575" s="113">
        <f>IF($B2575="","",MONTH($B2575))</f>
        <v/>
      </c>
      <c r="W2575" s="113">
        <f>IF($B2575="","",YEAR($B2575))</f>
        <v/>
      </c>
    </row>
    <row r="2576">
      <c r="B2576" s="105" t="n"/>
      <c r="C2576" s="54" t="n"/>
      <c r="D2576" s="54" t="n"/>
      <c r="E2576" s="54" t="n"/>
      <c r="F2576" s="54" t="n"/>
      <c r="G2576" s="65" t="n"/>
      <c r="H2576" s="54" t="n"/>
      <c r="I2576" s="106">
        <f>IF($C2576="","",IFERROR(INDEX(Sens_Types,MATCH($C2576,Liste_Types,0)),""))</f>
        <v/>
      </c>
      <c r="J2576" s="107">
        <f>IF($I2576="▲ ENTRÉE",$U2576,"")</f>
        <v/>
      </c>
      <c r="K2576" s="108">
        <f>IF($I2576="▼ SORTIE",$U2576,"")</f>
        <v/>
      </c>
      <c r="L2576" s="109">
        <f>$L2575+N($J2576)-N($K2576)</f>
        <v/>
      </c>
      <c r="M2576" s="110" t="n"/>
      <c r="N2576" s="54" t="n"/>
      <c r="O2576" s="54" t="n"/>
      <c r="P2576" s="54" t="n"/>
      <c r="Q2576" s="110" t="n"/>
      <c r="R2576" s="110" t="n"/>
      <c r="S2576" s="54" t="n"/>
      <c r="T2576" s="111">
        <f>IF($G2576="","",IFERROR(INDEX(Taux_Devises,MATCH(IF($M2576="",Devise_Base,$M2576),Codes_Devises,0)),1))</f>
        <v/>
      </c>
      <c r="U2576" s="112">
        <f>IF($G2576="","",ROUND($G2576*$T2576,2))</f>
        <v/>
      </c>
      <c r="V2576" s="113">
        <f>IF($B2576="","",MONTH($B2576))</f>
        <v/>
      </c>
      <c r="W2576" s="113">
        <f>IF($B2576="","",YEAR($B2576))</f>
        <v/>
      </c>
    </row>
    <row r="2577">
      <c r="B2577" s="105" t="n"/>
      <c r="C2577" s="54" t="n"/>
      <c r="D2577" s="54" t="n"/>
      <c r="E2577" s="54" t="n"/>
      <c r="F2577" s="54" t="n"/>
      <c r="G2577" s="65" t="n"/>
      <c r="H2577" s="54" t="n"/>
      <c r="I2577" s="106">
        <f>IF($C2577="","",IFERROR(INDEX(Sens_Types,MATCH($C2577,Liste_Types,0)),""))</f>
        <v/>
      </c>
      <c r="J2577" s="107">
        <f>IF($I2577="▲ ENTRÉE",$U2577,"")</f>
        <v/>
      </c>
      <c r="K2577" s="108">
        <f>IF($I2577="▼ SORTIE",$U2577,"")</f>
        <v/>
      </c>
      <c r="L2577" s="109">
        <f>$L2576+N($J2577)-N($K2577)</f>
        <v/>
      </c>
      <c r="M2577" s="110" t="n"/>
      <c r="N2577" s="54" t="n"/>
      <c r="O2577" s="54" t="n"/>
      <c r="P2577" s="54" t="n"/>
      <c r="Q2577" s="110" t="n"/>
      <c r="R2577" s="110" t="n"/>
      <c r="S2577" s="54" t="n"/>
      <c r="T2577" s="111">
        <f>IF($G2577="","",IFERROR(INDEX(Taux_Devises,MATCH(IF($M2577="",Devise_Base,$M2577),Codes_Devises,0)),1))</f>
        <v/>
      </c>
      <c r="U2577" s="112">
        <f>IF($G2577="","",ROUND($G2577*$T2577,2))</f>
        <v/>
      </c>
      <c r="V2577" s="113">
        <f>IF($B2577="","",MONTH($B2577))</f>
        <v/>
      </c>
      <c r="W2577" s="113">
        <f>IF($B2577="","",YEAR($B2577))</f>
        <v/>
      </c>
    </row>
    <row r="2578">
      <c r="B2578" s="105" t="n"/>
      <c r="C2578" s="54" t="n"/>
      <c r="D2578" s="54" t="n"/>
      <c r="E2578" s="54" t="n"/>
      <c r="F2578" s="54" t="n"/>
      <c r="G2578" s="65" t="n"/>
      <c r="H2578" s="54" t="n"/>
      <c r="I2578" s="106">
        <f>IF($C2578="","",IFERROR(INDEX(Sens_Types,MATCH($C2578,Liste_Types,0)),""))</f>
        <v/>
      </c>
      <c r="J2578" s="107">
        <f>IF($I2578="▲ ENTRÉE",$U2578,"")</f>
        <v/>
      </c>
      <c r="K2578" s="108">
        <f>IF($I2578="▼ SORTIE",$U2578,"")</f>
        <v/>
      </c>
      <c r="L2578" s="109">
        <f>$L2577+N($J2578)-N($K2578)</f>
        <v/>
      </c>
      <c r="M2578" s="110" t="n"/>
      <c r="N2578" s="54" t="n"/>
      <c r="O2578" s="54" t="n"/>
      <c r="P2578" s="54" t="n"/>
      <c r="Q2578" s="110" t="n"/>
      <c r="R2578" s="110" t="n"/>
      <c r="S2578" s="54" t="n"/>
      <c r="T2578" s="111">
        <f>IF($G2578="","",IFERROR(INDEX(Taux_Devises,MATCH(IF($M2578="",Devise_Base,$M2578),Codes_Devises,0)),1))</f>
        <v/>
      </c>
      <c r="U2578" s="112">
        <f>IF($G2578="","",ROUND($G2578*$T2578,2))</f>
        <v/>
      </c>
      <c r="V2578" s="113">
        <f>IF($B2578="","",MONTH($B2578))</f>
        <v/>
      </c>
      <c r="W2578" s="113">
        <f>IF($B2578="","",YEAR($B2578))</f>
        <v/>
      </c>
    </row>
    <row r="2579">
      <c r="B2579" s="105" t="n"/>
      <c r="C2579" s="54" t="n"/>
      <c r="D2579" s="54" t="n"/>
      <c r="E2579" s="54" t="n"/>
      <c r="F2579" s="54" t="n"/>
      <c r="G2579" s="65" t="n"/>
      <c r="H2579" s="54" t="n"/>
      <c r="I2579" s="106">
        <f>IF($C2579="","",IFERROR(INDEX(Sens_Types,MATCH($C2579,Liste_Types,0)),""))</f>
        <v/>
      </c>
      <c r="J2579" s="107">
        <f>IF($I2579="▲ ENTRÉE",$U2579,"")</f>
        <v/>
      </c>
      <c r="K2579" s="108">
        <f>IF($I2579="▼ SORTIE",$U2579,"")</f>
        <v/>
      </c>
      <c r="L2579" s="109">
        <f>$L2578+N($J2579)-N($K2579)</f>
        <v/>
      </c>
      <c r="M2579" s="110" t="n"/>
      <c r="N2579" s="54" t="n"/>
      <c r="O2579" s="54" t="n"/>
      <c r="P2579" s="54" t="n"/>
      <c r="Q2579" s="110" t="n"/>
      <c r="R2579" s="110" t="n"/>
      <c r="S2579" s="54" t="n"/>
      <c r="T2579" s="111">
        <f>IF($G2579="","",IFERROR(INDEX(Taux_Devises,MATCH(IF($M2579="",Devise_Base,$M2579),Codes_Devises,0)),1))</f>
        <v/>
      </c>
      <c r="U2579" s="112">
        <f>IF($G2579="","",ROUND($G2579*$T2579,2))</f>
        <v/>
      </c>
      <c r="V2579" s="113">
        <f>IF($B2579="","",MONTH($B2579))</f>
        <v/>
      </c>
      <c r="W2579" s="113">
        <f>IF($B2579="","",YEAR($B2579))</f>
        <v/>
      </c>
    </row>
    <row r="2580">
      <c r="B2580" s="105" t="n"/>
      <c r="C2580" s="54" t="n"/>
      <c r="D2580" s="54" t="n"/>
      <c r="E2580" s="54" t="n"/>
      <c r="F2580" s="54" t="n"/>
      <c r="G2580" s="65" t="n"/>
      <c r="H2580" s="54" t="n"/>
      <c r="I2580" s="106">
        <f>IF($C2580="","",IFERROR(INDEX(Sens_Types,MATCH($C2580,Liste_Types,0)),""))</f>
        <v/>
      </c>
      <c r="J2580" s="107">
        <f>IF($I2580="▲ ENTRÉE",$U2580,"")</f>
        <v/>
      </c>
      <c r="K2580" s="108">
        <f>IF($I2580="▼ SORTIE",$U2580,"")</f>
        <v/>
      </c>
      <c r="L2580" s="109">
        <f>$L2579+N($J2580)-N($K2580)</f>
        <v/>
      </c>
      <c r="M2580" s="110" t="n"/>
      <c r="N2580" s="54" t="n"/>
      <c r="O2580" s="54" t="n"/>
      <c r="P2580" s="54" t="n"/>
      <c r="Q2580" s="110" t="n"/>
      <c r="R2580" s="110" t="n"/>
      <c r="S2580" s="54" t="n"/>
      <c r="T2580" s="111">
        <f>IF($G2580="","",IFERROR(INDEX(Taux_Devises,MATCH(IF($M2580="",Devise_Base,$M2580),Codes_Devises,0)),1))</f>
        <v/>
      </c>
      <c r="U2580" s="112">
        <f>IF($G2580="","",ROUND($G2580*$T2580,2))</f>
        <v/>
      </c>
      <c r="V2580" s="113">
        <f>IF($B2580="","",MONTH($B2580))</f>
        <v/>
      </c>
      <c r="W2580" s="113">
        <f>IF($B2580="","",YEAR($B2580))</f>
        <v/>
      </c>
    </row>
    <row r="2581">
      <c r="B2581" s="105" t="n"/>
      <c r="C2581" s="54" t="n"/>
      <c r="D2581" s="54" t="n"/>
      <c r="E2581" s="54" t="n"/>
      <c r="F2581" s="54" t="n"/>
      <c r="G2581" s="65" t="n"/>
      <c r="H2581" s="54" t="n"/>
      <c r="I2581" s="106">
        <f>IF($C2581="","",IFERROR(INDEX(Sens_Types,MATCH($C2581,Liste_Types,0)),""))</f>
        <v/>
      </c>
      <c r="J2581" s="107">
        <f>IF($I2581="▲ ENTRÉE",$U2581,"")</f>
        <v/>
      </c>
      <c r="K2581" s="108">
        <f>IF($I2581="▼ SORTIE",$U2581,"")</f>
        <v/>
      </c>
      <c r="L2581" s="109">
        <f>$L2580+N($J2581)-N($K2581)</f>
        <v/>
      </c>
      <c r="M2581" s="110" t="n"/>
      <c r="N2581" s="54" t="n"/>
      <c r="O2581" s="54" t="n"/>
      <c r="P2581" s="54" t="n"/>
      <c r="Q2581" s="110" t="n"/>
      <c r="R2581" s="110" t="n"/>
      <c r="S2581" s="54" t="n"/>
      <c r="T2581" s="111">
        <f>IF($G2581="","",IFERROR(INDEX(Taux_Devises,MATCH(IF($M2581="",Devise_Base,$M2581),Codes_Devises,0)),1))</f>
        <v/>
      </c>
      <c r="U2581" s="112">
        <f>IF($G2581="","",ROUND($G2581*$T2581,2))</f>
        <v/>
      </c>
      <c r="V2581" s="113">
        <f>IF($B2581="","",MONTH($B2581))</f>
        <v/>
      </c>
      <c r="W2581" s="113">
        <f>IF($B2581="","",YEAR($B2581))</f>
        <v/>
      </c>
    </row>
    <row r="2582">
      <c r="B2582" s="105" t="n"/>
      <c r="C2582" s="54" t="n"/>
      <c r="D2582" s="54" t="n"/>
      <c r="E2582" s="54" t="n"/>
      <c r="F2582" s="54" t="n"/>
      <c r="G2582" s="65" t="n"/>
      <c r="H2582" s="54" t="n"/>
      <c r="I2582" s="106">
        <f>IF($C2582="","",IFERROR(INDEX(Sens_Types,MATCH($C2582,Liste_Types,0)),""))</f>
        <v/>
      </c>
      <c r="J2582" s="107">
        <f>IF($I2582="▲ ENTRÉE",$U2582,"")</f>
        <v/>
      </c>
      <c r="K2582" s="108">
        <f>IF($I2582="▼ SORTIE",$U2582,"")</f>
        <v/>
      </c>
      <c r="L2582" s="109">
        <f>$L2581+N($J2582)-N($K2582)</f>
        <v/>
      </c>
      <c r="M2582" s="110" t="n"/>
      <c r="N2582" s="54" t="n"/>
      <c r="O2582" s="54" t="n"/>
      <c r="P2582" s="54" t="n"/>
      <c r="Q2582" s="110" t="n"/>
      <c r="R2582" s="110" t="n"/>
      <c r="S2582" s="54" t="n"/>
      <c r="T2582" s="111">
        <f>IF($G2582="","",IFERROR(INDEX(Taux_Devises,MATCH(IF($M2582="",Devise_Base,$M2582),Codes_Devises,0)),1))</f>
        <v/>
      </c>
      <c r="U2582" s="112">
        <f>IF($G2582="","",ROUND($G2582*$T2582,2))</f>
        <v/>
      </c>
      <c r="V2582" s="113">
        <f>IF($B2582="","",MONTH($B2582))</f>
        <v/>
      </c>
      <c r="W2582" s="113">
        <f>IF($B2582="","",YEAR($B2582))</f>
        <v/>
      </c>
    </row>
    <row r="2583">
      <c r="B2583" s="105" t="n"/>
      <c r="C2583" s="54" t="n"/>
      <c r="D2583" s="54" t="n"/>
      <c r="E2583" s="54" t="n"/>
      <c r="F2583" s="54" t="n"/>
      <c r="G2583" s="65" t="n"/>
      <c r="H2583" s="54" t="n"/>
      <c r="I2583" s="106">
        <f>IF($C2583="","",IFERROR(INDEX(Sens_Types,MATCH($C2583,Liste_Types,0)),""))</f>
        <v/>
      </c>
      <c r="J2583" s="107">
        <f>IF($I2583="▲ ENTRÉE",$U2583,"")</f>
        <v/>
      </c>
      <c r="K2583" s="108">
        <f>IF($I2583="▼ SORTIE",$U2583,"")</f>
        <v/>
      </c>
      <c r="L2583" s="109">
        <f>$L2582+N($J2583)-N($K2583)</f>
        <v/>
      </c>
      <c r="M2583" s="110" t="n"/>
      <c r="N2583" s="54" t="n"/>
      <c r="O2583" s="54" t="n"/>
      <c r="P2583" s="54" t="n"/>
      <c r="Q2583" s="110" t="n"/>
      <c r="R2583" s="110" t="n"/>
      <c r="S2583" s="54" t="n"/>
      <c r="T2583" s="111">
        <f>IF($G2583="","",IFERROR(INDEX(Taux_Devises,MATCH(IF($M2583="",Devise_Base,$M2583),Codes_Devises,0)),1))</f>
        <v/>
      </c>
      <c r="U2583" s="112">
        <f>IF($G2583="","",ROUND($G2583*$T2583,2))</f>
        <v/>
      </c>
      <c r="V2583" s="113">
        <f>IF($B2583="","",MONTH($B2583))</f>
        <v/>
      </c>
      <c r="W2583" s="113">
        <f>IF($B2583="","",YEAR($B2583))</f>
        <v/>
      </c>
    </row>
    <row r="2584">
      <c r="B2584" s="105" t="n"/>
      <c r="C2584" s="54" t="n"/>
      <c r="D2584" s="54" t="n"/>
      <c r="E2584" s="54" t="n"/>
      <c r="F2584" s="54" t="n"/>
      <c r="G2584" s="65" t="n"/>
      <c r="H2584" s="54" t="n"/>
      <c r="I2584" s="106">
        <f>IF($C2584="","",IFERROR(INDEX(Sens_Types,MATCH($C2584,Liste_Types,0)),""))</f>
        <v/>
      </c>
      <c r="J2584" s="107">
        <f>IF($I2584="▲ ENTRÉE",$U2584,"")</f>
        <v/>
      </c>
      <c r="K2584" s="108">
        <f>IF($I2584="▼ SORTIE",$U2584,"")</f>
        <v/>
      </c>
      <c r="L2584" s="109">
        <f>$L2583+N($J2584)-N($K2584)</f>
        <v/>
      </c>
      <c r="M2584" s="110" t="n"/>
      <c r="N2584" s="54" t="n"/>
      <c r="O2584" s="54" t="n"/>
      <c r="P2584" s="54" t="n"/>
      <c r="Q2584" s="110" t="n"/>
      <c r="R2584" s="110" t="n"/>
      <c r="S2584" s="54" t="n"/>
      <c r="T2584" s="111">
        <f>IF($G2584="","",IFERROR(INDEX(Taux_Devises,MATCH(IF($M2584="",Devise_Base,$M2584),Codes_Devises,0)),1))</f>
        <v/>
      </c>
      <c r="U2584" s="112">
        <f>IF($G2584="","",ROUND($G2584*$T2584,2))</f>
        <v/>
      </c>
      <c r="V2584" s="113">
        <f>IF($B2584="","",MONTH($B2584))</f>
        <v/>
      </c>
      <c r="W2584" s="113">
        <f>IF($B2584="","",YEAR($B2584))</f>
        <v/>
      </c>
    </row>
    <row r="2585">
      <c r="B2585" s="105" t="n"/>
      <c r="C2585" s="54" t="n"/>
      <c r="D2585" s="54" t="n"/>
      <c r="E2585" s="54" t="n"/>
      <c r="F2585" s="54" t="n"/>
      <c r="G2585" s="65" t="n"/>
      <c r="H2585" s="54" t="n"/>
      <c r="I2585" s="106">
        <f>IF($C2585="","",IFERROR(INDEX(Sens_Types,MATCH($C2585,Liste_Types,0)),""))</f>
        <v/>
      </c>
      <c r="J2585" s="107">
        <f>IF($I2585="▲ ENTRÉE",$U2585,"")</f>
        <v/>
      </c>
      <c r="K2585" s="108">
        <f>IF($I2585="▼ SORTIE",$U2585,"")</f>
        <v/>
      </c>
      <c r="L2585" s="109">
        <f>$L2584+N($J2585)-N($K2585)</f>
        <v/>
      </c>
      <c r="M2585" s="110" t="n"/>
      <c r="N2585" s="54" t="n"/>
      <c r="O2585" s="54" t="n"/>
      <c r="P2585" s="54" t="n"/>
      <c r="Q2585" s="110" t="n"/>
      <c r="R2585" s="110" t="n"/>
      <c r="S2585" s="54" t="n"/>
      <c r="T2585" s="111">
        <f>IF($G2585="","",IFERROR(INDEX(Taux_Devises,MATCH(IF($M2585="",Devise_Base,$M2585),Codes_Devises,0)),1))</f>
        <v/>
      </c>
      <c r="U2585" s="112">
        <f>IF($G2585="","",ROUND($G2585*$T2585,2))</f>
        <v/>
      </c>
      <c r="V2585" s="113">
        <f>IF($B2585="","",MONTH($B2585))</f>
        <v/>
      </c>
      <c r="W2585" s="113">
        <f>IF($B2585="","",YEAR($B2585))</f>
        <v/>
      </c>
    </row>
    <row r="2586">
      <c r="B2586" s="105" t="n"/>
      <c r="C2586" s="54" t="n"/>
      <c r="D2586" s="54" t="n"/>
      <c r="E2586" s="54" t="n"/>
      <c r="F2586" s="54" t="n"/>
      <c r="G2586" s="65" t="n"/>
      <c r="H2586" s="54" t="n"/>
      <c r="I2586" s="106">
        <f>IF($C2586="","",IFERROR(INDEX(Sens_Types,MATCH($C2586,Liste_Types,0)),""))</f>
        <v/>
      </c>
      <c r="J2586" s="107">
        <f>IF($I2586="▲ ENTRÉE",$U2586,"")</f>
        <v/>
      </c>
      <c r="K2586" s="108">
        <f>IF($I2586="▼ SORTIE",$U2586,"")</f>
        <v/>
      </c>
      <c r="L2586" s="109">
        <f>$L2585+N($J2586)-N($K2586)</f>
        <v/>
      </c>
      <c r="M2586" s="110" t="n"/>
      <c r="N2586" s="54" t="n"/>
      <c r="O2586" s="54" t="n"/>
      <c r="P2586" s="54" t="n"/>
      <c r="Q2586" s="110" t="n"/>
      <c r="R2586" s="110" t="n"/>
      <c r="S2586" s="54" t="n"/>
      <c r="T2586" s="111">
        <f>IF($G2586="","",IFERROR(INDEX(Taux_Devises,MATCH(IF($M2586="",Devise_Base,$M2586),Codes_Devises,0)),1))</f>
        <v/>
      </c>
      <c r="U2586" s="112">
        <f>IF($G2586="","",ROUND($G2586*$T2586,2))</f>
        <v/>
      </c>
      <c r="V2586" s="113">
        <f>IF($B2586="","",MONTH($B2586))</f>
        <v/>
      </c>
      <c r="W2586" s="113">
        <f>IF($B2586="","",YEAR($B2586))</f>
        <v/>
      </c>
    </row>
    <row r="2587">
      <c r="B2587" s="105" t="n"/>
      <c r="C2587" s="54" t="n"/>
      <c r="D2587" s="54" t="n"/>
      <c r="E2587" s="54" t="n"/>
      <c r="F2587" s="54" t="n"/>
      <c r="G2587" s="65" t="n"/>
      <c r="H2587" s="54" t="n"/>
      <c r="I2587" s="106">
        <f>IF($C2587="","",IFERROR(INDEX(Sens_Types,MATCH($C2587,Liste_Types,0)),""))</f>
        <v/>
      </c>
      <c r="J2587" s="107">
        <f>IF($I2587="▲ ENTRÉE",$U2587,"")</f>
        <v/>
      </c>
      <c r="K2587" s="108">
        <f>IF($I2587="▼ SORTIE",$U2587,"")</f>
        <v/>
      </c>
      <c r="L2587" s="109">
        <f>$L2586+N($J2587)-N($K2587)</f>
        <v/>
      </c>
      <c r="M2587" s="110" t="n"/>
      <c r="N2587" s="54" t="n"/>
      <c r="O2587" s="54" t="n"/>
      <c r="P2587" s="54" t="n"/>
      <c r="Q2587" s="110" t="n"/>
      <c r="R2587" s="110" t="n"/>
      <c r="S2587" s="54" t="n"/>
      <c r="T2587" s="111">
        <f>IF($G2587="","",IFERROR(INDEX(Taux_Devises,MATCH(IF($M2587="",Devise_Base,$M2587),Codes_Devises,0)),1))</f>
        <v/>
      </c>
      <c r="U2587" s="112">
        <f>IF($G2587="","",ROUND($G2587*$T2587,2))</f>
        <v/>
      </c>
      <c r="V2587" s="113">
        <f>IF($B2587="","",MONTH($B2587))</f>
        <v/>
      </c>
      <c r="W2587" s="113">
        <f>IF($B2587="","",YEAR($B2587))</f>
        <v/>
      </c>
    </row>
    <row r="2588">
      <c r="B2588" s="105" t="n"/>
      <c r="C2588" s="54" t="n"/>
      <c r="D2588" s="54" t="n"/>
      <c r="E2588" s="54" t="n"/>
      <c r="F2588" s="54" t="n"/>
      <c r="G2588" s="65" t="n"/>
      <c r="H2588" s="54" t="n"/>
      <c r="I2588" s="106">
        <f>IF($C2588="","",IFERROR(INDEX(Sens_Types,MATCH($C2588,Liste_Types,0)),""))</f>
        <v/>
      </c>
      <c r="J2588" s="107">
        <f>IF($I2588="▲ ENTRÉE",$U2588,"")</f>
        <v/>
      </c>
      <c r="K2588" s="108">
        <f>IF($I2588="▼ SORTIE",$U2588,"")</f>
        <v/>
      </c>
      <c r="L2588" s="109">
        <f>$L2587+N($J2588)-N($K2588)</f>
        <v/>
      </c>
      <c r="M2588" s="110" t="n"/>
      <c r="N2588" s="54" t="n"/>
      <c r="O2588" s="54" t="n"/>
      <c r="P2588" s="54" t="n"/>
      <c r="Q2588" s="110" t="n"/>
      <c r="R2588" s="110" t="n"/>
      <c r="S2588" s="54" t="n"/>
      <c r="T2588" s="111">
        <f>IF($G2588="","",IFERROR(INDEX(Taux_Devises,MATCH(IF($M2588="",Devise_Base,$M2588),Codes_Devises,0)),1))</f>
        <v/>
      </c>
      <c r="U2588" s="112">
        <f>IF($G2588="","",ROUND($G2588*$T2588,2))</f>
        <v/>
      </c>
      <c r="V2588" s="113">
        <f>IF($B2588="","",MONTH($B2588))</f>
        <v/>
      </c>
      <c r="W2588" s="113">
        <f>IF($B2588="","",YEAR($B2588))</f>
        <v/>
      </c>
    </row>
    <row r="2589">
      <c r="B2589" s="105" t="n"/>
      <c r="C2589" s="54" t="n"/>
      <c r="D2589" s="54" t="n"/>
      <c r="E2589" s="54" t="n"/>
      <c r="F2589" s="54" t="n"/>
      <c r="G2589" s="65" t="n"/>
      <c r="H2589" s="54" t="n"/>
      <c r="I2589" s="106">
        <f>IF($C2589="","",IFERROR(INDEX(Sens_Types,MATCH($C2589,Liste_Types,0)),""))</f>
        <v/>
      </c>
      <c r="J2589" s="107">
        <f>IF($I2589="▲ ENTRÉE",$U2589,"")</f>
        <v/>
      </c>
      <c r="K2589" s="108">
        <f>IF($I2589="▼ SORTIE",$U2589,"")</f>
        <v/>
      </c>
      <c r="L2589" s="109">
        <f>$L2588+N($J2589)-N($K2589)</f>
        <v/>
      </c>
      <c r="M2589" s="110" t="n"/>
      <c r="N2589" s="54" t="n"/>
      <c r="O2589" s="54" t="n"/>
      <c r="P2589" s="54" t="n"/>
      <c r="Q2589" s="110" t="n"/>
      <c r="R2589" s="110" t="n"/>
      <c r="S2589" s="54" t="n"/>
      <c r="T2589" s="111">
        <f>IF($G2589="","",IFERROR(INDEX(Taux_Devises,MATCH(IF($M2589="",Devise_Base,$M2589),Codes_Devises,0)),1))</f>
        <v/>
      </c>
      <c r="U2589" s="112">
        <f>IF($G2589="","",ROUND($G2589*$T2589,2))</f>
        <v/>
      </c>
      <c r="V2589" s="113">
        <f>IF($B2589="","",MONTH($B2589))</f>
        <v/>
      </c>
      <c r="W2589" s="113">
        <f>IF($B2589="","",YEAR($B2589))</f>
        <v/>
      </c>
    </row>
    <row r="2590">
      <c r="B2590" s="105" t="n"/>
      <c r="C2590" s="54" t="n"/>
      <c r="D2590" s="54" t="n"/>
      <c r="E2590" s="54" t="n"/>
      <c r="F2590" s="54" t="n"/>
      <c r="G2590" s="65" t="n"/>
      <c r="H2590" s="54" t="n"/>
      <c r="I2590" s="106">
        <f>IF($C2590="","",IFERROR(INDEX(Sens_Types,MATCH($C2590,Liste_Types,0)),""))</f>
        <v/>
      </c>
      <c r="J2590" s="107">
        <f>IF($I2590="▲ ENTRÉE",$U2590,"")</f>
        <v/>
      </c>
      <c r="K2590" s="108">
        <f>IF($I2590="▼ SORTIE",$U2590,"")</f>
        <v/>
      </c>
      <c r="L2590" s="109">
        <f>$L2589+N($J2590)-N($K2590)</f>
        <v/>
      </c>
      <c r="M2590" s="110" t="n"/>
      <c r="N2590" s="54" t="n"/>
      <c r="O2590" s="54" t="n"/>
      <c r="P2590" s="54" t="n"/>
      <c r="Q2590" s="110" t="n"/>
      <c r="R2590" s="110" t="n"/>
      <c r="S2590" s="54" t="n"/>
      <c r="T2590" s="111">
        <f>IF($G2590="","",IFERROR(INDEX(Taux_Devises,MATCH(IF($M2590="",Devise_Base,$M2590),Codes_Devises,0)),1))</f>
        <v/>
      </c>
      <c r="U2590" s="112">
        <f>IF($G2590="","",ROUND($G2590*$T2590,2))</f>
        <v/>
      </c>
      <c r="V2590" s="113">
        <f>IF($B2590="","",MONTH($B2590))</f>
        <v/>
      </c>
      <c r="W2590" s="113">
        <f>IF($B2590="","",YEAR($B2590))</f>
        <v/>
      </c>
    </row>
    <row r="2591">
      <c r="B2591" s="105" t="n"/>
      <c r="C2591" s="54" t="n"/>
      <c r="D2591" s="54" t="n"/>
      <c r="E2591" s="54" t="n"/>
      <c r="F2591" s="54" t="n"/>
      <c r="G2591" s="65" t="n"/>
      <c r="H2591" s="54" t="n"/>
      <c r="I2591" s="106">
        <f>IF($C2591="","",IFERROR(INDEX(Sens_Types,MATCH($C2591,Liste_Types,0)),""))</f>
        <v/>
      </c>
      <c r="J2591" s="107">
        <f>IF($I2591="▲ ENTRÉE",$U2591,"")</f>
        <v/>
      </c>
      <c r="K2591" s="108">
        <f>IF($I2591="▼ SORTIE",$U2591,"")</f>
        <v/>
      </c>
      <c r="L2591" s="109">
        <f>$L2590+N($J2591)-N($K2591)</f>
        <v/>
      </c>
      <c r="M2591" s="110" t="n"/>
      <c r="N2591" s="54" t="n"/>
      <c r="O2591" s="54" t="n"/>
      <c r="P2591" s="54" t="n"/>
      <c r="Q2591" s="110" t="n"/>
      <c r="R2591" s="110" t="n"/>
      <c r="S2591" s="54" t="n"/>
      <c r="T2591" s="111">
        <f>IF($G2591="","",IFERROR(INDEX(Taux_Devises,MATCH(IF($M2591="",Devise_Base,$M2591),Codes_Devises,0)),1))</f>
        <v/>
      </c>
      <c r="U2591" s="112">
        <f>IF($G2591="","",ROUND($G2591*$T2591,2))</f>
        <v/>
      </c>
      <c r="V2591" s="113">
        <f>IF($B2591="","",MONTH($B2591))</f>
        <v/>
      </c>
      <c r="W2591" s="113">
        <f>IF($B2591="","",YEAR($B2591))</f>
        <v/>
      </c>
    </row>
    <row r="2592">
      <c r="B2592" s="105" t="n"/>
      <c r="C2592" s="54" t="n"/>
      <c r="D2592" s="54" t="n"/>
      <c r="E2592" s="54" t="n"/>
      <c r="F2592" s="54" t="n"/>
      <c r="G2592" s="65" t="n"/>
      <c r="H2592" s="54" t="n"/>
      <c r="I2592" s="106">
        <f>IF($C2592="","",IFERROR(INDEX(Sens_Types,MATCH($C2592,Liste_Types,0)),""))</f>
        <v/>
      </c>
      <c r="J2592" s="107">
        <f>IF($I2592="▲ ENTRÉE",$U2592,"")</f>
        <v/>
      </c>
      <c r="K2592" s="108">
        <f>IF($I2592="▼ SORTIE",$U2592,"")</f>
        <v/>
      </c>
      <c r="L2592" s="109">
        <f>$L2591+N($J2592)-N($K2592)</f>
        <v/>
      </c>
      <c r="M2592" s="110" t="n"/>
      <c r="N2592" s="54" t="n"/>
      <c r="O2592" s="54" t="n"/>
      <c r="P2592" s="54" t="n"/>
      <c r="Q2592" s="110" t="n"/>
      <c r="R2592" s="110" t="n"/>
      <c r="S2592" s="54" t="n"/>
      <c r="T2592" s="111">
        <f>IF($G2592="","",IFERROR(INDEX(Taux_Devises,MATCH(IF($M2592="",Devise_Base,$M2592),Codes_Devises,0)),1))</f>
        <v/>
      </c>
      <c r="U2592" s="112">
        <f>IF($G2592="","",ROUND($G2592*$T2592,2))</f>
        <v/>
      </c>
      <c r="V2592" s="113">
        <f>IF($B2592="","",MONTH($B2592))</f>
        <v/>
      </c>
      <c r="W2592" s="113">
        <f>IF($B2592="","",YEAR($B2592))</f>
        <v/>
      </c>
    </row>
    <row r="2593">
      <c r="B2593" s="105" t="n"/>
      <c r="C2593" s="54" t="n"/>
      <c r="D2593" s="54" t="n"/>
      <c r="E2593" s="54" t="n"/>
      <c r="F2593" s="54" t="n"/>
      <c r="G2593" s="65" t="n"/>
      <c r="H2593" s="54" t="n"/>
      <c r="I2593" s="106">
        <f>IF($C2593="","",IFERROR(INDEX(Sens_Types,MATCH($C2593,Liste_Types,0)),""))</f>
        <v/>
      </c>
      <c r="J2593" s="107">
        <f>IF($I2593="▲ ENTRÉE",$U2593,"")</f>
        <v/>
      </c>
      <c r="K2593" s="108">
        <f>IF($I2593="▼ SORTIE",$U2593,"")</f>
        <v/>
      </c>
      <c r="L2593" s="109">
        <f>$L2592+N($J2593)-N($K2593)</f>
        <v/>
      </c>
      <c r="M2593" s="110" t="n"/>
      <c r="N2593" s="54" t="n"/>
      <c r="O2593" s="54" t="n"/>
      <c r="P2593" s="54" t="n"/>
      <c r="Q2593" s="110" t="n"/>
      <c r="R2593" s="110" t="n"/>
      <c r="S2593" s="54" t="n"/>
      <c r="T2593" s="111">
        <f>IF($G2593="","",IFERROR(INDEX(Taux_Devises,MATCH(IF($M2593="",Devise_Base,$M2593),Codes_Devises,0)),1))</f>
        <v/>
      </c>
      <c r="U2593" s="112">
        <f>IF($G2593="","",ROUND($G2593*$T2593,2))</f>
        <v/>
      </c>
      <c r="V2593" s="113">
        <f>IF($B2593="","",MONTH($B2593))</f>
        <v/>
      </c>
      <c r="W2593" s="113">
        <f>IF($B2593="","",YEAR($B2593))</f>
        <v/>
      </c>
    </row>
    <row r="2594">
      <c r="B2594" s="105" t="n"/>
      <c r="C2594" s="54" t="n"/>
      <c r="D2594" s="54" t="n"/>
      <c r="E2594" s="54" t="n"/>
      <c r="F2594" s="54" t="n"/>
      <c r="G2594" s="65" t="n"/>
      <c r="H2594" s="54" t="n"/>
      <c r="I2594" s="106">
        <f>IF($C2594="","",IFERROR(INDEX(Sens_Types,MATCH($C2594,Liste_Types,0)),""))</f>
        <v/>
      </c>
      <c r="J2594" s="107">
        <f>IF($I2594="▲ ENTRÉE",$U2594,"")</f>
        <v/>
      </c>
      <c r="K2594" s="108">
        <f>IF($I2594="▼ SORTIE",$U2594,"")</f>
        <v/>
      </c>
      <c r="L2594" s="109">
        <f>$L2593+N($J2594)-N($K2594)</f>
        <v/>
      </c>
      <c r="M2594" s="110" t="n"/>
      <c r="N2594" s="54" t="n"/>
      <c r="O2594" s="54" t="n"/>
      <c r="P2594" s="54" t="n"/>
      <c r="Q2594" s="110" t="n"/>
      <c r="R2594" s="110" t="n"/>
      <c r="S2594" s="54" t="n"/>
      <c r="T2594" s="111">
        <f>IF($G2594="","",IFERROR(INDEX(Taux_Devises,MATCH(IF($M2594="",Devise_Base,$M2594),Codes_Devises,0)),1))</f>
        <v/>
      </c>
      <c r="U2594" s="112">
        <f>IF($G2594="","",ROUND($G2594*$T2594,2))</f>
        <v/>
      </c>
      <c r="V2594" s="113">
        <f>IF($B2594="","",MONTH($B2594))</f>
        <v/>
      </c>
      <c r="W2594" s="113">
        <f>IF($B2594="","",YEAR($B2594))</f>
        <v/>
      </c>
    </row>
    <row r="2595">
      <c r="B2595" s="105" t="n"/>
      <c r="C2595" s="54" t="n"/>
      <c r="D2595" s="54" t="n"/>
      <c r="E2595" s="54" t="n"/>
      <c r="F2595" s="54" t="n"/>
      <c r="G2595" s="65" t="n"/>
      <c r="H2595" s="54" t="n"/>
      <c r="I2595" s="106">
        <f>IF($C2595="","",IFERROR(INDEX(Sens_Types,MATCH($C2595,Liste_Types,0)),""))</f>
        <v/>
      </c>
      <c r="J2595" s="107">
        <f>IF($I2595="▲ ENTRÉE",$U2595,"")</f>
        <v/>
      </c>
      <c r="K2595" s="108">
        <f>IF($I2595="▼ SORTIE",$U2595,"")</f>
        <v/>
      </c>
      <c r="L2595" s="109">
        <f>$L2594+N($J2595)-N($K2595)</f>
        <v/>
      </c>
      <c r="M2595" s="110" t="n"/>
      <c r="N2595" s="54" t="n"/>
      <c r="O2595" s="54" t="n"/>
      <c r="P2595" s="54" t="n"/>
      <c r="Q2595" s="110" t="n"/>
      <c r="R2595" s="110" t="n"/>
      <c r="S2595" s="54" t="n"/>
      <c r="T2595" s="111">
        <f>IF($G2595="","",IFERROR(INDEX(Taux_Devises,MATCH(IF($M2595="",Devise_Base,$M2595),Codes_Devises,0)),1))</f>
        <v/>
      </c>
      <c r="U2595" s="112">
        <f>IF($G2595="","",ROUND($G2595*$T2595,2))</f>
        <v/>
      </c>
      <c r="V2595" s="113">
        <f>IF($B2595="","",MONTH($B2595))</f>
        <v/>
      </c>
      <c r="W2595" s="113">
        <f>IF($B2595="","",YEAR($B2595))</f>
        <v/>
      </c>
    </row>
    <row r="2596">
      <c r="B2596" s="105" t="n"/>
      <c r="C2596" s="54" t="n"/>
      <c r="D2596" s="54" t="n"/>
      <c r="E2596" s="54" t="n"/>
      <c r="F2596" s="54" t="n"/>
      <c r="G2596" s="65" t="n"/>
      <c r="H2596" s="54" t="n"/>
      <c r="I2596" s="106">
        <f>IF($C2596="","",IFERROR(INDEX(Sens_Types,MATCH($C2596,Liste_Types,0)),""))</f>
        <v/>
      </c>
      <c r="J2596" s="107">
        <f>IF($I2596="▲ ENTRÉE",$U2596,"")</f>
        <v/>
      </c>
      <c r="K2596" s="108">
        <f>IF($I2596="▼ SORTIE",$U2596,"")</f>
        <v/>
      </c>
      <c r="L2596" s="109">
        <f>$L2595+N($J2596)-N($K2596)</f>
        <v/>
      </c>
      <c r="M2596" s="110" t="n"/>
      <c r="N2596" s="54" t="n"/>
      <c r="O2596" s="54" t="n"/>
      <c r="P2596" s="54" t="n"/>
      <c r="Q2596" s="110" t="n"/>
      <c r="R2596" s="110" t="n"/>
      <c r="S2596" s="54" t="n"/>
      <c r="T2596" s="111">
        <f>IF($G2596="","",IFERROR(INDEX(Taux_Devises,MATCH(IF($M2596="",Devise_Base,$M2596),Codes_Devises,0)),1))</f>
        <v/>
      </c>
      <c r="U2596" s="112">
        <f>IF($G2596="","",ROUND($G2596*$T2596,2))</f>
        <v/>
      </c>
      <c r="V2596" s="113">
        <f>IF($B2596="","",MONTH($B2596))</f>
        <v/>
      </c>
      <c r="W2596" s="113">
        <f>IF($B2596="","",YEAR($B2596))</f>
        <v/>
      </c>
    </row>
    <row r="2597">
      <c r="B2597" s="105" t="n"/>
      <c r="C2597" s="54" t="n"/>
      <c r="D2597" s="54" t="n"/>
      <c r="E2597" s="54" t="n"/>
      <c r="F2597" s="54" t="n"/>
      <c r="G2597" s="65" t="n"/>
      <c r="H2597" s="54" t="n"/>
      <c r="I2597" s="106">
        <f>IF($C2597="","",IFERROR(INDEX(Sens_Types,MATCH($C2597,Liste_Types,0)),""))</f>
        <v/>
      </c>
      <c r="J2597" s="107">
        <f>IF($I2597="▲ ENTRÉE",$U2597,"")</f>
        <v/>
      </c>
      <c r="K2597" s="108">
        <f>IF($I2597="▼ SORTIE",$U2597,"")</f>
        <v/>
      </c>
      <c r="L2597" s="109">
        <f>$L2596+N($J2597)-N($K2597)</f>
        <v/>
      </c>
      <c r="M2597" s="110" t="n"/>
      <c r="N2597" s="54" t="n"/>
      <c r="O2597" s="54" t="n"/>
      <c r="P2597" s="54" t="n"/>
      <c r="Q2597" s="110" t="n"/>
      <c r="R2597" s="110" t="n"/>
      <c r="S2597" s="54" t="n"/>
      <c r="T2597" s="111">
        <f>IF($G2597="","",IFERROR(INDEX(Taux_Devises,MATCH(IF($M2597="",Devise_Base,$M2597),Codes_Devises,0)),1))</f>
        <v/>
      </c>
      <c r="U2597" s="112">
        <f>IF($G2597="","",ROUND($G2597*$T2597,2))</f>
        <v/>
      </c>
      <c r="V2597" s="113">
        <f>IF($B2597="","",MONTH($B2597))</f>
        <v/>
      </c>
      <c r="W2597" s="113">
        <f>IF($B2597="","",YEAR($B2597))</f>
        <v/>
      </c>
    </row>
    <row r="2598">
      <c r="B2598" s="105" t="n"/>
      <c r="C2598" s="54" t="n"/>
      <c r="D2598" s="54" t="n"/>
      <c r="E2598" s="54" t="n"/>
      <c r="F2598" s="54" t="n"/>
      <c r="G2598" s="65" t="n"/>
      <c r="H2598" s="54" t="n"/>
      <c r="I2598" s="106">
        <f>IF($C2598="","",IFERROR(INDEX(Sens_Types,MATCH($C2598,Liste_Types,0)),""))</f>
        <v/>
      </c>
      <c r="J2598" s="107">
        <f>IF($I2598="▲ ENTRÉE",$U2598,"")</f>
        <v/>
      </c>
      <c r="K2598" s="108">
        <f>IF($I2598="▼ SORTIE",$U2598,"")</f>
        <v/>
      </c>
      <c r="L2598" s="109">
        <f>$L2597+N($J2598)-N($K2598)</f>
        <v/>
      </c>
      <c r="M2598" s="110" t="n"/>
      <c r="N2598" s="54" t="n"/>
      <c r="O2598" s="54" t="n"/>
      <c r="P2598" s="54" t="n"/>
      <c r="Q2598" s="110" t="n"/>
      <c r="R2598" s="110" t="n"/>
      <c r="S2598" s="54" t="n"/>
      <c r="T2598" s="111">
        <f>IF($G2598="","",IFERROR(INDEX(Taux_Devises,MATCH(IF($M2598="",Devise_Base,$M2598),Codes_Devises,0)),1))</f>
        <v/>
      </c>
      <c r="U2598" s="112">
        <f>IF($G2598="","",ROUND($G2598*$T2598,2))</f>
        <v/>
      </c>
      <c r="V2598" s="113">
        <f>IF($B2598="","",MONTH($B2598))</f>
        <v/>
      </c>
      <c r="W2598" s="113">
        <f>IF($B2598="","",YEAR($B2598))</f>
        <v/>
      </c>
    </row>
    <row r="2599">
      <c r="B2599" s="105" t="n"/>
      <c r="C2599" s="54" t="n"/>
      <c r="D2599" s="54" t="n"/>
      <c r="E2599" s="54" t="n"/>
      <c r="F2599" s="54" t="n"/>
      <c r="G2599" s="65" t="n"/>
      <c r="H2599" s="54" t="n"/>
      <c r="I2599" s="106">
        <f>IF($C2599="","",IFERROR(INDEX(Sens_Types,MATCH($C2599,Liste_Types,0)),""))</f>
        <v/>
      </c>
      <c r="J2599" s="107">
        <f>IF($I2599="▲ ENTRÉE",$U2599,"")</f>
        <v/>
      </c>
      <c r="K2599" s="108">
        <f>IF($I2599="▼ SORTIE",$U2599,"")</f>
        <v/>
      </c>
      <c r="L2599" s="109">
        <f>$L2598+N($J2599)-N($K2599)</f>
        <v/>
      </c>
      <c r="M2599" s="110" t="n"/>
      <c r="N2599" s="54" t="n"/>
      <c r="O2599" s="54" t="n"/>
      <c r="P2599" s="54" t="n"/>
      <c r="Q2599" s="110" t="n"/>
      <c r="R2599" s="110" t="n"/>
      <c r="S2599" s="54" t="n"/>
      <c r="T2599" s="111">
        <f>IF($G2599="","",IFERROR(INDEX(Taux_Devises,MATCH(IF($M2599="",Devise_Base,$M2599),Codes_Devises,0)),1))</f>
        <v/>
      </c>
      <c r="U2599" s="112">
        <f>IF($G2599="","",ROUND($G2599*$T2599,2))</f>
        <v/>
      </c>
      <c r="V2599" s="113">
        <f>IF($B2599="","",MONTH($B2599))</f>
        <v/>
      </c>
      <c r="W2599" s="113">
        <f>IF($B2599="","",YEAR($B2599))</f>
        <v/>
      </c>
    </row>
    <row r="2600">
      <c r="B2600" s="105" t="n"/>
      <c r="C2600" s="54" t="n"/>
      <c r="D2600" s="54" t="n"/>
      <c r="E2600" s="54" t="n"/>
      <c r="F2600" s="54" t="n"/>
      <c r="G2600" s="65" t="n"/>
      <c r="H2600" s="54" t="n"/>
      <c r="I2600" s="106">
        <f>IF($C2600="","",IFERROR(INDEX(Sens_Types,MATCH($C2600,Liste_Types,0)),""))</f>
        <v/>
      </c>
      <c r="J2600" s="107">
        <f>IF($I2600="▲ ENTRÉE",$U2600,"")</f>
        <v/>
      </c>
      <c r="K2600" s="108">
        <f>IF($I2600="▼ SORTIE",$U2600,"")</f>
        <v/>
      </c>
      <c r="L2600" s="109">
        <f>$L2599+N($J2600)-N($K2600)</f>
        <v/>
      </c>
      <c r="M2600" s="110" t="n"/>
      <c r="N2600" s="54" t="n"/>
      <c r="O2600" s="54" t="n"/>
      <c r="P2600" s="54" t="n"/>
      <c r="Q2600" s="110" t="n"/>
      <c r="R2600" s="110" t="n"/>
      <c r="S2600" s="54" t="n"/>
      <c r="T2600" s="111">
        <f>IF($G2600="","",IFERROR(INDEX(Taux_Devises,MATCH(IF($M2600="",Devise_Base,$M2600),Codes_Devises,0)),1))</f>
        <v/>
      </c>
      <c r="U2600" s="112">
        <f>IF($G2600="","",ROUND($G2600*$T2600,2))</f>
        <v/>
      </c>
      <c r="V2600" s="113">
        <f>IF($B2600="","",MONTH($B2600))</f>
        <v/>
      </c>
      <c r="W2600" s="113">
        <f>IF($B2600="","",YEAR($B2600))</f>
        <v/>
      </c>
    </row>
    <row r="2601">
      <c r="B2601" s="105" t="n"/>
      <c r="C2601" s="54" t="n"/>
      <c r="D2601" s="54" t="n"/>
      <c r="E2601" s="54" t="n"/>
      <c r="F2601" s="54" t="n"/>
      <c r="G2601" s="65" t="n"/>
      <c r="H2601" s="54" t="n"/>
      <c r="I2601" s="106">
        <f>IF($C2601="","",IFERROR(INDEX(Sens_Types,MATCH($C2601,Liste_Types,0)),""))</f>
        <v/>
      </c>
      <c r="J2601" s="107">
        <f>IF($I2601="▲ ENTRÉE",$U2601,"")</f>
        <v/>
      </c>
      <c r="K2601" s="108">
        <f>IF($I2601="▼ SORTIE",$U2601,"")</f>
        <v/>
      </c>
      <c r="L2601" s="109">
        <f>$L2600+N($J2601)-N($K2601)</f>
        <v/>
      </c>
      <c r="M2601" s="110" t="n"/>
      <c r="N2601" s="54" t="n"/>
      <c r="O2601" s="54" t="n"/>
      <c r="P2601" s="54" t="n"/>
      <c r="Q2601" s="110" t="n"/>
      <c r="R2601" s="110" t="n"/>
      <c r="S2601" s="54" t="n"/>
      <c r="T2601" s="111">
        <f>IF($G2601="","",IFERROR(INDEX(Taux_Devises,MATCH(IF($M2601="",Devise_Base,$M2601),Codes_Devises,0)),1))</f>
        <v/>
      </c>
      <c r="U2601" s="112">
        <f>IF($G2601="","",ROUND($G2601*$T2601,2))</f>
        <v/>
      </c>
      <c r="V2601" s="113">
        <f>IF($B2601="","",MONTH($B2601))</f>
        <v/>
      </c>
      <c r="W2601" s="113">
        <f>IF($B2601="","",YEAR($B2601))</f>
        <v/>
      </c>
    </row>
    <row r="2602">
      <c r="B2602" s="105" t="n"/>
      <c r="C2602" s="54" t="n"/>
      <c r="D2602" s="54" t="n"/>
      <c r="E2602" s="54" t="n"/>
      <c r="F2602" s="54" t="n"/>
      <c r="G2602" s="65" t="n"/>
      <c r="H2602" s="54" t="n"/>
      <c r="I2602" s="106">
        <f>IF($C2602="","",IFERROR(INDEX(Sens_Types,MATCH($C2602,Liste_Types,0)),""))</f>
        <v/>
      </c>
      <c r="J2602" s="107">
        <f>IF($I2602="▲ ENTRÉE",$U2602,"")</f>
        <v/>
      </c>
      <c r="K2602" s="108">
        <f>IF($I2602="▼ SORTIE",$U2602,"")</f>
        <v/>
      </c>
      <c r="L2602" s="109">
        <f>$L2601+N($J2602)-N($K2602)</f>
        <v/>
      </c>
      <c r="M2602" s="110" t="n"/>
      <c r="N2602" s="54" t="n"/>
      <c r="O2602" s="54" t="n"/>
      <c r="P2602" s="54" t="n"/>
      <c r="Q2602" s="110" t="n"/>
      <c r="R2602" s="110" t="n"/>
      <c r="S2602" s="54" t="n"/>
      <c r="T2602" s="111">
        <f>IF($G2602="","",IFERROR(INDEX(Taux_Devises,MATCH(IF($M2602="",Devise_Base,$M2602),Codes_Devises,0)),1))</f>
        <v/>
      </c>
      <c r="U2602" s="112">
        <f>IF($G2602="","",ROUND($G2602*$T2602,2))</f>
        <v/>
      </c>
      <c r="V2602" s="113">
        <f>IF($B2602="","",MONTH($B2602))</f>
        <v/>
      </c>
      <c r="W2602" s="113">
        <f>IF($B2602="","",YEAR($B2602))</f>
        <v/>
      </c>
    </row>
    <row r="2603">
      <c r="B2603" s="105" t="n"/>
      <c r="C2603" s="54" t="n"/>
      <c r="D2603" s="54" t="n"/>
      <c r="E2603" s="54" t="n"/>
      <c r="F2603" s="54" t="n"/>
      <c r="G2603" s="65" t="n"/>
      <c r="H2603" s="54" t="n"/>
      <c r="I2603" s="106">
        <f>IF($C2603="","",IFERROR(INDEX(Sens_Types,MATCH($C2603,Liste_Types,0)),""))</f>
        <v/>
      </c>
      <c r="J2603" s="107">
        <f>IF($I2603="▲ ENTRÉE",$U2603,"")</f>
        <v/>
      </c>
      <c r="K2603" s="108">
        <f>IF($I2603="▼ SORTIE",$U2603,"")</f>
        <v/>
      </c>
      <c r="L2603" s="109">
        <f>$L2602+N($J2603)-N($K2603)</f>
        <v/>
      </c>
      <c r="M2603" s="110" t="n"/>
      <c r="N2603" s="54" t="n"/>
      <c r="O2603" s="54" t="n"/>
      <c r="P2603" s="54" t="n"/>
      <c r="Q2603" s="110" t="n"/>
      <c r="R2603" s="110" t="n"/>
      <c r="S2603" s="54" t="n"/>
      <c r="T2603" s="111">
        <f>IF($G2603="","",IFERROR(INDEX(Taux_Devises,MATCH(IF($M2603="",Devise_Base,$M2603),Codes_Devises,0)),1))</f>
        <v/>
      </c>
      <c r="U2603" s="112">
        <f>IF($G2603="","",ROUND($G2603*$T2603,2))</f>
        <v/>
      </c>
      <c r="V2603" s="113">
        <f>IF($B2603="","",MONTH($B2603))</f>
        <v/>
      </c>
      <c r="W2603" s="113">
        <f>IF($B2603="","",YEAR($B2603))</f>
        <v/>
      </c>
    </row>
    <row r="2604">
      <c r="B2604" s="105" t="n"/>
      <c r="C2604" s="54" t="n"/>
      <c r="D2604" s="54" t="n"/>
      <c r="E2604" s="54" t="n"/>
      <c r="F2604" s="54" t="n"/>
      <c r="G2604" s="65" t="n"/>
      <c r="H2604" s="54" t="n"/>
      <c r="I2604" s="106">
        <f>IF($C2604="","",IFERROR(INDEX(Sens_Types,MATCH($C2604,Liste_Types,0)),""))</f>
        <v/>
      </c>
      <c r="J2604" s="107">
        <f>IF($I2604="▲ ENTRÉE",$U2604,"")</f>
        <v/>
      </c>
      <c r="K2604" s="108">
        <f>IF($I2604="▼ SORTIE",$U2604,"")</f>
        <v/>
      </c>
      <c r="L2604" s="109">
        <f>$L2603+N($J2604)-N($K2604)</f>
        <v/>
      </c>
      <c r="M2604" s="110" t="n"/>
      <c r="N2604" s="54" t="n"/>
      <c r="O2604" s="54" t="n"/>
      <c r="P2604" s="54" t="n"/>
      <c r="Q2604" s="110" t="n"/>
      <c r="R2604" s="110" t="n"/>
      <c r="S2604" s="54" t="n"/>
      <c r="T2604" s="111">
        <f>IF($G2604="","",IFERROR(INDEX(Taux_Devises,MATCH(IF($M2604="",Devise_Base,$M2604),Codes_Devises,0)),1))</f>
        <v/>
      </c>
      <c r="U2604" s="112">
        <f>IF($G2604="","",ROUND($G2604*$T2604,2))</f>
        <v/>
      </c>
      <c r="V2604" s="113">
        <f>IF($B2604="","",MONTH($B2604))</f>
        <v/>
      </c>
      <c r="W2604" s="113">
        <f>IF($B2604="","",YEAR($B2604))</f>
        <v/>
      </c>
    </row>
    <row r="2605">
      <c r="B2605" s="105" t="n"/>
      <c r="C2605" s="54" t="n"/>
      <c r="D2605" s="54" t="n"/>
      <c r="E2605" s="54" t="n"/>
      <c r="F2605" s="54" t="n"/>
      <c r="G2605" s="65" t="n"/>
      <c r="H2605" s="54" t="n"/>
      <c r="I2605" s="106">
        <f>IF($C2605="","",IFERROR(INDEX(Sens_Types,MATCH($C2605,Liste_Types,0)),""))</f>
        <v/>
      </c>
      <c r="J2605" s="107">
        <f>IF($I2605="▲ ENTRÉE",$U2605,"")</f>
        <v/>
      </c>
      <c r="K2605" s="108">
        <f>IF($I2605="▼ SORTIE",$U2605,"")</f>
        <v/>
      </c>
      <c r="L2605" s="109">
        <f>$L2604+N($J2605)-N($K2605)</f>
        <v/>
      </c>
      <c r="M2605" s="110" t="n"/>
      <c r="N2605" s="54" t="n"/>
      <c r="O2605" s="54" t="n"/>
      <c r="P2605" s="54" t="n"/>
      <c r="Q2605" s="110" t="n"/>
      <c r="R2605" s="110" t="n"/>
      <c r="S2605" s="54" t="n"/>
      <c r="T2605" s="111">
        <f>IF($G2605="","",IFERROR(INDEX(Taux_Devises,MATCH(IF($M2605="",Devise_Base,$M2605),Codes_Devises,0)),1))</f>
        <v/>
      </c>
      <c r="U2605" s="112">
        <f>IF($G2605="","",ROUND($G2605*$T2605,2))</f>
        <v/>
      </c>
      <c r="V2605" s="113">
        <f>IF($B2605="","",MONTH($B2605))</f>
        <v/>
      </c>
      <c r="W2605" s="113">
        <f>IF($B2605="","",YEAR($B2605))</f>
        <v/>
      </c>
    </row>
    <row r="2606">
      <c r="B2606" s="105" t="n"/>
      <c r="C2606" s="54" t="n"/>
      <c r="D2606" s="54" t="n"/>
      <c r="E2606" s="54" t="n"/>
      <c r="F2606" s="54" t="n"/>
      <c r="G2606" s="65" t="n"/>
      <c r="H2606" s="54" t="n"/>
      <c r="I2606" s="106">
        <f>IF($C2606="","",IFERROR(INDEX(Sens_Types,MATCH($C2606,Liste_Types,0)),""))</f>
        <v/>
      </c>
      <c r="J2606" s="107">
        <f>IF($I2606="▲ ENTRÉE",$U2606,"")</f>
        <v/>
      </c>
      <c r="K2606" s="108">
        <f>IF($I2606="▼ SORTIE",$U2606,"")</f>
        <v/>
      </c>
      <c r="L2606" s="109">
        <f>$L2605+N($J2606)-N($K2606)</f>
        <v/>
      </c>
      <c r="M2606" s="110" t="n"/>
      <c r="N2606" s="54" t="n"/>
      <c r="O2606" s="54" t="n"/>
      <c r="P2606" s="54" t="n"/>
      <c r="Q2606" s="110" t="n"/>
      <c r="R2606" s="110" t="n"/>
      <c r="S2606" s="54" t="n"/>
      <c r="T2606" s="111">
        <f>IF($G2606="","",IFERROR(INDEX(Taux_Devises,MATCH(IF($M2606="",Devise_Base,$M2606),Codes_Devises,0)),1))</f>
        <v/>
      </c>
      <c r="U2606" s="112">
        <f>IF($G2606="","",ROUND($G2606*$T2606,2))</f>
        <v/>
      </c>
      <c r="V2606" s="113">
        <f>IF($B2606="","",MONTH($B2606))</f>
        <v/>
      </c>
      <c r="W2606" s="113">
        <f>IF($B2606="","",YEAR($B2606))</f>
        <v/>
      </c>
    </row>
    <row r="2607">
      <c r="B2607" s="105" t="n"/>
      <c r="C2607" s="54" t="n"/>
      <c r="D2607" s="54" t="n"/>
      <c r="E2607" s="54" t="n"/>
      <c r="F2607" s="54" t="n"/>
      <c r="G2607" s="65" t="n"/>
      <c r="H2607" s="54" t="n"/>
      <c r="I2607" s="106">
        <f>IF($C2607="","",IFERROR(INDEX(Sens_Types,MATCH($C2607,Liste_Types,0)),""))</f>
        <v/>
      </c>
      <c r="J2607" s="107">
        <f>IF($I2607="▲ ENTRÉE",$U2607,"")</f>
        <v/>
      </c>
      <c r="K2607" s="108">
        <f>IF($I2607="▼ SORTIE",$U2607,"")</f>
        <v/>
      </c>
      <c r="L2607" s="109">
        <f>$L2606+N($J2607)-N($K2607)</f>
        <v/>
      </c>
      <c r="M2607" s="110" t="n"/>
      <c r="N2607" s="54" t="n"/>
      <c r="O2607" s="54" t="n"/>
      <c r="P2607" s="54" t="n"/>
      <c r="Q2607" s="110" t="n"/>
      <c r="R2607" s="110" t="n"/>
      <c r="S2607" s="54" t="n"/>
      <c r="T2607" s="111">
        <f>IF($G2607="","",IFERROR(INDEX(Taux_Devises,MATCH(IF($M2607="",Devise_Base,$M2607),Codes_Devises,0)),1))</f>
        <v/>
      </c>
      <c r="U2607" s="112">
        <f>IF($G2607="","",ROUND($G2607*$T2607,2))</f>
        <v/>
      </c>
      <c r="V2607" s="113">
        <f>IF($B2607="","",MONTH($B2607))</f>
        <v/>
      </c>
      <c r="W2607" s="113">
        <f>IF($B2607="","",YEAR($B2607))</f>
        <v/>
      </c>
    </row>
    <row r="2608">
      <c r="B2608" s="105" t="n"/>
      <c r="C2608" s="54" t="n"/>
      <c r="D2608" s="54" t="n"/>
      <c r="E2608" s="54" t="n"/>
      <c r="F2608" s="54" t="n"/>
      <c r="G2608" s="65" t="n"/>
      <c r="H2608" s="54" t="n"/>
      <c r="I2608" s="106">
        <f>IF($C2608="","",IFERROR(INDEX(Sens_Types,MATCH($C2608,Liste_Types,0)),""))</f>
        <v/>
      </c>
      <c r="J2608" s="107">
        <f>IF($I2608="▲ ENTRÉE",$U2608,"")</f>
        <v/>
      </c>
      <c r="K2608" s="108">
        <f>IF($I2608="▼ SORTIE",$U2608,"")</f>
        <v/>
      </c>
      <c r="L2608" s="109">
        <f>$L2607+N($J2608)-N($K2608)</f>
        <v/>
      </c>
      <c r="M2608" s="110" t="n"/>
      <c r="N2608" s="54" t="n"/>
      <c r="O2608" s="54" t="n"/>
      <c r="P2608" s="54" t="n"/>
      <c r="Q2608" s="110" t="n"/>
      <c r="R2608" s="110" t="n"/>
      <c r="S2608" s="54" t="n"/>
      <c r="T2608" s="111">
        <f>IF($G2608="","",IFERROR(INDEX(Taux_Devises,MATCH(IF($M2608="",Devise_Base,$M2608),Codes_Devises,0)),1))</f>
        <v/>
      </c>
      <c r="U2608" s="112">
        <f>IF($G2608="","",ROUND($G2608*$T2608,2))</f>
        <v/>
      </c>
      <c r="V2608" s="113">
        <f>IF($B2608="","",MONTH($B2608))</f>
        <v/>
      </c>
      <c r="W2608" s="113">
        <f>IF($B2608="","",YEAR($B2608))</f>
        <v/>
      </c>
    </row>
    <row r="2609">
      <c r="B2609" s="105" t="n"/>
      <c r="C2609" s="54" t="n"/>
      <c r="D2609" s="54" t="n"/>
      <c r="E2609" s="54" t="n"/>
      <c r="F2609" s="54" t="n"/>
      <c r="G2609" s="65" t="n"/>
      <c r="H2609" s="54" t="n"/>
      <c r="I2609" s="106">
        <f>IF($C2609="","",IFERROR(INDEX(Sens_Types,MATCH($C2609,Liste_Types,0)),""))</f>
        <v/>
      </c>
      <c r="J2609" s="107">
        <f>IF($I2609="▲ ENTRÉE",$U2609,"")</f>
        <v/>
      </c>
      <c r="K2609" s="108">
        <f>IF($I2609="▼ SORTIE",$U2609,"")</f>
        <v/>
      </c>
      <c r="L2609" s="109">
        <f>$L2608+N($J2609)-N($K2609)</f>
        <v/>
      </c>
      <c r="M2609" s="110" t="n"/>
      <c r="N2609" s="54" t="n"/>
      <c r="O2609" s="54" t="n"/>
      <c r="P2609" s="54" t="n"/>
      <c r="Q2609" s="110" t="n"/>
      <c r="R2609" s="110" t="n"/>
      <c r="S2609" s="54" t="n"/>
      <c r="T2609" s="111">
        <f>IF($G2609="","",IFERROR(INDEX(Taux_Devises,MATCH(IF($M2609="",Devise_Base,$M2609),Codes_Devises,0)),1))</f>
        <v/>
      </c>
      <c r="U2609" s="112">
        <f>IF($G2609="","",ROUND($G2609*$T2609,2))</f>
        <v/>
      </c>
      <c r="V2609" s="113">
        <f>IF($B2609="","",MONTH($B2609))</f>
        <v/>
      </c>
      <c r="W2609" s="113">
        <f>IF($B2609="","",YEAR($B2609))</f>
        <v/>
      </c>
    </row>
    <row r="2610">
      <c r="B2610" s="105" t="n"/>
      <c r="C2610" s="54" t="n"/>
      <c r="D2610" s="54" t="n"/>
      <c r="E2610" s="54" t="n"/>
      <c r="F2610" s="54" t="n"/>
      <c r="G2610" s="65" t="n"/>
      <c r="H2610" s="54" t="n"/>
      <c r="I2610" s="106">
        <f>IF($C2610="","",IFERROR(INDEX(Sens_Types,MATCH($C2610,Liste_Types,0)),""))</f>
        <v/>
      </c>
      <c r="J2610" s="107">
        <f>IF($I2610="▲ ENTRÉE",$U2610,"")</f>
        <v/>
      </c>
      <c r="K2610" s="108">
        <f>IF($I2610="▼ SORTIE",$U2610,"")</f>
        <v/>
      </c>
      <c r="L2610" s="109">
        <f>$L2609+N($J2610)-N($K2610)</f>
        <v/>
      </c>
      <c r="M2610" s="110" t="n"/>
      <c r="N2610" s="54" t="n"/>
      <c r="O2610" s="54" t="n"/>
      <c r="P2610" s="54" t="n"/>
      <c r="Q2610" s="110" t="n"/>
      <c r="R2610" s="110" t="n"/>
      <c r="S2610" s="54" t="n"/>
      <c r="T2610" s="111">
        <f>IF($G2610="","",IFERROR(INDEX(Taux_Devises,MATCH(IF($M2610="",Devise_Base,$M2610),Codes_Devises,0)),1))</f>
        <v/>
      </c>
      <c r="U2610" s="112">
        <f>IF($G2610="","",ROUND($G2610*$T2610,2))</f>
        <v/>
      </c>
      <c r="V2610" s="113">
        <f>IF($B2610="","",MONTH($B2610))</f>
        <v/>
      </c>
      <c r="W2610" s="113">
        <f>IF($B2610="","",YEAR($B2610))</f>
        <v/>
      </c>
    </row>
    <row r="2611">
      <c r="B2611" s="105" t="n"/>
      <c r="C2611" s="54" t="n"/>
      <c r="D2611" s="54" t="n"/>
      <c r="E2611" s="54" t="n"/>
      <c r="F2611" s="54" t="n"/>
      <c r="G2611" s="65" t="n"/>
      <c r="H2611" s="54" t="n"/>
      <c r="I2611" s="106">
        <f>IF($C2611="","",IFERROR(INDEX(Sens_Types,MATCH($C2611,Liste_Types,0)),""))</f>
        <v/>
      </c>
      <c r="J2611" s="107">
        <f>IF($I2611="▲ ENTRÉE",$U2611,"")</f>
        <v/>
      </c>
      <c r="K2611" s="108">
        <f>IF($I2611="▼ SORTIE",$U2611,"")</f>
        <v/>
      </c>
      <c r="L2611" s="109">
        <f>$L2610+N($J2611)-N($K2611)</f>
        <v/>
      </c>
      <c r="M2611" s="110" t="n"/>
      <c r="N2611" s="54" t="n"/>
      <c r="O2611" s="54" t="n"/>
      <c r="P2611" s="54" t="n"/>
      <c r="Q2611" s="110" t="n"/>
      <c r="R2611" s="110" t="n"/>
      <c r="S2611" s="54" t="n"/>
      <c r="T2611" s="111">
        <f>IF($G2611="","",IFERROR(INDEX(Taux_Devises,MATCH(IF($M2611="",Devise_Base,$M2611),Codes_Devises,0)),1))</f>
        <v/>
      </c>
      <c r="U2611" s="112">
        <f>IF($G2611="","",ROUND($G2611*$T2611,2))</f>
        <v/>
      </c>
      <c r="V2611" s="113">
        <f>IF($B2611="","",MONTH($B2611))</f>
        <v/>
      </c>
      <c r="W2611" s="113">
        <f>IF($B2611="","",YEAR($B2611))</f>
        <v/>
      </c>
    </row>
    <row r="2612">
      <c r="B2612" s="105" t="n"/>
      <c r="C2612" s="54" t="n"/>
      <c r="D2612" s="54" t="n"/>
      <c r="E2612" s="54" t="n"/>
      <c r="F2612" s="54" t="n"/>
      <c r="G2612" s="65" t="n"/>
      <c r="H2612" s="54" t="n"/>
      <c r="I2612" s="106">
        <f>IF($C2612="","",IFERROR(INDEX(Sens_Types,MATCH($C2612,Liste_Types,0)),""))</f>
        <v/>
      </c>
      <c r="J2612" s="107">
        <f>IF($I2612="▲ ENTRÉE",$U2612,"")</f>
        <v/>
      </c>
      <c r="K2612" s="108">
        <f>IF($I2612="▼ SORTIE",$U2612,"")</f>
        <v/>
      </c>
      <c r="L2612" s="109">
        <f>$L2611+N($J2612)-N($K2612)</f>
        <v/>
      </c>
      <c r="M2612" s="110" t="n"/>
      <c r="N2612" s="54" t="n"/>
      <c r="O2612" s="54" t="n"/>
      <c r="P2612" s="54" t="n"/>
      <c r="Q2612" s="110" t="n"/>
      <c r="R2612" s="110" t="n"/>
      <c r="S2612" s="54" t="n"/>
      <c r="T2612" s="111">
        <f>IF($G2612="","",IFERROR(INDEX(Taux_Devises,MATCH(IF($M2612="",Devise_Base,$M2612),Codes_Devises,0)),1))</f>
        <v/>
      </c>
      <c r="U2612" s="112">
        <f>IF($G2612="","",ROUND($G2612*$T2612,2))</f>
        <v/>
      </c>
      <c r="V2612" s="113">
        <f>IF($B2612="","",MONTH($B2612))</f>
        <v/>
      </c>
      <c r="W2612" s="113">
        <f>IF($B2612="","",YEAR($B2612))</f>
        <v/>
      </c>
    </row>
    <row r="2613">
      <c r="B2613" s="105" t="n"/>
      <c r="C2613" s="54" t="n"/>
      <c r="D2613" s="54" t="n"/>
      <c r="E2613" s="54" t="n"/>
      <c r="F2613" s="54" t="n"/>
      <c r="G2613" s="65" t="n"/>
      <c r="H2613" s="54" t="n"/>
      <c r="I2613" s="106">
        <f>IF($C2613="","",IFERROR(INDEX(Sens_Types,MATCH($C2613,Liste_Types,0)),""))</f>
        <v/>
      </c>
      <c r="J2613" s="107">
        <f>IF($I2613="▲ ENTRÉE",$U2613,"")</f>
        <v/>
      </c>
      <c r="K2613" s="108">
        <f>IF($I2613="▼ SORTIE",$U2613,"")</f>
        <v/>
      </c>
      <c r="L2613" s="109">
        <f>$L2612+N($J2613)-N($K2613)</f>
        <v/>
      </c>
      <c r="M2613" s="110" t="n"/>
      <c r="N2613" s="54" t="n"/>
      <c r="O2613" s="54" t="n"/>
      <c r="P2613" s="54" t="n"/>
      <c r="Q2613" s="110" t="n"/>
      <c r="R2613" s="110" t="n"/>
      <c r="S2613" s="54" t="n"/>
      <c r="T2613" s="111">
        <f>IF($G2613="","",IFERROR(INDEX(Taux_Devises,MATCH(IF($M2613="",Devise_Base,$M2613),Codes_Devises,0)),1))</f>
        <v/>
      </c>
      <c r="U2613" s="112">
        <f>IF($G2613="","",ROUND($G2613*$T2613,2))</f>
        <v/>
      </c>
      <c r="V2613" s="113">
        <f>IF($B2613="","",MONTH($B2613))</f>
        <v/>
      </c>
      <c r="W2613" s="113">
        <f>IF($B2613="","",YEAR($B2613))</f>
        <v/>
      </c>
    </row>
    <row r="2614">
      <c r="B2614" s="105" t="n"/>
      <c r="C2614" s="54" t="n"/>
      <c r="D2614" s="54" t="n"/>
      <c r="E2614" s="54" t="n"/>
      <c r="F2614" s="54" t="n"/>
      <c r="G2614" s="65" t="n"/>
      <c r="H2614" s="54" t="n"/>
      <c r="I2614" s="106">
        <f>IF($C2614="","",IFERROR(INDEX(Sens_Types,MATCH($C2614,Liste_Types,0)),""))</f>
        <v/>
      </c>
      <c r="J2614" s="107">
        <f>IF($I2614="▲ ENTRÉE",$U2614,"")</f>
        <v/>
      </c>
      <c r="K2614" s="108">
        <f>IF($I2614="▼ SORTIE",$U2614,"")</f>
        <v/>
      </c>
      <c r="L2614" s="109">
        <f>$L2613+N($J2614)-N($K2614)</f>
        <v/>
      </c>
      <c r="M2614" s="110" t="n"/>
      <c r="N2614" s="54" t="n"/>
      <c r="O2614" s="54" t="n"/>
      <c r="P2614" s="54" t="n"/>
      <c r="Q2614" s="110" t="n"/>
      <c r="R2614" s="110" t="n"/>
      <c r="S2614" s="54" t="n"/>
      <c r="T2614" s="111">
        <f>IF($G2614="","",IFERROR(INDEX(Taux_Devises,MATCH(IF($M2614="",Devise_Base,$M2614),Codes_Devises,0)),1))</f>
        <v/>
      </c>
      <c r="U2614" s="112">
        <f>IF($G2614="","",ROUND($G2614*$T2614,2))</f>
        <v/>
      </c>
      <c r="V2614" s="113">
        <f>IF($B2614="","",MONTH($B2614))</f>
        <v/>
      </c>
      <c r="W2614" s="113">
        <f>IF($B2614="","",YEAR($B2614))</f>
        <v/>
      </c>
    </row>
    <row r="2615">
      <c r="B2615" s="105" t="n"/>
      <c r="C2615" s="54" t="n"/>
      <c r="D2615" s="54" t="n"/>
      <c r="E2615" s="54" t="n"/>
      <c r="F2615" s="54" t="n"/>
      <c r="G2615" s="65" t="n"/>
      <c r="H2615" s="54" t="n"/>
      <c r="I2615" s="106">
        <f>IF($C2615="","",IFERROR(INDEX(Sens_Types,MATCH($C2615,Liste_Types,0)),""))</f>
        <v/>
      </c>
      <c r="J2615" s="107">
        <f>IF($I2615="▲ ENTRÉE",$U2615,"")</f>
        <v/>
      </c>
      <c r="K2615" s="108">
        <f>IF($I2615="▼ SORTIE",$U2615,"")</f>
        <v/>
      </c>
      <c r="L2615" s="109">
        <f>$L2614+N($J2615)-N($K2615)</f>
        <v/>
      </c>
      <c r="M2615" s="110" t="n"/>
      <c r="N2615" s="54" t="n"/>
      <c r="O2615" s="54" t="n"/>
      <c r="P2615" s="54" t="n"/>
      <c r="Q2615" s="110" t="n"/>
      <c r="R2615" s="110" t="n"/>
      <c r="S2615" s="54" t="n"/>
      <c r="T2615" s="111">
        <f>IF($G2615="","",IFERROR(INDEX(Taux_Devises,MATCH(IF($M2615="",Devise_Base,$M2615),Codes_Devises,0)),1))</f>
        <v/>
      </c>
      <c r="U2615" s="112">
        <f>IF($G2615="","",ROUND($G2615*$T2615,2))</f>
        <v/>
      </c>
      <c r="V2615" s="113">
        <f>IF($B2615="","",MONTH($B2615))</f>
        <v/>
      </c>
      <c r="W2615" s="113">
        <f>IF($B2615="","",YEAR($B2615))</f>
        <v/>
      </c>
    </row>
    <row r="2616">
      <c r="B2616" s="105" t="n"/>
      <c r="C2616" s="54" t="n"/>
      <c r="D2616" s="54" t="n"/>
      <c r="E2616" s="54" t="n"/>
      <c r="F2616" s="54" t="n"/>
      <c r="G2616" s="65" t="n"/>
      <c r="H2616" s="54" t="n"/>
      <c r="I2616" s="106">
        <f>IF($C2616="","",IFERROR(INDEX(Sens_Types,MATCH($C2616,Liste_Types,0)),""))</f>
        <v/>
      </c>
      <c r="J2616" s="107">
        <f>IF($I2616="▲ ENTRÉE",$U2616,"")</f>
        <v/>
      </c>
      <c r="K2616" s="108">
        <f>IF($I2616="▼ SORTIE",$U2616,"")</f>
        <v/>
      </c>
      <c r="L2616" s="109">
        <f>$L2615+N($J2616)-N($K2616)</f>
        <v/>
      </c>
      <c r="M2616" s="110" t="n"/>
      <c r="N2616" s="54" t="n"/>
      <c r="O2616" s="54" t="n"/>
      <c r="P2616" s="54" t="n"/>
      <c r="Q2616" s="110" t="n"/>
      <c r="R2616" s="110" t="n"/>
      <c r="S2616" s="54" t="n"/>
      <c r="T2616" s="111">
        <f>IF($G2616="","",IFERROR(INDEX(Taux_Devises,MATCH(IF($M2616="",Devise_Base,$M2616),Codes_Devises,0)),1))</f>
        <v/>
      </c>
      <c r="U2616" s="112">
        <f>IF($G2616="","",ROUND($G2616*$T2616,2))</f>
        <v/>
      </c>
      <c r="V2616" s="113">
        <f>IF($B2616="","",MONTH($B2616))</f>
        <v/>
      </c>
      <c r="W2616" s="113">
        <f>IF($B2616="","",YEAR($B2616))</f>
        <v/>
      </c>
    </row>
    <row r="2617">
      <c r="B2617" s="105" t="n"/>
      <c r="C2617" s="54" t="n"/>
      <c r="D2617" s="54" t="n"/>
      <c r="E2617" s="54" t="n"/>
      <c r="F2617" s="54" t="n"/>
      <c r="G2617" s="65" t="n"/>
      <c r="H2617" s="54" t="n"/>
      <c r="I2617" s="106">
        <f>IF($C2617="","",IFERROR(INDEX(Sens_Types,MATCH($C2617,Liste_Types,0)),""))</f>
        <v/>
      </c>
      <c r="J2617" s="107">
        <f>IF($I2617="▲ ENTRÉE",$U2617,"")</f>
        <v/>
      </c>
      <c r="K2617" s="108">
        <f>IF($I2617="▼ SORTIE",$U2617,"")</f>
        <v/>
      </c>
      <c r="L2617" s="109">
        <f>$L2616+N($J2617)-N($K2617)</f>
        <v/>
      </c>
      <c r="M2617" s="110" t="n"/>
      <c r="N2617" s="54" t="n"/>
      <c r="O2617" s="54" t="n"/>
      <c r="P2617" s="54" t="n"/>
      <c r="Q2617" s="110" t="n"/>
      <c r="R2617" s="110" t="n"/>
      <c r="S2617" s="54" t="n"/>
      <c r="T2617" s="111">
        <f>IF($G2617="","",IFERROR(INDEX(Taux_Devises,MATCH(IF($M2617="",Devise_Base,$M2617),Codes_Devises,0)),1))</f>
        <v/>
      </c>
      <c r="U2617" s="112">
        <f>IF($G2617="","",ROUND($G2617*$T2617,2))</f>
        <v/>
      </c>
      <c r="V2617" s="113">
        <f>IF($B2617="","",MONTH($B2617))</f>
        <v/>
      </c>
      <c r="W2617" s="113">
        <f>IF($B2617="","",YEAR($B2617))</f>
        <v/>
      </c>
    </row>
    <row r="2618">
      <c r="B2618" s="105" t="n"/>
      <c r="C2618" s="54" t="n"/>
      <c r="D2618" s="54" t="n"/>
      <c r="E2618" s="54" t="n"/>
      <c r="F2618" s="54" t="n"/>
      <c r="G2618" s="65" t="n"/>
      <c r="H2618" s="54" t="n"/>
      <c r="I2618" s="106">
        <f>IF($C2618="","",IFERROR(INDEX(Sens_Types,MATCH($C2618,Liste_Types,0)),""))</f>
        <v/>
      </c>
      <c r="J2618" s="107">
        <f>IF($I2618="▲ ENTRÉE",$U2618,"")</f>
        <v/>
      </c>
      <c r="K2618" s="108">
        <f>IF($I2618="▼ SORTIE",$U2618,"")</f>
        <v/>
      </c>
      <c r="L2618" s="109">
        <f>$L2617+N($J2618)-N($K2618)</f>
        <v/>
      </c>
      <c r="M2618" s="110" t="n"/>
      <c r="N2618" s="54" t="n"/>
      <c r="O2618" s="54" t="n"/>
      <c r="P2618" s="54" t="n"/>
      <c r="Q2618" s="110" t="n"/>
      <c r="R2618" s="110" t="n"/>
      <c r="S2618" s="54" t="n"/>
      <c r="T2618" s="111">
        <f>IF($G2618="","",IFERROR(INDEX(Taux_Devises,MATCH(IF($M2618="",Devise_Base,$M2618),Codes_Devises,0)),1))</f>
        <v/>
      </c>
      <c r="U2618" s="112">
        <f>IF($G2618="","",ROUND($G2618*$T2618,2))</f>
        <v/>
      </c>
      <c r="V2618" s="113">
        <f>IF($B2618="","",MONTH($B2618))</f>
        <v/>
      </c>
      <c r="W2618" s="113">
        <f>IF($B2618="","",YEAR($B2618))</f>
        <v/>
      </c>
    </row>
    <row r="2619">
      <c r="B2619" s="105" t="n"/>
      <c r="C2619" s="54" t="n"/>
      <c r="D2619" s="54" t="n"/>
      <c r="E2619" s="54" t="n"/>
      <c r="F2619" s="54" t="n"/>
      <c r="G2619" s="65" t="n"/>
      <c r="H2619" s="54" t="n"/>
      <c r="I2619" s="106">
        <f>IF($C2619="","",IFERROR(INDEX(Sens_Types,MATCH($C2619,Liste_Types,0)),""))</f>
        <v/>
      </c>
      <c r="J2619" s="107">
        <f>IF($I2619="▲ ENTRÉE",$U2619,"")</f>
        <v/>
      </c>
      <c r="K2619" s="108">
        <f>IF($I2619="▼ SORTIE",$U2619,"")</f>
        <v/>
      </c>
      <c r="L2619" s="109">
        <f>$L2618+N($J2619)-N($K2619)</f>
        <v/>
      </c>
      <c r="M2619" s="110" t="n"/>
      <c r="N2619" s="54" t="n"/>
      <c r="O2619" s="54" t="n"/>
      <c r="P2619" s="54" t="n"/>
      <c r="Q2619" s="110" t="n"/>
      <c r="R2619" s="110" t="n"/>
      <c r="S2619" s="54" t="n"/>
      <c r="T2619" s="111">
        <f>IF($G2619="","",IFERROR(INDEX(Taux_Devises,MATCH(IF($M2619="",Devise_Base,$M2619),Codes_Devises,0)),1))</f>
        <v/>
      </c>
      <c r="U2619" s="112">
        <f>IF($G2619="","",ROUND($G2619*$T2619,2))</f>
        <v/>
      </c>
      <c r="V2619" s="113">
        <f>IF($B2619="","",MONTH($B2619))</f>
        <v/>
      </c>
      <c r="W2619" s="113">
        <f>IF($B2619="","",YEAR($B2619))</f>
        <v/>
      </c>
    </row>
    <row r="2620">
      <c r="B2620" s="105" t="n"/>
      <c r="C2620" s="54" t="n"/>
      <c r="D2620" s="54" t="n"/>
      <c r="E2620" s="54" t="n"/>
      <c r="F2620" s="54" t="n"/>
      <c r="G2620" s="65" t="n"/>
      <c r="H2620" s="54" t="n"/>
      <c r="I2620" s="106">
        <f>IF($C2620="","",IFERROR(INDEX(Sens_Types,MATCH($C2620,Liste_Types,0)),""))</f>
        <v/>
      </c>
      <c r="J2620" s="107">
        <f>IF($I2620="▲ ENTRÉE",$U2620,"")</f>
        <v/>
      </c>
      <c r="K2620" s="108">
        <f>IF($I2620="▼ SORTIE",$U2620,"")</f>
        <v/>
      </c>
      <c r="L2620" s="109">
        <f>$L2619+N($J2620)-N($K2620)</f>
        <v/>
      </c>
      <c r="M2620" s="110" t="n"/>
      <c r="N2620" s="54" t="n"/>
      <c r="O2620" s="54" t="n"/>
      <c r="P2620" s="54" t="n"/>
      <c r="Q2620" s="110" t="n"/>
      <c r="R2620" s="110" t="n"/>
      <c r="S2620" s="54" t="n"/>
      <c r="T2620" s="111">
        <f>IF($G2620="","",IFERROR(INDEX(Taux_Devises,MATCH(IF($M2620="",Devise_Base,$M2620),Codes_Devises,0)),1))</f>
        <v/>
      </c>
      <c r="U2620" s="112">
        <f>IF($G2620="","",ROUND($G2620*$T2620,2))</f>
        <v/>
      </c>
      <c r="V2620" s="113">
        <f>IF($B2620="","",MONTH($B2620))</f>
        <v/>
      </c>
      <c r="W2620" s="113">
        <f>IF($B2620="","",YEAR($B2620))</f>
        <v/>
      </c>
    </row>
    <row r="2621">
      <c r="B2621" s="105" t="n"/>
      <c r="C2621" s="54" t="n"/>
      <c r="D2621" s="54" t="n"/>
      <c r="E2621" s="54" t="n"/>
      <c r="F2621" s="54" t="n"/>
      <c r="G2621" s="65" t="n"/>
      <c r="H2621" s="54" t="n"/>
      <c r="I2621" s="106">
        <f>IF($C2621="","",IFERROR(INDEX(Sens_Types,MATCH($C2621,Liste_Types,0)),""))</f>
        <v/>
      </c>
      <c r="J2621" s="107">
        <f>IF($I2621="▲ ENTRÉE",$U2621,"")</f>
        <v/>
      </c>
      <c r="K2621" s="108">
        <f>IF($I2621="▼ SORTIE",$U2621,"")</f>
        <v/>
      </c>
      <c r="L2621" s="109">
        <f>$L2620+N($J2621)-N($K2621)</f>
        <v/>
      </c>
      <c r="M2621" s="110" t="n"/>
      <c r="N2621" s="54" t="n"/>
      <c r="O2621" s="54" t="n"/>
      <c r="P2621" s="54" t="n"/>
      <c r="Q2621" s="110" t="n"/>
      <c r="R2621" s="110" t="n"/>
      <c r="S2621" s="54" t="n"/>
      <c r="T2621" s="111">
        <f>IF($G2621="","",IFERROR(INDEX(Taux_Devises,MATCH(IF($M2621="",Devise_Base,$M2621),Codes_Devises,0)),1))</f>
        <v/>
      </c>
      <c r="U2621" s="112">
        <f>IF($G2621="","",ROUND($G2621*$T2621,2))</f>
        <v/>
      </c>
      <c r="V2621" s="113">
        <f>IF($B2621="","",MONTH($B2621))</f>
        <v/>
      </c>
      <c r="W2621" s="113">
        <f>IF($B2621="","",YEAR($B2621))</f>
        <v/>
      </c>
    </row>
    <row r="2622">
      <c r="B2622" s="105" t="n"/>
      <c r="C2622" s="54" t="n"/>
      <c r="D2622" s="54" t="n"/>
      <c r="E2622" s="54" t="n"/>
      <c r="F2622" s="54" t="n"/>
      <c r="G2622" s="65" t="n"/>
      <c r="H2622" s="54" t="n"/>
      <c r="I2622" s="106">
        <f>IF($C2622="","",IFERROR(INDEX(Sens_Types,MATCH($C2622,Liste_Types,0)),""))</f>
        <v/>
      </c>
      <c r="J2622" s="107">
        <f>IF($I2622="▲ ENTRÉE",$U2622,"")</f>
        <v/>
      </c>
      <c r="K2622" s="108">
        <f>IF($I2622="▼ SORTIE",$U2622,"")</f>
        <v/>
      </c>
      <c r="L2622" s="109">
        <f>$L2621+N($J2622)-N($K2622)</f>
        <v/>
      </c>
      <c r="M2622" s="110" t="n"/>
      <c r="N2622" s="54" t="n"/>
      <c r="O2622" s="54" t="n"/>
      <c r="P2622" s="54" t="n"/>
      <c r="Q2622" s="110" t="n"/>
      <c r="R2622" s="110" t="n"/>
      <c r="S2622" s="54" t="n"/>
      <c r="T2622" s="111">
        <f>IF($G2622="","",IFERROR(INDEX(Taux_Devises,MATCH(IF($M2622="",Devise_Base,$M2622),Codes_Devises,0)),1))</f>
        <v/>
      </c>
      <c r="U2622" s="112">
        <f>IF($G2622="","",ROUND($G2622*$T2622,2))</f>
        <v/>
      </c>
      <c r="V2622" s="113">
        <f>IF($B2622="","",MONTH($B2622))</f>
        <v/>
      </c>
      <c r="W2622" s="113">
        <f>IF($B2622="","",YEAR($B2622))</f>
        <v/>
      </c>
    </row>
    <row r="2623">
      <c r="B2623" s="105" t="n"/>
      <c r="C2623" s="54" t="n"/>
      <c r="D2623" s="54" t="n"/>
      <c r="E2623" s="54" t="n"/>
      <c r="F2623" s="54" t="n"/>
      <c r="G2623" s="65" t="n"/>
      <c r="H2623" s="54" t="n"/>
      <c r="I2623" s="106">
        <f>IF($C2623="","",IFERROR(INDEX(Sens_Types,MATCH($C2623,Liste_Types,0)),""))</f>
        <v/>
      </c>
      <c r="J2623" s="107">
        <f>IF($I2623="▲ ENTRÉE",$U2623,"")</f>
        <v/>
      </c>
      <c r="K2623" s="108">
        <f>IF($I2623="▼ SORTIE",$U2623,"")</f>
        <v/>
      </c>
      <c r="L2623" s="109">
        <f>$L2622+N($J2623)-N($K2623)</f>
        <v/>
      </c>
      <c r="M2623" s="110" t="n"/>
      <c r="N2623" s="54" t="n"/>
      <c r="O2623" s="54" t="n"/>
      <c r="P2623" s="54" t="n"/>
      <c r="Q2623" s="110" t="n"/>
      <c r="R2623" s="110" t="n"/>
      <c r="S2623" s="54" t="n"/>
      <c r="T2623" s="111">
        <f>IF($G2623="","",IFERROR(INDEX(Taux_Devises,MATCH(IF($M2623="",Devise_Base,$M2623),Codes_Devises,0)),1))</f>
        <v/>
      </c>
      <c r="U2623" s="112">
        <f>IF($G2623="","",ROUND($G2623*$T2623,2))</f>
        <v/>
      </c>
      <c r="V2623" s="113">
        <f>IF($B2623="","",MONTH($B2623))</f>
        <v/>
      </c>
      <c r="W2623" s="113">
        <f>IF($B2623="","",YEAR($B2623))</f>
        <v/>
      </c>
    </row>
    <row r="2624">
      <c r="B2624" s="105" t="n"/>
      <c r="C2624" s="54" t="n"/>
      <c r="D2624" s="54" t="n"/>
      <c r="E2624" s="54" t="n"/>
      <c r="F2624" s="54" t="n"/>
      <c r="G2624" s="65" t="n"/>
      <c r="H2624" s="54" t="n"/>
      <c r="I2624" s="106">
        <f>IF($C2624="","",IFERROR(INDEX(Sens_Types,MATCH($C2624,Liste_Types,0)),""))</f>
        <v/>
      </c>
      <c r="J2624" s="107">
        <f>IF($I2624="▲ ENTRÉE",$U2624,"")</f>
        <v/>
      </c>
      <c r="K2624" s="108">
        <f>IF($I2624="▼ SORTIE",$U2624,"")</f>
        <v/>
      </c>
      <c r="L2624" s="109">
        <f>$L2623+N($J2624)-N($K2624)</f>
        <v/>
      </c>
      <c r="M2624" s="110" t="n"/>
      <c r="N2624" s="54" t="n"/>
      <c r="O2624" s="54" t="n"/>
      <c r="P2624" s="54" t="n"/>
      <c r="Q2624" s="110" t="n"/>
      <c r="R2624" s="110" t="n"/>
      <c r="S2624" s="54" t="n"/>
      <c r="T2624" s="111">
        <f>IF($G2624="","",IFERROR(INDEX(Taux_Devises,MATCH(IF($M2624="",Devise_Base,$M2624),Codes_Devises,0)),1))</f>
        <v/>
      </c>
      <c r="U2624" s="112">
        <f>IF($G2624="","",ROUND($G2624*$T2624,2))</f>
        <v/>
      </c>
      <c r="V2624" s="113">
        <f>IF($B2624="","",MONTH($B2624))</f>
        <v/>
      </c>
      <c r="W2624" s="113">
        <f>IF($B2624="","",YEAR($B2624))</f>
        <v/>
      </c>
    </row>
    <row r="2625">
      <c r="B2625" s="105" t="n"/>
      <c r="C2625" s="54" t="n"/>
      <c r="D2625" s="54" t="n"/>
      <c r="E2625" s="54" t="n"/>
      <c r="F2625" s="54" t="n"/>
      <c r="G2625" s="65" t="n"/>
      <c r="H2625" s="54" t="n"/>
      <c r="I2625" s="106">
        <f>IF($C2625="","",IFERROR(INDEX(Sens_Types,MATCH($C2625,Liste_Types,0)),""))</f>
        <v/>
      </c>
      <c r="J2625" s="107">
        <f>IF($I2625="▲ ENTRÉE",$U2625,"")</f>
        <v/>
      </c>
      <c r="K2625" s="108">
        <f>IF($I2625="▼ SORTIE",$U2625,"")</f>
        <v/>
      </c>
      <c r="L2625" s="109">
        <f>$L2624+N($J2625)-N($K2625)</f>
        <v/>
      </c>
      <c r="M2625" s="110" t="n"/>
      <c r="N2625" s="54" t="n"/>
      <c r="O2625" s="54" t="n"/>
      <c r="P2625" s="54" t="n"/>
      <c r="Q2625" s="110" t="n"/>
      <c r="R2625" s="110" t="n"/>
      <c r="S2625" s="54" t="n"/>
      <c r="T2625" s="111">
        <f>IF($G2625="","",IFERROR(INDEX(Taux_Devises,MATCH(IF($M2625="",Devise_Base,$M2625),Codes_Devises,0)),1))</f>
        <v/>
      </c>
      <c r="U2625" s="112">
        <f>IF($G2625="","",ROUND($G2625*$T2625,2))</f>
        <v/>
      </c>
      <c r="V2625" s="113">
        <f>IF($B2625="","",MONTH($B2625))</f>
        <v/>
      </c>
      <c r="W2625" s="113">
        <f>IF($B2625="","",YEAR($B2625))</f>
        <v/>
      </c>
    </row>
    <row r="2626">
      <c r="B2626" s="105" t="n"/>
      <c r="C2626" s="54" t="n"/>
      <c r="D2626" s="54" t="n"/>
      <c r="E2626" s="54" t="n"/>
      <c r="F2626" s="54" t="n"/>
      <c r="G2626" s="65" t="n"/>
      <c r="H2626" s="54" t="n"/>
      <c r="I2626" s="106">
        <f>IF($C2626="","",IFERROR(INDEX(Sens_Types,MATCH($C2626,Liste_Types,0)),""))</f>
        <v/>
      </c>
      <c r="J2626" s="107">
        <f>IF($I2626="▲ ENTRÉE",$U2626,"")</f>
        <v/>
      </c>
      <c r="K2626" s="108">
        <f>IF($I2626="▼ SORTIE",$U2626,"")</f>
        <v/>
      </c>
      <c r="L2626" s="109">
        <f>$L2625+N($J2626)-N($K2626)</f>
        <v/>
      </c>
      <c r="M2626" s="110" t="n"/>
      <c r="N2626" s="54" t="n"/>
      <c r="O2626" s="54" t="n"/>
      <c r="P2626" s="54" t="n"/>
      <c r="Q2626" s="110" t="n"/>
      <c r="R2626" s="110" t="n"/>
      <c r="S2626" s="54" t="n"/>
      <c r="T2626" s="111">
        <f>IF($G2626="","",IFERROR(INDEX(Taux_Devises,MATCH(IF($M2626="",Devise_Base,$M2626),Codes_Devises,0)),1))</f>
        <v/>
      </c>
      <c r="U2626" s="112">
        <f>IF($G2626="","",ROUND($G2626*$T2626,2))</f>
        <v/>
      </c>
      <c r="V2626" s="113">
        <f>IF($B2626="","",MONTH($B2626))</f>
        <v/>
      </c>
      <c r="W2626" s="113">
        <f>IF($B2626="","",YEAR($B2626))</f>
        <v/>
      </c>
    </row>
    <row r="2627">
      <c r="B2627" s="105" t="n"/>
      <c r="C2627" s="54" t="n"/>
      <c r="D2627" s="54" t="n"/>
      <c r="E2627" s="54" t="n"/>
      <c r="F2627" s="54" t="n"/>
      <c r="G2627" s="65" t="n"/>
      <c r="H2627" s="54" t="n"/>
      <c r="I2627" s="106">
        <f>IF($C2627="","",IFERROR(INDEX(Sens_Types,MATCH($C2627,Liste_Types,0)),""))</f>
        <v/>
      </c>
      <c r="J2627" s="107">
        <f>IF($I2627="▲ ENTRÉE",$U2627,"")</f>
        <v/>
      </c>
      <c r="K2627" s="108">
        <f>IF($I2627="▼ SORTIE",$U2627,"")</f>
        <v/>
      </c>
      <c r="L2627" s="109">
        <f>$L2626+N($J2627)-N($K2627)</f>
        <v/>
      </c>
      <c r="M2627" s="110" t="n"/>
      <c r="N2627" s="54" t="n"/>
      <c r="O2627" s="54" t="n"/>
      <c r="P2627" s="54" t="n"/>
      <c r="Q2627" s="110" t="n"/>
      <c r="R2627" s="110" t="n"/>
      <c r="S2627" s="54" t="n"/>
      <c r="T2627" s="111">
        <f>IF($G2627="","",IFERROR(INDEX(Taux_Devises,MATCH(IF($M2627="",Devise_Base,$M2627),Codes_Devises,0)),1))</f>
        <v/>
      </c>
      <c r="U2627" s="112">
        <f>IF($G2627="","",ROUND($G2627*$T2627,2))</f>
        <v/>
      </c>
      <c r="V2627" s="113">
        <f>IF($B2627="","",MONTH($B2627))</f>
        <v/>
      </c>
      <c r="W2627" s="113">
        <f>IF($B2627="","",YEAR($B2627))</f>
        <v/>
      </c>
    </row>
    <row r="2628">
      <c r="B2628" s="105" t="n"/>
      <c r="C2628" s="54" t="n"/>
      <c r="D2628" s="54" t="n"/>
      <c r="E2628" s="54" t="n"/>
      <c r="F2628" s="54" t="n"/>
      <c r="G2628" s="65" t="n"/>
      <c r="H2628" s="54" t="n"/>
      <c r="I2628" s="106">
        <f>IF($C2628="","",IFERROR(INDEX(Sens_Types,MATCH($C2628,Liste_Types,0)),""))</f>
        <v/>
      </c>
      <c r="J2628" s="107">
        <f>IF($I2628="▲ ENTRÉE",$U2628,"")</f>
        <v/>
      </c>
      <c r="K2628" s="108">
        <f>IF($I2628="▼ SORTIE",$U2628,"")</f>
        <v/>
      </c>
      <c r="L2628" s="109">
        <f>$L2627+N($J2628)-N($K2628)</f>
        <v/>
      </c>
      <c r="M2628" s="110" t="n"/>
      <c r="N2628" s="54" t="n"/>
      <c r="O2628" s="54" t="n"/>
      <c r="P2628" s="54" t="n"/>
      <c r="Q2628" s="110" t="n"/>
      <c r="R2628" s="110" t="n"/>
      <c r="S2628" s="54" t="n"/>
      <c r="T2628" s="111">
        <f>IF($G2628="","",IFERROR(INDEX(Taux_Devises,MATCH(IF($M2628="",Devise_Base,$M2628),Codes_Devises,0)),1))</f>
        <v/>
      </c>
      <c r="U2628" s="112">
        <f>IF($G2628="","",ROUND($G2628*$T2628,2))</f>
        <v/>
      </c>
      <c r="V2628" s="113">
        <f>IF($B2628="","",MONTH($B2628))</f>
        <v/>
      </c>
      <c r="W2628" s="113">
        <f>IF($B2628="","",YEAR($B2628))</f>
        <v/>
      </c>
    </row>
    <row r="2629">
      <c r="B2629" s="105" t="n"/>
      <c r="C2629" s="54" t="n"/>
      <c r="D2629" s="54" t="n"/>
      <c r="E2629" s="54" t="n"/>
      <c r="F2629" s="54" t="n"/>
      <c r="G2629" s="65" t="n"/>
      <c r="H2629" s="54" t="n"/>
      <c r="I2629" s="106">
        <f>IF($C2629="","",IFERROR(INDEX(Sens_Types,MATCH($C2629,Liste_Types,0)),""))</f>
        <v/>
      </c>
      <c r="J2629" s="107">
        <f>IF($I2629="▲ ENTRÉE",$U2629,"")</f>
        <v/>
      </c>
      <c r="K2629" s="108">
        <f>IF($I2629="▼ SORTIE",$U2629,"")</f>
        <v/>
      </c>
      <c r="L2629" s="109">
        <f>$L2628+N($J2629)-N($K2629)</f>
        <v/>
      </c>
      <c r="M2629" s="110" t="n"/>
      <c r="N2629" s="54" t="n"/>
      <c r="O2629" s="54" t="n"/>
      <c r="P2629" s="54" t="n"/>
      <c r="Q2629" s="110" t="n"/>
      <c r="R2629" s="110" t="n"/>
      <c r="S2629" s="54" t="n"/>
      <c r="T2629" s="111">
        <f>IF($G2629="","",IFERROR(INDEX(Taux_Devises,MATCH(IF($M2629="",Devise_Base,$M2629),Codes_Devises,0)),1))</f>
        <v/>
      </c>
      <c r="U2629" s="112">
        <f>IF($G2629="","",ROUND($G2629*$T2629,2))</f>
        <v/>
      </c>
      <c r="V2629" s="113">
        <f>IF($B2629="","",MONTH($B2629))</f>
        <v/>
      </c>
      <c r="W2629" s="113">
        <f>IF($B2629="","",YEAR($B2629))</f>
        <v/>
      </c>
    </row>
    <row r="2630">
      <c r="B2630" s="105" t="n"/>
      <c r="C2630" s="54" t="n"/>
      <c r="D2630" s="54" t="n"/>
      <c r="E2630" s="54" t="n"/>
      <c r="F2630" s="54" t="n"/>
      <c r="G2630" s="65" t="n"/>
      <c r="H2630" s="54" t="n"/>
      <c r="I2630" s="106">
        <f>IF($C2630="","",IFERROR(INDEX(Sens_Types,MATCH($C2630,Liste_Types,0)),""))</f>
        <v/>
      </c>
      <c r="J2630" s="107">
        <f>IF($I2630="▲ ENTRÉE",$U2630,"")</f>
        <v/>
      </c>
      <c r="K2630" s="108">
        <f>IF($I2630="▼ SORTIE",$U2630,"")</f>
        <v/>
      </c>
      <c r="L2630" s="109">
        <f>$L2629+N($J2630)-N($K2630)</f>
        <v/>
      </c>
      <c r="M2630" s="110" t="n"/>
      <c r="N2630" s="54" t="n"/>
      <c r="O2630" s="54" t="n"/>
      <c r="P2630" s="54" t="n"/>
      <c r="Q2630" s="110" t="n"/>
      <c r="R2630" s="110" t="n"/>
      <c r="S2630" s="54" t="n"/>
      <c r="T2630" s="111">
        <f>IF($G2630="","",IFERROR(INDEX(Taux_Devises,MATCH(IF($M2630="",Devise_Base,$M2630),Codes_Devises,0)),1))</f>
        <v/>
      </c>
      <c r="U2630" s="112">
        <f>IF($G2630="","",ROUND($G2630*$T2630,2))</f>
        <v/>
      </c>
      <c r="V2630" s="113">
        <f>IF($B2630="","",MONTH($B2630))</f>
        <v/>
      </c>
      <c r="W2630" s="113">
        <f>IF($B2630="","",YEAR($B2630))</f>
        <v/>
      </c>
    </row>
    <row r="2631">
      <c r="B2631" s="105" t="n"/>
      <c r="C2631" s="54" t="n"/>
      <c r="D2631" s="54" t="n"/>
      <c r="E2631" s="54" t="n"/>
      <c r="F2631" s="54" t="n"/>
      <c r="G2631" s="65" t="n"/>
      <c r="H2631" s="54" t="n"/>
      <c r="I2631" s="106">
        <f>IF($C2631="","",IFERROR(INDEX(Sens_Types,MATCH($C2631,Liste_Types,0)),""))</f>
        <v/>
      </c>
      <c r="J2631" s="107">
        <f>IF($I2631="▲ ENTRÉE",$U2631,"")</f>
        <v/>
      </c>
      <c r="K2631" s="108">
        <f>IF($I2631="▼ SORTIE",$U2631,"")</f>
        <v/>
      </c>
      <c r="L2631" s="109">
        <f>$L2630+N($J2631)-N($K2631)</f>
        <v/>
      </c>
      <c r="M2631" s="110" t="n"/>
      <c r="N2631" s="54" t="n"/>
      <c r="O2631" s="54" t="n"/>
      <c r="P2631" s="54" t="n"/>
      <c r="Q2631" s="110" t="n"/>
      <c r="R2631" s="110" t="n"/>
      <c r="S2631" s="54" t="n"/>
      <c r="T2631" s="111">
        <f>IF($G2631="","",IFERROR(INDEX(Taux_Devises,MATCH(IF($M2631="",Devise_Base,$M2631),Codes_Devises,0)),1))</f>
        <v/>
      </c>
      <c r="U2631" s="112">
        <f>IF($G2631="","",ROUND($G2631*$T2631,2))</f>
        <v/>
      </c>
      <c r="V2631" s="113">
        <f>IF($B2631="","",MONTH($B2631))</f>
        <v/>
      </c>
      <c r="W2631" s="113">
        <f>IF($B2631="","",YEAR($B2631))</f>
        <v/>
      </c>
    </row>
    <row r="2632">
      <c r="B2632" s="105" t="n"/>
      <c r="C2632" s="54" t="n"/>
      <c r="D2632" s="54" t="n"/>
      <c r="E2632" s="54" t="n"/>
      <c r="F2632" s="54" t="n"/>
      <c r="G2632" s="65" t="n"/>
      <c r="H2632" s="54" t="n"/>
      <c r="I2632" s="106">
        <f>IF($C2632="","",IFERROR(INDEX(Sens_Types,MATCH($C2632,Liste_Types,0)),""))</f>
        <v/>
      </c>
      <c r="J2632" s="107">
        <f>IF($I2632="▲ ENTRÉE",$U2632,"")</f>
        <v/>
      </c>
      <c r="K2632" s="108">
        <f>IF($I2632="▼ SORTIE",$U2632,"")</f>
        <v/>
      </c>
      <c r="L2632" s="109">
        <f>$L2631+N($J2632)-N($K2632)</f>
        <v/>
      </c>
      <c r="M2632" s="110" t="n"/>
      <c r="N2632" s="54" t="n"/>
      <c r="O2632" s="54" t="n"/>
      <c r="P2632" s="54" t="n"/>
      <c r="Q2632" s="110" t="n"/>
      <c r="R2632" s="110" t="n"/>
      <c r="S2632" s="54" t="n"/>
      <c r="T2632" s="111">
        <f>IF($G2632="","",IFERROR(INDEX(Taux_Devises,MATCH(IF($M2632="",Devise_Base,$M2632),Codes_Devises,0)),1))</f>
        <v/>
      </c>
      <c r="U2632" s="112">
        <f>IF($G2632="","",ROUND($G2632*$T2632,2))</f>
        <v/>
      </c>
      <c r="V2632" s="113">
        <f>IF($B2632="","",MONTH($B2632))</f>
        <v/>
      </c>
      <c r="W2632" s="113">
        <f>IF($B2632="","",YEAR($B2632))</f>
        <v/>
      </c>
    </row>
    <row r="2633">
      <c r="B2633" s="105" t="n"/>
      <c r="C2633" s="54" t="n"/>
      <c r="D2633" s="54" t="n"/>
      <c r="E2633" s="54" t="n"/>
      <c r="F2633" s="54" t="n"/>
      <c r="G2633" s="65" t="n"/>
      <c r="H2633" s="54" t="n"/>
      <c r="I2633" s="106">
        <f>IF($C2633="","",IFERROR(INDEX(Sens_Types,MATCH($C2633,Liste_Types,0)),""))</f>
        <v/>
      </c>
      <c r="J2633" s="107">
        <f>IF($I2633="▲ ENTRÉE",$U2633,"")</f>
        <v/>
      </c>
      <c r="K2633" s="108">
        <f>IF($I2633="▼ SORTIE",$U2633,"")</f>
        <v/>
      </c>
      <c r="L2633" s="109">
        <f>$L2632+N($J2633)-N($K2633)</f>
        <v/>
      </c>
      <c r="M2633" s="110" t="n"/>
      <c r="N2633" s="54" t="n"/>
      <c r="O2633" s="54" t="n"/>
      <c r="P2633" s="54" t="n"/>
      <c r="Q2633" s="110" t="n"/>
      <c r="R2633" s="110" t="n"/>
      <c r="S2633" s="54" t="n"/>
      <c r="T2633" s="111">
        <f>IF($G2633="","",IFERROR(INDEX(Taux_Devises,MATCH(IF($M2633="",Devise_Base,$M2633),Codes_Devises,0)),1))</f>
        <v/>
      </c>
      <c r="U2633" s="112">
        <f>IF($G2633="","",ROUND($G2633*$T2633,2))</f>
        <v/>
      </c>
      <c r="V2633" s="113">
        <f>IF($B2633="","",MONTH($B2633))</f>
        <v/>
      </c>
      <c r="W2633" s="113">
        <f>IF($B2633="","",YEAR($B2633))</f>
        <v/>
      </c>
    </row>
    <row r="2634">
      <c r="B2634" s="105" t="n"/>
      <c r="C2634" s="54" t="n"/>
      <c r="D2634" s="54" t="n"/>
      <c r="E2634" s="54" t="n"/>
      <c r="F2634" s="54" t="n"/>
      <c r="G2634" s="65" t="n"/>
      <c r="H2634" s="54" t="n"/>
      <c r="I2634" s="106">
        <f>IF($C2634="","",IFERROR(INDEX(Sens_Types,MATCH($C2634,Liste_Types,0)),""))</f>
        <v/>
      </c>
      <c r="J2634" s="107">
        <f>IF($I2634="▲ ENTRÉE",$U2634,"")</f>
        <v/>
      </c>
      <c r="K2634" s="108">
        <f>IF($I2634="▼ SORTIE",$U2634,"")</f>
        <v/>
      </c>
      <c r="L2634" s="109">
        <f>$L2633+N($J2634)-N($K2634)</f>
        <v/>
      </c>
      <c r="M2634" s="110" t="n"/>
      <c r="N2634" s="54" t="n"/>
      <c r="O2634" s="54" t="n"/>
      <c r="P2634" s="54" t="n"/>
      <c r="Q2634" s="110" t="n"/>
      <c r="R2634" s="110" t="n"/>
      <c r="S2634" s="54" t="n"/>
      <c r="T2634" s="111">
        <f>IF($G2634="","",IFERROR(INDEX(Taux_Devises,MATCH(IF($M2634="",Devise_Base,$M2634),Codes_Devises,0)),1))</f>
        <v/>
      </c>
      <c r="U2634" s="112">
        <f>IF($G2634="","",ROUND($G2634*$T2634,2))</f>
        <v/>
      </c>
      <c r="V2634" s="113">
        <f>IF($B2634="","",MONTH($B2634))</f>
        <v/>
      </c>
      <c r="W2634" s="113">
        <f>IF($B2634="","",YEAR($B2634))</f>
        <v/>
      </c>
    </row>
    <row r="2635">
      <c r="B2635" s="105" t="n"/>
      <c r="C2635" s="54" t="n"/>
      <c r="D2635" s="54" t="n"/>
      <c r="E2635" s="54" t="n"/>
      <c r="F2635" s="54" t="n"/>
      <c r="G2635" s="65" t="n"/>
      <c r="H2635" s="54" t="n"/>
      <c r="I2635" s="106">
        <f>IF($C2635="","",IFERROR(INDEX(Sens_Types,MATCH($C2635,Liste_Types,0)),""))</f>
        <v/>
      </c>
      <c r="J2635" s="107">
        <f>IF($I2635="▲ ENTRÉE",$U2635,"")</f>
        <v/>
      </c>
      <c r="K2635" s="108">
        <f>IF($I2635="▼ SORTIE",$U2635,"")</f>
        <v/>
      </c>
      <c r="L2635" s="109">
        <f>$L2634+N($J2635)-N($K2635)</f>
        <v/>
      </c>
      <c r="M2635" s="110" t="n"/>
      <c r="N2635" s="54" t="n"/>
      <c r="O2635" s="54" t="n"/>
      <c r="P2635" s="54" t="n"/>
      <c r="Q2635" s="110" t="n"/>
      <c r="R2635" s="110" t="n"/>
      <c r="S2635" s="54" t="n"/>
      <c r="T2635" s="111">
        <f>IF($G2635="","",IFERROR(INDEX(Taux_Devises,MATCH(IF($M2635="",Devise_Base,$M2635),Codes_Devises,0)),1))</f>
        <v/>
      </c>
      <c r="U2635" s="112">
        <f>IF($G2635="","",ROUND($G2635*$T2635,2))</f>
        <v/>
      </c>
      <c r="V2635" s="113">
        <f>IF($B2635="","",MONTH($B2635))</f>
        <v/>
      </c>
      <c r="W2635" s="113">
        <f>IF($B2635="","",YEAR($B2635))</f>
        <v/>
      </c>
    </row>
    <row r="2636">
      <c r="B2636" s="105" t="n"/>
      <c r="C2636" s="54" t="n"/>
      <c r="D2636" s="54" t="n"/>
      <c r="E2636" s="54" t="n"/>
      <c r="F2636" s="54" t="n"/>
      <c r="G2636" s="65" t="n"/>
      <c r="H2636" s="54" t="n"/>
      <c r="I2636" s="106">
        <f>IF($C2636="","",IFERROR(INDEX(Sens_Types,MATCH($C2636,Liste_Types,0)),""))</f>
        <v/>
      </c>
      <c r="J2636" s="107">
        <f>IF($I2636="▲ ENTRÉE",$U2636,"")</f>
        <v/>
      </c>
      <c r="K2636" s="108">
        <f>IF($I2636="▼ SORTIE",$U2636,"")</f>
        <v/>
      </c>
      <c r="L2636" s="109">
        <f>$L2635+N($J2636)-N($K2636)</f>
        <v/>
      </c>
      <c r="M2636" s="110" t="n"/>
      <c r="N2636" s="54" t="n"/>
      <c r="O2636" s="54" t="n"/>
      <c r="P2636" s="54" t="n"/>
      <c r="Q2636" s="110" t="n"/>
      <c r="R2636" s="110" t="n"/>
      <c r="S2636" s="54" t="n"/>
      <c r="T2636" s="111">
        <f>IF($G2636="","",IFERROR(INDEX(Taux_Devises,MATCH(IF($M2636="",Devise_Base,$M2636),Codes_Devises,0)),1))</f>
        <v/>
      </c>
      <c r="U2636" s="112">
        <f>IF($G2636="","",ROUND($G2636*$T2636,2))</f>
        <v/>
      </c>
      <c r="V2636" s="113">
        <f>IF($B2636="","",MONTH($B2636))</f>
        <v/>
      </c>
      <c r="W2636" s="113">
        <f>IF($B2636="","",YEAR($B2636))</f>
        <v/>
      </c>
    </row>
    <row r="2637">
      <c r="B2637" s="105" t="n"/>
      <c r="C2637" s="54" t="n"/>
      <c r="D2637" s="54" t="n"/>
      <c r="E2637" s="54" t="n"/>
      <c r="F2637" s="54" t="n"/>
      <c r="G2637" s="65" t="n"/>
      <c r="H2637" s="54" t="n"/>
      <c r="I2637" s="106">
        <f>IF($C2637="","",IFERROR(INDEX(Sens_Types,MATCH($C2637,Liste_Types,0)),""))</f>
        <v/>
      </c>
      <c r="J2637" s="107">
        <f>IF($I2637="▲ ENTRÉE",$U2637,"")</f>
        <v/>
      </c>
      <c r="K2637" s="108">
        <f>IF($I2637="▼ SORTIE",$U2637,"")</f>
        <v/>
      </c>
      <c r="L2637" s="109">
        <f>$L2636+N($J2637)-N($K2637)</f>
        <v/>
      </c>
      <c r="M2637" s="110" t="n"/>
      <c r="N2637" s="54" t="n"/>
      <c r="O2637" s="54" t="n"/>
      <c r="P2637" s="54" t="n"/>
      <c r="Q2637" s="110" t="n"/>
      <c r="R2637" s="110" t="n"/>
      <c r="S2637" s="54" t="n"/>
      <c r="T2637" s="111">
        <f>IF($G2637="","",IFERROR(INDEX(Taux_Devises,MATCH(IF($M2637="",Devise_Base,$M2637),Codes_Devises,0)),1))</f>
        <v/>
      </c>
      <c r="U2637" s="112">
        <f>IF($G2637="","",ROUND($G2637*$T2637,2))</f>
        <v/>
      </c>
      <c r="V2637" s="113">
        <f>IF($B2637="","",MONTH($B2637))</f>
        <v/>
      </c>
      <c r="W2637" s="113">
        <f>IF($B2637="","",YEAR($B2637))</f>
        <v/>
      </c>
    </row>
    <row r="2638">
      <c r="B2638" s="105" t="n"/>
      <c r="C2638" s="54" t="n"/>
      <c r="D2638" s="54" t="n"/>
      <c r="E2638" s="54" t="n"/>
      <c r="F2638" s="54" t="n"/>
      <c r="G2638" s="65" t="n"/>
      <c r="H2638" s="54" t="n"/>
      <c r="I2638" s="106">
        <f>IF($C2638="","",IFERROR(INDEX(Sens_Types,MATCH($C2638,Liste_Types,0)),""))</f>
        <v/>
      </c>
      <c r="J2638" s="107">
        <f>IF($I2638="▲ ENTRÉE",$U2638,"")</f>
        <v/>
      </c>
      <c r="K2638" s="108">
        <f>IF($I2638="▼ SORTIE",$U2638,"")</f>
        <v/>
      </c>
      <c r="L2638" s="109">
        <f>$L2637+N($J2638)-N($K2638)</f>
        <v/>
      </c>
      <c r="M2638" s="110" t="n"/>
      <c r="N2638" s="54" t="n"/>
      <c r="O2638" s="54" t="n"/>
      <c r="P2638" s="54" t="n"/>
      <c r="Q2638" s="110" t="n"/>
      <c r="R2638" s="110" t="n"/>
      <c r="S2638" s="54" t="n"/>
      <c r="T2638" s="111">
        <f>IF($G2638="","",IFERROR(INDEX(Taux_Devises,MATCH(IF($M2638="",Devise_Base,$M2638),Codes_Devises,0)),1))</f>
        <v/>
      </c>
      <c r="U2638" s="112">
        <f>IF($G2638="","",ROUND($G2638*$T2638,2))</f>
        <v/>
      </c>
      <c r="V2638" s="113">
        <f>IF($B2638="","",MONTH($B2638))</f>
        <v/>
      </c>
      <c r="W2638" s="113">
        <f>IF($B2638="","",YEAR($B2638))</f>
        <v/>
      </c>
    </row>
    <row r="2639">
      <c r="B2639" s="105" t="n"/>
      <c r="C2639" s="54" t="n"/>
      <c r="D2639" s="54" t="n"/>
      <c r="E2639" s="54" t="n"/>
      <c r="F2639" s="54" t="n"/>
      <c r="G2639" s="65" t="n"/>
      <c r="H2639" s="54" t="n"/>
      <c r="I2639" s="106">
        <f>IF($C2639="","",IFERROR(INDEX(Sens_Types,MATCH($C2639,Liste_Types,0)),""))</f>
        <v/>
      </c>
      <c r="J2639" s="107">
        <f>IF($I2639="▲ ENTRÉE",$U2639,"")</f>
        <v/>
      </c>
      <c r="K2639" s="108">
        <f>IF($I2639="▼ SORTIE",$U2639,"")</f>
        <v/>
      </c>
      <c r="L2639" s="109">
        <f>$L2638+N($J2639)-N($K2639)</f>
        <v/>
      </c>
      <c r="M2639" s="110" t="n"/>
      <c r="N2639" s="54" t="n"/>
      <c r="O2639" s="54" t="n"/>
      <c r="P2639" s="54" t="n"/>
      <c r="Q2639" s="110" t="n"/>
      <c r="R2639" s="110" t="n"/>
      <c r="S2639" s="54" t="n"/>
      <c r="T2639" s="111">
        <f>IF($G2639="","",IFERROR(INDEX(Taux_Devises,MATCH(IF($M2639="",Devise_Base,$M2639),Codes_Devises,0)),1))</f>
        <v/>
      </c>
      <c r="U2639" s="112">
        <f>IF($G2639="","",ROUND($G2639*$T2639,2))</f>
        <v/>
      </c>
      <c r="V2639" s="113">
        <f>IF($B2639="","",MONTH($B2639))</f>
        <v/>
      </c>
      <c r="W2639" s="113">
        <f>IF($B2639="","",YEAR($B2639))</f>
        <v/>
      </c>
    </row>
    <row r="2640">
      <c r="B2640" s="105" t="n"/>
      <c r="C2640" s="54" t="n"/>
      <c r="D2640" s="54" t="n"/>
      <c r="E2640" s="54" t="n"/>
      <c r="F2640" s="54" t="n"/>
      <c r="G2640" s="65" t="n"/>
      <c r="H2640" s="54" t="n"/>
      <c r="I2640" s="106">
        <f>IF($C2640="","",IFERROR(INDEX(Sens_Types,MATCH($C2640,Liste_Types,0)),""))</f>
        <v/>
      </c>
      <c r="J2640" s="107">
        <f>IF($I2640="▲ ENTRÉE",$U2640,"")</f>
        <v/>
      </c>
      <c r="K2640" s="108">
        <f>IF($I2640="▼ SORTIE",$U2640,"")</f>
        <v/>
      </c>
      <c r="L2640" s="109">
        <f>$L2639+N($J2640)-N($K2640)</f>
        <v/>
      </c>
      <c r="M2640" s="110" t="n"/>
      <c r="N2640" s="54" t="n"/>
      <c r="O2640" s="54" t="n"/>
      <c r="P2640" s="54" t="n"/>
      <c r="Q2640" s="110" t="n"/>
      <c r="R2640" s="110" t="n"/>
      <c r="S2640" s="54" t="n"/>
      <c r="T2640" s="111">
        <f>IF($G2640="","",IFERROR(INDEX(Taux_Devises,MATCH(IF($M2640="",Devise_Base,$M2640),Codes_Devises,0)),1))</f>
        <v/>
      </c>
      <c r="U2640" s="112">
        <f>IF($G2640="","",ROUND($G2640*$T2640,2))</f>
        <v/>
      </c>
      <c r="V2640" s="113">
        <f>IF($B2640="","",MONTH($B2640))</f>
        <v/>
      </c>
      <c r="W2640" s="113">
        <f>IF($B2640="","",YEAR($B2640))</f>
        <v/>
      </c>
    </row>
    <row r="2641">
      <c r="B2641" s="105" t="n"/>
      <c r="C2641" s="54" t="n"/>
      <c r="D2641" s="54" t="n"/>
      <c r="E2641" s="54" t="n"/>
      <c r="F2641" s="54" t="n"/>
      <c r="G2641" s="65" t="n"/>
      <c r="H2641" s="54" t="n"/>
      <c r="I2641" s="106">
        <f>IF($C2641="","",IFERROR(INDEX(Sens_Types,MATCH($C2641,Liste_Types,0)),""))</f>
        <v/>
      </c>
      <c r="J2641" s="107">
        <f>IF($I2641="▲ ENTRÉE",$U2641,"")</f>
        <v/>
      </c>
      <c r="K2641" s="108">
        <f>IF($I2641="▼ SORTIE",$U2641,"")</f>
        <v/>
      </c>
      <c r="L2641" s="109">
        <f>$L2640+N($J2641)-N($K2641)</f>
        <v/>
      </c>
      <c r="M2641" s="110" t="n"/>
      <c r="N2641" s="54" t="n"/>
      <c r="O2641" s="54" t="n"/>
      <c r="P2641" s="54" t="n"/>
      <c r="Q2641" s="110" t="n"/>
      <c r="R2641" s="110" t="n"/>
      <c r="S2641" s="54" t="n"/>
      <c r="T2641" s="111">
        <f>IF($G2641="","",IFERROR(INDEX(Taux_Devises,MATCH(IF($M2641="",Devise_Base,$M2641),Codes_Devises,0)),1))</f>
        <v/>
      </c>
      <c r="U2641" s="112">
        <f>IF($G2641="","",ROUND($G2641*$T2641,2))</f>
        <v/>
      </c>
      <c r="V2641" s="113">
        <f>IF($B2641="","",MONTH($B2641))</f>
        <v/>
      </c>
      <c r="W2641" s="113">
        <f>IF($B2641="","",YEAR($B2641))</f>
        <v/>
      </c>
    </row>
    <row r="2642">
      <c r="B2642" s="105" t="n"/>
      <c r="C2642" s="54" t="n"/>
      <c r="D2642" s="54" t="n"/>
      <c r="E2642" s="54" t="n"/>
      <c r="F2642" s="54" t="n"/>
      <c r="G2642" s="65" t="n"/>
      <c r="H2642" s="54" t="n"/>
      <c r="I2642" s="106">
        <f>IF($C2642="","",IFERROR(INDEX(Sens_Types,MATCH($C2642,Liste_Types,0)),""))</f>
        <v/>
      </c>
      <c r="J2642" s="107">
        <f>IF($I2642="▲ ENTRÉE",$U2642,"")</f>
        <v/>
      </c>
      <c r="K2642" s="108">
        <f>IF($I2642="▼ SORTIE",$U2642,"")</f>
        <v/>
      </c>
      <c r="L2642" s="109">
        <f>$L2641+N($J2642)-N($K2642)</f>
        <v/>
      </c>
      <c r="M2642" s="110" t="n"/>
      <c r="N2642" s="54" t="n"/>
      <c r="O2642" s="54" t="n"/>
      <c r="P2642" s="54" t="n"/>
      <c r="Q2642" s="110" t="n"/>
      <c r="R2642" s="110" t="n"/>
      <c r="S2642" s="54" t="n"/>
      <c r="T2642" s="111">
        <f>IF($G2642="","",IFERROR(INDEX(Taux_Devises,MATCH(IF($M2642="",Devise_Base,$M2642),Codes_Devises,0)),1))</f>
        <v/>
      </c>
      <c r="U2642" s="112">
        <f>IF($G2642="","",ROUND($G2642*$T2642,2))</f>
        <v/>
      </c>
      <c r="V2642" s="113">
        <f>IF($B2642="","",MONTH($B2642))</f>
        <v/>
      </c>
      <c r="W2642" s="113">
        <f>IF($B2642="","",YEAR($B2642))</f>
        <v/>
      </c>
    </row>
    <row r="2643">
      <c r="B2643" s="105" t="n"/>
      <c r="C2643" s="54" t="n"/>
      <c r="D2643" s="54" t="n"/>
      <c r="E2643" s="54" t="n"/>
      <c r="F2643" s="54" t="n"/>
      <c r="G2643" s="65" t="n"/>
      <c r="H2643" s="54" t="n"/>
      <c r="I2643" s="106">
        <f>IF($C2643="","",IFERROR(INDEX(Sens_Types,MATCH($C2643,Liste_Types,0)),""))</f>
        <v/>
      </c>
      <c r="J2643" s="107">
        <f>IF($I2643="▲ ENTRÉE",$U2643,"")</f>
        <v/>
      </c>
      <c r="K2643" s="108">
        <f>IF($I2643="▼ SORTIE",$U2643,"")</f>
        <v/>
      </c>
      <c r="L2643" s="109">
        <f>$L2642+N($J2643)-N($K2643)</f>
        <v/>
      </c>
      <c r="M2643" s="110" t="n"/>
      <c r="N2643" s="54" t="n"/>
      <c r="O2643" s="54" t="n"/>
      <c r="P2643" s="54" t="n"/>
      <c r="Q2643" s="110" t="n"/>
      <c r="R2643" s="110" t="n"/>
      <c r="S2643" s="54" t="n"/>
      <c r="T2643" s="111">
        <f>IF($G2643="","",IFERROR(INDEX(Taux_Devises,MATCH(IF($M2643="",Devise_Base,$M2643),Codes_Devises,0)),1))</f>
        <v/>
      </c>
      <c r="U2643" s="112">
        <f>IF($G2643="","",ROUND($G2643*$T2643,2))</f>
        <v/>
      </c>
      <c r="V2643" s="113">
        <f>IF($B2643="","",MONTH($B2643))</f>
        <v/>
      </c>
      <c r="W2643" s="113">
        <f>IF($B2643="","",YEAR($B2643))</f>
        <v/>
      </c>
    </row>
    <row r="2644">
      <c r="B2644" s="105" t="n"/>
      <c r="C2644" s="54" t="n"/>
      <c r="D2644" s="54" t="n"/>
      <c r="E2644" s="54" t="n"/>
      <c r="F2644" s="54" t="n"/>
      <c r="G2644" s="65" t="n"/>
      <c r="H2644" s="54" t="n"/>
      <c r="I2644" s="106">
        <f>IF($C2644="","",IFERROR(INDEX(Sens_Types,MATCH($C2644,Liste_Types,0)),""))</f>
        <v/>
      </c>
      <c r="J2644" s="107">
        <f>IF($I2644="▲ ENTRÉE",$U2644,"")</f>
        <v/>
      </c>
      <c r="K2644" s="108">
        <f>IF($I2644="▼ SORTIE",$U2644,"")</f>
        <v/>
      </c>
      <c r="L2644" s="109">
        <f>$L2643+N($J2644)-N($K2644)</f>
        <v/>
      </c>
      <c r="M2644" s="110" t="n"/>
      <c r="N2644" s="54" t="n"/>
      <c r="O2644" s="54" t="n"/>
      <c r="P2644" s="54" t="n"/>
      <c r="Q2644" s="110" t="n"/>
      <c r="R2644" s="110" t="n"/>
      <c r="S2644" s="54" t="n"/>
      <c r="T2644" s="111">
        <f>IF($G2644="","",IFERROR(INDEX(Taux_Devises,MATCH(IF($M2644="",Devise_Base,$M2644),Codes_Devises,0)),1))</f>
        <v/>
      </c>
      <c r="U2644" s="112">
        <f>IF($G2644="","",ROUND($G2644*$T2644,2))</f>
        <v/>
      </c>
      <c r="V2644" s="113">
        <f>IF($B2644="","",MONTH($B2644))</f>
        <v/>
      </c>
      <c r="W2644" s="113">
        <f>IF($B2644="","",YEAR($B2644))</f>
        <v/>
      </c>
    </row>
    <row r="2645">
      <c r="B2645" s="105" t="n"/>
      <c r="C2645" s="54" t="n"/>
      <c r="D2645" s="54" t="n"/>
      <c r="E2645" s="54" t="n"/>
      <c r="F2645" s="54" t="n"/>
      <c r="G2645" s="65" t="n"/>
      <c r="H2645" s="54" t="n"/>
      <c r="I2645" s="106">
        <f>IF($C2645="","",IFERROR(INDEX(Sens_Types,MATCH($C2645,Liste_Types,0)),""))</f>
        <v/>
      </c>
      <c r="J2645" s="107">
        <f>IF($I2645="▲ ENTRÉE",$U2645,"")</f>
        <v/>
      </c>
      <c r="K2645" s="108">
        <f>IF($I2645="▼ SORTIE",$U2645,"")</f>
        <v/>
      </c>
      <c r="L2645" s="109">
        <f>$L2644+N($J2645)-N($K2645)</f>
        <v/>
      </c>
      <c r="M2645" s="110" t="n"/>
      <c r="N2645" s="54" t="n"/>
      <c r="O2645" s="54" t="n"/>
      <c r="P2645" s="54" t="n"/>
      <c r="Q2645" s="110" t="n"/>
      <c r="R2645" s="110" t="n"/>
      <c r="S2645" s="54" t="n"/>
      <c r="T2645" s="111">
        <f>IF($G2645="","",IFERROR(INDEX(Taux_Devises,MATCH(IF($M2645="",Devise_Base,$M2645),Codes_Devises,0)),1))</f>
        <v/>
      </c>
      <c r="U2645" s="112">
        <f>IF($G2645="","",ROUND($G2645*$T2645,2))</f>
        <v/>
      </c>
      <c r="V2645" s="113">
        <f>IF($B2645="","",MONTH($B2645))</f>
        <v/>
      </c>
      <c r="W2645" s="113">
        <f>IF($B2645="","",YEAR($B2645))</f>
        <v/>
      </c>
    </row>
    <row r="2646">
      <c r="B2646" s="105" t="n"/>
      <c r="C2646" s="54" t="n"/>
      <c r="D2646" s="54" t="n"/>
      <c r="E2646" s="54" t="n"/>
      <c r="F2646" s="54" t="n"/>
      <c r="G2646" s="65" t="n"/>
      <c r="H2646" s="54" t="n"/>
      <c r="I2646" s="106">
        <f>IF($C2646="","",IFERROR(INDEX(Sens_Types,MATCH($C2646,Liste_Types,0)),""))</f>
        <v/>
      </c>
      <c r="J2646" s="107">
        <f>IF($I2646="▲ ENTRÉE",$U2646,"")</f>
        <v/>
      </c>
      <c r="K2646" s="108">
        <f>IF($I2646="▼ SORTIE",$U2646,"")</f>
        <v/>
      </c>
      <c r="L2646" s="109">
        <f>$L2645+N($J2646)-N($K2646)</f>
        <v/>
      </c>
      <c r="M2646" s="110" t="n"/>
      <c r="N2646" s="54" t="n"/>
      <c r="O2646" s="54" t="n"/>
      <c r="P2646" s="54" t="n"/>
      <c r="Q2646" s="110" t="n"/>
      <c r="R2646" s="110" t="n"/>
      <c r="S2646" s="54" t="n"/>
      <c r="T2646" s="111">
        <f>IF($G2646="","",IFERROR(INDEX(Taux_Devises,MATCH(IF($M2646="",Devise_Base,$M2646),Codes_Devises,0)),1))</f>
        <v/>
      </c>
      <c r="U2646" s="112">
        <f>IF($G2646="","",ROUND($G2646*$T2646,2))</f>
        <v/>
      </c>
      <c r="V2646" s="113">
        <f>IF($B2646="","",MONTH($B2646))</f>
        <v/>
      </c>
      <c r="W2646" s="113">
        <f>IF($B2646="","",YEAR($B2646))</f>
        <v/>
      </c>
    </row>
    <row r="2647">
      <c r="B2647" s="105" t="n"/>
      <c r="C2647" s="54" t="n"/>
      <c r="D2647" s="54" t="n"/>
      <c r="E2647" s="54" t="n"/>
      <c r="F2647" s="54" t="n"/>
      <c r="G2647" s="65" t="n"/>
      <c r="H2647" s="54" t="n"/>
      <c r="I2647" s="106">
        <f>IF($C2647="","",IFERROR(INDEX(Sens_Types,MATCH($C2647,Liste_Types,0)),""))</f>
        <v/>
      </c>
      <c r="J2647" s="107">
        <f>IF($I2647="▲ ENTRÉE",$U2647,"")</f>
        <v/>
      </c>
      <c r="K2647" s="108">
        <f>IF($I2647="▼ SORTIE",$U2647,"")</f>
        <v/>
      </c>
      <c r="L2647" s="109">
        <f>$L2646+N($J2647)-N($K2647)</f>
        <v/>
      </c>
      <c r="M2647" s="110" t="n"/>
      <c r="N2647" s="54" t="n"/>
      <c r="O2647" s="54" t="n"/>
      <c r="P2647" s="54" t="n"/>
      <c r="Q2647" s="110" t="n"/>
      <c r="R2647" s="110" t="n"/>
      <c r="S2647" s="54" t="n"/>
      <c r="T2647" s="111">
        <f>IF($G2647="","",IFERROR(INDEX(Taux_Devises,MATCH(IF($M2647="",Devise_Base,$M2647),Codes_Devises,0)),1))</f>
        <v/>
      </c>
      <c r="U2647" s="112">
        <f>IF($G2647="","",ROUND($G2647*$T2647,2))</f>
        <v/>
      </c>
      <c r="V2647" s="113">
        <f>IF($B2647="","",MONTH($B2647))</f>
        <v/>
      </c>
      <c r="W2647" s="113">
        <f>IF($B2647="","",YEAR($B2647))</f>
        <v/>
      </c>
    </row>
    <row r="2648">
      <c r="B2648" s="105" t="n"/>
      <c r="C2648" s="54" t="n"/>
      <c r="D2648" s="54" t="n"/>
      <c r="E2648" s="54" t="n"/>
      <c r="F2648" s="54" t="n"/>
      <c r="G2648" s="65" t="n"/>
      <c r="H2648" s="54" t="n"/>
      <c r="I2648" s="106">
        <f>IF($C2648="","",IFERROR(INDEX(Sens_Types,MATCH($C2648,Liste_Types,0)),""))</f>
        <v/>
      </c>
      <c r="J2648" s="107">
        <f>IF($I2648="▲ ENTRÉE",$U2648,"")</f>
        <v/>
      </c>
      <c r="K2648" s="108">
        <f>IF($I2648="▼ SORTIE",$U2648,"")</f>
        <v/>
      </c>
      <c r="L2648" s="109">
        <f>$L2647+N($J2648)-N($K2648)</f>
        <v/>
      </c>
      <c r="M2648" s="110" t="n"/>
      <c r="N2648" s="54" t="n"/>
      <c r="O2648" s="54" t="n"/>
      <c r="P2648" s="54" t="n"/>
      <c r="Q2648" s="110" t="n"/>
      <c r="R2648" s="110" t="n"/>
      <c r="S2648" s="54" t="n"/>
      <c r="T2648" s="111">
        <f>IF($G2648="","",IFERROR(INDEX(Taux_Devises,MATCH(IF($M2648="",Devise_Base,$M2648),Codes_Devises,0)),1))</f>
        <v/>
      </c>
      <c r="U2648" s="112">
        <f>IF($G2648="","",ROUND($G2648*$T2648,2))</f>
        <v/>
      </c>
      <c r="V2648" s="113">
        <f>IF($B2648="","",MONTH($B2648))</f>
        <v/>
      </c>
      <c r="W2648" s="113">
        <f>IF($B2648="","",YEAR($B2648))</f>
        <v/>
      </c>
    </row>
    <row r="2649">
      <c r="B2649" s="105" t="n"/>
      <c r="C2649" s="54" t="n"/>
      <c r="D2649" s="54" t="n"/>
      <c r="E2649" s="54" t="n"/>
      <c r="F2649" s="54" t="n"/>
      <c r="G2649" s="65" t="n"/>
      <c r="H2649" s="54" t="n"/>
      <c r="I2649" s="106">
        <f>IF($C2649="","",IFERROR(INDEX(Sens_Types,MATCH($C2649,Liste_Types,0)),""))</f>
        <v/>
      </c>
      <c r="J2649" s="107">
        <f>IF($I2649="▲ ENTRÉE",$U2649,"")</f>
        <v/>
      </c>
      <c r="K2649" s="108">
        <f>IF($I2649="▼ SORTIE",$U2649,"")</f>
        <v/>
      </c>
      <c r="L2649" s="109">
        <f>$L2648+N($J2649)-N($K2649)</f>
        <v/>
      </c>
      <c r="M2649" s="110" t="n"/>
      <c r="N2649" s="54" t="n"/>
      <c r="O2649" s="54" t="n"/>
      <c r="P2649" s="54" t="n"/>
      <c r="Q2649" s="110" t="n"/>
      <c r="R2649" s="110" t="n"/>
      <c r="S2649" s="54" t="n"/>
      <c r="T2649" s="111">
        <f>IF($G2649="","",IFERROR(INDEX(Taux_Devises,MATCH(IF($M2649="",Devise_Base,$M2649),Codes_Devises,0)),1))</f>
        <v/>
      </c>
      <c r="U2649" s="112">
        <f>IF($G2649="","",ROUND($G2649*$T2649,2))</f>
        <v/>
      </c>
      <c r="V2649" s="113">
        <f>IF($B2649="","",MONTH($B2649))</f>
        <v/>
      </c>
      <c r="W2649" s="113">
        <f>IF($B2649="","",YEAR($B2649))</f>
        <v/>
      </c>
    </row>
    <row r="2650">
      <c r="B2650" s="105" t="n"/>
      <c r="C2650" s="54" t="n"/>
      <c r="D2650" s="54" t="n"/>
      <c r="E2650" s="54" t="n"/>
      <c r="F2650" s="54" t="n"/>
      <c r="G2650" s="65" t="n"/>
      <c r="H2650" s="54" t="n"/>
      <c r="I2650" s="106">
        <f>IF($C2650="","",IFERROR(INDEX(Sens_Types,MATCH($C2650,Liste_Types,0)),""))</f>
        <v/>
      </c>
      <c r="J2650" s="107">
        <f>IF($I2650="▲ ENTRÉE",$U2650,"")</f>
        <v/>
      </c>
      <c r="K2650" s="108">
        <f>IF($I2650="▼ SORTIE",$U2650,"")</f>
        <v/>
      </c>
      <c r="L2650" s="109">
        <f>$L2649+N($J2650)-N($K2650)</f>
        <v/>
      </c>
      <c r="M2650" s="110" t="n"/>
      <c r="N2650" s="54" t="n"/>
      <c r="O2650" s="54" t="n"/>
      <c r="P2650" s="54" t="n"/>
      <c r="Q2650" s="110" t="n"/>
      <c r="R2650" s="110" t="n"/>
      <c r="S2650" s="54" t="n"/>
      <c r="T2650" s="111">
        <f>IF($G2650="","",IFERROR(INDEX(Taux_Devises,MATCH(IF($M2650="",Devise_Base,$M2650),Codes_Devises,0)),1))</f>
        <v/>
      </c>
      <c r="U2650" s="112">
        <f>IF($G2650="","",ROUND($G2650*$T2650,2))</f>
        <v/>
      </c>
      <c r="V2650" s="113">
        <f>IF($B2650="","",MONTH($B2650))</f>
        <v/>
      </c>
      <c r="W2650" s="113">
        <f>IF($B2650="","",YEAR($B2650))</f>
        <v/>
      </c>
    </row>
    <row r="2651">
      <c r="B2651" s="105" t="n"/>
      <c r="C2651" s="54" t="n"/>
      <c r="D2651" s="54" t="n"/>
      <c r="E2651" s="54" t="n"/>
      <c r="F2651" s="54" t="n"/>
      <c r="G2651" s="65" t="n"/>
      <c r="H2651" s="54" t="n"/>
      <c r="I2651" s="106">
        <f>IF($C2651="","",IFERROR(INDEX(Sens_Types,MATCH($C2651,Liste_Types,0)),""))</f>
        <v/>
      </c>
      <c r="J2651" s="107">
        <f>IF($I2651="▲ ENTRÉE",$U2651,"")</f>
        <v/>
      </c>
      <c r="K2651" s="108">
        <f>IF($I2651="▼ SORTIE",$U2651,"")</f>
        <v/>
      </c>
      <c r="L2651" s="109">
        <f>$L2650+N($J2651)-N($K2651)</f>
        <v/>
      </c>
      <c r="M2651" s="110" t="n"/>
      <c r="N2651" s="54" t="n"/>
      <c r="O2651" s="54" t="n"/>
      <c r="P2651" s="54" t="n"/>
      <c r="Q2651" s="110" t="n"/>
      <c r="R2651" s="110" t="n"/>
      <c r="S2651" s="54" t="n"/>
      <c r="T2651" s="111">
        <f>IF($G2651="","",IFERROR(INDEX(Taux_Devises,MATCH(IF($M2651="",Devise_Base,$M2651),Codes_Devises,0)),1))</f>
        <v/>
      </c>
      <c r="U2651" s="112">
        <f>IF($G2651="","",ROUND($G2651*$T2651,2))</f>
        <v/>
      </c>
      <c r="V2651" s="113">
        <f>IF($B2651="","",MONTH($B2651))</f>
        <v/>
      </c>
      <c r="W2651" s="113">
        <f>IF($B2651="","",YEAR($B2651))</f>
        <v/>
      </c>
    </row>
    <row r="2652">
      <c r="B2652" s="105" t="n"/>
      <c r="C2652" s="54" t="n"/>
      <c r="D2652" s="54" t="n"/>
      <c r="E2652" s="54" t="n"/>
      <c r="F2652" s="54" t="n"/>
      <c r="G2652" s="65" t="n"/>
      <c r="H2652" s="54" t="n"/>
      <c r="I2652" s="106">
        <f>IF($C2652="","",IFERROR(INDEX(Sens_Types,MATCH($C2652,Liste_Types,0)),""))</f>
        <v/>
      </c>
      <c r="J2652" s="107">
        <f>IF($I2652="▲ ENTRÉE",$U2652,"")</f>
        <v/>
      </c>
      <c r="K2652" s="108">
        <f>IF($I2652="▼ SORTIE",$U2652,"")</f>
        <v/>
      </c>
      <c r="L2652" s="109">
        <f>$L2651+N($J2652)-N($K2652)</f>
        <v/>
      </c>
      <c r="M2652" s="110" t="n"/>
      <c r="N2652" s="54" t="n"/>
      <c r="O2652" s="54" t="n"/>
      <c r="P2652" s="54" t="n"/>
      <c r="Q2652" s="110" t="n"/>
      <c r="R2652" s="110" t="n"/>
      <c r="S2652" s="54" t="n"/>
      <c r="T2652" s="111">
        <f>IF($G2652="","",IFERROR(INDEX(Taux_Devises,MATCH(IF($M2652="",Devise_Base,$M2652),Codes_Devises,0)),1))</f>
        <v/>
      </c>
      <c r="U2652" s="112">
        <f>IF($G2652="","",ROUND($G2652*$T2652,2))</f>
        <v/>
      </c>
      <c r="V2652" s="113">
        <f>IF($B2652="","",MONTH($B2652))</f>
        <v/>
      </c>
      <c r="W2652" s="113">
        <f>IF($B2652="","",YEAR($B2652))</f>
        <v/>
      </c>
    </row>
    <row r="2653">
      <c r="B2653" s="105" t="n"/>
      <c r="C2653" s="54" t="n"/>
      <c r="D2653" s="54" t="n"/>
      <c r="E2653" s="54" t="n"/>
      <c r="F2653" s="54" t="n"/>
      <c r="G2653" s="65" t="n"/>
      <c r="H2653" s="54" t="n"/>
      <c r="I2653" s="106">
        <f>IF($C2653="","",IFERROR(INDEX(Sens_Types,MATCH($C2653,Liste_Types,0)),""))</f>
        <v/>
      </c>
      <c r="J2653" s="107">
        <f>IF($I2653="▲ ENTRÉE",$U2653,"")</f>
        <v/>
      </c>
      <c r="K2653" s="108">
        <f>IF($I2653="▼ SORTIE",$U2653,"")</f>
        <v/>
      </c>
      <c r="L2653" s="109">
        <f>$L2652+N($J2653)-N($K2653)</f>
        <v/>
      </c>
      <c r="M2653" s="110" t="n"/>
      <c r="N2653" s="54" t="n"/>
      <c r="O2653" s="54" t="n"/>
      <c r="P2653" s="54" t="n"/>
      <c r="Q2653" s="110" t="n"/>
      <c r="R2653" s="110" t="n"/>
      <c r="S2653" s="54" t="n"/>
      <c r="T2653" s="111">
        <f>IF($G2653="","",IFERROR(INDEX(Taux_Devises,MATCH(IF($M2653="",Devise_Base,$M2653),Codes_Devises,0)),1))</f>
        <v/>
      </c>
      <c r="U2653" s="112">
        <f>IF($G2653="","",ROUND($G2653*$T2653,2))</f>
        <v/>
      </c>
      <c r="V2653" s="113">
        <f>IF($B2653="","",MONTH($B2653))</f>
        <v/>
      </c>
      <c r="W2653" s="113">
        <f>IF($B2653="","",YEAR($B2653))</f>
        <v/>
      </c>
    </row>
    <row r="2654">
      <c r="B2654" s="105" t="n"/>
      <c r="C2654" s="54" t="n"/>
      <c r="D2654" s="54" t="n"/>
      <c r="E2654" s="54" t="n"/>
      <c r="F2654" s="54" t="n"/>
      <c r="G2654" s="65" t="n"/>
      <c r="H2654" s="54" t="n"/>
      <c r="I2654" s="106">
        <f>IF($C2654="","",IFERROR(INDEX(Sens_Types,MATCH($C2654,Liste_Types,0)),""))</f>
        <v/>
      </c>
      <c r="J2654" s="107">
        <f>IF($I2654="▲ ENTRÉE",$U2654,"")</f>
        <v/>
      </c>
      <c r="K2654" s="108">
        <f>IF($I2654="▼ SORTIE",$U2654,"")</f>
        <v/>
      </c>
      <c r="L2654" s="109">
        <f>$L2653+N($J2654)-N($K2654)</f>
        <v/>
      </c>
      <c r="M2654" s="110" t="n"/>
      <c r="N2654" s="54" t="n"/>
      <c r="O2654" s="54" t="n"/>
      <c r="P2654" s="54" t="n"/>
      <c r="Q2654" s="110" t="n"/>
      <c r="R2654" s="110" t="n"/>
      <c r="S2654" s="54" t="n"/>
      <c r="T2654" s="111">
        <f>IF($G2654="","",IFERROR(INDEX(Taux_Devises,MATCH(IF($M2654="",Devise_Base,$M2654),Codes_Devises,0)),1))</f>
        <v/>
      </c>
      <c r="U2654" s="112">
        <f>IF($G2654="","",ROUND($G2654*$T2654,2))</f>
        <v/>
      </c>
      <c r="V2654" s="113">
        <f>IF($B2654="","",MONTH($B2654))</f>
        <v/>
      </c>
      <c r="W2654" s="113">
        <f>IF($B2654="","",YEAR($B2654))</f>
        <v/>
      </c>
    </row>
    <row r="2655">
      <c r="B2655" s="105" t="n"/>
      <c r="C2655" s="54" t="n"/>
      <c r="D2655" s="54" t="n"/>
      <c r="E2655" s="54" t="n"/>
      <c r="F2655" s="54" t="n"/>
      <c r="G2655" s="65" t="n"/>
      <c r="H2655" s="54" t="n"/>
      <c r="I2655" s="106">
        <f>IF($C2655="","",IFERROR(INDEX(Sens_Types,MATCH($C2655,Liste_Types,0)),""))</f>
        <v/>
      </c>
      <c r="J2655" s="107">
        <f>IF($I2655="▲ ENTRÉE",$U2655,"")</f>
        <v/>
      </c>
      <c r="K2655" s="108">
        <f>IF($I2655="▼ SORTIE",$U2655,"")</f>
        <v/>
      </c>
      <c r="L2655" s="109">
        <f>$L2654+N($J2655)-N($K2655)</f>
        <v/>
      </c>
      <c r="M2655" s="110" t="n"/>
      <c r="N2655" s="54" t="n"/>
      <c r="O2655" s="54" t="n"/>
      <c r="P2655" s="54" t="n"/>
      <c r="Q2655" s="110" t="n"/>
      <c r="R2655" s="110" t="n"/>
      <c r="S2655" s="54" t="n"/>
      <c r="T2655" s="111">
        <f>IF($G2655="","",IFERROR(INDEX(Taux_Devises,MATCH(IF($M2655="",Devise_Base,$M2655),Codes_Devises,0)),1))</f>
        <v/>
      </c>
      <c r="U2655" s="112">
        <f>IF($G2655="","",ROUND($G2655*$T2655,2))</f>
        <v/>
      </c>
      <c r="V2655" s="113">
        <f>IF($B2655="","",MONTH($B2655))</f>
        <v/>
      </c>
      <c r="W2655" s="113">
        <f>IF($B2655="","",YEAR($B2655))</f>
        <v/>
      </c>
    </row>
    <row r="2656">
      <c r="B2656" s="105" t="n"/>
      <c r="C2656" s="54" t="n"/>
      <c r="D2656" s="54" t="n"/>
      <c r="E2656" s="54" t="n"/>
      <c r="F2656" s="54" t="n"/>
      <c r="G2656" s="65" t="n"/>
      <c r="H2656" s="54" t="n"/>
      <c r="I2656" s="106">
        <f>IF($C2656="","",IFERROR(INDEX(Sens_Types,MATCH($C2656,Liste_Types,0)),""))</f>
        <v/>
      </c>
      <c r="J2656" s="107">
        <f>IF($I2656="▲ ENTRÉE",$U2656,"")</f>
        <v/>
      </c>
      <c r="K2656" s="108">
        <f>IF($I2656="▼ SORTIE",$U2656,"")</f>
        <v/>
      </c>
      <c r="L2656" s="109">
        <f>$L2655+N($J2656)-N($K2656)</f>
        <v/>
      </c>
      <c r="M2656" s="110" t="n"/>
      <c r="N2656" s="54" t="n"/>
      <c r="O2656" s="54" t="n"/>
      <c r="P2656" s="54" t="n"/>
      <c r="Q2656" s="110" t="n"/>
      <c r="R2656" s="110" t="n"/>
      <c r="S2656" s="54" t="n"/>
      <c r="T2656" s="111">
        <f>IF($G2656="","",IFERROR(INDEX(Taux_Devises,MATCH(IF($M2656="",Devise_Base,$M2656),Codes_Devises,0)),1))</f>
        <v/>
      </c>
      <c r="U2656" s="112">
        <f>IF($G2656="","",ROUND($G2656*$T2656,2))</f>
        <v/>
      </c>
      <c r="V2656" s="113">
        <f>IF($B2656="","",MONTH($B2656))</f>
        <v/>
      </c>
      <c r="W2656" s="113">
        <f>IF($B2656="","",YEAR($B2656))</f>
        <v/>
      </c>
    </row>
    <row r="2657">
      <c r="B2657" s="105" t="n"/>
      <c r="C2657" s="54" t="n"/>
      <c r="D2657" s="54" t="n"/>
      <c r="E2657" s="54" t="n"/>
      <c r="F2657" s="54" t="n"/>
      <c r="G2657" s="65" t="n"/>
      <c r="H2657" s="54" t="n"/>
      <c r="I2657" s="106">
        <f>IF($C2657="","",IFERROR(INDEX(Sens_Types,MATCH($C2657,Liste_Types,0)),""))</f>
        <v/>
      </c>
      <c r="J2657" s="107">
        <f>IF($I2657="▲ ENTRÉE",$U2657,"")</f>
        <v/>
      </c>
      <c r="K2657" s="108">
        <f>IF($I2657="▼ SORTIE",$U2657,"")</f>
        <v/>
      </c>
      <c r="L2657" s="109">
        <f>$L2656+N($J2657)-N($K2657)</f>
        <v/>
      </c>
      <c r="M2657" s="110" t="n"/>
      <c r="N2657" s="54" t="n"/>
      <c r="O2657" s="54" t="n"/>
      <c r="P2657" s="54" t="n"/>
      <c r="Q2657" s="110" t="n"/>
      <c r="R2657" s="110" t="n"/>
      <c r="S2657" s="54" t="n"/>
      <c r="T2657" s="111">
        <f>IF($G2657="","",IFERROR(INDEX(Taux_Devises,MATCH(IF($M2657="",Devise_Base,$M2657),Codes_Devises,0)),1))</f>
        <v/>
      </c>
      <c r="U2657" s="112">
        <f>IF($G2657="","",ROUND($G2657*$T2657,2))</f>
        <v/>
      </c>
      <c r="V2657" s="113">
        <f>IF($B2657="","",MONTH($B2657))</f>
        <v/>
      </c>
      <c r="W2657" s="113">
        <f>IF($B2657="","",YEAR($B2657))</f>
        <v/>
      </c>
    </row>
    <row r="2658">
      <c r="B2658" s="105" t="n"/>
      <c r="C2658" s="54" t="n"/>
      <c r="D2658" s="54" t="n"/>
      <c r="E2658" s="54" t="n"/>
      <c r="F2658" s="54" t="n"/>
      <c r="G2658" s="65" t="n"/>
      <c r="H2658" s="54" t="n"/>
      <c r="I2658" s="106">
        <f>IF($C2658="","",IFERROR(INDEX(Sens_Types,MATCH($C2658,Liste_Types,0)),""))</f>
        <v/>
      </c>
      <c r="J2658" s="107">
        <f>IF($I2658="▲ ENTRÉE",$U2658,"")</f>
        <v/>
      </c>
      <c r="K2658" s="108">
        <f>IF($I2658="▼ SORTIE",$U2658,"")</f>
        <v/>
      </c>
      <c r="L2658" s="109">
        <f>$L2657+N($J2658)-N($K2658)</f>
        <v/>
      </c>
      <c r="M2658" s="110" t="n"/>
      <c r="N2658" s="54" t="n"/>
      <c r="O2658" s="54" t="n"/>
      <c r="P2658" s="54" t="n"/>
      <c r="Q2658" s="110" t="n"/>
      <c r="R2658" s="110" t="n"/>
      <c r="S2658" s="54" t="n"/>
      <c r="T2658" s="111">
        <f>IF($G2658="","",IFERROR(INDEX(Taux_Devises,MATCH(IF($M2658="",Devise_Base,$M2658),Codes_Devises,0)),1))</f>
        <v/>
      </c>
      <c r="U2658" s="112">
        <f>IF($G2658="","",ROUND($G2658*$T2658,2))</f>
        <v/>
      </c>
      <c r="V2658" s="113">
        <f>IF($B2658="","",MONTH($B2658))</f>
        <v/>
      </c>
      <c r="W2658" s="113">
        <f>IF($B2658="","",YEAR($B2658))</f>
        <v/>
      </c>
    </row>
    <row r="2659">
      <c r="B2659" s="105" t="n"/>
      <c r="C2659" s="54" t="n"/>
      <c r="D2659" s="54" t="n"/>
      <c r="E2659" s="54" t="n"/>
      <c r="F2659" s="54" t="n"/>
      <c r="G2659" s="65" t="n"/>
      <c r="H2659" s="54" t="n"/>
      <c r="I2659" s="106">
        <f>IF($C2659="","",IFERROR(INDEX(Sens_Types,MATCH($C2659,Liste_Types,0)),""))</f>
        <v/>
      </c>
      <c r="J2659" s="107">
        <f>IF($I2659="▲ ENTRÉE",$U2659,"")</f>
        <v/>
      </c>
      <c r="K2659" s="108">
        <f>IF($I2659="▼ SORTIE",$U2659,"")</f>
        <v/>
      </c>
      <c r="L2659" s="109">
        <f>$L2658+N($J2659)-N($K2659)</f>
        <v/>
      </c>
      <c r="M2659" s="110" t="n"/>
      <c r="N2659" s="54" t="n"/>
      <c r="O2659" s="54" t="n"/>
      <c r="P2659" s="54" t="n"/>
      <c r="Q2659" s="110" t="n"/>
      <c r="R2659" s="110" t="n"/>
      <c r="S2659" s="54" t="n"/>
      <c r="T2659" s="111">
        <f>IF($G2659="","",IFERROR(INDEX(Taux_Devises,MATCH(IF($M2659="",Devise_Base,$M2659),Codes_Devises,0)),1))</f>
        <v/>
      </c>
      <c r="U2659" s="112">
        <f>IF($G2659="","",ROUND($G2659*$T2659,2))</f>
        <v/>
      </c>
      <c r="V2659" s="113">
        <f>IF($B2659="","",MONTH($B2659))</f>
        <v/>
      </c>
      <c r="W2659" s="113">
        <f>IF($B2659="","",YEAR($B2659))</f>
        <v/>
      </c>
    </row>
    <row r="2660">
      <c r="B2660" s="105" t="n"/>
      <c r="C2660" s="54" t="n"/>
      <c r="D2660" s="54" t="n"/>
      <c r="E2660" s="54" t="n"/>
      <c r="F2660" s="54" t="n"/>
      <c r="G2660" s="65" t="n"/>
      <c r="H2660" s="54" t="n"/>
      <c r="I2660" s="106">
        <f>IF($C2660="","",IFERROR(INDEX(Sens_Types,MATCH($C2660,Liste_Types,0)),""))</f>
        <v/>
      </c>
      <c r="J2660" s="107">
        <f>IF($I2660="▲ ENTRÉE",$U2660,"")</f>
        <v/>
      </c>
      <c r="K2660" s="108">
        <f>IF($I2660="▼ SORTIE",$U2660,"")</f>
        <v/>
      </c>
      <c r="L2660" s="109">
        <f>$L2659+N($J2660)-N($K2660)</f>
        <v/>
      </c>
      <c r="M2660" s="110" t="n"/>
      <c r="N2660" s="54" t="n"/>
      <c r="O2660" s="54" t="n"/>
      <c r="P2660" s="54" t="n"/>
      <c r="Q2660" s="110" t="n"/>
      <c r="R2660" s="110" t="n"/>
      <c r="S2660" s="54" t="n"/>
      <c r="T2660" s="111">
        <f>IF($G2660="","",IFERROR(INDEX(Taux_Devises,MATCH(IF($M2660="",Devise_Base,$M2660),Codes_Devises,0)),1))</f>
        <v/>
      </c>
      <c r="U2660" s="112">
        <f>IF($G2660="","",ROUND($G2660*$T2660,2))</f>
        <v/>
      </c>
      <c r="V2660" s="113">
        <f>IF($B2660="","",MONTH($B2660))</f>
        <v/>
      </c>
      <c r="W2660" s="113">
        <f>IF($B2660="","",YEAR($B2660))</f>
        <v/>
      </c>
    </row>
    <row r="2661">
      <c r="B2661" s="105" t="n"/>
      <c r="C2661" s="54" t="n"/>
      <c r="D2661" s="54" t="n"/>
      <c r="E2661" s="54" t="n"/>
      <c r="F2661" s="54" t="n"/>
      <c r="G2661" s="65" t="n"/>
      <c r="H2661" s="54" t="n"/>
      <c r="I2661" s="106">
        <f>IF($C2661="","",IFERROR(INDEX(Sens_Types,MATCH($C2661,Liste_Types,0)),""))</f>
        <v/>
      </c>
      <c r="J2661" s="107">
        <f>IF($I2661="▲ ENTRÉE",$U2661,"")</f>
        <v/>
      </c>
      <c r="K2661" s="108">
        <f>IF($I2661="▼ SORTIE",$U2661,"")</f>
        <v/>
      </c>
      <c r="L2661" s="109">
        <f>$L2660+N($J2661)-N($K2661)</f>
        <v/>
      </c>
      <c r="M2661" s="110" t="n"/>
      <c r="N2661" s="54" t="n"/>
      <c r="O2661" s="54" t="n"/>
      <c r="P2661" s="54" t="n"/>
      <c r="Q2661" s="110" t="n"/>
      <c r="R2661" s="110" t="n"/>
      <c r="S2661" s="54" t="n"/>
      <c r="T2661" s="111">
        <f>IF($G2661="","",IFERROR(INDEX(Taux_Devises,MATCH(IF($M2661="",Devise_Base,$M2661),Codes_Devises,0)),1))</f>
        <v/>
      </c>
      <c r="U2661" s="112">
        <f>IF($G2661="","",ROUND($G2661*$T2661,2))</f>
        <v/>
      </c>
      <c r="V2661" s="113">
        <f>IF($B2661="","",MONTH($B2661))</f>
        <v/>
      </c>
      <c r="W2661" s="113">
        <f>IF($B2661="","",YEAR($B2661))</f>
        <v/>
      </c>
    </row>
    <row r="2662">
      <c r="B2662" s="105" t="n"/>
      <c r="C2662" s="54" t="n"/>
      <c r="D2662" s="54" t="n"/>
      <c r="E2662" s="54" t="n"/>
      <c r="F2662" s="54" t="n"/>
      <c r="G2662" s="65" t="n"/>
      <c r="H2662" s="54" t="n"/>
      <c r="I2662" s="106">
        <f>IF($C2662="","",IFERROR(INDEX(Sens_Types,MATCH($C2662,Liste_Types,0)),""))</f>
        <v/>
      </c>
      <c r="J2662" s="107">
        <f>IF($I2662="▲ ENTRÉE",$U2662,"")</f>
        <v/>
      </c>
      <c r="K2662" s="108">
        <f>IF($I2662="▼ SORTIE",$U2662,"")</f>
        <v/>
      </c>
      <c r="L2662" s="109">
        <f>$L2661+N($J2662)-N($K2662)</f>
        <v/>
      </c>
      <c r="M2662" s="110" t="n"/>
      <c r="N2662" s="54" t="n"/>
      <c r="O2662" s="54" t="n"/>
      <c r="P2662" s="54" t="n"/>
      <c r="Q2662" s="110" t="n"/>
      <c r="R2662" s="110" t="n"/>
      <c r="S2662" s="54" t="n"/>
      <c r="T2662" s="111">
        <f>IF($G2662="","",IFERROR(INDEX(Taux_Devises,MATCH(IF($M2662="",Devise_Base,$M2662),Codes_Devises,0)),1))</f>
        <v/>
      </c>
      <c r="U2662" s="112">
        <f>IF($G2662="","",ROUND($G2662*$T2662,2))</f>
        <v/>
      </c>
      <c r="V2662" s="113">
        <f>IF($B2662="","",MONTH($B2662))</f>
        <v/>
      </c>
      <c r="W2662" s="113">
        <f>IF($B2662="","",YEAR($B2662))</f>
        <v/>
      </c>
    </row>
    <row r="2663">
      <c r="B2663" s="105" t="n"/>
      <c r="C2663" s="54" t="n"/>
      <c r="D2663" s="54" t="n"/>
      <c r="E2663" s="54" t="n"/>
      <c r="F2663" s="54" t="n"/>
      <c r="G2663" s="65" t="n"/>
      <c r="H2663" s="54" t="n"/>
      <c r="I2663" s="106">
        <f>IF($C2663="","",IFERROR(INDEX(Sens_Types,MATCH($C2663,Liste_Types,0)),""))</f>
        <v/>
      </c>
      <c r="J2663" s="107">
        <f>IF($I2663="▲ ENTRÉE",$U2663,"")</f>
        <v/>
      </c>
      <c r="K2663" s="108">
        <f>IF($I2663="▼ SORTIE",$U2663,"")</f>
        <v/>
      </c>
      <c r="L2663" s="109">
        <f>$L2662+N($J2663)-N($K2663)</f>
        <v/>
      </c>
      <c r="M2663" s="110" t="n"/>
      <c r="N2663" s="54" t="n"/>
      <c r="O2663" s="54" t="n"/>
      <c r="P2663" s="54" t="n"/>
      <c r="Q2663" s="110" t="n"/>
      <c r="R2663" s="110" t="n"/>
      <c r="S2663" s="54" t="n"/>
      <c r="T2663" s="111">
        <f>IF($G2663="","",IFERROR(INDEX(Taux_Devises,MATCH(IF($M2663="",Devise_Base,$M2663),Codes_Devises,0)),1))</f>
        <v/>
      </c>
      <c r="U2663" s="112">
        <f>IF($G2663="","",ROUND($G2663*$T2663,2))</f>
        <v/>
      </c>
      <c r="V2663" s="113">
        <f>IF($B2663="","",MONTH($B2663))</f>
        <v/>
      </c>
      <c r="W2663" s="113">
        <f>IF($B2663="","",YEAR($B2663))</f>
        <v/>
      </c>
    </row>
    <row r="2664">
      <c r="B2664" s="105" t="n"/>
      <c r="C2664" s="54" t="n"/>
      <c r="D2664" s="54" t="n"/>
      <c r="E2664" s="54" t="n"/>
      <c r="F2664" s="54" t="n"/>
      <c r="G2664" s="65" t="n"/>
      <c r="H2664" s="54" t="n"/>
      <c r="I2664" s="106">
        <f>IF($C2664="","",IFERROR(INDEX(Sens_Types,MATCH($C2664,Liste_Types,0)),""))</f>
        <v/>
      </c>
      <c r="J2664" s="107">
        <f>IF($I2664="▲ ENTRÉE",$U2664,"")</f>
        <v/>
      </c>
      <c r="K2664" s="108">
        <f>IF($I2664="▼ SORTIE",$U2664,"")</f>
        <v/>
      </c>
      <c r="L2664" s="109">
        <f>$L2663+N($J2664)-N($K2664)</f>
        <v/>
      </c>
      <c r="M2664" s="110" t="n"/>
      <c r="N2664" s="54" t="n"/>
      <c r="O2664" s="54" t="n"/>
      <c r="P2664" s="54" t="n"/>
      <c r="Q2664" s="110" t="n"/>
      <c r="R2664" s="110" t="n"/>
      <c r="S2664" s="54" t="n"/>
      <c r="T2664" s="111">
        <f>IF($G2664="","",IFERROR(INDEX(Taux_Devises,MATCH(IF($M2664="",Devise_Base,$M2664),Codes_Devises,0)),1))</f>
        <v/>
      </c>
      <c r="U2664" s="112">
        <f>IF($G2664="","",ROUND($G2664*$T2664,2))</f>
        <v/>
      </c>
      <c r="V2664" s="113">
        <f>IF($B2664="","",MONTH($B2664))</f>
        <v/>
      </c>
      <c r="W2664" s="113">
        <f>IF($B2664="","",YEAR($B2664))</f>
        <v/>
      </c>
    </row>
    <row r="2665">
      <c r="B2665" s="105" t="n"/>
      <c r="C2665" s="54" t="n"/>
      <c r="D2665" s="54" t="n"/>
      <c r="E2665" s="54" t="n"/>
      <c r="F2665" s="54" t="n"/>
      <c r="G2665" s="65" t="n"/>
      <c r="H2665" s="54" t="n"/>
      <c r="I2665" s="106">
        <f>IF($C2665="","",IFERROR(INDEX(Sens_Types,MATCH($C2665,Liste_Types,0)),""))</f>
        <v/>
      </c>
      <c r="J2665" s="107">
        <f>IF($I2665="▲ ENTRÉE",$U2665,"")</f>
        <v/>
      </c>
      <c r="K2665" s="108">
        <f>IF($I2665="▼ SORTIE",$U2665,"")</f>
        <v/>
      </c>
      <c r="L2665" s="109">
        <f>$L2664+N($J2665)-N($K2665)</f>
        <v/>
      </c>
      <c r="M2665" s="110" t="n"/>
      <c r="N2665" s="54" t="n"/>
      <c r="O2665" s="54" t="n"/>
      <c r="P2665" s="54" t="n"/>
      <c r="Q2665" s="110" t="n"/>
      <c r="R2665" s="110" t="n"/>
      <c r="S2665" s="54" t="n"/>
      <c r="T2665" s="111">
        <f>IF($G2665="","",IFERROR(INDEX(Taux_Devises,MATCH(IF($M2665="",Devise_Base,$M2665),Codes_Devises,0)),1))</f>
        <v/>
      </c>
      <c r="U2665" s="112">
        <f>IF($G2665="","",ROUND($G2665*$T2665,2))</f>
        <v/>
      </c>
      <c r="V2665" s="113">
        <f>IF($B2665="","",MONTH($B2665))</f>
        <v/>
      </c>
      <c r="W2665" s="113">
        <f>IF($B2665="","",YEAR($B2665))</f>
        <v/>
      </c>
    </row>
    <row r="2666">
      <c r="B2666" s="105" t="n"/>
      <c r="C2666" s="54" t="n"/>
      <c r="D2666" s="54" t="n"/>
      <c r="E2666" s="54" t="n"/>
      <c r="F2666" s="54" t="n"/>
      <c r="G2666" s="65" t="n"/>
      <c r="H2666" s="54" t="n"/>
      <c r="I2666" s="106">
        <f>IF($C2666="","",IFERROR(INDEX(Sens_Types,MATCH($C2666,Liste_Types,0)),""))</f>
        <v/>
      </c>
      <c r="J2666" s="107">
        <f>IF($I2666="▲ ENTRÉE",$U2666,"")</f>
        <v/>
      </c>
      <c r="K2666" s="108">
        <f>IF($I2666="▼ SORTIE",$U2666,"")</f>
        <v/>
      </c>
      <c r="L2666" s="109">
        <f>$L2665+N($J2666)-N($K2666)</f>
        <v/>
      </c>
      <c r="M2666" s="110" t="n"/>
      <c r="N2666" s="54" t="n"/>
      <c r="O2666" s="54" t="n"/>
      <c r="P2666" s="54" t="n"/>
      <c r="Q2666" s="110" t="n"/>
      <c r="R2666" s="110" t="n"/>
      <c r="S2666" s="54" t="n"/>
      <c r="T2666" s="111">
        <f>IF($G2666="","",IFERROR(INDEX(Taux_Devises,MATCH(IF($M2666="",Devise_Base,$M2666),Codes_Devises,0)),1))</f>
        <v/>
      </c>
      <c r="U2666" s="112">
        <f>IF($G2666="","",ROUND($G2666*$T2666,2))</f>
        <v/>
      </c>
      <c r="V2666" s="113">
        <f>IF($B2666="","",MONTH($B2666))</f>
        <v/>
      </c>
      <c r="W2666" s="113">
        <f>IF($B2666="","",YEAR($B2666))</f>
        <v/>
      </c>
    </row>
    <row r="2667">
      <c r="B2667" s="105" t="n"/>
      <c r="C2667" s="54" t="n"/>
      <c r="D2667" s="54" t="n"/>
      <c r="E2667" s="54" t="n"/>
      <c r="F2667" s="54" t="n"/>
      <c r="G2667" s="65" t="n"/>
      <c r="H2667" s="54" t="n"/>
      <c r="I2667" s="106">
        <f>IF($C2667="","",IFERROR(INDEX(Sens_Types,MATCH($C2667,Liste_Types,0)),""))</f>
        <v/>
      </c>
      <c r="J2667" s="107">
        <f>IF($I2667="▲ ENTRÉE",$U2667,"")</f>
        <v/>
      </c>
      <c r="K2667" s="108">
        <f>IF($I2667="▼ SORTIE",$U2667,"")</f>
        <v/>
      </c>
      <c r="L2667" s="109">
        <f>$L2666+N($J2667)-N($K2667)</f>
        <v/>
      </c>
      <c r="M2667" s="110" t="n"/>
      <c r="N2667" s="54" t="n"/>
      <c r="O2667" s="54" t="n"/>
      <c r="P2667" s="54" t="n"/>
      <c r="Q2667" s="110" t="n"/>
      <c r="R2667" s="110" t="n"/>
      <c r="S2667" s="54" t="n"/>
      <c r="T2667" s="111">
        <f>IF($G2667="","",IFERROR(INDEX(Taux_Devises,MATCH(IF($M2667="",Devise_Base,$M2667),Codes_Devises,0)),1))</f>
        <v/>
      </c>
      <c r="U2667" s="112">
        <f>IF($G2667="","",ROUND($G2667*$T2667,2))</f>
        <v/>
      </c>
      <c r="V2667" s="113">
        <f>IF($B2667="","",MONTH($B2667))</f>
        <v/>
      </c>
      <c r="W2667" s="113">
        <f>IF($B2667="","",YEAR($B2667))</f>
        <v/>
      </c>
    </row>
    <row r="2668">
      <c r="B2668" s="105" t="n"/>
      <c r="C2668" s="54" t="n"/>
      <c r="D2668" s="54" t="n"/>
      <c r="E2668" s="54" t="n"/>
      <c r="F2668" s="54" t="n"/>
      <c r="G2668" s="65" t="n"/>
      <c r="H2668" s="54" t="n"/>
      <c r="I2668" s="106">
        <f>IF($C2668="","",IFERROR(INDEX(Sens_Types,MATCH($C2668,Liste_Types,0)),""))</f>
        <v/>
      </c>
      <c r="J2668" s="107">
        <f>IF($I2668="▲ ENTRÉE",$U2668,"")</f>
        <v/>
      </c>
      <c r="K2668" s="108">
        <f>IF($I2668="▼ SORTIE",$U2668,"")</f>
        <v/>
      </c>
      <c r="L2668" s="109">
        <f>$L2667+N($J2668)-N($K2668)</f>
        <v/>
      </c>
      <c r="M2668" s="110" t="n"/>
      <c r="N2668" s="54" t="n"/>
      <c r="O2668" s="54" t="n"/>
      <c r="P2668" s="54" t="n"/>
      <c r="Q2668" s="110" t="n"/>
      <c r="R2668" s="110" t="n"/>
      <c r="S2668" s="54" t="n"/>
      <c r="T2668" s="111">
        <f>IF($G2668="","",IFERROR(INDEX(Taux_Devises,MATCH(IF($M2668="",Devise_Base,$M2668),Codes_Devises,0)),1))</f>
        <v/>
      </c>
      <c r="U2668" s="112">
        <f>IF($G2668="","",ROUND($G2668*$T2668,2))</f>
        <v/>
      </c>
      <c r="V2668" s="113">
        <f>IF($B2668="","",MONTH($B2668))</f>
        <v/>
      </c>
      <c r="W2668" s="113">
        <f>IF($B2668="","",YEAR($B2668))</f>
        <v/>
      </c>
    </row>
    <row r="2669">
      <c r="B2669" s="105" t="n"/>
      <c r="C2669" s="54" t="n"/>
      <c r="D2669" s="54" t="n"/>
      <c r="E2669" s="54" t="n"/>
      <c r="F2669" s="54" t="n"/>
      <c r="G2669" s="65" t="n"/>
      <c r="H2669" s="54" t="n"/>
      <c r="I2669" s="106">
        <f>IF($C2669="","",IFERROR(INDEX(Sens_Types,MATCH($C2669,Liste_Types,0)),""))</f>
        <v/>
      </c>
      <c r="J2669" s="107">
        <f>IF($I2669="▲ ENTRÉE",$U2669,"")</f>
        <v/>
      </c>
      <c r="K2669" s="108">
        <f>IF($I2669="▼ SORTIE",$U2669,"")</f>
        <v/>
      </c>
      <c r="L2669" s="109">
        <f>$L2668+N($J2669)-N($K2669)</f>
        <v/>
      </c>
      <c r="M2669" s="110" t="n"/>
      <c r="N2669" s="54" t="n"/>
      <c r="O2669" s="54" t="n"/>
      <c r="P2669" s="54" t="n"/>
      <c r="Q2669" s="110" t="n"/>
      <c r="R2669" s="110" t="n"/>
      <c r="S2669" s="54" t="n"/>
      <c r="T2669" s="111">
        <f>IF($G2669="","",IFERROR(INDEX(Taux_Devises,MATCH(IF($M2669="",Devise_Base,$M2669),Codes_Devises,0)),1))</f>
        <v/>
      </c>
      <c r="U2669" s="112">
        <f>IF($G2669="","",ROUND($G2669*$T2669,2))</f>
        <v/>
      </c>
      <c r="V2669" s="113">
        <f>IF($B2669="","",MONTH($B2669))</f>
        <v/>
      </c>
      <c r="W2669" s="113">
        <f>IF($B2669="","",YEAR($B2669))</f>
        <v/>
      </c>
    </row>
    <row r="2670">
      <c r="B2670" s="105" t="n"/>
      <c r="C2670" s="54" t="n"/>
      <c r="D2670" s="54" t="n"/>
      <c r="E2670" s="54" t="n"/>
      <c r="F2670" s="54" t="n"/>
      <c r="G2670" s="65" t="n"/>
      <c r="H2670" s="54" t="n"/>
      <c r="I2670" s="106">
        <f>IF($C2670="","",IFERROR(INDEX(Sens_Types,MATCH($C2670,Liste_Types,0)),""))</f>
        <v/>
      </c>
      <c r="J2670" s="107">
        <f>IF($I2670="▲ ENTRÉE",$U2670,"")</f>
        <v/>
      </c>
      <c r="K2670" s="108">
        <f>IF($I2670="▼ SORTIE",$U2670,"")</f>
        <v/>
      </c>
      <c r="L2670" s="109">
        <f>$L2669+N($J2670)-N($K2670)</f>
        <v/>
      </c>
      <c r="M2670" s="110" t="n"/>
      <c r="N2670" s="54" t="n"/>
      <c r="O2670" s="54" t="n"/>
      <c r="P2670" s="54" t="n"/>
      <c r="Q2670" s="110" t="n"/>
      <c r="R2670" s="110" t="n"/>
      <c r="S2670" s="54" t="n"/>
      <c r="T2670" s="111">
        <f>IF($G2670="","",IFERROR(INDEX(Taux_Devises,MATCH(IF($M2670="",Devise_Base,$M2670),Codes_Devises,0)),1))</f>
        <v/>
      </c>
      <c r="U2670" s="112">
        <f>IF($G2670="","",ROUND($G2670*$T2670,2))</f>
        <v/>
      </c>
      <c r="V2670" s="113">
        <f>IF($B2670="","",MONTH($B2670))</f>
        <v/>
      </c>
      <c r="W2670" s="113">
        <f>IF($B2670="","",YEAR($B2670))</f>
        <v/>
      </c>
    </row>
    <row r="2671">
      <c r="B2671" s="105" t="n"/>
      <c r="C2671" s="54" t="n"/>
      <c r="D2671" s="54" t="n"/>
      <c r="E2671" s="54" t="n"/>
      <c r="F2671" s="54" t="n"/>
      <c r="G2671" s="65" t="n"/>
      <c r="H2671" s="54" t="n"/>
      <c r="I2671" s="106">
        <f>IF($C2671="","",IFERROR(INDEX(Sens_Types,MATCH($C2671,Liste_Types,0)),""))</f>
        <v/>
      </c>
      <c r="J2671" s="107">
        <f>IF($I2671="▲ ENTRÉE",$U2671,"")</f>
        <v/>
      </c>
      <c r="K2671" s="108">
        <f>IF($I2671="▼ SORTIE",$U2671,"")</f>
        <v/>
      </c>
      <c r="L2671" s="109">
        <f>$L2670+N($J2671)-N($K2671)</f>
        <v/>
      </c>
      <c r="M2671" s="110" t="n"/>
      <c r="N2671" s="54" t="n"/>
      <c r="O2671" s="54" t="n"/>
      <c r="P2671" s="54" t="n"/>
      <c r="Q2671" s="110" t="n"/>
      <c r="R2671" s="110" t="n"/>
      <c r="S2671" s="54" t="n"/>
      <c r="T2671" s="111">
        <f>IF($G2671="","",IFERROR(INDEX(Taux_Devises,MATCH(IF($M2671="",Devise_Base,$M2671),Codes_Devises,0)),1))</f>
        <v/>
      </c>
      <c r="U2671" s="112">
        <f>IF($G2671="","",ROUND($G2671*$T2671,2))</f>
        <v/>
      </c>
      <c r="V2671" s="113">
        <f>IF($B2671="","",MONTH($B2671))</f>
        <v/>
      </c>
      <c r="W2671" s="113">
        <f>IF($B2671="","",YEAR($B2671))</f>
        <v/>
      </c>
    </row>
    <row r="2672">
      <c r="B2672" s="105" t="n"/>
      <c r="C2672" s="54" t="n"/>
      <c r="D2672" s="54" t="n"/>
      <c r="E2672" s="54" t="n"/>
      <c r="F2672" s="54" t="n"/>
      <c r="G2672" s="65" t="n"/>
      <c r="H2672" s="54" t="n"/>
      <c r="I2672" s="106">
        <f>IF($C2672="","",IFERROR(INDEX(Sens_Types,MATCH($C2672,Liste_Types,0)),""))</f>
        <v/>
      </c>
      <c r="J2672" s="107">
        <f>IF($I2672="▲ ENTRÉE",$U2672,"")</f>
        <v/>
      </c>
      <c r="K2672" s="108">
        <f>IF($I2672="▼ SORTIE",$U2672,"")</f>
        <v/>
      </c>
      <c r="L2672" s="109">
        <f>$L2671+N($J2672)-N($K2672)</f>
        <v/>
      </c>
      <c r="M2672" s="110" t="n"/>
      <c r="N2672" s="54" t="n"/>
      <c r="O2672" s="54" t="n"/>
      <c r="P2672" s="54" t="n"/>
      <c r="Q2672" s="110" t="n"/>
      <c r="R2672" s="110" t="n"/>
      <c r="S2672" s="54" t="n"/>
      <c r="T2672" s="111">
        <f>IF($G2672="","",IFERROR(INDEX(Taux_Devises,MATCH(IF($M2672="",Devise_Base,$M2672),Codes_Devises,0)),1))</f>
        <v/>
      </c>
      <c r="U2672" s="112">
        <f>IF($G2672="","",ROUND($G2672*$T2672,2))</f>
        <v/>
      </c>
      <c r="V2672" s="113">
        <f>IF($B2672="","",MONTH($B2672))</f>
        <v/>
      </c>
      <c r="W2672" s="113">
        <f>IF($B2672="","",YEAR($B2672))</f>
        <v/>
      </c>
    </row>
    <row r="2673">
      <c r="B2673" s="105" t="n"/>
      <c r="C2673" s="54" t="n"/>
      <c r="D2673" s="54" t="n"/>
      <c r="E2673" s="54" t="n"/>
      <c r="F2673" s="54" t="n"/>
      <c r="G2673" s="65" t="n"/>
      <c r="H2673" s="54" t="n"/>
      <c r="I2673" s="106">
        <f>IF($C2673="","",IFERROR(INDEX(Sens_Types,MATCH($C2673,Liste_Types,0)),""))</f>
        <v/>
      </c>
      <c r="J2673" s="107">
        <f>IF($I2673="▲ ENTRÉE",$U2673,"")</f>
        <v/>
      </c>
      <c r="K2673" s="108">
        <f>IF($I2673="▼ SORTIE",$U2673,"")</f>
        <v/>
      </c>
      <c r="L2673" s="109">
        <f>$L2672+N($J2673)-N($K2673)</f>
        <v/>
      </c>
      <c r="M2673" s="110" t="n"/>
      <c r="N2673" s="54" t="n"/>
      <c r="O2673" s="54" t="n"/>
      <c r="P2673" s="54" t="n"/>
      <c r="Q2673" s="110" t="n"/>
      <c r="R2673" s="110" t="n"/>
      <c r="S2673" s="54" t="n"/>
      <c r="T2673" s="111">
        <f>IF($G2673="","",IFERROR(INDEX(Taux_Devises,MATCH(IF($M2673="",Devise_Base,$M2673),Codes_Devises,0)),1))</f>
        <v/>
      </c>
      <c r="U2673" s="112">
        <f>IF($G2673="","",ROUND($G2673*$T2673,2))</f>
        <v/>
      </c>
      <c r="V2673" s="113">
        <f>IF($B2673="","",MONTH($B2673))</f>
        <v/>
      </c>
      <c r="W2673" s="113">
        <f>IF($B2673="","",YEAR($B2673))</f>
        <v/>
      </c>
    </row>
    <row r="2674">
      <c r="B2674" s="105" t="n"/>
      <c r="C2674" s="54" t="n"/>
      <c r="D2674" s="54" t="n"/>
      <c r="E2674" s="54" t="n"/>
      <c r="F2674" s="54" t="n"/>
      <c r="G2674" s="65" t="n"/>
      <c r="H2674" s="54" t="n"/>
      <c r="I2674" s="106">
        <f>IF($C2674="","",IFERROR(INDEX(Sens_Types,MATCH($C2674,Liste_Types,0)),""))</f>
        <v/>
      </c>
      <c r="J2674" s="107">
        <f>IF($I2674="▲ ENTRÉE",$U2674,"")</f>
        <v/>
      </c>
      <c r="K2674" s="108">
        <f>IF($I2674="▼ SORTIE",$U2674,"")</f>
        <v/>
      </c>
      <c r="L2674" s="109">
        <f>$L2673+N($J2674)-N($K2674)</f>
        <v/>
      </c>
      <c r="M2674" s="110" t="n"/>
      <c r="N2674" s="54" t="n"/>
      <c r="O2674" s="54" t="n"/>
      <c r="P2674" s="54" t="n"/>
      <c r="Q2674" s="110" t="n"/>
      <c r="R2674" s="110" t="n"/>
      <c r="S2674" s="54" t="n"/>
      <c r="T2674" s="111">
        <f>IF($G2674="","",IFERROR(INDEX(Taux_Devises,MATCH(IF($M2674="",Devise_Base,$M2674),Codes_Devises,0)),1))</f>
        <v/>
      </c>
      <c r="U2674" s="112">
        <f>IF($G2674="","",ROUND($G2674*$T2674,2))</f>
        <v/>
      </c>
      <c r="V2674" s="113">
        <f>IF($B2674="","",MONTH($B2674))</f>
        <v/>
      </c>
      <c r="W2674" s="113">
        <f>IF($B2674="","",YEAR($B2674))</f>
        <v/>
      </c>
    </row>
    <row r="2675">
      <c r="B2675" s="105" t="n"/>
      <c r="C2675" s="54" t="n"/>
      <c r="D2675" s="54" t="n"/>
      <c r="E2675" s="54" t="n"/>
      <c r="F2675" s="54" t="n"/>
      <c r="G2675" s="65" t="n"/>
      <c r="H2675" s="54" t="n"/>
      <c r="I2675" s="106">
        <f>IF($C2675="","",IFERROR(INDEX(Sens_Types,MATCH($C2675,Liste_Types,0)),""))</f>
        <v/>
      </c>
      <c r="J2675" s="107">
        <f>IF($I2675="▲ ENTRÉE",$U2675,"")</f>
        <v/>
      </c>
      <c r="K2675" s="108">
        <f>IF($I2675="▼ SORTIE",$U2675,"")</f>
        <v/>
      </c>
      <c r="L2675" s="109">
        <f>$L2674+N($J2675)-N($K2675)</f>
        <v/>
      </c>
      <c r="M2675" s="110" t="n"/>
      <c r="N2675" s="54" t="n"/>
      <c r="O2675" s="54" t="n"/>
      <c r="P2675" s="54" t="n"/>
      <c r="Q2675" s="110" t="n"/>
      <c r="R2675" s="110" t="n"/>
      <c r="S2675" s="54" t="n"/>
      <c r="T2675" s="111">
        <f>IF($G2675="","",IFERROR(INDEX(Taux_Devises,MATCH(IF($M2675="",Devise_Base,$M2675),Codes_Devises,0)),1))</f>
        <v/>
      </c>
      <c r="U2675" s="112">
        <f>IF($G2675="","",ROUND($G2675*$T2675,2))</f>
        <v/>
      </c>
      <c r="V2675" s="113">
        <f>IF($B2675="","",MONTH($B2675))</f>
        <v/>
      </c>
      <c r="W2675" s="113">
        <f>IF($B2675="","",YEAR($B2675))</f>
        <v/>
      </c>
    </row>
    <row r="2676">
      <c r="B2676" s="105" t="n"/>
      <c r="C2676" s="54" t="n"/>
      <c r="D2676" s="54" t="n"/>
      <c r="E2676" s="54" t="n"/>
      <c r="F2676" s="54" t="n"/>
      <c r="G2676" s="65" t="n"/>
      <c r="H2676" s="54" t="n"/>
      <c r="I2676" s="106">
        <f>IF($C2676="","",IFERROR(INDEX(Sens_Types,MATCH($C2676,Liste_Types,0)),""))</f>
        <v/>
      </c>
      <c r="J2676" s="107">
        <f>IF($I2676="▲ ENTRÉE",$U2676,"")</f>
        <v/>
      </c>
      <c r="K2676" s="108">
        <f>IF($I2676="▼ SORTIE",$U2676,"")</f>
        <v/>
      </c>
      <c r="L2676" s="109">
        <f>$L2675+N($J2676)-N($K2676)</f>
        <v/>
      </c>
      <c r="M2676" s="110" t="n"/>
      <c r="N2676" s="54" t="n"/>
      <c r="O2676" s="54" t="n"/>
      <c r="P2676" s="54" t="n"/>
      <c r="Q2676" s="110" t="n"/>
      <c r="R2676" s="110" t="n"/>
      <c r="S2676" s="54" t="n"/>
      <c r="T2676" s="111">
        <f>IF($G2676="","",IFERROR(INDEX(Taux_Devises,MATCH(IF($M2676="",Devise_Base,$M2676),Codes_Devises,0)),1))</f>
        <v/>
      </c>
      <c r="U2676" s="112">
        <f>IF($G2676="","",ROUND($G2676*$T2676,2))</f>
        <v/>
      </c>
      <c r="V2676" s="113">
        <f>IF($B2676="","",MONTH($B2676))</f>
        <v/>
      </c>
      <c r="W2676" s="113">
        <f>IF($B2676="","",YEAR($B2676))</f>
        <v/>
      </c>
    </row>
    <row r="2677">
      <c r="B2677" s="105" t="n"/>
      <c r="C2677" s="54" t="n"/>
      <c r="D2677" s="54" t="n"/>
      <c r="E2677" s="54" t="n"/>
      <c r="F2677" s="54" t="n"/>
      <c r="G2677" s="65" t="n"/>
      <c r="H2677" s="54" t="n"/>
      <c r="I2677" s="106">
        <f>IF($C2677="","",IFERROR(INDEX(Sens_Types,MATCH($C2677,Liste_Types,0)),""))</f>
        <v/>
      </c>
      <c r="J2677" s="107">
        <f>IF($I2677="▲ ENTRÉE",$U2677,"")</f>
        <v/>
      </c>
      <c r="K2677" s="108">
        <f>IF($I2677="▼ SORTIE",$U2677,"")</f>
        <v/>
      </c>
      <c r="L2677" s="109">
        <f>$L2676+N($J2677)-N($K2677)</f>
        <v/>
      </c>
      <c r="M2677" s="110" t="n"/>
      <c r="N2677" s="54" t="n"/>
      <c r="O2677" s="54" t="n"/>
      <c r="P2677" s="54" t="n"/>
      <c r="Q2677" s="110" t="n"/>
      <c r="R2677" s="110" t="n"/>
      <c r="S2677" s="54" t="n"/>
      <c r="T2677" s="111">
        <f>IF($G2677="","",IFERROR(INDEX(Taux_Devises,MATCH(IF($M2677="",Devise_Base,$M2677),Codes_Devises,0)),1))</f>
        <v/>
      </c>
      <c r="U2677" s="112">
        <f>IF($G2677="","",ROUND($G2677*$T2677,2))</f>
        <v/>
      </c>
      <c r="V2677" s="113">
        <f>IF($B2677="","",MONTH($B2677))</f>
        <v/>
      </c>
      <c r="W2677" s="113">
        <f>IF($B2677="","",YEAR($B2677))</f>
        <v/>
      </c>
    </row>
    <row r="2678">
      <c r="B2678" s="105" t="n"/>
      <c r="C2678" s="54" t="n"/>
      <c r="D2678" s="54" t="n"/>
      <c r="E2678" s="54" t="n"/>
      <c r="F2678" s="54" t="n"/>
      <c r="G2678" s="65" t="n"/>
      <c r="H2678" s="54" t="n"/>
      <c r="I2678" s="106">
        <f>IF($C2678="","",IFERROR(INDEX(Sens_Types,MATCH($C2678,Liste_Types,0)),""))</f>
        <v/>
      </c>
      <c r="J2678" s="107">
        <f>IF($I2678="▲ ENTRÉE",$U2678,"")</f>
        <v/>
      </c>
      <c r="K2678" s="108">
        <f>IF($I2678="▼ SORTIE",$U2678,"")</f>
        <v/>
      </c>
      <c r="L2678" s="109">
        <f>$L2677+N($J2678)-N($K2678)</f>
        <v/>
      </c>
      <c r="M2678" s="110" t="n"/>
      <c r="N2678" s="54" t="n"/>
      <c r="O2678" s="54" t="n"/>
      <c r="P2678" s="54" t="n"/>
      <c r="Q2678" s="110" t="n"/>
      <c r="R2678" s="110" t="n"/>
      <c r="S2678" s="54" t="n"/>
      <c r="T2678" s="111">
        <f>IF($G2678="","",IFERROR(INDEX(Taux_Devises,MATCH(IF($M2678="",Devise_Base,$M2678),Codes_Devises,0)),1))</f>
        <v/>
      </c>
      <c r="U2678" s="112">
        <f>IF($G2678="","",ROUND($G2678*$T2678,2))</f>
        <v/>
      </c>
      <c r="V2678" s="113">
        <f>IF($B2678="","",MONTH($B2678))</f>
        <v/>
      </c>
      <c r="W2678" s="113">
        <f>IF($B2678="","",YEAR($B2678))</f>
        <v/>
      </c>
    </row>
    <row r="2679">
      <c r="B2679" s="105" t="n"/>
      <c r="C2679" s="54" t="n"/>
      <c r="D2679" s="54" t="n"/>
      <c r="E2679" s="54" t="n"/>
      <c r="F2679" s="54" t="n"/>
      <c r="G2679" s="65" t="n"/>
      <c r="H2679" s="54" t="n"/>
      <c r="I2679" s="106">
        <f>IF($C2679="","",IFERROR(INDEX(Sens_Types,MATCH($C2679,Liste_Types,0)),""))</f>
        <v/>
      </c>
      <c r="J2679" s="107">
        <f>IF($I2679="▲ ENTRÉE",$U2679,"")</f>
        <v/>
      </c>
      <c r="K2679" s="108">
        <f>IF($I2679="▼ SORTIE",$U2679,"")</f>
        <v/>
      </c>
      <c r="L2679" s="109">
        <f>$L2678+N($J2679)-N($K2679)</f>
        <v/>
      </c>
      <c r="M2679" s="110" t="n"/>
      <c r="N2679" s="54" t="n"/>
      <c r="O2679" s="54" t="n"/>
      <c r="P2679" s="54" t="n"/>
      <c r="Q2679" s="110" t="n"/>
      <c r="R2679" s="110" t="n"/>
      <c r="S2679" s="54" t="n"/>
      <c r="T2679" s="111">
        <f>IF($G2679="","",IFERROR(INDEX(Taux_Devises,MATCH(IF($M2679="",Devise_Base,$M2679),Codes_Devises,0)),1))</f>
        <v/>
      </c>
      <c r="U2679" s="112">
        <f>IF($G2679="","",ROUND($G2679*$T2679,2))</f>
        <v/>
      </c>
      <c r="V2679" s="113">
        <f>IF($B2679="","",MONTH($B2679))</f>
        <v/>
      </c>
      <c r="W2679" s="113">
        <f>IF($B2679="","",YEAR($B2679))</f>
        <v/>
      </c>
    </row>
    <row r="2680">
      <c r="B2680" s="105" t="n"/>
      <c r="C2680" s="54" t="n"/>
      <c r="D2680" s="54" t="n"/>
      <c r="E2680" s="54" t="n"/>
      <c r="F2680" s="54" t="n"/>
      <c r="G2680" s="65" t="n"/>
      <c r="H2680" s="54" t="n"/>
      <c r="I2680" s="106">
        <f>IF($C2680="","",IFERROR(INDEX(Sens_Types,MATCH($C2680,Liste_Types,0)),""))</f>
        <v/>
      </c>
      <c r="J2680" s="107">
        <f>IF($I2680="▲ ENTRÉE",$U2680,"")</f>
        <v/>
      </c>
      <c r="K2680" s="108">
        <f>IF($I2680="▼ SORTIE",$U2680,"")</f>
        <v/>
      </c>
      <c r="L2680" s="109">
        <f>$L2679+N($J2680)-N($K2680)</f>
        <v/>
      </c>
      <c r="M2680" s="110" t="n"/>
      <c r="N2680" s="54" t="n"/>
      <c r="O2680" s="54" t="n"/>
      <c r="P2680" s="54" t="n"/>
      <c r="Q2680" s="110" t="n"/>
      <c r="R2680" s="110" t="n"/>
      <c r="S2680" s="54" t="n"/>
      <c r="T2680" s="111">
        <f>IF($G2680="","",IFERROR(INDEX(Taux_Devises,MATCH(IF($M2680="",Devise_Base,$M2680),Codes_Devises,0)),1))</f>
        <v/>
      </c>
      <c r="U2680" s="112">
        <f>IF($G2680="","",ROUND($G2680*$T2680,2))</f>
        <v/>
      </c>
      <c r="V2680" s="113">
        <f>IF($B2680="","",MONTH($B2680))</f>
        <v/>
      </c>
      <c r="W2680" s="113">
        <f>IF($B2680="","",YEAR($B2680))</f>
        <v/>
      </c>
    </row>
    <row r="2681">
      <c r="B2681" s="105" t="n"/>
      <c r="C2681" s="54" t="n"/>
      <c r="D2681" s="54" t="n"/>
      <c r="E2681" s="54" t="n"/>
      <c r="F2681" s="54" t="n"/>
      <c r="G2681" s="65" t="n"/>
      <c r="H2681" s="54" t="n"/>
      <c r="I2681" s="106">
        <f>IF($C2681="","",IFERROR(INDEX(Sens_Types,MATCH($C2681,Liste_Types,0)),""))</f>
        <v/>
      </c>
      <c r="J2681" s="107">
        <f>IF($I2681="▲ ENTRÉE",$U2681,"")</f>
        <v/>
      </c>
      <c r="K2681" s="108">
        <f>IF($I2681="▼ SORTIE",$U2681,"")</f>
        <v/>
      </c>
      <c r="L2681" s="109">
        <f>$L2680+N($J2681)-N($K2681)</f>
        <v/>
      </c>
      <c r="M2681" s="110" t="n"/>
      <c r="N2681" s="54" t="n"/>
      <c r="O2681" s="54" t="n"/>
      <c r="P2681" s="54" t="n"/>
      <c r="Q2681" s="110" t="n"/>
      <c r="R2681" s="110" t="n"/>
      <c r="S2681" s="54" t="n"/>
      <c r="T2681" s="111">
        <f>IF($G2681="","",IFERROR(INDEX(Taux_Devises,MATCH(IF($M2681="",Devise_Base,$M2681),Codes_Devises,0)),1))</f>
        <v/>
      </c>
      <c r="U2681" s="112">
        <f>IF($G2681="","",ROUND($G2681*$T2681,2))</f>
        <v/>
      </c>
      <c r="V2681" s="113">
        <f>IF($B2681="","",MONTH($B2681))</f>
        <v/>
      </c>
      <c r="W2681" s="113">
        <f>IF($B2681="","",YEAR($B2681))</f>
        <v/>
      </c>
    </row>
    <row r="2682">
      <c r="B2682" s="105" t="n"/>
      <c r="C2682" s="54" t="n"/>
      <c r="D2682" s="54" t="n"/>
      <c r="E2682" s="54" t="n"/>
      <c r="F2682" s="54" t="n"/>
      <c r="G2682" s="65" t="n"/>
      <c r="H2682" s="54" t="n"/>
      <c r="I2682" s="106">
        <f>IF($C2682="","",IFERROR(INDEX(Sens_Types,MATCH($C2682,Liste_Types,0)),""))</f>
        <v/>
      </c>
      <c r="J2682" s="107">
        <f>IF($I2682="▲ ENTRÉE",$U2682,"")</f>
        <v/>
      </c>
      <c r="K2682" s="108">
        <f>IF($I2682="▼ SORTIE",$U2682,"")</f>
        <v/>
      </c>
      <c r="L2682" s="109">
        <f>$L2681+N($J2682)-N($K2682)</f>
        <v/>
      </c>
      <c r="M2682" s="110" t="n"/>
      <c r="N2682" s="54" t="n"/>
      <c r="O2682" s="54" t="n"/>
      <c r="P2682" s="54" t="n"/>
      <c r="Q2682" s="110" t="n"/>
      <c r="R2682" s="110" t="n"/>
      <c r="S2682" s="54" t="n"/>
      <c r="T2682" s="111">
        <f>IF($G2682="","",IFERROR(INDEX(Taux_Devises,MATCH(IF($M2682="",Devise_Base,$M2682),Codes_Devises,0)),1))</f>
        <v/>
      </c>
      <c r="U2682" s="112">
        <f>IF($G2682="","",ROUND($G2682*$T2682,2))</f>
        <v/>
      </c>
      <c r="V2682" s="113">
        <f>IF($B2682="","",MONTH($B2682))</f>
        <v/>
      </c>
      <c r="W2682" s="113">
        <f>IF($B2682="","",YEAR($B2682))</f>
        <v/>
      </c>
    </row>
    <row r="2683">
      <c r="B2683" s="105" t="n"/>
      <c r="C2683" s="54" t="n"/>
      <c r="D2683" s="54" t="n"/>
      <c r="E2683" s="54" t="n"/>
      <c r="F2683" s="54" t="n"/>
      <c r="G2683" s="65" t="n"/>
      <c r="H2683" s="54" t="n"/>
      <c r="I2683" s="106">
        <f>IF($C2683="","",IFERROR(INDEX(Sens_Types,MATCH($C2683,Liste_Types,0)),""))</f>
        <v/>
      </c>
      <c r="J2683" s="107">
        <f>IF($I2683="▲ ENTRÉE",$U2683,"")</f>
        <v/>
      </c>
      <c r="K2683" s="108">
        <f>IF($I2683="▼ SORTIE",$U2683,"")</f>
        <v/>
      </c>
      <c r="L2683" s="109">
        <f>$L2682+N($J2683)-N($K2683)</f>
        <v/>
      </c>
      <c r="M2683" s="110" t="n"/>
      <c r="N2683" s="54" t="n"/>
      <c r="O2683" s="54" t="n"/>
      <c r="P2683" s="54" t="n"/>
      <c r="Q2683" s="110" t="n"/>
      <c r="R2683" s="110" t="n"/>
      <c r="S2683" s="54" t="n"/>
      <c r="T2683" s="111">
        <f>IF($G2683="","",IFERROR(INDEX(Taux_Devises,MATCH(IF($M2683="",Devise_Base,$M2683),Codes_Devises,0)),1))</f>
        <v/>
      </c>
      <c r="U2683" s="112">
        <f>IF($G2683="","",ROUND($G2683*$T2683,2))</f>
        <v/>
      </c>
      <c r="V2683" s="113">
        <f>IF($B2683="","",MONTH($B2683))</f>
        <v/>
      </c>
      <c r="W2683" s="113">
        <f>IF($B2683="","",YEAR($B2683))</f>
        <v/>
      </c>
    </row>
    <row r="2684">
      <c r="B2684" s="105" t="n"/>
      <c r="C2684" s="54" t="n"/>
      <c r="D2684" s="54" t="n"/>
      <c r="E2684" s="54" t="n"/>
      <c r="F2684" s="54" t="n"/>
      <c r="G2684" s="65" t="n"/>
      <c r="H2684" s="54" t="n"/>
      <c r="I2684" s="106">
        <f>IF($C2684="","",IFERROR(INDEX(Sens_Types,MATCH($C2684,Liste_Types,0)),""))</f>
        <v/>
      </c>
      <c r="J2684" s="107">
        <f>IF($I2684="▲ ENTRÉE",$U2684,"")</f>
        <v/>
      </c>
      <c r="K2684" s="108">
        <f>IF($I2684="▼ SORTIE",$U2684,"")</f>
        <v/>
      </c>
      <c r="L2684" s="109">
        <f>$L2683+N($J2684)-N($K2684)</f>
        <v/>
      </c>
      <c r="M2684" s="110" t="n"/>
      <c r="N2684" s="54" t="n"/>
      <c r="O2684" s="54" t="n"/>
      <c r="P2684" s="54" t="n"/>
      <c r="Q2684" s="110" t="n"/>
      <c r="R2684" s="110" t="n"/>
      <c r="S2684" s="54" t="n"/>
      <c r="T2684" s="111">
        <f>IF($G2684="","",IFERROR(INDEX(Taux_Devises,MATCH(IF($M2684="",Devise_Base,$M2684),Codes_Devises,0)),1))</f>
        <v/>
      </c>
      <c r="U2684" s="112">
        <f>IF($G2684="","",ROUND($G2684*$T2684,2))</f>
        <v/>
      </c>
      <c r="V2684" s="113">
        <f>IF($B2684="","",MONTH($B2684))</f>
        <v/>
      </c>
      <c r="W2684" s="113">
        <f>IF($B2684="","",YEAR($B2684))</f>
        <v/>
      </c>
    </row>
    <row r="2685">
      <c r="B2685" s="105" t="n"/>
      <c r="C2685" s="54" t="n"/>
      <c r="D2685" s="54" t="n"/>
      <c r="E2685" s="54" t="n"/>
      <c r="F2685" s="54" t="n"/>
      <c r="G2685" s="65" t="n"/>
      <c r="H2685" s="54" t="n"/>
      <c r="I2685" s="106">
        <f>IF($C2685="","",IFERROR(INDEX(Sens_Types,MATCH($C2685,Liste_Types,0)),""))</f>
        <v/>
      </c>
      <c r="J2685" s="107">
        <f>IF($I2685="▲ ENTRÉE",$U2685,"")</f>
        <v/>
      </c>
      <c r="K2685" s="108">
        <f>IF($I2685="▼ SORTIE",$U2685,"")</f>
        <v/>
      </c>
      <c r="L2685" s="109">
        <f>$L2684+N($J2685)-N($K2685)</f>
        <v/>
      </c>
      <c r="M2685" s="110" t="n"/>
      <c r="N2685" s="54" t="n"/>
      <c r="O2685" s="54" t="n"/>
      <c r="P2685" s="54" t="n"/>
      <c r="Q2685" s="110" t="n"/>
      <c r="R2685" s="110" t="n"/>
      <c r="S2685" s="54" t="n"/>
      <c r="T2685" s="111">
        <f>IF($G2685="","",IFERROR(INDEX(Taux_Devises,MATCH(IF($M2685="",Devise_Base,$M2685),Codes_Devises,0)),1))</f>
        <v/>
      </c>
      <c r="U2685" s="112">
        <f>IF($G2685="","",ROUND($G2685*$T2685,2))</f>
        <v/>
      </c>
      <c r="V2685" s="113">
        <f>IF($B2685="","",MONTH($B2685))</f>
        <v/>
      </c>
      <c r="W2685" s="113">
        <f>IF($B2685="","",YEAR($B2685))</f>
        <v/>
      </c>
    </row>
    <row r="2686">
      <c r="B2686" s="105" t="n"/>
      <c r="C2686" s="54" t="n"/>
      <c r="D2686" s="54" t="n"/>
      <c r="E2686" s="54" t="n"/>
      <c r="F2686" s="54" t="n"/>
      <c r="G2686" s="65" t="n"/>
      <c r="H2686" s="54" t="n"/>
      <c r="I2686" s="106">
        <f>IF($C2686="","",IFERROR(INDEX(Sens_Types,MATCH($C2686,Liste_Types,0)),""))</f>
        <v/>
      </c>
      <c r="J2686" s="107">
        <f>IF($I2686="▲ ENTRÉE",$U2686,"")</f>
        <v/>
      </c>
      <c r="K2686" s="108">
        <f>IF($I2686="▼ SORTIE",$U2686,"")</f>
        <v/>
      </c>
      <c r="L2686" s="109">
        <f>$L2685+N($J2686)-N($K2686)</f>
        <v/>
      </c>
      <c r="M2686" s="110" t="n"/>
      <c r="N2686" s="54" t="n"/>
      <c r="O2686" s="54" t="n"/>
      <c r="P2686" s="54" t="n"/>
      <c r="Q2686" s="110" t="n"/>
      <c r="R2686" s="110" t="n"/>
      <c r="S2686" s="54" t="n"/>
      <c r="T2686" s="111">
        <f>IF($G2686="","",IFERROR(INDEX(Taux_Devises,MATCH(IF($M2686="",Devise_Base,$M2686),Codes_Devises,0)),1))</f>
        <v/>
      </c>
      <c r="U2686" s="112">
        <f>IF($G2686="","",ROUND($G2686*$T2686,2))</f>
        <v/>
      </c>
      <c r="V2686" s="113">
        <f>IF($B2686="","",MONTH($B2686))</f>
        <v/>
      </c>
      <c r="W2686" s="113">
        <f>IF($B2686="","",YEAR($B2686))</f>
        <v/>
      </c>
    </row>
    <row r="2687">
      <c r="B2687" s="105" t="n"/>
      <c r="C2687" s="54" t="n"/>
      <c r="D2687" s="54" t="n"/>
      <c r="E2687" s="54" t="n"/>
      <c r="F2687" s="54" t="n"/>
      <c r="G2687" s="65" t="n"/>
      <c r="H2687" s="54" t="n"/>
      <c r="I2687" s="106">
        <f>IF($C2687="","",IFERROR(INDEX(Sens_Types,MATCH($C2687,Liste_Types,0)),""))</f>
        <v/>
      </c>
      <c r="J2687" s="107">
        <f>IF($I2687="▲ ENTRÉE",$U2687,"")</f>
        <v/>
      </c>
      <c r="K2687" s="108">
        <f>IF($I2687="▼ SORTIE",$U2687,"")</f>
        <v/>
      </c>
      <c r="L2687" s="109">
        <f>$L2686+N($J2687)-N($K2687)</f>
        <v/>
      </c>
      <c r="M2687" s="110" t="n"/>
      <c r="N2687" s="54" t="n"/>
      <c r="O2687" s="54" t="n"/>
      <c r="P2687" s="54" t="n"/>
      <c r="Q2687" s="110" t="n"/>
      <c r="R2687" s="110" t="n"/>
      <c r="S2687" s="54" t="n"/>
      <c r="T2687" s="111">
        <f>IF($G2687="","",IFERROR(INDEX(Taux_Devises,MATCH(IF($M2687="",Devise_Base,$M2687),Codes_Devises,0)),1))</f>
        <v/>
      </c>
      <c r="U2687" s="112">
        <f>IF($G2687="","",ROUND($G2687*$T2687,2))</f>
        <v/>
      </c>
      <c r="V2687" s="113">
        <f>IF($B2687="","",MONTH($B2687))</f>
        <v/>
      </c>
      <c r="W2687" s="113">
        <f>IF($B2687="","",YEAR($B2687))</f>
        <v/>
      </c>
    </row>
    <row r="2688">
      <c r="B2688" s="105" t="n"/>
      <c r="C2688" s="54" t="n"/>
      <c r="D2688" s="54" t="n"/>
      <c r="E2688" s="54" t="n"/>
      <c r="F2688" s="54" t="n"/>
      <c r="G2688" s="65" t="n"/>
      <c r="H2688" s="54" t="n"/>
      <c r="I2688" s="106">
        <f>IF($C2688="","",IFERROR(INDEX(Sens_Types,MATCH($C2688,Liste_Types,0)),""))</f>
        <v/>
      </c>
      <c r="J2688" s="107">
        <f>IF($I2688="▲ ENTRÉE",$U2688,"")</f>
        <v/>
      </c>
      <c r="K2688" s="108">
        <f>IF($I2688="▼ SORTIE",$U2688,"")</f>
        <v/>
      </c>
      <c r="L2688" s="109">
        <f>$L2687+N($J2688)-N($K2688)</f>
        <v/>
      </c>
      <c r="M2688" s="110" t="n"/>
      <c r="N2688" s="54" t="n"/>
      <c r="O2688" s="54" t="n"/>
      <c r="P2688" s="54" t="n"/>
      <c r="Q2688" s="110" t="n"/>
      <c r="R2688" s="110" t="n"/>
      <c r="S2688" s="54" t="n"/>
      <c r="T2688" s="111">
        <f>IF($G2688="","",IFERROR(INDEX(Taux_Devises,MATCH(IF($M2688="",Devise_Base,$M2688),Codes_Devises,0)),1))</f>
        <v/>
      </c>
      <c r="U2688" s="112">
        <f>IF($G2688="","",ROUND($G2688*$T2688,2))</f>
        <v/>
      </c>
      <c r="V2688" s="113">
        <f>IF($B2688="","",MONTH($B2688))</f>
        <v/>
      </c>
      <c r="W2688" s="113">
        <f>IF($B2688="","",YEAR($B2688))</f>
        <v/>
      </c>
    </row>
    <row r="2689">
      <c r="B2689" s="105" t="n"/>
      <c r="C2689" s="54" t="n"/>
      <c r="D2689" s="54" t="n"/>
      <c r="E2689" s="54" t="n"/>
      <c r="F2689" s="54" t="n"/>
      <c r="G2689" s="65" t="n"/>
      <c r="H2689" s="54" t="n"/>
      <c r="I2689" s="106">
        <f>IF($C2689="","",IFERROR(INDEX(Sens_Types,MATCH($C2689,Liste_Types,0)),""))</f>
        <v/>
      </c>
      <c r="J2689" s="107">
        <f>IF($I2689="▲ ENTRÉE",$U2689,"")</f>
        <v/>
      </c>
      <c r="K2689" s="108">
        <f>IF($I2689="▼ SORTIE",$U2689,"")</f>
        <v/>
      </c>
      <c r="L2689" s="109">
        <f>$L2688+N($J2689)-N($K2689)</f>
        <v/>
      </c>
      <c r="M2689" s="110" t="n"/>
      <c r="N2689" s="54" t="n"/>
      <c r="O2689" s="54" t="n"/>
      <c r="P2689" s="54" t="n"/>
      <c r="Q2689" s="110" t="n"/>
      <c r="R2689" s="110" t="n"/>
      <c r="S2689" s="54" t="n"/>
      <c r="T2689" s="111">
        <f>IF($G2689="","",IFERROR(INDEX(Taux_Devises,MATCH(IF($M2689="",Devise_Base,$M2689),Codes_Devises,0)),1))</f>
        <v/>
      </c>
      <c r="U2689" s="112">
        <f>IF($G2689="","",ROUND($G2689*$T2689,2))</f>
        <v/>
      </c>
      <c r="V2689" s="113">
        <f>IF($B2689="","",MONTH($B2689))</f>
        <v/>
      </c>
      <c r="W2689" s="113">
        <f>IF($B2689="","",YEAR($B2689))</f>
        <v/>
      </c>
    </row>
    <row r="2690">
      <c r="B2690" s="105" t="n"/>
      <c r="C2690" s="54" t="n"/>
      <c r="D2690" s="54" t="n"/>
      <c r="E2690" s="54" t="n"/>
      <c r="F2690" s="54" t="n"/>
      <c r="G2690" s="65" t="n"/>
      <c r="H2690" s="54" t="n"/>
      <c r="I2690" s="106">
        <f>IF($C2690="","",IFERROR(INDEX(Sens_Types,MATCH($C2690,Liste_Types,0)),""))</f>
        <v/>
      </c>
      <c r="J2690" s="107">
        <f>IF($I2690="▲ ENTRÉE",$U2690,"")</f>
        <v/>
      </c>
      <c r="K2690" s="108">
        <f>IF($I2690="▼ SORTIE",$U2690,"")</f>
        <v/>
      </c>
      <c r="L2690" s="109">
        <f>$L2689+N($J2690)-N($K2690)</f>
        <v/>
      </c>
      <c r="M2690" s="110" t="n"/>
      <c r="N2690" s="54" t="n"/>
      <c r="O2690" s="54" t="n"/>
      <c r="P2690" s="54" t="n"/>
      <c r="Q2690" s="110" t="n"/>
      <c r="R2690" s="110" t="n"/>
      <c r="S2690" s="54" t="n"/>
      <c r="T2690" s="111">
        <f>IF($G2690="","",IFERROR(INDEX(Taux_Devises,MATCH(IF($M2690="",Devise_Base,$M2690),Codes_Devises,0)),1))</f>
        <v/>
      </c>
      <c r="U2690" s="112">
        <f>IF($G2690="","",ROUND($G2690*$T2690,2))</f>
        <v/>
      </c>
      <c r="V2690" s="113">
        <f>IF($B2690="","",MONTH($B2690))</f>
        <v/>
      </c>
      <c r="W2690" s="113">
        <f>IF($B2690="","",YEAR($B2690))</f>
        <v/>
      </c>
    </row>
    <row r="2691">
      <c r="B2691" s="105" t="n"/>
      <c r="C2691" s="54" t="n"/>
      <c r="D2691" s="54" t="n"/>
      <c r="E2691" s="54" t="n"/>
      <c r="F2691" s="54" t="n"/>
      <c r="G2691" s="65" t="n"/>
      <c r="H2691" s="54" t="n"/>
      <c r="I2691" s="106">
        <f>IF($C2691="","",IFERROR(INDEX(Sens_Types,MATCH($C2691,Liste_Types,0)),""))</f>
        <v/>
      </c>
      <c r="J2691" s="107">
        <f>IF($I2691="▲ ENTRÉE",$U2691,"")</f>
        <v/>
      </c>
      <c r="K2691" s="108">
        <f>IF($I2691="▼ SORTIE",$U2691,"")</f>
        <v/>
      </c>
      <c r="L2691" s="109">
        <f>$L2690+N($J2691)-N($K2691)</f>
        <v/>
      </c>
      <c r="M2691" s="110" t="n"/>
      <c r="N2691" s="54" t="n"/>
      <c r="O2691" s="54" t="n"/>
      <c r="P2691" s="54" t="n"/>
      <c r="Q2691" s="110" t="n"/>
      <c r="R2691" s="110" t="n"/>
      <c r="S2691" s="54" t="n"/>
      <c r="T2691" s="111">
        <f>IF($G2691="","",IFERROR(INDEX(Taux_Devises,MATCH(IF($M2691="",Devise_Base,$M2691),Codes_Devises,0)),1))</f>
        <v/>
      </c>
      <c r="U2691" s="112">
        <f>IF($G2691="","",ROUND($G2691*$T2691,2))</f>
        <v/>
      </c>
      <c r="V2691" s="113">
        <f>IF($B2691="","",MONTH($B2691))</f>
        <v/>
      </c>
      <c r="W2691" s="113">
        <f>IF($B2691="","",YEAR($B2691))</f>
        <v/>
      </c>
    </row>
    <row r="2692">
      <c r="B2692" s="105" t="n"/>
      <c r="C2692" s="54" t="n"/>
      <c r="D2692" s="54" t="n"/>
      <c r="E2692" s="54" t="n"/>
      <c r="F2692" s="54" t="n"/>
      <c r="G2692" s="65" t="n"/>
      <c r="H2692" s="54" t="n"/>
      <c r="I2692" s="106">
        <f>IF($C2692="","",IFERROR(INDEX(Sens_Types,MATCH($C2692,Liste_Types,0)),""))</f>
        <v/>
      </c>
      <c r="J2692" s="107">
        <f>IF($I2692="▲ ENTRÉE",$U2692,"")</f>
        <v/>
      </c>
      <c r="K2692" s="108">
        <f>IF($I2692="▼ SORTIE",$U2692,"")</f>
        <v/>
      </c>
      <c r="L2692" s="109">
        <f>$L2691+N($J2692)-N($K2692)</f>
        <v/>
      </c>
      <c r="M2692" s="110" t="n"/>
      <c r="N2692" s="54" t="n"/>
      <c r="O2692" s="54" t="n"/>
      <c r="P2692" s="54" t="n"/>
      <c r="Q2692" s="110" t="n"/>
      <c r="R2692" s="110" t="n"/>
      <c r="S2692" s="54" t="n"/>
      <c r="T2692" s="111">
        <f>IF($G2692="","",IFERROR(INDEX(Taux_Devises,MATCH(IF($M2692="",Devise_Base,$M2692),Codes_Devises,0)),1))</f>
        <v/>
      </c>
      <c r="U2692" s="112">
        <f>IF($G2692="","",ROUND($G2692*$T2692,2))</f>
        <v/>
      </c>
      <c r="V2692" s="113">
        <f>IF($B2692="","",MONTH($B2692))</f>
        <v/>
      </c>
      <c r="W2692" s="113">
        <f>IF($B2692="","",YEAR($B2692))</f>
        <v/>
      </c>
    </row>
    <row r="2693">
      <c r="B2693" s="105" t="n"/>
      <c r="C2693" s="54" t="n"/>
      <c r="D2693" s="54" t="n"/>
      <c r="E2693" s="54" t="n"/>
      <c r="F2693" s="54" t="n"/>
      <c r="G2693" s="65" t="n"/>
      <c r="H2693" s="54" t="n"/>
      <c r="I2693" s="106">
        <f>IF($C2693="","",IFERROR(INDEX(Sens_Types,MATCH($C2693,Liste_Types,0)),""))</f>
        <v/>
      </c>
      <c r="J2693" s="107">
        <f>IF($I2693="▲ ENTRÉE",$U2693,"")</f>
        <v/>
      </c>
      <c r="K2693" s="108">
        <f>IF($I2693="▼ SORTIE",$U2693,"")</f>
        <v/>
      </c>
      <c r="L2693" s="109">
        <f>$L2692+N($J2693)-N($K2693)</f>
        <v/>
      </c>
      <c r="M2693" s="110" t="n"/>
      <c r="N2693" s="54" t="n"/>
      <c r="O2693" s="54" t="n"/>
      <c r="P2693" s="54" t="n"/>
      <c r="Q2693" s="110" t="n"/>
      <c r="R2693" s="110" t="n"/>
      <c r="S2693" s="54" t="n"/>
      <c r="T2693" s="111">
        <f>IF($G2693="","",IFERROR(INDEX(Taux_Devises,MATCH(IF($M2693="",Devise_Base,$M2693),Codes_Devises,0)),1))</f>
        <v/>
      </c>
      <c r="U2693" s="112">
        <f>IF($G2693="","",ROUND($G2693*$T2693,2))</f>
        <v/>
      </c>
      <c r="V2693" s="113">
        <f>IF($B2693="","",MONTH($B2693))</f>
        <v/>
      </c>
      <c r="W2693" s="113">
        <f>IF($B2693="","",YEAR($B2693))</f>
        <v/>
      </c>
    </row>
    <row r="2694">
      <c r="B2694" s="105" t="n"/>
      <c r="C2694" s="54" t="n"/>
      <c r="D2694" s="54" t="n"/>
      <c r="E2694" s="54" t="n"/>
      <c r="F2694" s="54" t="n"/>
      <c r="G2694" s="65" t="n"/>
      <c r="H2694" s="54" t="n"/>
      <c r="I2694" s="106">
        <f>IF($C2694="","",IFERROR(INDEX(Sens_Types,MATCH($C2694,Liste_Types,0)),""))</f>
        <v/>
      </c>
      <c r="J2694" s="107">
        <f>IF($I2694="▲ ENTRÉE",$U2694,"")</f>
        <v/>
      </c>
      <c r="K2694" s="108">
        <f>IF($I2694="▼ SORTIE",$U2694,"")</f>
        <v/>
      </c>
      <c r="L2694" s="109">
        <f>$L2693+N($J2694)-N($K2694)</f>
        <v/>
      </c>
      <c r="M2694" s="110" t="n"/>
      <c r="N2694" s="54" t="n"/>
      <c r="O2694" s="54" t="n"/>
      <c r="P2694" s="54" t="n"/>
      <c r="Q2694" s="110" t="n"/>
      <c r="R2694" s="110" t="n"/>
      <c r="S2694" s="54" t="n"/>
      <c r="T2694" s="111">
        <f>IF($G2694="","",IFERROR(INDEX(Taux_Devises,MATCH(IF($M2694="",Devise_Base,$M2694),Codes_Devises,0)),1))</f>
        <v/>
      </c>
      <c r="U2694" s="112">
        <f>IF($G2694="","",ROUND($G2694*$T2694,2))</f>
        <v/>
      </c>
      <c r="V2694" s="113">
        <f>IF($B2694="","",MONTH($B2694))</f>
        <v/>
      </c>
      <c r="W2694" s="113">
        <f>IF($B2694="","",YEAR($B2694))</f>
        <v/>
      </c>
    </row>
    <row r="2695">
      <c r="B2695" s="105" t="n"/>
      <c r="C2695" s="54" t="n"/>
      <c r="D2695" s="54" t="n"/>
      <c r="E2695" s="54" t="n"/>
      <c r="F2695" s="54" t="n"/>
      <c r="G2695" s="65" t="n"/>
      <c r="H2695" s="54" t="n"/>
      <c r="I2695" s="106">
        <f>IF($C2695="","",IFERROR(INDEX(Sens_Types,MATCH($C2695,Liste_Types,0)),""))</f>
        <v/>
      </c>
      <c r="J2695" s="107">
        <f>IF($I2695="▲ ENTRÉE",$U2695,"")</f>
        <v/>
      </c>
      <c r="K2695" s="108">
        <f>IF($I2695="▼ SORTIE",$U2695,"")</f>
        <v/>
      </c>
      <c r="L2695" s="109">
        <f>$L2694+N($J2695)-N($K2695)</f>
        <v/>
      </c>
      <c r="M2695" s="110" t="n"/>
      <c r="N2695" s="54" t="n"/>
      <c r="O2695" s="54" t="n"/>
      <c r="P2695" s="54" t="n"/>
      <c r="Q2695" s="110" t="n"/>
      <c r="R2695" s="110" t="n"/>
      <c r="S2695" s="54" t="n"/>
      <c r="T2695" s="111">
        <f>IF($G2695="","",IFERROR(INDEX(Taux_Devises,MATCH(IF($M2695="",Devise_Base,$M2695),Codes_Devises,0)),1))</f>
        <v/>
      </c>
      <c r="U2695" s="112">
        <f>IF($G2695="","",ROUND($G2695*$T2695,2))</f>
        <v/>
      </c>
      <c r="V2695" s="113">
        <f>IF($B2695="","",MONTH($B2695))</f>
        <v/>
      </c>
      <c r="W2695" s="113">
        <f>IF($B2695="","",YEAR($B2695))</f>
        <v/>
      </c>
    </row>
    <row r="2696">
      <c r="B2696" s="105" t="n"/>
      <c r="C2696" s="54" t="n"/>
      <c r="D2696" s="54" t="n"/>
      <c r="E2696" s="54" t="n"/>
      <c r="F2696" s="54" t="n"/>
      <c r="G2696" s="65" t="n"/>
      <c r="H2696" s="54" t="n"/>
      <c r="I2696" s="106">
        <f>IF($C2696="","",IFERROR(INDEX(Sens_Types,MATCH($C2696,Liste_Types,0)),""))</f>
        <v/>
      </c>
      <c r="J2696" s="107">
        <f>IF($I2696="▲ ENTRÉE",$U2696,"")</f>
        <v/>
      </c>
      <c r="K2696" s="108">
        <f>IF($I2696="▼ SORTIE",$U2696,"")</f>
        <v/>
      </c>
      <c r="L2696" s="109">
        <f>$L2695+N($J2696)-N($K2696)</f>
        <v/>
      </c>
      <c r="M2696" s="110" t="n"/>
      <c r="N2696" s="54" t="n"/>
      <c r="O2696" s="54" t="n"/>
      <c r="P2696" s="54" t="n"/>
      <c r="Q2696" s="110" t="n"/>
      <c r="R2696" s="110" t="n"/>
      <c r="S2696" s="54" t="n"/>
      <c r="T2696" s="111">
        <f>IF($G2696="","",IFERROR(INDEX(Taux_Devises,MATCH(IF($M2696="",Devise_Base,$M2696),Codes_Devises,0)),1))</f>
        <v/>
      </c>
      <c r="U2696" s="112">
        <f>IF($G2696="","",ROUND($G2696*$T2696,2))</f>
        <v/>
      </c>
      <c r="V2696" s="113">
        <f>IF($B2696="","",MONTH($B2696))</f>
        <v/>
      </c>
      <c r="W2696" s="113">
        <f>IF($B2696="","",YEAR($B2696))</f>
        <v/>
      </c>
    </row>
    <row r="2697">
      <c r="B2697" s="105" t="n"/>
      <c r="C2697" s="54" t="n"/>
      <c r="D2697" s="54" t="n"/>
      <c r="E2697" s="54" t="n"/>
      <c r="F2697" s="54" t="n"/>
      <c r="G2697" s="65" t="n"/>
      <c r="H2697" s="54" t="n"/>
      <c r="I2697" s="106">
        <f>IF($C2697="","",IFERROR(INDEX(Sens_Types,MATCH($C2697,Liste_Types,0)),""))</f>
        <v/>
      </c>
      <c r="J2697" s="107">
        <f>IF($I2697="▲ ENTRÉE",$U2697,"")</f>
        <v/>
      </c>
      <c r="K2697" s="108">
        <f>IF($I2697="▼ SORTIE",$U2697,"")</f>
        <v/>
      </c>
      <c r="L2697" s="109">
        <f>$L2696+N($J2697)-N($K2697)</f>
        <v/>
      </c>
      <c r="M2697" s="110" t="n"/>
      <c r="N2697" s="54" t="n"/>
      <c r="O2697" s="54" t="n"/>
      <c r="P2697" s="54" t="n"/>
      <c r="Q2697" s="110" t="n"/>
      <c r="R2697" s="110" t="n"/>
      <c r="S2697" s="54" t="n"/>
      <c r="T2697" s="111">
        <f>IF($G2697="","",IFERROR(INDEX(Taux_Devises,MATCH(IF($M2697="",Devise_Base,$M2697),Codes_Devises,0)),1))</f>
        <v/>
      </c>
      <c r="U2697" s="112">
        <f>IF($G2697="","",ROUND($G2697*$T2697,2))</f>
        <v/>
      </c>
      <c r="V2697" s="113">
        <f>IF($B2697="","",MONTH($B2697))</f>
        <v/>
      </c>
      <c r="W2697" s="113">
        <f>IF($B2697="","",YEAR($B2697))</f>
        <v/>
      </c>
    </row>
    <row r="2698">
      <c r="B2698" s="105" t="n"/>
      <c r="C2698" s="54" t="n"/>
      <c r="D2698" s="54" t="n"/>
      <c r="E2698" s="54" t="n"/>
      <c r="F2698" s="54" t="n"/>
      <c r="G2698" s="65" t="n"/>
      <c r="H2698" s="54" t="n"/>
      <c r="I2698" s="106">
        <f>IF($C2698="","",IFERROR(INDEX(Sens_Types,MATCH($C2698,Liste_Types,0)),""))</f>
        <v/>
      </c>
      <c r="J2698" s="107">
        <f>IF($I2698="▲ ENTRÉE",$U2698,"")</f>
        <v/>
      </c>
      <c r="K2698" s="108">
        <f>IF($I2698="▼ SORTIE",$U2698,"")</f>
        <v/>
      </c>
      <c r="L2698" s="109">
        <f>$L2697+N($J2698)-N($K2698)</f>
        <v/>
      </c>
      <c r="M2698" s="110" t="n"/>
      <c r="N2698" s="54" t="n"/>
      <c r="O2698" s="54" t="n"/>
      <c r="P2698" s="54" t="n"/>
      <c r="Q2698" s="110" t="n"/>
      <c r="R2698" s="110" t="n"/>
      <c r="S2698" s="54" t="n"/>
      <c r="T2698" s="111">
        <f>IF($G2698="","",IFERROR(INDEX(Taux_Devises,MATCH(IF($M2698="",Devise_Base,$M2698),Codes_Devises,0)),1))</f>
        <v/>
      </c>
      <c r="U2698" s="112">
        <f>IF($G2698="","",ROUND($G2698*$T2698,2))</f>
        <v/>
      </c>
      <c r="V2698" s="113">
        <f>IF($B2698="","",MONTH($B2698))</f>
        <v/>
      </c>
      <c r="W2698" s="113">
        <f>IF($B2698="","",YEAR($B2698))</f>
        <v/>
      </c>
    </row>
    <row r="2699">
      <c r="B2699" s="105" t="n"/>
      <c r="C2699" s="54" t="n"/>
      <c r="D2699" s="54" t="n"/>
      <c r="E2699" s="54" t="n"/>
      <c r="F2699" s="54" t="n"/>
      <c r="G2699" s="65" t="n"/>
      <c r="H2699" s="54" t="n"/>
      <c r="I2699" s="106">
        <f>IF($C2699="","",IFERROR(INDEX(Sens_Types,MATCH($C2699,Liste_Types,0)),""))</f>
        <v/>
      </c>
      <c r="J2699" s="107">
        <f>IF($I2699="▲ ENTRÉE",$U2699,"")</f>
        <v/>
      </c>
      <c r="K2699" s="108">
        <f>IF($I2699="▼ SORTIE",$U2699,"")</f>
        <v/>
      </c>
      <c r="L2699" s="109">
        <f>$L2698+N($J2699)-N($K2699)</f>
        <v/>
      </c>
      <c r="M2699" s="110" t="n"/>
      <c r="N2699" s="54" t="n"/>
      <c r="O2699" s="54" t="n"/>
      <c r="P2699" s="54" t="n"/>
      <c r="Q2699" s="110" t="n"/>
      <c r="R2699" s="110" t="n"/>
      <c r="S2699" s="54" t="n"/>
      <c r="T2699" s="111">
        <f>IF($G2699="","",IFERROR(INDEX(Taux_Devises,MATCH(IF($M2699="",Devise_Base,$M2699),Codes_Devises,0)),1))</f>
        <v/>
      </c>
      <c r="U2699" s="112">
        <f>IF($G2699="","",ROUND($G2699*$T2699,2))</f>
        <v/>
      </c>
      <c r="V2699" s="113">
        <f>IF($B2699="","",MONTH($B2699))</f>
        <v/>
      </c>
      <c r="W2699" s="113">
        <f>IF($B2699="","",YEAR($B2699))</f>
        <v/>
      </c>
    </row>
    <row r="2700">
      <c r="B2700" s="105" t="n"/>
      <c r="C2700" s="54" t="n"/>
      <c r="D2700" s="54" t="n"/>
      <c r="E2700" s="54" t="n"/>
      <c r="F2700" s="54" t="n"/>
      <c r="G2700" s="65" t="n"/>
      <c r="H2700" s="54" t="n"/>
      <c r="I2700" s="106">
        <f>IF($C2700="","",IFERROR(INDEX(Sens_Types,MATCH($C2700,Liste_Types,0)),""))</f>
        <v/>
      </c>
      <c r="J2700" s="107">
        <f>IF($I2700="▲ ENTRÉE",$U2700,"")</f>
        <v/>
      </c>
      <c r="K2700" s="108">
        <f>IF($I2700="▼ SORTIE",$U2700,"")</f>
        <v/>
      </c>
      <c r="L2700" s="109">
        <f>$L2699+N($J2700)-N($K2700)</f>
        <v/>
      </c>
      <c r="M2700" s="110" t="n"/>
      <c r="N2700" s="54" t="n"/>
      <c r="O2700" s="54" t="n"/>
      <c r="P2700" s="54" t="n"/>
      <c r="Q2700" s="110" t="n"/>
      <c r="R2700" s="110" t="n"/>
      <c r="S2700" s="54" t="n"/>
      <c r="T2700" s="111">
        <f>IF($G2700="","",IFERROR(INDEX(Taux_Devises,MATCH(IF($M2700="",Devise_Base,$M2700),Codes_Devises,0)),1))</f>
        <v/>
      </c>
      <c r="U2700" s="112">
        <f>IF($G2700="","",ROUND($G2700*$T2700,2))</f>
        <v/>
      </c>
      <c r="V2700" s="113">
        <f>IF($B2700="","",MONTH($B2700))</f>
        <v/>
      </c>
      <c r="W2700" s="113">
        <f>IF($B2700="","",YEAR($B2700))</f>
        <v/>
      </c>
    </row>
    <row r="2701">
      <c r="B2701" s="105" t="n"/>
      <c r="C2701" s="54" t="n"/>
      <c r="D2701" s="54" t="n"/>
      <c r="E2701" s="54" t="n"/>
      <c r="F2701" s="54" t="n"/>
      <c r="G2701" s="65" t="n"/>
      <c r="H2701" s="54" t="n"/>
      <c r="I2701" s="106">
        <f>IF($C2701="","",IFERROR(INDEX(Sens_Types,MATCH($C2701,Liste_Types,0)),""))</f>
        <v/>
      </c>
      <c r="J2701" s="107">
        <f>IF($I2701="▲ ENTRÉE",$U2701,"")</f>
        <v/>
      </c>
      <c r="K2701" s="108">
        <f>IF($I2701="▼ SORTIE",$U2701,"")</f>
        <v/>
      </c>
      <c r="L2701" s="109">
        <f>$L2700+N($J2701)-N($K2701)</f>
        <v/>
      </c>
      <c r="M2701" s="110" t="n"/>
      <c r="N2701" s="54" t="n"/>
      <c r="O2701" s="54" t="n"/>
      <c r="P2701" s="54" t="n"/>
      <c r="Q2701" s="110" t="n"/>
      <c r="R2701" s="110" t="n"/>
      <c r="S2701" s="54" t="n"/>
      <c r="T2701" s="111">
        <f>IF($G2701="","",IFERROR(INDEX(Taux_Devises,MATCH(IF($M2701="",Devise_Base,$M2701),Codes_Devises,0)),1))</f>
        <v/>
      </c>
      <c r="U2701" s="112">
        <f>IF($G2701="","",ROUND($G2701*$T2701,2))</f>
        <v/>
      </c>
      <c r="V2701" s="113">
        <f>IF($B2701="","",MONTH($B2701))</f>
        <v/>
      </c>
      <c r="W2701" s="113">
        <f>IF($B2701="","",YEAR($B2701))</f>
        <v/>
      </c>
    </row>
    <row r="2702">
      <c r="B2702" s="105" t="n"/>
      <c r="C2702" s="54" t="n"/>
      <c r="D2702" s="54" t="n"/>
      <c r="E2702" s="54" t="n"/>
      <c r="F2702" s="54" t="n"/>
      <c r="G2702" s="65" t="n"/>
      <c r="H2702" s="54" t="n"/>
      <c r="I2702" s="106">
        <f>IF($C2702="","",IFERROR(INDEX(Sens_Types,MATCH($C2702,Liste_Types,0)),""))</f>
        <v/>
      </c>
      <c r="J2702" s="107">
        <f>IF($I2702="▲ ENTRÉE",$U2702,"")</f>
        <v/>
      </c>
      <c r="K2702" s="108">
        <f>IF($I2702="▼ SORTIE",$U2702,"")</f>
        <v/>
      </c>
      <c r="L2702" s="109">
        <f>$L2701+N($J2702)-N($K2702)</f>
        <v/>
      </c>
      <c r="M2702" s="110" t="n"/>
      <c r="N2702" s="54" t="n"/>
      <c r="O2702" s="54" t="n"/>
      <c r="P2702" s="54" t="n"/>
      <c r="Q2702" s="110" t="n"/>
      <c r="R2702" s="110" t="n"/>
      <c r="S2702" s="54" t="n"/>
      <c r="T2702" s="111">
        <f>IF($G2702="","",IFERROR(INDEX(Taux_Devises,MATCH(IF($M2702="",Devise_Base,$M2702),Codes_Devises,0)),1))</f>
        <v/>
      </c>
      <c r="U2702" s="112">
        <f>IF($G2702="","",ROUND($G2702*$T2702,2))</f>
        <v/>
      </c>
      <c r="V2702" s="113">
        <f>IF($B2702="","",MONTH($B2702))</f>
        <v/>
      </c>
      <c r="W2702" s="113">
        <f>IF($B2702="","",YEAR($B2702))</f>
        <v/>
      </c>
    </row>
    <row r="2703">
      <c r="B2703" s="105" t="n"/>
      <c r="C2703" s="54" t="n"/>
      <c r="D2703" s="54" t="n"/>
      <c r="E2703" s="54" t="n"/>
      <c r="F2703" s="54" t="n"/>
      <c r="G2703" s="65" t="n"/>
      <c r="H2703" s="54" t="n"/>
      <c r="I2703" s="106">
        <f>IF($C2703="","",IFERROR(INDEX(Sens_Types,MATCH($C2703,Liste_Types,0)),""))</f>
        <v/>
      </c>
      <c r="J2703" s="107">
        <f>IF($I2703="▲ ENTRÉE",$U2703,"")</f>
        <v/>
      </c>
      <c r="K2703" s="108">
        <f>IF($I2703="▼ SORTIE",$U2703,"")</f>
        <v/>
      </c>
      <c r="L2703" s="109">
        <f>$L2702+N($J2703)-N($K2703)</f>
        <v/>
      </c>
      <c r="M2703" s="110" t="n"/>
      <c r="N2703" s="54" t="n"/>
      <c r="O2703" s="54" t="n"/>
      <c r="P2703" s="54" t="n"/>
      <c r="Q2703" s="110" t="n"/>
      <c r="R2703" s="110" t="n"/>
      <c r="S2703" s="54" t="n"/>
      <c r="T2703" s="111">
        <f>IF($G2703="","",IFERROR(INDEX(Taux_Devises,MATCH(IF($M2703="",Devise_Base,$M2703),Codes_Devises,0)),1))</f>
        <v/>
      </c>
      <c r="U2703" s="112">
        <f>IF($G2703="","",ROUND($G2703*$T2703,2))</f>
        <v/>
      </c>
      <c r="V2703" s="113">
        <f>IF($B2703="","",MONTH($B2703))</f>
        <v/>
      </c>
      <c r="W2703" s="113">
        <f>IF($B2703="","",YEAR($B2703))</f>
        <v/>
      </c>
    </row>
    <row r="2704">
      <c r="B2704" s="105" t="n"/>
      <c r="C2704" s="54" t="n"/>
      <c r="D2704" s="54" t="n"/>
      <c r="E2704" s="54" t="n"/>
      <c r="F2704" s="54" t="n"/>
      <c r="G2704" s="65" t="n"/>
      <c r="H2704" s="54" t="n"/>
      <c r="I2704" s="106">
        <f>IF($C2704="","",IFERROR(INDEX(Sens_Types,MATCH($C2704,Liste_Types,0)),""))</f>
        <v/>
      </c>
      <c r="J2704" s="107">
        <f>IF($I2704="▲ ENTRÉE",$U2704,"")</f>
        <v/>
      </c>
      <c r="K2704" s="108">
        <f>IF($I2704="▼ SORTIE",$U2704,"")</f>
        <v/>
      </c>
      <c r="L2704" s="109">
        <f>$L2703+N($J2704)-N($K2704)</f>
        <v/>
      </c>
      <c r="M2704" s="110" t="n"/>
      <c r="N2704" s="54" t="n"/>
      <c r="O2704" s="54" t="n"/>
      <c r="P2704" s="54" t="n"/>
      <c r="Q2704" s="110" t="n"/>
      <c r="R2704" s="110" t="n"/>
      <c r="S2704" s="54" t="n"/>
      <c r="T2704" s="111">
        <f>IF($G2704="","",IFERROR(INDEX(Taux_Devises,MATCH(IF($M2704="",Devise_Base,$M2704),Codes_Devises,0)),1))</f>
        <v/>
      </c>
      <c r="U2704" s="112">
        <f>IF($G2704="","",ROUND($G2704*$T2704,2))</f>
        <v/>
      </c>
      <c r="V2704" s="113">
        <f>IF($B2704="","",MONTH($B2704))</f>
        <v/>
      </c>
      <c r="W2704" s="113">
        <f>IF($B2704="","",YEAR($B2704))</f>
        <v/>
      </c>
    </row>
    <row r="2705">
      <c r="B2705" s="105" t="n"/>
      <c r="C2705" s="54" t="n"/>
      <c r="D2705" s="54" t="n"/>
      <c r="E2705" s="54" t="n"/>
      <c r="F2705" s="54" t="n"/>
      <c r="G2705" s="65" t="n"/>
      <c r="H2705" s="54" t="n"/>
      <c r="I2705" s="106">
        <f>IF($C2705="","",IFERROR(INDEX(Sens_Types,MATCH($C2705,Liste_Types,0)),""))</f>
        <v/>
      </c>
      <c r="J2705" s="107">
        <f>IF($I2705="▲ ENTRÉE",$U2705,"")</f>
        <v/>
      </c>
      <c r="K2705" s="108">
        <f>IF($I2705="▼ SORTIE",$U2705,"")</f>
        <v/>
      </c>
      <c r="L2705" s="109">
        <f>$L2704+N($J2705)-N($K2705)</f>
        <v/>
      </c>
      <c r="M2705" s="110" t="n"/>
      <c r="N2705" s="54" t="n"/>
      <c r="O2705" s="54" t="n"/>
      <c r="P2705" s="54" t="n"/>
      <c r="Q2705" s="110" t="n"/>
      <c r="R2705" s="110" t="n"/>
      <c r="S2705" s="54" t="n"/>
      <c r="T2705" s="111">
        <f>IF($G2705="","",IFERROR(INDEX(Taux_Devises,MATCH(IF($M2705="",Devise_Base,$M2705),Codes_Devises,0)),1))</f>
        <v/>
      </c>
      <c r="U2705" s="112">
        <f>IF($G2705="","",ROUND($G2705*$T2705,2))</f>
        <v/>
      </c>
      <c r="V2705" s="113">
        <f>IF($B2705="","",MONTH($B2705))</f>
        <v/>
      </c>
      <c r="W2705" s="113">
        <f>IF($B2705="","",YEAR($B2705))</f>
        <v/>
      </c>
    </row>
    <row r="2706">
      <c r="B2706" s="105" t="n"/>
      <c r="C2706" s="54" t="n"/>
      <c r="D2706" s="54" t="n"/>
      <c r="E2706" s="54" t="n"/>
      <c r="F2706" s="54" t="n"/>
      <c r="G2706" s="65" t="n"/>
      <c r="H2706" s="54" t="n"/>
      <c r="I2706" s="106">
        <f>IF($C2706="","",IFERROR(INDEX(Sens_Types,MATCH($C2706,Liste_Types,0)),""))</f>
        <v/>
      </c>
      <c r="J2706" s="107">
        <f>IF($I2706="▲ ENTRÉE",$U2706,"")</f>
        <v/>
      </c>
      <c r="K2706" s="108">
        <f>IF($I2706="▼ SORTIE",$U2706,"")</f>
        <v/>
      </c>
      <c r="L2706" s="109">
        <f>$L2705+N($J2706)-N($K2706)</f>
        <v/>
      </c>
      <c r="M2706" s="110" t="n"/>
      <c r="N2706" s="54" t="n"/>
      <c r="O2706" s="54" t="n"/>
      <c r="P2706" s="54" t="n"/>
      <c r="Q2706" s="110" t="n"/>
      <c r="R2706" s="110" t="n"/>
      <c r="S2706" s="54" t="n"/>
      <c r="T2706" s="111">
        <f>IF($G2706="","",IFERROR(INDEX(Taux_Devises,MATCH(IF($M2706="",Devise_Base,$M2706),Codes_Devises,0)),1))</f>
        <v/>
      </c>
      <c r="U2706" s="112">
        <f>IF($G2706="","",ROUND($G2706*$T2706,2))</f>
        <v/>
      </c>
      <c r="V2706" s="113">
        <f>IF($B2706="","",MONTH($B2706))</f>
        <v/>
      </c>
      <c r="W2706" s="113">
        <f>IF($B2706="","",YEAR($B2706))</f>
        <v/>
      </c>
    </row>
    <row r="2707">
      <c r="B2707" s="105" t="n"/>
      <c r="C2707" s="54" t="n"/>
      <c r="D2707" s="54" t="n"/>
      <c r="E2707" s="54" t="n"/>
      <c r="F2707" s="54" t="n"/>
      <c r="G2707" s="65" t="n"/>
      <c r="H2707" s="54" t="n"/>
      <c r="I2707" s="106">
        <f>IF($C2707="","",IFERROR(INDEX(Sens_Types,MATCH($C2707,Liste_Types,0)),""))</f>
        <v/>
      </c>
      <c r="J2707" s="107">
        <f>IF($I2707="▲ ENTRÉE",$U2707,"")</f>
        <v/>
      </c>
      <c r="K2707" s="108">
        <f>IF($I2707="▼ SORTIE",$U2707,"")</f>
        <v/>
      </c>
      <c r="L2707" s="109">
        <f>$L2706+N($J2707)-N($K2707)</f>
        <v/>
      </c>
      <c r="M2707" s="110" t="n"/>
      <c r="N2707" s="54" t="n"/>
      <c r="O2707" s="54" t="n"/>
      <c r="P2707" s="54" t="n"/>
      <c r="Q2707" s="110" t="n"/>
      <c r="R2707" s="110" t="n"/>
      <c r="S2707" s="54" t="n"/>
      <c r="T2707" s="111">
        <f>IF($G2707="","",IFERROR(INDEX(Taux_Devises,MATCH(IF($M2707="",Devise_Base,$M2707),Codes_Devises,0)),1))</f>
        <v/>
      </c>
      <c r="U2707" s="112">
        <f>IF($G2707="","",ROUND($G2707*$T2707,2))</f>
        <v/>
      </c>
      <c r="V2707" s="113">
        <f>IF($B2707="","",MONTH($B2707))</f>
        <v/>
      </c>
      <c r="W2707" s="113">
        <f>IF($B2707="","",YEAR($B2707))</f>
        <v/>
      </c>
    </row>
    <row r="2708">
      <c r="B2708" s="105" t="n"/>
      <c r="C2708" s="54" t="n"/>
      <c r="D2708" s="54" t="n"/>
      <c r="E2708" s="54" t="n"/>
      <c r="F2708" s="54" t="n"/>
      <c r="G2708" s="65" t="n"/>
      <c r="H2708" s="54" t="n"/>
      <c r="I2708" s="106">
        <f>IF($C2708="","",IFERROR(INDEX(Sens_Types,MATCH($C2708,Liste_Types,0)),""))</f>
        <v/>
      </c>
      <c r="J2708" s="107">
        <f>IF($I2708="▲ ENTRÉE",$U2708,"")</f>
        <v/>
      </c>
      <c r="K2708" s="108">
        <f>IF($I2708="▼ SORTIE",$U2708,"")</f>
        <v/>
      </c>
      <c r="L2708" s="109">
        <f>$L2707+N($J2708)-N($K2708)</f>
        <v/>
      </c>
      <c r="M2708" s="110" t="n"/>
      <c r="N2708" s="54" t="n"/>
      <c r="O2708" s="54" t="n"/>
      <c r="P2708" s="54" t="n"/>
      <c r="Q2708" s="110" t="n"/>
      <c r="R2708" s="110" t="n"/>
      <c r="S2708" s="54" t="n"/>
      <c r="T2708" s="111">
        <f>IF($G2708="","",IFERROR(INDEX(Taux_Devises,MATCH(IF($M2708="",Devise_Base,$M2708),Codes_Devises,0)),1))</f>
        <v/>
      </c>
      <c r="U2708" s="112">
        <f>IF($G2708="","",ROUND($G2708*$T2708,2))</f>
        <v/>
      </c>
      <c r="V2708" s="113">
        <f>IF($B2708="","",MONTH($B2708))</f>
        <v/>
      </c>
      <c r="W2708" s="113">
        <f>IF($B2708="","",YEAR($B2708))</f>
        <v/>
      </c>
    </row>
    <row r="2709">
      <c r="B2709" s="105" t="n"/>
      <c r="C2709" s="54" t="n"/>
      <c r="D2709" s="54" t="n"/>
      <c r="E2709" s="54" t="n"/>
      <c r="F2709" s="54" t="n"/>
      <c r="G2709" s="65" t="n"/>
      <c r="H2709" s="54" t="n"/>
      <c r="I2709" s="106">
        <f>IF($C2709="","",IFERROR(INDEX(Sens_Types,MATCH($C2709,Liste_Types,0)),""))</f>
        <v/>
      </c>
      <c r="J2709" s="107">
        <f>IF($I2709="▲ ENTRÉE",$U2709,"")</f>
        <v/>
      </c>
      <c r="K2709" s="108">
        <f>IF($I2709="▼ SORTIE",$U2709,"")</f>
        <v/>
      </c>
      <c r="L2709" s="109">
        <f>$L2708+N($J2709)-N($K2709)</f>
        <v/>
      </c>
      <c r="M2709" s="110" t="n"/>
      <c r="N2709" s="54" t="n"/>
      <c r="O2709" s="54" t="n"/>
      <c r="P2709" s="54" t="n"/>
      <c r="Q2709" s="110" t="n"/>
      <c r="R2709" s="110" t="n"/>
      <c r="S2709" s="54" t="n"/>
      <c r="T2709" s="111">
        <f>IF($G2709="","",IFERROR(INDEX(Taux_Devises,MATCH(IF($M2709="",Devise_Base,$M2709),Codes_Devises,0)),1))</f>
        <v/>
      </c>
      <c r="U2709" s="112">
        <f>IF($G2709="","",ROUND($G2709*$T2709,2))</f>
        <v/>
      </c>
      <c r="V2709" s="113">
        <f>IF($B2709="","",MONTH($B2709))</f>
        <v/>
      </c>
      <c r="W2709" s="113">
        <f>IF($B2709="","",YEAR($B2709))</f>
        <v/>
      </c>
    </row>
    <row r="2710">
      <c r="B2710" s="105" t="n"/>
      <c r="C2710" s="54" t="n"/>
      <c r="D2710" s="54" t="n"/>
      <c r="E2710" s="54" t="n"/>
      <c r="F2710" s="54" t="n"/>
      <c r="G2710" s="65" t="n"/>
      <c r="H2710" s="54" t="n"/>
      <c r="I2710" s="106">
        <f>IF($C2710="","",IFERROR(INDEX(Sens_Types,MATCH($C2710,Liste_Types,0)),""))</f>
        <v/>
      </c>
      <c r="J2710" s="107">
        <f>IF($I2710="▲ ENTRÉE",$U2710,"")</f>
        <v/>
      </c>
      <c r="K2710" s="108">
        <f>IF($I2710="▼ SORTIE",$U2710,"")</f>
        <v/>
      </c>
      <c r="L2710" s="109">
        <f>$L2709+N($J2710)-N($K2710)</f>
        <v/>
      </c>
      <c r="M2710" s="110" t="n"/>
      <c r="N2710" s="54" t="n"/>
      <c r="O2710" s="54" t="n"/>
      <c r="P2710" s="54" t="n"/>
      <c r="Q2710" s="110" t="n"/>
      <c r="R2710" s="110" t="n"/>
      <c r="S2710" s="54" t="n"/>
      <c r="T2710" s="111">
        <f>IF($G2710="","",IFERROR(INDEX(Taux_Devises,MATCH(IF($M2710="",Devise_Base,$M2710),Codes_Devises,0)),1))</f>
        <v/>
      </c>
      <c r="U2710" s="112">
        <f>IF($G2710="","",ROUND($G2710*$T2710,2))</f>
        <v/>
      </c>
      <c r="V2710" s="113">
        <f>IF($B2710="","",MONTH($B2710))</f>
        <v/>
      </c>
      <c r="W2710" s="113">
        <f>IF($B2710="","",YEAR($B2710))</f>
        <v/>
      </c>
    </row>
    <row r="2711">
      <c r="B2711" s="105" t="n"/>
      <c r="C2711" s="54" t="n"/>
      <c r="D2711" s="54" t="n"/>
      <c r="E2711" s="54" t="n"/>
      <c r="F2711" s="54" t="n"/>
      <c r="G2711" s="65" t="n"/>
      <c r="H2711" s="54" t="n"/>
      <c r="I2711" s="106">
        <f>IF($C2711="","",IFERROR(INDEX(Sens_Types,MATCH($C2711,Liste_Types,0)),""))</f>
        <v/>
      </c>
      <c r="J2711" s="107">
        <f>IF($I2711="▲ ENTRÉE",$U2711,"")</f>
        <v/>
      </c>
      <c r="K2711" s="108">
        <f>IF($I2711="▼ SORTIE",$U2711,"")</f>
        <v/>
      </c>
      <c r="L2711" s="109">
        <f>$L2710+N($J2711)-N($K2711)</f>
        <v/>
      </c>
      <c r="M2711" s="110" t="n"/>
      <c r="N2711" s="54" t="n"/>
      <c r="O2711" s="54" t="n"/>
      <c r="P2711" s="54" t="n"/>
      <c r="Q2711" s="110" t="n"/>
      <c r="R2711" s="110" t="n"/>
      <c r="S2711" s="54" t="n"/>
      <c r="T2711" s="111">
        <f>IF($G2711="","",IFERROR(INDEX(Taux_Devises,MATCH(IF($M2711="",Devise_Base,$M2711),Codes_Devises,0)),1))</f>
        <v/>
      </c>
      <c r="U2711" s="112">
        <f>IF($G2711="","",ROUND($G2711*$T2711,2))</f>
        <v/>
      </c>
      <c r="V2711" s="113">
        <f>IF($B2711="","",MONTH($B2711))</f>
        <v/>
      </c>
      <c r="W2711" s="113">
        <f>IF($B2711="","",YEAR($B2711))</f>
        <v/>
      </c>
    </row>
    <row r="2712">
      <c r="B2712" s="105" t="n"/>
      <c r="C2712" s="54" t="n"/>
      <c r="D2712" s="54" t="n"/>
      <c r="E2712" s="54" t="n"/>
      <c r="F2712" s="54" t="n"/>
      <c r="G2712" s="65" t="n"/>
      <c r="H2712" s="54" t="n"/>
      <c r="I2712" s="106">
        <f>IF($C2712="","",IFERROR(INDEX(Sens_Types,MATCH($C2712,Liste_Types,0)),""))</f>
        <v/>
      </c>
      <c r="J2712" s="107">
        <f>IF($I2712="▲ ENTRÉE",$U2712,"")</f>
        <v/>
      </c>
      <c r="K2712" s="108">
        <f>IF($I2712="▼ SORTIE",$U2712,"")</f>
        <v/>
      </c>
      <c r="L2712" s="109">
        <f>$L2711+N($J2712)-N($K2712)</f>
        <v/>
      </c>
      <c r="M2712" s="110" t="n"/>
      <c r="N2712" s="54" t="n"/>
      <c r="O2712" s="54" t="n"/>
      <c r="P2712" s="54" t="n"/>
      <c r="Q2712" s="110" t="n"/>
      <c r="R2712" s="110" t="n"/>
      <c r="S2712" s="54" t="n"/>
      <c r="T2712" s="111">
        <f>IF($G2712="","",IFERROR(INDEX(Taux_Devises,MATCH(IF($M2712="",Devise_Base,$M2712),Codes_Devises,0)),1))</f>
        <v/>
      </c>
      <c r="U2712" s="112">
        <f>IF($G2712="","",ROUND($G2712*$T2712,2))</f>
        <v/>
      </c>
      <c r="V2712" s="113">
        <f>IF($B2712="","",MONTH($B2712))</f>
        <v/>
      </c>
      <c r="W2712" s="113">
        <f>IF($B2712="","",YEAR($B2712))</f>
        <v/>
      </c>
    </row>
    <row r="2713">
      <c r="B2713" s="105" t="n"/>
      <c r="C2713" s="54" t="n"/>
      <c r="D2713" s="54" t="n"/>
      <c r="E2713" s="54" t="n"/>
      <c r="F2713" s="54" t="n"/>
      <c r="G2713" s="65" t="n"/>
      <c r="H2713" s="54" t="n"/>
      <c r="I2713" s="106">
        <f>IF($C2713="","",IFERROR(INDEX(Sens_Types,MATCH($C2713,Liste_Types,0)),""))</f>
        <v/>
      </c>
      <c r="J2713" s="107">
        <f>IF($I2713="▲ ENTRÉE",$U2713,"")</f>
        <v/>
      </c>
      <c r="K2713" s="108">
        <f>IF($I2713="▼ SORTIE",$U2713,"")</f>
        <v/>
      </c>
      <c r="L2713" s="109">
        <f>$L2712+N($J2713)-N($K2713)</f>
        <v/>
      </c>
      <c r="M2713" s="110" t="n"/>
      <c r="N2713" s="54" t="n"/>
      <c r="O2713" s="54" t="n"/>
      <c r="P2713" s="54" t="n"/>
      <c r="Q2713" s="110" t="n"/>
      <c r="R2713" s="110" t="n"/>
      <c r="S2713" s="54" t="n"/>
      <c r="T2713" s="111">
        <f>IF($G2713="","",IFERROR(INDEX(Taux_Devises,MATCH(IF($M2713="",Devise_Base,$M2713),Codes_Devises,0)),1))</f>
        <v/>
      </c>
      <c r="U2713" s="112">
        <f>IF($G2713="","",ROUND($G2713*$T2713,2))</f>
        <v/>
      </c>
      <c r="V2713" s="113">
        <f>IF($B2713="","",MONTH($B2713))</f>
        <v/>
      </c>
      <c r="W2713" s="113">
        <f>IF($B2713="","",YEAR($B2713))</f>
        <v/>
      </c>
    </row>
    <row r="2714">
      <c r="B2714" s="105" t="n"/>
      <c r="C2714" s="54" t="n"/>
      <c r="D2714" s="54" t="n"/>
      <c r="E2714" s="54" t="n"/>
      <c r="F2714" s="54" t="n"/>
      <c r="G2714" s="65" t="n"/>
      <c r="H2714" s="54" t="n"/>
      <c r="I2714" s="106">
        <f>IF($C2714="","",IFERROR(INDEX(Sens_Types,MATCH($C2714,Liste_Types,0)),""))</f>
        <v/>
      </c>
      <c r="J2714" s="107">
        <f>IF($I2714="▲ ENTRÉE",$U2714,"")</f>
        <v/>
      </c>
      <c r="K2714" s="108">
        <f>IF($I2714="▼ SORTIE",$U2714,"")</f>
        <v/>
      </c>
      <c r="L2714" s="109">
        <f>$L2713+N($J2714)-N($K2714)</f>
        <v/>
      </c>
      <c r="M2714" s="110" t="n"/>
      <c r="N2714" s="54" t="n"/>
      <c r="O2714" s="54" t="n"/>
      <c r="P2714" s="54" t="n"/>
      <c r="Q2714" s="110" t="n"/>
      <c r="R2714" s="110" t="n"/>
      <c r="S2714" s="54" t="n"/>
      <c r="T2714" s="111">
        <f>IF($G2714="","",IFERROR(INDEX(Taux_Devises,MATCH(IF($M2714="",Devise_Base,$M2714),Codes_Devises,0)),1))</f>
        <v/>
      </c>
      <c r="U2714" s="112">
        <f>IF($G2714="","",ROUND($G2714*$T2714,2))</f>
        <v/>
      </c>
      <c r="V2714" s="113">
        <f>IF($B2714="","",MONTH($B2714))</f>
        <v/>
      </c>
      <c r="W2714" s="113">
        <f>IF($B2714="","",YEAR($B2714))</f>
        <v/>
      </c>
    </row>
    <row r="2715">
      <c r="B2715" s="105" t="n"/>
      <c r="C2715" s="54" t="n"/>
      <c r="D2715" s="54" t="n"/>
      <c r="E2715" s="54" t="n"/>
      <c r="F2715" s="54" t="n"/>
      <c r="G2715" s="65" t="n"/>
      <c r="H2715" s="54" t="n"/>
      <c r="I2715" s="106">
        <f>IF($C2715="","",IFERROR(INDEX(Sens_Types,MATCH($C2715,Liste_Types,0)),""))</f>
        <v/>
      </c>
      <c r="J2715" s="107">
        <f>IF($I2715="▲ ENTRÉE",$U2715,"")</f>
        <v/>
      </c>
      <c r="K2715" s="108">
        <f>IF($I2715="▼ SORTIE",$U2715,"")</f>
        <v/>
      </c>
      <c r="L2715" s="109">
        <f>$L2714+N($J2715)-N($K2715)</f>
        <v/>
      </c>
      <c r="M2715" s="110" t="n"/>
      <c r="N2715" s="54" t="n"/>
      <c r="O2715" s="54" t="n"/>
      <c r="P2715" s="54" t="n"/>
      <c r="Q2715" s="110" t="n"/>
      <c r="R2715" s="110" t="n"/>
      <c r="S2715" s="54" t="n"/>
      <c r="T2715" s="111">
        <f>IF($G2715="","",IFERROR(INDEX(Taux_Devises,MATCH(IF($M2715="",Devise_Base,$M2715),Codes_Devises,0)),1))</f>
        <v/>
      </c>
      <c r="U2715" s="112">
        <f>IF($G2715="","",ROUND($G2715*$T2715,2))</f>
        <v/>
      </c>
      <c r="V2715" s="113">
        <f>IF($B2715="","",MONTH($B2715))</f>
        <v/>
      </c>
      <c r="W2715" s="113">
        <f>IF($B2715="","",YEAR($B2715))</f>
        <v/>
      </c>
    </row>
    <row r="2716">
      <c r="B2716" s="105" t="n"/>
      <c r="C2716" s="54" t="n"/>
      <c r="D2716" s="54" t="n"/>
      <c r="E2716" s="54" t="n"/>
      <c r="F2716" s="54" t="n"/>
      <c r="G2716" s="65" t="n"/>
      <c r="H2716" s="54" t="n"/>
      <c r="I2716" s="106">
        <f>IF($C2716="","",IFERROR(INDEX(Sens_Types,MATCH($C2716,Liste_Types,0)),""))</f>
        <v/>
      </c>
      <c r="J2716" s="107">
        <f>IF($I2716="▲ ENTRÉE",$U2716,"")</f>
        <v/>
      </c>
      <c r="K2716" s="108">
        <f>IF($I2716="▼ SORTIE",$U2716,"")</f>
        <v/>
      </c>
      <c r="L2716" s="109">
        <f>$L2715+N($J2716)-N($K2716)</f>
        <v/>
      </c>
      <c r="M2716" s="110" t="n"/>
      <c r="N2716" s="54" t="n"/>
      <c r="O2716" s="54" t="n"/>
      <c r="P2716" s="54" t="n"/>
      <c r="Q2716" s="110" t="n"/>
      <c r="R2716" s="110" t="n"/>
      <c r="S2716" s="54" t="n"/>
      <c r="T2716" s="111">
        <f>IF($G2716="","",IFERROR(INDEX(Taux_Devises,MATCH(IF($M2716="",Devise_Base,$M2716),Codes_Devises,0)),1))</f>
        <v/>
      </c>
      <c r="U2716" s="112">
        <f>IF($G2716="","",ROUND($G2716*$T2716,2))</f>
        <v/>
      </c>
      <c r="V2716" s="113">
        <f>IF($B2716="","",MONTH($B2716))</f>
        <v/>
      </c>
      <c r="W2716" s="113">
        <f>IF($B2716="","",YEAR($B2716))</f>
        <v/>
      </c>
    </row>
    <row r="2717">
      <c r="B2717" s="105" t="n"/>
      <c r="C2717" s="54" t="n"/>
      <c r="D2717" s="54" t="n"/>
      <c r="E2717" s="54" t="n"/>
      <c r="F2717" s="54" t="n"/>
      <c r="G2717" s="65" t="n"/>
      <c r="H2717" s="54" t="n"/>
      <c r="I2717" s="106">
        <f>IF($C2717="","",IFERROR(INDEX(Sens_Types,MATCH($C2717,Liste_Types,0)),""))</f>
        <v/>
      </c>
      <c r="J2717" s="107">
        <f>IF($I2717="▲ ENTRÉE",$U2717,"")</f>
        <v/>
      </c>
      <c r="K2717" s="108">
        <f>IF($I2717="▼ SORTIE",$U2717,"")</f>
        <v/>
      </c>
      <c r="L2717" s="109">
        <f>$L2716+N($J2717)-N($K2717)</f>
        <v/>
      </c>
      <c r="M2717" s="110" t="n"/>
      <c r="N2717" s="54" t="n"/>
      <c r="O2717" s="54" t="n"/>
      <c r="P2717" s="54" t="n"/>
      <c r="Q2717" s="110" t="n"/>
      <c r="R2717" s="110" t="n"/>
      <c r="S2717" s="54" t="n"/>
      <c r="T2717" s="111">
        <f>IF($G2717="","",IFERROR(INDEX(Taux_Devises,MATCH(IF($M2717="",Devise_Base,$M2717),Codes_Devises,0)),1))</f>
        <v/>
      </c>
      <c r="U2717" s="112">
        <f>IF($G2717="","",ROUND($G2717*$T2717,2))</f>
        <v/>
      </c>
      <c r="V2717" s="113">
        <f>IF($B2717="","",MONTH($B2717))</f>
        <v/>
      </c>
      <c r="W2717" s="113">
        <f>IF($B2717="","",YEAR($B2717))</f>
        <v/>
      </c>
    </row>
    <row r="2718">
      <c r="B2718" s="105" t="n"/>
      <c r="C2718" s="54" t="n"/>
      <c r="D2718" s="54" t="n"/>
      <c r="E2718" s="54" t="n"/>
      <c r="F2718" s="54" t="n"/>
      <c r="G2718" s="65" t="n"/>
      <c r="H2718" s="54" t="n"/>
      <c r="I2718" s="106">
        <f>IF($C2718="","",IFERROR(INDEX(Sens_Types,MATCH($C2718,Liste_Types,0)),""))</f>
        <v/>
      </c>
      <c r="J2718" s="107">
        <f>IF($I2718="▲ ENTRÉE",$U2718,"")</f>
        <v/>
      </c>
      <c r="K2718" s="108">
        <f>IF($I2718="▼ SORTIE",$U2718,"")</f>
        <v/>
      </c>
      <c r="L2718" s="109">
        <f>$L2717+N($J2718)-N($K2718)</f>
        <v/>
      </c>
      <c r="M2718" s="110" t="n"/>
      <c r="N2718" s="54" t="n"/>
      <c r="O2718" s="54" t="n"/>
      <c r="P2718" s="54" t="n"/>
      <c r="Q2718" s="110" t="n"/>
      <c r="R2718" s="110" t="n"/>
      <c r="S2718" s="54" t="n"/>
      <c r="T2718" s="111">
        <f>IF($G2718="","",IFERROR(INDEX(Taux_Devises,MATCH(IF($M2718="",Devise_Base,$M2718),Codes_Devises,0)),1))</f>
        <v/>
      </c>
      <c r="U2718" s="112">
        <f>IF($G2718="","",ROUND($G2718*$T2718,2))</f>
        <v/>
      </c>
      <c r="V2718" s="113">
        <f>IF($B2718="","",MONTH($B2718))</f>
        <v/>
      </c>
      <c r="W2718" s="113">
        <f>IF($B2718="","",YEAR($B2718))</f>
        <v/>
      </c>
    </row>
    <row r="2719">
      <c r="B2719" s="105" t="n"/>
      <c r="C2719" s="54" t="n"/>
      <c r="D2719" s="54" t="n"/>
      <c r="E2719" s="54" t="n"/>
      <c r="F2719" s="54" t="n"/>
      <c r="G2719" s="65" t="n"/>
      <c r="H2719" s="54" t="n"/>
      <c r="I2719" s="106">
        <f>IF($C2719="","",IFERROR(INDEX(Sens_Types,MATCH($C2719,Liste_Types,0)),""))</f>
        <v/>
      </c>
      <c r="J2719" s="107">
        <f>IF($I2719="▲ ENTRÉE",$U2719,"")</f>
        <v/>
      </c>
      <c r="K2719" s="108">
        <f>IF($I2719="▼ SORTIE",$U2719,"")</f>
        <v/>
      </c>
      <c r="L2719" s="109">
        <f>$L2718+N($J2719)-N($K2719)</f>
        <v/>
      </c>
      <c r="M2719" s="110" t="n"/>
      <c r="N2719" s="54" t="n"/>
      <c r="O2719" s="54" t="n"/>
      <c r="P2719" s="54" t="n"/>
      <c r="Q2719" s="110" t="n"/>
      <c r="R2719" s="110" t="n"/>
      <c r="S2719" s="54" t="n"/>
      <c r="T2719" s="111">
        <f>IF($G2719="","",IFERROR(INDEX(Taux_Devises,MATCH(IF($M2719="",Devise_Base,$M2719),Codes_Devises,0)),1))</f>
        <v/>
      </c>
      <c r="U2719" s="112">
        <f>IF($G2719="","",ROUND($G2719*$T2719,2))</f>
        <v/>
      </c>
      <c r="V2719" s="113">
        <f>IF($B2719="","",MONTH($B2719))</f>
        <v/>
      </c>
      <c r="W2719" s="113">
        <f>IF($B2719="","",YEAR($B2719))</f>
        <v/>
      </c>
    </row>
    <row r="2720">
      <c r="B2720" s="105" t="n"/>
      <c r="C2720" s="54" t="n"/>
      <c r="D2720" s="54" t="n"/>
      <c r="E2720" s="54" t="n"/>
      <c r="F2720" s="54" t="n"/>
      <c r="G2720" s="65" t="n"/>
      <c r="H2720" s="54" t="n"/>
      <c r="I2720" s="106">
        <f>IF($C2720="","",IFERROR(INDEX(Sens_Types,MATCH($C2720,Liste_Types,0)),""))</f>
        <v/>
      </c>
      <c r="J2720" s="107">
        <f>IF($I2720="▲ ENTRÉE",$U2720,"")</f>
        <v/>
      </c>
      <c r="K2720" s="108">
        <f>IF($I2720="▼ SORTIE",$U2720,"")</f>
        <v/>
      </c>
      <c r="L2720" s="109">
        <f>$L2719+N($J2720)-N($K2720)</f>
        <v/>
      </c>
      <c r="M2720" s="110" t="n"/>
      <c r="N2720" s="54" t="n"/>
      <c r="O2720" s="54" t="n"/>
      <c r="P2720" s="54" t="n"/>
      <c r="Q2720" s="110" t="n"/>
      <c r="R2720" s="110" t="n"/>
      <c r="S2720" s="54" t="n"/>
      <c r="T2720" s="111">
        <f>IF($G2720="","",IFERROR(INDEX(Taux_Devises,MATCH(IF($M2720="",Devise_Base,$M2720),Codes_Devises,0)),1))</f>
        <v/>
      </c>
      <c r="U2720" s="112">
        <f>IF($G2720="","",ROUND($G2720*$T2720,2))</f>
        <v/>
      </c>
      <c r="V2720" s="113">
        <f>IF($B2720="","",MONTH($B2720))</f>
        <v/>
      </c>
      <c r="W2720" s="113">
        <f>IF($B2720="","",YEAR($B2720))</f>
        <v/>
      </c>
    </row>
    <row r="2721">
      <c r="B2721" s="105" t="n"/>
      <c r="C2721" s="54" t="n"/>
      <c r="D2721" s="54" t="n"/>
      <c r="E2721" s="54" t="n"/>
      <c r="F2721" s="54" t="n"/>
      <c r="G2721" s="65" t="n"/>
      <c r="H2721" s="54" t="n"/>
      <c r="I2721" s="106">
        <f>IF($C2721="","",IFERROR(INDEX(Sens_Types,MATCH($C2721,Liste_Types,0)),""))</f>
        <v/>
      </c>
      <c r="J2721" s="107">
        <f>IF($I2721="▲ ENTRÉE",$U2721,"")</f>
        <v/>
      </c>
      <c r="K2721" s="108">
        <f>IF($I2721="▼ SORTIE",$U2721,"")</f>
        <v/>
      </c>
      <c r="L2721" s="109">
        <f>$L2720+N($J2721)-N($K2721)</f>
        <v/>
      </c>
      <c r="M2721" s="110" t="n"/>
      <c r="N2721" s="54" t="n"/>
      <c r="O2721" s="54" t="n"/>
      <c r="P2721" s="54" t="n"/>
      <c r="Q2721" s="110" t="n"/>
      <c r="R2721" s="110" t="n"/>
      <c r="S2721" s="54" t="n"/>
      <c r="T2721" s="111">
        <f>IF($G2721="","",IFERROR(INDEX(Taux_Devises,MATCH(IF($M2721="",Devise_Base,$M2721),Codes_Devises,0)),1))</f>
        <v/>
      </c>
      <c r="U2721" s="112">
        <f>IF($G2721="","",ROUND($G2721*$T2721,2))</f>
        <v/>
      </c>
      <c r="V2721" s="113">
        <f>IF($B2721="","",MONTH($B2721))</f>
        <v/>
      </c>
      <c r="W2721" s="113">
        <f>IF($B2721="","",YEAR($B2721))</f>
        <v/>
      </c>
    </row>
    <row r="2722">
      <c r="B2722" s="105" t="n"/>
      <c r="C2722" s="54" t="n"/>
      <c r="D2722" s="54" t="n"/>
      <c r="E2722" s="54" t="n"/>
      <c r="F2722" s="54" t="n"/>
      <c r="G2722" s="65" t="n"/>
      <c r="H2722" s="54" t="n"/>
      <c r="I2722" s="106">
        <f>IF($C2722="","",IFERROR(INDEX(Sens_Types,MATCH($C2722,Liste_Types,0)),""))</f>
        <v/>
      </c>
      <c r="J2722" s="107">
        <f>IF($I2722="▲ ENTRÉE",$U2722,"")</f>
        <v/>
      </c>
      <c r="K2722" s="108">
        <f>IF($I2722="▼ SORTIE",$U2722,"")</f>
        <v/>
      </c>
      <c r="L2722" s="109">
        <f>$L2721+N($J2722)-N($K2722)</f>
        <v/>
      </c>
      <c r="M2722" s="110" t="n"/>
      <c r="N2722" s="54" t="n"/>
      <c r="O2722" s="54" t="n"/>
      <c r="P2722" s="54" t="n"/>
      <c r="Q2722" s="110" t="n"/>
      <c r="R2722" s="110" t="n"/>
      <c r="S2722" s="54" t="n"/>
      <c r="T2722" s="111">
        <f>IF($G2722="","",IFERROR(INDEX(Taux_Devises,MATCH(IF($M2722="",Devise_Base,$M2722),Codes_Devises,0)),1))</f>
        <v/>
      </c>
      <c r="U2722" s="112">
        <f>IF($G2722="","",ROUND($G2722*$T2722,2))</f>
        <v/>
      </c>
      <c r="V2722" s="113">
        <f>IF($B2722="","",MONTH($B2722))</f>
        <v/>
      </c>
      <c r="W2722" s="113">
        <f>IF($B2722="","",YEAR($B2722))</f>
        <v/>
      </c>
    </row>
    <row r="2723">
      <c r="B2723" s="105" t="n"/>
      <c r="C2723" s="54" t="n"/>
      <c r="D2723" s="54" t="n"/>
      <c r="E2723" s="54" t="n"/>
      <c r="F2723" s="54" t="n"/>
      <c r="G2723" s="65" t="n"/>
      <c r="H2723" s="54" t="n"/>
      <c r="I2723" s="106">
        <f>IF($C2723="","",IFERROR(INDEX(Sens_Types,MATCH($C2723,Liste_Types,0)),""))</f>
        <v/>
      </c>
      <c r="J2723" s="107">
        <f>IF($I2723="▲ ENTRÉE",$U2723,"")</f>
        <v/>
      </c>
      <c r="K2723" s="108">
        <f>IF($I2723="▼ SORTIE",$U2723,"")</f>
        <v/>
      </c>
      <c r="L2723" s="109">
        <f>$L2722+N($J2723)-N($K2723)</f>
        <v/>
      </c>
      <c r="M2723" s="110" t="n"/>
      <c r="N2723" s="54" t="n"/>
      <c r="O2723" s="54" t="n"/>
      <c r="P2723" s="54" t="n"/>
      <c r="Q2723" s="110" t="n"/>
      <c r="R2723" s="110" t="n"/>
      <c r="S2723" s="54" t="n"/>
      <c r="T2723" s="111">
        <f>IF($G2723="","",IFERROR(INDEX(Taux_Devises,MATCH(IF($M2723="",Devise_Base,$M2723),Codes_Devises,0)),1))</f>
        <v/>
      </c>
      <c r="U2723" s="112">
        <f>IF($G2723="","",ROUND($G2723*$T2723,2))</f>
        <v/>
      </c>
      <c r="V2723" s="113">
        <f>IF($B2723="","",MONTH($B2723))</f>
        <v/>
      </c>
      <c r="W2723" s="113">
        <f>IF($B2723="","",YEAR($B2723))</f>
        <v/>
      </c>
    </row>
    <row r="2724">
      <c r="B2724" s="105" t="n"/>
      <c r="C2724" s="54" t="n"/>
      <c r="D2724" s="54" t="n"/>
      <c r="E2724" s="54" t="n"/>
      <c r="F2724" s="54" t="n"/>
      <c r="G2724" s="65" t="n"/>
      <c r="H2724" s="54" t="n"/>
      <c r="I2724" s="106">
        <f>IF($C2724="","",IFERROR(INDEX(Sens_Types,MATCH($C2724,Liste_Types,0)),""))</f>
        <v/>
      </c>
      <c r="J2724" s="107">
        <f>IF($I2724="▲ ENTRÉE",$U2724,"")</f>
        <v/>
      </c>
      <c r="K2724" s="108">
        <f>IF($I2724="▼ SORTIE",$U2724,"")</f>
        <v/>
      </c>
      <c r="L2724" s="109">
        <f>$L2723+N($J2724)-N($K2724)</f>
        <v/>
      </c>
      <c r="M2724" s="110" t="n"/>
      <c r="N2724" s="54" t="n"/>
      <c r="O2724" s="54" t="n"/>
      <c r="P2724" s="54" t="n"/>
      <c r="Q2724" s="110" t="n"/>
      <c r="R2724" s="110" t="n"/>
      <c r="S2724" s="54" t="n"/>
      <c r="T2724" s="111">
        <f>IF($G2724="","",IFERROR(INDEX(Taux_Devises,MATCH(IF($M2724="",Devise_Base,$M2724),Codes_Devises,0)),1))</f>
        <v/>
      </c>
      <c r="U2724" s="112">
        <f>IF($G2724="","",ROUND($G2724*$T2724,2))</f>
        <v/>
      </c>
      <c r="V2724" s="113">
        <f>IF($B2724="","",MONTH($B2724))</f>
        <v/>
      </c>
      <c r="W2724" s="113">
        <f>IF($B2724="","",YEAR($B2724))</f>
        <v/>
      </c>
    </row>
    <row r="2725">
      <c r="B2725" s="105" t="n"/>
      <c r="C2725" s="54" t="n"/>
      <c r="D2725" s="54" t="n"/>
      <c r="E2725" s="54" t="n"/>
      <c r="F2725" s="54" t="n"/>
      <c r="G2725" s="65" t="n"/>
      <c r="H2725" s="54" t="n"/>
      <c r="I2725" s="106">
        <f>IF($C2725="","",IFERROR(INDEX(Sens_Types,MATCH($C2725,Liste_Types,0)),""))</f>
        <v/>
      </c>
      <c r="J2725" s="107">
        <f>IF($I2725="▲ ENTRÉE",$U2725,"")</f>
        <v/>
      </c>
      <c r="K2725" s="108">
        <f>IF($I2725="▼ SORTIE",$U2725,"")</f>
        <v/>
      </c>
      <c r="L2725" s="109">
        <f>$L2724+N($J2725)-N($K2725)</f>
        <v/>
      </c>
      <c r="M2725" s="110" t="n"/>
      <c r="N2725" s="54" t="n"/>
      <c r="O2725" s="54" t="n"/>
      <c r="P2725" s="54" t="n"/>
      <c r="Q2725" s="110" t="n"/>
      <c r="R2725" s="110" t="n"/>
      <c r="S2725" s="54" t="n"/>
      <c r="T2725" s="111">
        <f>IF($G2725="","",IFERROR(INDEX(Taux_Devises,MATCH(IF($M2725="",Devise_Base,$M2725),Codes_Devises,0)),1))</f>
        <v/>
      </c>
      <c r="U2725" s="112">
        <f>IF($G2725="","",ROUND($G2725*$T2725,2))</f>
        <v/>
      </c>
      <c r="V2725" s="113">
        <f>IF($B2725="","",MONTH($B2725))</f>
        <v/>
      </c>
      <c r="W2725" s="113">
        <f>IF($B2725="","",YEAR($B2725))</f>
        <v/>
      </c>
    </row>
    <row r="2726">
      <c r="B2726" s="105" t="n"/>
      <c r="C2726" s="54" t="n"/>
      <c r="D2726" s="54" t="n"/>
      <c r="E2726" s="54" t="n"/>
      <c r="F2726" s="54" t="n"/>
      <c r="G2726" s="65" t="n"/>
      <c r="H2726" s="54" t="n"/>
      <c r="I2726" s="106">
        <f>IF($C2726="","",IFERROR(INDEX(Sens_Types,MATCH($C2726,Liste_Types,0)),""))</f>
        <v/>
      </c>
      <c r="J2726" s="107">
        <f>IF($I2726="▲ ENTRÉE",$U2726,"")</f>
        <v/>
      </c>
      <c r="K2726" s="108">
        <f>IF($I2726="▼ SORTIE",$U2726,"")</f>
        <v/>
      </c>
      <c r="L2726" s="109">
        <f>$L2725+N($J2726)-N($K2726)</f>
        <v/>
      </c>
      <c r="M2726" s="110" t="n"/>
      <c r="N2726" s="54" t="n"/>
      <c r="O2726" s="54" t="n"/>
      <c r="P2726" s="54" t="n"/>
      <c r="Q2726" s="110" t="n"/>
      <c r="R2726" s="110" t="n"/>
      <c r="S2726" s="54" t="n"/>
      <c r="T2726" s="111">
        <f>IF($G2726="","",IFERROR(INDEX(Taux_Devises,MATCH(IF($M2726="",Devise_Base,$M2726),Codes_Devises,0)),1))</f>
        <v/>
      </c>
      <c r="U2726" s="112">
        <f>IF($G2726="","",ROUND($G2726*$T2726,2))</f>
        <v/>
      </c>
      <c r="V2726" s="113">
        <f>IF($B2726="","",MONTH($B2726))</f>
        <v/>
      </c>
      <c r="W2726" s="113">
        <f>IF($B2726="","",YEAR($B2726))</f>
        <v/>
      </c>
    </row>
    <row r="2727">
      <c r="B2727" s="105" t="n"/>
      <c r="C2727" s="54" t="n"/>
      <c r="D2727" s="54" t="n"/>
      <c r="E2727" s="54" t="n"/>
      <c r="F2727" s="54" t="n"/>
      <c r="G2727" s="65" t="n"/>
      <c r="H2727" s="54" t="n"/>
      <c r="I2727" s="106">
        <f>IF($C2727="","",IFERROR(INDEX(Sens_Types,MATCH($C2727,Liste_Types,0)),""))</f>
        <v/>
      </c>
      <c r="J2727" s="107">
        <f>IF($I2727="▲ ENTRÉE",$U2727,"")</f>
        <v/>
      </c>
      <c r="K2727" s="108">
        <f>IF($I2727="▼ SORTIE",$U2727,"")</f>
        <v/>
      </c>
      <c r="L2727" s="109">
        <f>$L2726+N($J2727)-N($K2727)</f>
        <v/>
      </c>
      <c r="M2727" s="110" t="n"/>
      <c r="N2727" s="54" t="n"/>
      <c r="O2727" s="54" t="n"/>
      <c r="P2727" s="54" t="n"/>
      <c r="Q2727" s="110" t="n"/>
      <c r="R2727" s="110" t="n"/>
      <c r="S2727" s="54" t="n"/>
      <c r="T2727" s="111">
        <f>IF($G2727="","",IFERROR(INDEX(Taux_Devises,MATCH(IF($M2727="",Devise_Base,$M2727),Codes_Devises,0)),1))</f>
        <v/>
      </c>
      <c r="U2727" s="112">
        <f>IF($G2727="","",ROUND($G2727*$T2727,2))</f>
        <v/>
      </c>
      <c r="V2727" s="113">
        <f>IF($B2727="","",MONTH($B2727))</f>
        <v/>
      </c>
      <c r="W2727" s="113">
        <f>IF($B2727="","",YEAR($B2727))</f>
        <v/>
      </c>
    </row>
    <row r="2728">
      <c r="B2728" s="105" t="n"/>
      <c r="C2728" s="54" t="n"/>
      <c r="D2728" s="54" t="n"/>
      <c r="E2728" s="54" t="n"/>
      <c r="F2728" s="54" t="n"/>
      <c r="G2728" s="65" t="n"/>
      <c r="H2728" s="54" t="n"/>
      <c r="I2728" s="106">
        <f>IF($C2728="","",IFERROR(INDEX(Sens_Types,MATCH($C2728,Liste_Types,0)),""))</f>
        <v/>
      </c>
      <c r="J2728" s="107">
        <f>IF($I2728="▲ ENTRÉE",$U2728,"")</f>
        <v/>
      </c>
      <c r="K2728" s="108">
        <f>IF($I2728="▼ SORTIE",$U2728,"")</f>
        <v/>
      </c>
      <c r="L2728" s="109">
        <f>$L2727+N($J2728)-N($K2728)</f>
        <v/>
      </c>
      <c r="M2728" s="110" t="n"/>
      <c r="N2728" s="54" t="n"/>
      <c r="O2728" s="54" t="n"/>
      <c r="P2728" s="54" t="n"/>
      <c r="Q2728" s="110" t="n"/>
      <c r="R2728" s="110" t="n"/>
      <c r="S2728" s="54" t="n"/>
      <c r="T2728" s="111">
        <f>IF($G2728="","",IFERROR(INDEX(Taux_Devises,MATCH(IF($M2728="",Devise_Base,$M2728),Codes_Devises,0)),1))</f>
        <v/>
      </c>
      <c r="U2728" s="112">
        <f>IF($G2728="","",ROUND($G2728*$T2728,2))</f>
        <v/>
      </c>
      <c r="V2728" s="113">
        <f>IF($B2728="","",MONTH($B2728))</f>
        <v/>
      </c>
      <c r="W2728" s="113">
        <f>IF($B2728="","",YEAR($B2728))</f>
        <v/>
      </c>
    </row>
    <row r="2729">
      <c r="B2729" s="105" t="n"/>
      <c r="C2729" s="54" t="n"/>
      <c r="D2729" s="54" t="n"/>
      <c r="E2729" s="54" t="n"/>
      <c r="F2729" s="54" t="n"/>
      <c r="G2729" s="65" t="n"/>
      <c r="H2729" s="54" t="n"/>
      <c r="I2729" s="106">
        <f>IF($C2729="","",IFERROR(INDEX(Sens_Types,MATCH($C2729,Liste_Types,0)),""))</f>
        <v/>
      </c>
      <c r="J2729" s="107">
        <f>IF($I2729="▲ ENTRÉE",$U2729,"")</f>
        <v/>
      </c>
      <c r="K2729" s="108">
        <f>IF($I2729="▼ SORTIE",$U2729,"")</f>
        <v/>
      </c>
      <c r="L2729" s="109">
        <f>$L2728+N($J2729)-N($K2729)</f>
        <v/>
      </c>
      <c r="M2729" s="110" t="n"/>
      <c r="N2729" s="54" t="n"/>
      <c r="O2729" s="54" t="n"/>
      <c r="P2729" s="54" t="n"/>
      <c r="Q2729" s="110" t="n"/>
      <c r="R2729" s="110" t="n"/>
      <c r="S2729" s="54" t="n"/>
      <c r="T2729" s="111">
        <f>IF($G2729="","",IFERROR(INDEX(Taux_Devises,MATCH(IF($M2729="",Devise_Base,$M2729),Codes_Devises,0)),1))</f>
        <v/>
      </c>
      <c r="U2729" s="112">
        <f>IF($G2729="","",ROUND($G2729*$T2729,2))</f>
        <v/>
      </c>
      <c r="V2729" s="113">
        <f>IF($B2729="","",MONTH($B2729))</f>
        <v/>
      </c>
      <c r="W2729" s="113">
        <f>IF($B2729="","",YEAR($B2729))</f>
        <v/>
      </c>
    </row>
    <row r="2730">
      <c r="B2730" s="105" t="n"/>
      <c r="C2730" s="54" t="n"/>
      <c r="D2730" s="54" t="n"/>
      <c r="E2730" s="54" t="n"/>
      <c r="F2730" s="54" t="n"/>
      <c r="G2730" s="65" t="n"/>
      <c r="H2730" s="54" t="n"/>
      <c r="I2730" s="106">
        <f>IF($C2730="","",IFERROR(INDEX(Sens_Types,MATCH($C2730,Liste_Types,0)),""))</f>
        <v/>
      </c>
      <c r="J2730" s="107">
        <f>IF($I2730="▲ ENTRÉE",$U2730,"")</f>
        <v/>
      </c>
      <c r="K2730" s="108">
        <f>IF($I2730="▼ SORTIE",$U2730,"")</f>
        <v/>
      </c>
      <c r="L2730" s="109">
        <f>$L2729+N($J2730)-N($K2730)</f>
        <v/>
      </c>
      <c r="M2730" s="110" t="n"/>
      <c r="N2730" s="54" t="n"/>
      <c r="O2730" s="54" t="n"/>
      <c r="P2730" s="54" t="n"/>
      <c r="Q2730" s="110" t="n"/>
      <c r="R2730" s="110" t="n"/>
      <c r="S2730" s="54" t="n"/>
      <c r="T2730" s="111">
        <f>IF($G2730="","",IFERROR(INDEX(Taux_Devises,MATCH(IF($M2730="",Devise_Base,$M2730),Codes_Devises,0)),1))</f>
        <v/>
      </c>
      <c r="U2730" s="112">
        <f>IF($G2730="","",ROUND($G2730*$T2730,2))</f>
        <v/>
      </c>
      <c r="V2730" s="113">
        <f>IF($B2730="","",MONTH($B2730))</f>
        <v/>
      </c>
      <c r="W2730" s="113">
        <f>IF($B2730="","",YEAR($B2730))</f>
        <v/>
      </c>
    </row>
    <row r="2731">
      <c r="B2731" s="105" t="n"/>
      <c r="C2731" s="54" t="n"/>
      <c r="D2731" s="54" t="n"/>
      <c r="E2731" s="54" t="n"/>
      <c r="F2731" s="54" t="n"/>
      <c r="G2731" s="65" t="n"/>
      <c r="H2731" s="54" t="n"/>
      <c r="I2731" s="106">
        <f>IF($C2731="","",IFERROR(INDEX(Sens_Types,MATCH($C2731,Liste_Types,0)),""))</f>
        <v/>
      </c>
      <c r="J2731" s="107">
        <f>IF($I2731="▲ ENTRÉE",$U2731,"")</f>
        <v/>
      </c>
      <c r="K2731" s="108">
        <f>IF($I2731="▼ SORTIE",$U2731,"")</f>
        <v/>
      </c>
      <c r="L2731" s="109">
        <f>$L2730+N($J2731)-N($K2731)</f>
        <v/>
      </c>
      <c r="M2731" s="110" t="n"/>
      <c r="N2731" s="54" t="n"/>
      <c r="O2731" s="54" t="n"/>
      <c r="P2731" s="54" t="n"/>
      <c r="Q2731" s="110" t="n"/>
      <c r="R2731" s="110" t="n"/>
      <c r="S2731" s="54" t="n"/>
      <c r="T2731" s="111">
        <f>IF($G2731="","",IFERROR(INDEX(Taux_Devises,MATCH(IF($M2731="",Devise_Base,$M2731),Codes_Devises,0)),1))</f>
        <v/>
      </c>
      <c r="U2731" s="112">
        <f>IF($G2731="","",ROUND($G2731*$T2731,2))</f>
        <v/>
      </c>
      <c r="V2731" s="113">
        <f>IF($B2731="","",MONTH($B2731))</f>
        <v/>
      </c>
      <c r="W2731" s="113">
        <f>IF($B2731="","",YEAR($B2731))</f>
        <v/>
      </c>
    </row>
    <row r="2732">
      <c r="B2732" s="105" t="n"/>
      <c r="C2732" s="54" t="n"/>
      <c r="D2732" s="54" t="n"/>
      <c r="E2732" s="54" t="n"/>
      <c r="F2732" s="54" t="n"/>
      <c r="G2732" s="65" t="n"/>
      <c r="H2732" s="54" t="n"/>
      <c r="I2732" s="106">
        <f>IF($C2732="","",IFERROR(INDEX(Sens_Types,MATCH($C2732,Liste_Types,0)),""))</f>
        <v/>
      </c>
      <c r="J2732" s="107">
        <f>IF($I2732="▲ ENTRÉE",$U2732,"")</f>
        <v/>
      </c>
      <c r="K2732" s="108">
        <f>IF($I2732="▼ SORTIE",$U2732,"")</f>
        <v/>
      </c>
      <c r="L2732" s="109">
        <f>$L2731+N($J2732)-N($K2732)</f>
        <v/>
      </c>
      <c r="M2732" s="110" t="n"/>
      <c r="N2732" s="54" t="n"/>
      <c r="O2732" s="54" t="n"/>
      <c r="P2732" s="54" t="n"/>
      <c r="Q2732" s="110" t="n"/>
      <c r="R2732" s="110" t="n"/>
      <c r="S2732" s="54" t="n"/>
      <c r="T2732" s="111">
        <f>IF($G2732="","",IFERROR(INDEX(Taux_Devises,MATCH(IF($M2732="",Devise_Base,$M2732),Codes_Devises,0)),1))</f>
        <v/>
      </c>
      <c r="U2732" s="112">
        <f>IF($G2732="","",ROUND($G2732*$T2732,2))</f>
        <v/>
      </c>
      <c r="V2732" s="113">
        <f>IF($B2732="","",MONTH($B2732))</f>
        <v/>
      </c>
      <c r="W2732" s="113">
        <f>IF($B2732="","",YEAR($B2732))</f>
        <v/>
      </c>
    </row>
    <row r="2733">
      <c r="B2733" s="105" t="n"/>
      <c r="C2733" s="54" t="n"/>
      <c r="D2733" s="54" t="n"/>
      <c r="E2733" s="54" t="n"/>
      <c r="F2733" s="54" t="n"/>
      <c r="G2733" s="65" t="n"/>
      <c r="H2733" s="54" t="n"/>
      <c r="I2733" s="106">
        <f>IF($C2733="","",IFERROR(INDEX(Sens_Types,MATCH($C2733,Liste_Types,0)),""))</f>
        <v/>
      </c>
      <c r="J2733" s="107">
        <f>IF($I2733="▲ ENTRÉE",$U2733,"")</f>
        <v/>
      </c>
      <c r="K2733" s="108">
        <f>IF($I2733="▼ SORTIE",$U2733,"")</f>
        <v/>
      </c>
      <c r="L2733" s="109">
        <f>$L2732+N($J2733)-N($K2733)</f>
        <v/>
      </c>
      <c r="M2733" s="110" t="n"/>
      <c r="N2733" s="54" t="n"/>
      <c r="O2733" s="54" t="n"/>
      <c r="P2733" s="54" t="n"/>
      <c r="Q2733" s="110" t="n"/>
      <c r="R2733" s="110" t="n"/>
      <c r="S2733" s="54" t="n"/>
      <c r="T2733" s="111">
        <f>IF($G2733="","",IFERROR(INDEX(Taux_Devises,MATCH(IF($M2733="",Devise_Base,$M2733),Codes_Devises,0)),1))</f>
        <v/>
      </c>
      <c r="U2733" s="112">
        <f>IF($G2733="","",ROUND($G2733*$T2733,2))</f>
        <v/>
      </c>
      <c r="V2733" s="113">
        <f>IF($B2733="","",MONTH($B2733))</f>
        <v/>
      </c>
      <c r="W2733" s="113">
        <f>IF($B2733="","",YEAR($B2733))</f>
        <v/>
      </c>
    </row>
    <row r="2734">
      <c r="B2734" s="105" t="n"/>
      <c r="C2734" s="54" t="n"/>
      <c r="D2734" s="54" t="n"/>
      <c r="E2734" s="54" t="n"/>
      <c r="F2734" s="54" t="n"/>
      <c r="G2734" s="65" t="n"/>
      <c r="H2734" s="54" t="n"/>
      <c r="I2734" s="106">
        <f>IF($C2734="","",IFERROR(INDEX(Sens_Types,MATCH($C2734,Liste_Types,0)),""))</f>
        <v/>
      </c>
      <c r="J2734" s="107">
        <f>IF($I2734="▲ ENTRÉE",$U2734,"")</f>
        <v/>
      </c>
      <c r="K2734" s="108">
        <f>IF($I2734="▼ SORTIE",$U2734,"")</f>
        <v/>
      </c>
      <c r="L2734" s="109">
        <f>$L2733+N($J2734)-N($K2734)</f>
        <v/>
      </c>
      <c r="M2734" s="110" t="n"/>
      <c r="N2734" s="54" t="n"/>
      <c r="O2734" s="54" t="n"/>
      <c r="P2734" s="54" t="n"/>
      <c r="Q2734" s="110" t="n"/>
      <c r="R2734" s="110" t="n"/>
      <c r="S2734" s="54" t="n"/>
      <c r="T2734" s="111">
        <f>IF($G2734="","",IFERROR(INDEX(Taux_Devises,MATCH(IF($M2734="",Devise_Base,$M2734),Codes_Devises,0)),1))</f>
        <v/>
      </c>
      <c r="U2734" s="112">
        <f>IF($G2734="","",ROUND($G2734*$T2734,2))</f>
        <v/>
      </c>
      <c r="V2734" s="113">
        <f>IF($B2734="","",MONTH($B2734))</f>
        <v/>
      </c>
      <c r="W2734" s="113">
        <f>IF($B2734="","",YEAR($B2734))</f>
        <v/>
      </c>
    </row>
    <row r="2735">
      <c r="B2735" s="105" t="n"/>
      <c r="C2735" s="54" t="n"/>
      <c r="D2735" s="54" t="n"/>
      <c r="E2735" s="54" t="n"/>
      <c r="F2735" s="54" t="n"/>
      <c r="G2735" s="65" t="n"/>
      <c r="H2735" s="54" t="n"/>
      <c r="I2735" s="106">
        <f>IF($C2735="","",IFERROR(INDEX(Sens_Types,MATCH($C2735,Liste_Types,0)),""))</f>
        <v/>
      </c>
      <c r="J2735" s="107">
        <f>IF($I2735="▲ ENTRÉE",$U2735,"")</f>
        <v/>
      </c>
      <c r="K2735" s="108">
        <f>IF($I2735="▼ SORTIE",$U2735,"")</f>
        <v/>
      </c>
      <c r="L2735" s="109">
        <f>$L2734+N($J2735)-N($K2735)</f>
        <v/>
      </c>
      <c r="M2735" s="110" t="n"/>
      <c r="N2735" s="54" t="n"/>
      <c r="O2735" s="54" t="n"/>
      <c r="P2735" s="54" t="n"/>
      <c r="Q2735" s="110" t="n"/>
      <c r="R2735" s="110" t="n"/>
      <c r="S2735" s="54" t="n"/>
      <c r="T2735" s="111">
        <f>IF($G2735="","",IFERROR(INDEX(Taux_Devises,MATCH(IF($M2735="",Devise_Base,$M2735),Codes_Devises,0)),1))</f>
        <v/>
      </c>
      <c r="U2735" s="112">
        <f>IF($G2735="","",ROUND($G2735*$T2735,2))</f>
        <v/>
      </c>
      <c r="V2735" s="113">
        <f>IF($B2735="","",MONTH($B2735))</f>
        <v/>
      </c>
      <c r="W2735" s="113">
        <f>IF($B2735="","",YEAR($B2735))</f>
        <v/>
      </c>
    </row>
    <row r="2736">
      <c r="B2736" s="105" t="n"/>
      <c r="C2736" s="54" t="n"/>
      <c r="D2736" s="54" t="n"/>
      <c r="E2736" s="54" t="n"/>
      <c r="F2736" s="54" t="n"/>
      <c r="G2736" s="65" t="n"/>
      <c r="H2736" s="54" t="n"/>
      <c r="I2736" s="106">
        <f>IF($C2736="","",IFERROR(INDEX(Sens_Types,MATCH($C2736,Liste_Types,0)),""))</f>
        <v/>
      </c>
      <c r="J2736" s="107">
        <f>IF($I2736="▲ ENTRÉE",$U2736,"")</f>
        <v/>
      </c>
      <c r="K2736" s="108">
        <f>IF($I2736="▼ SORTIE",$U2736,"")</f>
        <v/>
      </c>
      <c r="L2736" s="109">
        <f>$L2735+N($J2736)-N($K2736)</f>
        <v/>
      </c>
      <c r="M2736" s="110" t="n"/>
      <c r="N2736" s="54" t="n"/>
      <c r="O2736" s="54" t="n"/>
      <c r="P2736" s="54" t="n"/>
      <c r="Q2736" s="110" t="n"/>
      <c r="R2736" s="110" t="n"/>
      <c r="S2736" s="54" t="n"/>
      <c r="T2736" s="111">
        <f>IF($G2736="","",IFERROR(INDEX(Taux_Devises,MATCH(IF($M2736="",Devise_Base,$M2736),Codes_Devises,0)),1))</f>
        <v/>
      </c>
      <c r="U2736" s="112">
        <f>IF($G2736="","",ROUND($G2736*$T2736,2))</f>
        <v/>
      </c>
      <c r="V2736" s="113">
        <f>IF($B2736="","",MONTH($B2736))</f>
        <v/>
      </c>
      <c r="W2736" s="113">
        <f>IF($B2736="","",YEAR($B2736))</f>
        <v/>
      </c>
    </row>
    <row r="2737">
      <c r="B2737" s="105" t="n"/>
      <c r="C2737" s="54" t="n"/>
      <c r="D2737" s="54" t="n"/>
      <c r="E2737" s="54" t="n"/>
      <c r="F2737" s="54" t="n"/>
      <c r="G2737" s="65" t="n"/>
      <c r="H2737" s="54" t="n"/>
      <c r="I2737" s="106">
        <f>IF($C2737="","",IFERROR(INDEX(Sens_Types,MATCH($C2737,Liste_Types,0)),""))</f>
        <v/>
      </c>
      <c r="J2737" s="107">
        <f>IF($I2737="▲ ENTRÉE",$U2737,"")</f>
        <v/>
      </c>
      <c r="K2737" s="108">
        <f>IF($I2737="▼ SORTIE",$U2737,"")</f>
        <v/>
      </c>
      <c r="L2737" s="109">
        <f>$L2736+N($J2737)-N($K2737)</f>
        <v/>
      </c>
      <c r="M2737" s="110" t="n"/>
      <c r="N2737" s="54" t="n"/>
      <c r="O2737" s="54" t="n"/>
      <c r="P2737" s="54" t="n"/>
      <c r="Q2737" s="110" t="n"/>
      <c r="R2737" s="110" t="n"/>
      <c r="S2737" s="54" t="n"/>
      <c r="T2737" s="111">
        <f>IF($G2737="","",IFERROR(INDEX(Taux_Devises,MATCH(IF($M2737="",Devise_Base,$M2737),Codes_Devises,0)),1))</f>
        <v/>
      </c>
      <c r="U2737" s="112">
        <f>IF($G2737="","",ROUND($G2737*$T2737,2))</f>
        <v/>
      </c>
      <c r="V2737" s="113">
        <f>IF($B2737="","",MONTH($B2737))</f>
        <v/>
      </c>
      <c r="W2737" s="113">
        <f>IF($B2737="","",YEAR($B2737))</f>
        <v/>
      </c>
    </row>
    <row r="2738">
      <c r="B2738" s="105" t="n"/>
      <c r="C2738" s="54" t="n"/>
      <c r="D2738" s="54" t="n"/>
      <c r="E2738" s="54" t="n"/>
      <c r="F2738" s="54" t="n"/>
      <c r="G2738" s="65" t="n"/>
      <c r="H2738" s="54" t="n"/>
      <c r="I2738" s="106">
        <f>IF($C2738="","",IFERROR(INDEX(Sens_Types,MATCH($C2738,Liste_Types,0)),""))</f>
        <v/>
      </c>
      <c r="J2738" s="107">
        <f>IF($I2738="▲ ENTRÉE",$U2738,"")</f>
        <v/>
      </c>
      <c r="K2738" s="108">
        <f>IF($I2738="▼ SORTIE",$U2738,"")</f>
        <v/>
      </c>
      <c r="L2738" s="109">
        <f>$L2737+N($J2738)-N($K2738)</f>
        <v/>
      </c>
      <c r="M2738" s="110" t="n"/>
      <c r="N2738" s="54" t="n"/>
      <c r="O2738" s="54" t="n"/>
      <c r="P2738" s="54" t="n"/>
      <c r="Q2738" s="110" t="n"/>
      <c r="R2738" s="110" t="n"/>
      <c r="S2738" s="54" t="n"/>
      <c r="T2738" s="111">
        <f>IF($G2738="","",IFERROR(INDEX(Taux_Devises,MATCH(IF($M2738="",Devise_Base,$M2738),Codes_Devises,0)),1))</f>
        <v/>
      </c>
      <c r="U2738" s="112">
        <f>IF($G2738="","",ROUND($G2738*$T2738,2))</f>
        <v/>
      </c>
      <c r="V2738" s="113">
        <f>IF($B2738="","",MONTH($B2738))</f>
        <v/>
      </c>
      <c r="W2738" s="113">
        <f>IF($B2738="","",YEAR($B2738))</f>
        <v/>
      </c>
    </row>
    <row r="2739">
      <c r="B2739" s="105" t="n"/>
      <c r="C2739" s="54" t="n"/>
      <c r="D2739" s="54" t="n"/>
      <c r="E2739" s="54" t="n"/>
      <c r="F2739" s="54" t="n"/>
      <c r="G2739" s="65" t="n"/>
      <c r="H2739" s="54" t="n"/>
      <c r="I2739" s="106">
        <f>IF($C2739="","",IFERROR(INDEX(Sens_Types,MATCH($C2739,Liste_Types,0)),""))</f>
        <v/>
      </c>
      <c r="J2739" s="107">
        <f>IF($I2739="▲ ENTRÉE",$U2739,"")</f>
        <v/>
      </c>
      <c r="K2739" s="108">
        <f>IF($I2739="▼ SORTIE",$U2739,"")</f>
        <v/>
      </c>
      <c r="L2739" s="109">
        <f>$L2738+N($J2739)-N($K2739)</f>
        <v/>
      </c>
      <c r="M2739" s="110" t="n"/>
      <c r="N2739" s="54" t="n"/>
      <c r="O2739" s="54" t="n"/>
      <c r="P2739" s="54" t="n"/>
      <c r="Q2739" s="110" t="n"/>
      <c r="R2739" s="110" t="n"/>
      <c r="S2739" s="54" t="n"/>
      <c r="T2739" s="111">
        <f>IF($G2739="","",IFERROR(INDEX(Taux_Devises,MATCH(IF($M2739="",Devise_Base,$M2739),Codes_Devises,0)),1))</f>
        <v/>
      </c>
      <c r="U2739" s="112">
        <f>IF($G2739="","",ROUND($G2739*$T2739,2))</f>
        <v/>
      </c>
      <c r="V2739" s="113">
        <f>IF($B2739="","",MONTH($B2739))</f>
        <v/>
      </c>
      <c r="W2739" s="113">
        <f>IF($B2739="","",YEAR($B2739))</f>
        <v/>
      </c>
    </row>
    <row r="2740">
      <c r="B2740" s="105" t="n"/>
      <c r="C2740" s="54" t="n"/>
      <c r="D2740" s="54" t="n"/>
      <c r="E2740" s="54" t="n"/>
      <c r="F2740" s="54" t="n"/>
      <c r="G2740" s="65" t="n"/>
      <c r="H2740" s="54" t="n"/>
      <c r="I2740" s="106">
        <f>IF($C2740="","",IFERROR(INDEX(Sens_Types,MATCH($C2740,Liste_Types,0)),""))</f>
        <v/>
      </c>
      <c r="J2740" s="107">
        <f>IF($I2740="▲ ENTRÉE",$U2740,"")</f>
        <v/>
      </c>
      <c r="K2740" s="108">
        <f>IF($I2740="▼ SORTIE",$U2740,"")</f>
        <v/>
      </c>
      <c r="L2740" s="109">
        <f>$L2739+N($J2740)-N($K2740)</f>
        <v/>
      </c>
      <c r="M2740" s="110" t="n"/>
      <c r="N2740" s="54" t="n"/>
      <c r="O2740" s="54" t="n"/>
      <c r="P2740" s="54" t="n"/>
      <c r="Q2740" s="110" t="n"/>
      <c r="R2740" s="110" t="n"/>
      <c r="S2740" s="54" t="n"/>
      <c r="T2740" s="111">
        <f>IF($G2740="","",IFERROR(INDEX(Taux_Devises,MATCH(IF($M2740="",Devise_Base,$M2740),Codes_Devises,0)),1))</f>
        <v/>
      </c>
      <c r="U2740" s="112">
        <f>IF($G2740="","",ROUND($G2740*$T2740,2))</f>
        <v/>
      </c>
      <c r="V2740" s="113">
        <f>IF($B2740="","",MONTH($B2740))</f>
        <v/>
      </c>
      <c r="W2740" s="113">
        <f>IF($B2740="","",YEAR($B2740))</f>
        <v/>
      </c>
    </row>
    <row r="2741">
      <c r="B2741" s="105" t="n"/>
      <c r="C2741" s="54" t="n"/>
      <c r="D2741" s="54" t="n"/>
      <c r="E2741" s="54" t="n"/>
      <c r="F2741" s="54" t="n"/>
      <c r="G2741" s="65" t="n"/>
      <c r="H2741" s="54" t="n"/>
      <c r="I2741" s="106">
        <f>IF($C2741="","",IFERROR(INDEX(Sens_Types,MATCH($C2741,Liste_Types,0)),""))</f>
        <v/>
      </c>
      <c r="J2741" s="107">
        <f>IF($I2741="▲ ENTRÉE",$U2741,"")</f>
        <v/>
      </c>
      <c r="K2741" s="108">
        <f>IF($I2741="▼ SORTIE",$U2741,"")</f>
        <v/>
      </c>
      <c r="L2741" s="109">
        <f>$L2740+N($J2741)-N($K2741)</f>
        <v/>
      </c>
      <c r="M2741" s="110" t="n"/>
      <c r="N2741" s="54" t="n"/>
      <c r="O2741" s="54" t="n"/>
      <c r="P2741" s="54" t="n"/>
      <c r="Q2741" s="110" t="n"/>
      <c r="R2741" s="110" t="n"/>
      <c r="S2741" s="54" t="n"/>
      <c r="T2741" s="111">
        <f>IF($G2741="","",IFERROR(INDEX(Taux_Devises,MATCH(IF($M2741="",Devise_Base,$M2741),Codes_Devises,0)),1))</f>
        <v/>
      </c>
      <c r="U2741" s="112">
        <f>IF($G2741="","",ROUND($G2741*$T2741,2))</f>
        <v/>
      </c>
      <c r="V2741" s="113">
        <f>IF($B2741="","",MONTH($B2741))</f>
        <v/>
      </c>
      <c r="W2741" s="113">
        <f>IF($B2741="","",YEAR($B2741))</f>
        <v/>
      </c>
    </row>
    <row r="2742">
      <c r="B2742" s="105" t="n"/>
      <c r="C2742" s="54" t="n"/>
      <c r="D2742" s="54" t="n"/>
      <c r="E2742" s="54" t="n"/>
      <c r="F2742" s="54" t="n"/>
      <c r="G2742" s="65" t="n"/>
      <c r="H2742" s="54" t="n"/>
      <c r="I2742" s="106">
        <f>IF($C2742="","",IFERROR(INDEX(Sens_Types,MATCH($C2742,Liste_Types,0)),""))</f>
        <v/>
      </c>
      <c r="J2742" s="107">
        <f>IF($I2742="▲ ENTRÉE",$U2742,"")</f>
        <v/>
      </c>
      <c r="K2742" s="108">
        <f>IF($I2742="▼ SORTIE",$U2742,"")</f>
        <v/>
      </c>
      <c r="L2742" s="109">
        <f>$L2741+N($J2742)-N($K2742)</f>
        <v/>
      </c>
      <c r="M2742" s="110" t="n"/>
      <c r="N2742" s="54" t="n"/>
      <c r="O2742" s="54" t="n"/>
      <c r="P2742" s="54" t="n"/>
      <c r="Q2742" s="110" t="n"/>
      <c r="R2742" s="110" t="n"/>
      <c r="S2742" s="54" t="n"/>
      <c r="T2742" s="111">
        <f>IF($G2742="","",IFERROR(INDEX(Taux_Devises,MATCH(IF($M2742="",Devise_Base,$M2742),Codes_Devises,0)),1))</f>
        <v/>
      </c>
      <c r="U2742" s="112">
        <f>IF($G2742="","",ROUND($G2742*$T2742,2))</f>
        <v/>
      </c>
      <c r="V2742" s="113">
        <f>IF($B2742="","",MONTH($B2742))</f>
        <v/>
      </c>
      <c r="W2742" s="113">
        <f>IF($B2742="","",YEAR($B2742))</f>
        <v/>
      </c>
    </row>
    <row r="2743">
      <c r="B2743" s="105" t="n"/>
      <c r="C2743" s="54" t="n"/>
      <c r="D2743" s="54" t="n"/>
      <c r="E2743" s="54" t="n"/>
      <c r="F2743" s="54" t="n"/>
      <c r="G2743" s="65" t="n"/>
      <c r="H2743" s="54" t="n"/>
      <c r="I2743" s="106">
        <f>IF($C2743="","",IFERROR(INDEX(Sens_Types,MATCH($C2743,Liste_Types,0)),""))</f>
        <v/>
      </c>
      <c r="J2743" s="107">
        <f>IF($I2743="▲ ENTRÉE",$U2743,"")</f>
        <v/>
      </c>
      <c r="K2743" s="108">
        <f>IF($I2743="▼ SORTIE",$U2743,"")</f>
        <v/>
      </c>
      <c r="L2743" s="109">
        <f>$L2742+N($J2743)-N($K2743)</f>
        <v/>
      </c>
      <c r="M2743" s="110" t="n"/>
      <c r="N2743" s="54" t="n"/>
      <c r="O2743" s="54" t="n"/>
      <c r="P2743" s="54" t="n"/>
      <c r="Q2743" s="110" t="n"/>
      <c r="R2743" s="110" t="n"/>
      <c r="S2743" s="54" t="n"/>
      <c r="T2743" s="111">
        <f>IF($G2743="","",IFERROR(INDEX(Taux_Devises,MATCH(IF($M2743="",Devise_Base,$M2743),Codes_Devises,0)),1))</f>
        <v/>
      </c>
      <c r="U2743" s="112">
        <f>IF($G2743="","",ROUND($G2743*$T2743,2))</f>
        <v/>
      </c>
      <c r="V2743" s="113">
        <f>IF($B2743="","",MONTH($B2743))</f>
        <v/>
      </c>
      <c r="W2743" s="113">
        <f>IF($B2743="","",YEAR($B2743))</f>
        <v/>
      </c>
    </row>
    <row r="2744">
      <c r="B2744" s="105" t="n"/>
      <c r="C2744" s="54" t="n"/>
      <c r="D2744" s="54" t="n"/>
      <c r="E2744" s="54" t="n"/>
      <c r="F2744" s="54" t="n"/>
      <c r="G2744" s="65" t="n"/>
      <c r="H2744" s="54" t="n"/>
      <c r="I2744" s="106">
        <f>IF($C2744="","",IFERROR(INDEX(Sens_Types,MATCH($C2744,Liste_Types,0)),""))</f>
        <v/>
      </c>
      <c r="J2744" s="107">
        <f>IF($I2744="▲ ENTRÉE",$U2744,"")</f>
        <v/>
      </c>
      <c r="K2744" s="108">
        <f>IF($I2744="▼ SORTIE",$U2744,"")</f>
        <v/>
      </c>
      <c r="L2744" s="109">
        <f>$L2743+N($J2744)-N($K2744)</f>
        <v/>
      </c>
      <c r="M2744" s="110" t="n"/>
      <c r="N2744" s="54" t="n"/>
      <c r="O2744" s="54" t="n"/>
      <c r="P2744" s="54" t="n"/>
      <c r="Q2744" s="110" t="n"/>
      <c r="R2744" s="110" t="n"/>
      <c r="S2744" s="54" t="n"/>
      <c r="T2744" s="111">
        <f>IF($G2744="","",IFERROR(INDEX(Taux_Devises,MATCH(IF($M2744="",Devise_Base,$M2744),Codes_Devises,0)),1))</f>
        <v/>
      </c>
      <c r="U2744" s="112">
        <f>IF($G2744="","",ROUND($G2744*$T2744,2))</f>
        <v/>
      </c>
      <c r="V2744" s="113">
        <f>IF($B2744="","",MONTH($B2744))</f>
        <v/>
      </c>
      <c r="W2744" s="113">
        <f>IF($B2744="","",YEAR($B2744))</f>
        <v/>
      </c>
    </row>
    <row r="2745">
      <c r="B2745" s="105" t="n"/>
      <c r="C2745" s="54" t="n"/>
      <c r="D2745" s="54" t="n"/>
      <c r="E2745" s="54" t="n"/>
      <c r="F2745" s="54" t="n"/>
      <c r="G2745" s="65" t="n"/>
      <c r="H2745" s="54" t="n"/>
      <c r="I2745" s="106">
        <f>IF($C2745="","",IFERROR(INDEX(Sens_Types,MATCH($C2745,Liste_Types,0)),""))</f>
        <v/>
      </c>
      <c r="J2745" s="107">
        <f>IF($I2745="▲ ENTRÉE",$U2745,"")</f>
        <v/>
      </c>
      <c r="K2745" s="108">
        <f>IF($I2745="▼ SORTIE",$U2745,"")</f>
        <v/>
      </c>
      <c r="L2745" s="109">
        <f>$L2744+N($J2745)-N($K2745)</f>
        <v/>
      </c>
      <c r="M2745" s="110" t="n"/>
      <c r="N2745" s="54" t="n"/>
      <c r="O2745" s="54" t="n"/>
      <c r="P2745" s="54" t="n"/>
      <c r="Q2745" s="110" t="n"/>
      <c r="R2745" s="110" t="n"/>
      <c r="S2745" s="54" t="n"/>
      <c r="T2745" s="111">
        <f>IF($G2745="","",IFERROR(INDEX(Taux_Devises,MATCH(IF($M2745="",Devise_Base,$M2745),Codes_Devises,0)),1))</f>
        <v/>
      </c>
      <c r="U2745" s="112">
        <f>IF($G2745="","",ROUND($G2745*$T2745,2))</f>
        <v/>
      </c>
      <c r="V2745" s="113">
        <f>IF($B2745="","",MONTH($B2745))</f>
        <v/>
      </c>
      <c r="W2745" s="113">
        <f>IF($B2745="","",YEAR($B2745))</f>
        <v/>
      </c>
    </row>
    <row r="2746">
      <c r="B2746" s="105" t="n"/>
      <c r="C2746" s="54" t="n"/>
      <c r="D2746" s="54" t="n"/>
      <c r="E2746" s="54" t="n"/>
      <c r="F2746" s="54" t="n"/>
      <c r="G2746" s="65" t="n"/>
      <c r="H2746" s="54" t="n"/>
      <c r="I2746" s="106">
        <f>IF($C2746="","",IFERROR(INDEX(Sens_Types,MATCH($C2746,Liste_Types,0)),""))</f>
        <v/>
      </c>
      <c r="J2746" s="107">
        <f>IF($I2746="▲ ENTRÉE",$U2746,"")</f>
        <v/>
      </c>
      <c r="K2746" s="108">
        <f>IF($I2746="▼ SORTIE",$U2746,"")</f>
        <v/>
      </c>
      <c r="L2746" s="109">
        <f>$L2745+N($J2746)-N($K2746)</f>
        <v/>
      </c>
      <c r="M2746" s="110" t="n"/>
      <c r="N2746" s="54" t="n"/>
      <c r="O2746" s="54" t="n"/>
      <c r="P2746" s="54" t="n"/>
      <c r="Q2746" s="110" t="n"/>
      <c r="R2746" s="110" t="n"/>
      <c r="S2746" s="54" t="n"/>
      <c r="T2746" s="111">
        <f>IF($G2746="","",IFERROR(INDEX(Taux_Devises,MATCH(IF($M2746="",Devise_Base,$M2746),Codes_Devises,0)),1))</f>
        <v/>
      </c>
      <c r="U2746" s="112">
        <f>IF($G2746="","",ROUND($G2746*$T2746,2))</f>
        <v/>
      </c>
      <c r="V2746" s="113">
        <f>IF($B2746="","",MONTH($B2746))</f>
        <v/>
      </c>
      <c r="W2746" s="113">
        <f>IF($B2746="","",YEAR($B2746))</f>
        <v/>
      </c>
    </row>
    <row r="2747">
      <c r="B2747" s="105" t="n"/>
      <c r="C2747" s="54" t="n"/>
      <c r="D2747" s="54" t="n"/>
      <c r="E2747" s="54" t="n"/>
      <c r="F2747" s="54" t="n"/>
      <c r="G2747" s="65" t="n"/>
      <c r="H2747" s="54" t="n"/>
      <c r="I2747" s="106">
        <f>IF($C2747="","",IFERROR(INDEX(Sens_Types,MATCH($C2747,Liste_Types,0)),""))</f>
        <v/>
      </c>
      <c r="J2747" s="107">
        <f>IF($I2747="▲ ENTRÉE",$U2747,"")</f>
        <v/>
      </c>
      <c r="K2747" s="108">
        <f>IF($I2747="▼ SORTIE",$U2747,"")</f>
        <v/>
      </c>
      <c r="L2747" s="109">
        <f>$L2746+N($J2747)-N($K2747)</f>
        <v/>
      </c>
      <c r="M2747" s="110" t="n"/>
      <c r="N2747" s="54" t="n"/>
      <c r="O2747" s="54" t="n"/>
      <c r="P2747" s="54" t="n"/>
      <c r="Q2747" s="110" t="n"/>
      <c r="R2747" s="110" t="n"/>
      <c r="S2747" s="54" t="n"/>
      <c r="T2747" s="111">
        <f>IF($G2747="","",IFERROR(INDEX(Taux_Devises,MATCH(IF($M2747="",Devise_Base,$M2747),Codes_Devises,0)),1))</f>
        <v/>
      </c>
      <c r="U2747" s="112">
        <f>IF($G2747="","",ROUND($G2747*$T2747,2))</f>
        <v/>
      </c>
      <c r="V2747" s="113">
        <f>IF($B2747="","",MONTH($B2747))</f>
        <v/>
      </c>
      <c r="W2747" s="113">
        <f>IF($B2747="","",YEAR($B2747))</f>
        <v/>
      </c>
    </row>
    <row r="2748">
      <c r="B2748" s="105" t="n"/>
      <c r="C2748" s="54" t="n"/>
      <c r="D2748" s="54" t="n"/>
      <c r="E2748" s="54" t="n"/>
      <c r="F2748" s="54" t="n"/>
      <c r="G2748" s="65" t="n"/>
      <c r="H2748" s="54" t="n"/>
      <c r="I2748" s="106">
        <f>IF($C2748="","",IFERROR(INDEX(Sens_Types,MATCH($C2748,Liste_Types,0)),""))</f>
        <v/>
      </c>
      <c r="J2748" s="107">
        <f>IF($I2748="▲ ENTRÉE",$U2748,"")</f>
        <v/>
      </c>
      <c r="K2748" s="108">
        <f>IF($I2748="▼ SORTIE",$U2748,"")</f>
        <v/>
      </c>
      <c r="L2748" s="109">
        <f>$L2747+N($J2748)-N($K2748)</f>
        <v/>
      </c>
      <c r="M2748" s="110" t="n"/>
      <c r="N2748" s="54" t="n"/>
      <c r="O2748" s="54" t="n"/>
      <c r="P2748" s="54" t="n"/>
      <c r="Q2748" s="110" t="n"/>
      <c r="R2748" s="110" t="n"/>
      <c r="S2748" s="54" t="n"/>
      <c r="T2748" s="111">
        <f>IF($G2748="","",IFERROR(INDEX(Taux_Devises,MATCH(IF($M2748="",Devise_Base,$M2748),Codes_Devises,0)),1))</f>
        <v/>
      </c>
      <c r="U2748" s="112">
        <f>IF($G2748="","",ROUND($G2748*$T2748,2))</f>
        <v/>
      </c>
      <c r="V2748" s="113">
        <f>IF($B2748="","",MONTH($B2748))</f>
        <v/>
      </c>
      <c r="W2748" s="113">
        <f>IF($B2748="","",YEAR($B2748))</f>
        <v/>
      </c>
    </row>
    <row r="2749">
      <c r="B2749" s="105" t="n"/>
      <c r="C2749" s="54" t="n"/>
      <c r="D2749" s="54" t="n"/>
      <c r="E2749" s="54" t="n"/>
      <c r="F2749" s="54" t="n"/>
      <c r="G2749" s="65" t="n"/>
      <c r="H2749" s="54" t="n"/>
      <c r="I2749" s="106">
        <f>IF($C2749="","",IFERROR(INDEX(Sens_Types,MATCH($C2749,Liste_Types,0)),""))</f>
        <v/>
      </c>
      <c r="J2749" s="107">
        <f>IF($I2749="▲ ENTRÉE",$U2749,"")</f>
        <v/>
      </c>
      <c r="K2749" s="108">
        <f>IF($I2749="▼ SORTIE",$U2749,"")</f>
        <v/>
      </c>
      <c r="L2749" s="109">
        <f>$L2748+N($J2749)-N($K2749)</f>
        <v/>
      </c>
      <c r="M2749" s="110" t="n"/>
      <c r="N2749" s="54" t="n"/>
      <c r="O2749" s="54" t="n"/>
      <c r="P2749" s="54" t="n"/>
      <c r="Q2749" s="110" t="n"/>
      <c r="R2749" s="110" t="n"/>
      <c r="S2749" s="54" t="n"/>
      <c r="T2749" s="111">
        <f>IF($G2749="","",IFERROR(INDEX(Taux_Devises,MATCH(IF($M2749="",Devise_Base,$M2749),Codes_Devises,0)),1))</f>
        <v/>
      </c>
      <c r="U2749" s="112">
        <f>IF($G2749="","",ROUND($G2749*$T2749,2))</f>
        <v/>
      </c>
      <c r="V2749" s="113">
        <f>IF($B2749="","",MONTH($B2749))</f>
        <v/>
      </c>
      <c r="W2749" s="113">
        <f>IF($B2749="","",YEAR($B2749))</f>
        <v/>
      </c>
    </row>
    <row r="2750">
      <c r="B2750" s="105" t="n"/>
      <c r="C2750" s="54" t="n"/>
      <c r="D2750" s="54" t="n"/>
      <c r="E2750" s="54" t="n"/>
      <c r="F2750" s="54" t="n"/>
      <c r="G2750" s="65" t="n"/>
      <c r="H2750" s="54" t="n"/>
      <c r="I2750" s="106">
        <f>IF($C2750="","",IFERROR(INDEX(Sens_Types,MATCH($C2750,Liste_Types,0)),""))</f>
        <v/>
      </c>
      <c r="J2750" s="107">
        <f>IF($I2750="▲ ENTRÉE",$U2750,"")</f>
        <v/>
      </c>
      <c r="K2750" s="108">
        <f>IF($I2750="▼ SORTIE",$U2750,"")</f>
        <v/>
      </c>
      <c r="L2750" s="109">
        <f>$L2749+N($J2750)-N($K2750)</f>
        <v/>
      </c>
      <c r="M2750" s="110" t="n"/>
      <c r="N2750" s="54" t="n"/>
      <c r="O2750" s="54" t="n"/>
      <c r="P2750" s="54" t="n"/>
      <c r="Q2750" s="110" t="n"/>
      <c r="R2750" s="110" t="n"/>
      <c r="S2750" s="54" t="n"/>
      <c r="T2750" s="111">
        <f>IF($G2750="","",IFERROR(INDEX(Taux_Devises,MATCH(IF($M2750="",Devise_Base,$M2750),Codes_Devises,0)),1))</f>
        <v/>
      </c>
      <c r="U2750" s="112">
        <f>IF($G2750="","",ROUND($G2750*$T2750,2))</f>
        <v/>
      </c>
      <c r="V2750" s="113">
        <f>IF($B2750="","",MONTH($B2750))</f>
        <v/>
      </c>
      <c r="W2750" s="113">
        <f>IF($B2750="","",YEAR($B2750))</f>
        <v/>
      </c>
    </row>
    <row r="2751">
      <c r="B2751" s="105" t="n"/>
      <c r="C2751" s="54" t="n"/>
      <c r="D2751" s="54" t="n"/>
      <c r="E2751" s="54" t="n"/>
      <c r="F2751" s="54" t="n"/>
      <c r="G2751" s="65" t="n"/>
      <c r="H2751" s="54" t="n"/>
      <c r="I2751" s="106">
        <f>IF($C2751="","",IFERROR(INDEX(Sens_Types,MATCH($C2751,Liste_Types,0)),""))</f>
        <v/>
      </c>
      <c r="J2751" s="107">
        <f>IF($I2751="▲ ENTRÉE",$U2751,"")</f>
        <v/>
      </c>
      <c r="K2751" s="108">
        <f>IF($I2751="▼ SORTIE",$U2751,"")</f>
        <v/>
      </c>
      <c r="L2751" s="109">
        <f>$L2750+N($J2751)-N($K2751)</f>
        <v/>
      </c>
      <c r="M2751" s="110" t="n"/>
      <c r="N2751" s="54" t="n"/>
      <c r="O2751" s="54" t="n"/>
      <c r="P2751" s="54" t="n"/>
      <c r="Q2751" s="110" t="n"/>
      <c r="R2751" s="110" t="n"/>
      <c r="S2751" s="54" t="n"/>
      <c r="T2751" s="111">
        <f>IF($G2751="","",IFERROR(INDEX(Taux_Devises,MATCH(IF($M2751="",Devise_Base,$M2751),Codes_Devises,0)),1))</f>
        <v/>
      </c>
      <c r="U2751" s="112">
        <f>IF($G2751="","",ROUND($G2751*$T2751,2))</f>
        <v/>
      </c>
      <c r="V2751" s="113">
        <f>IF($B2751="","",MONTH($B2751))</f>
        <v/>
      </c>
      <c r="W2751" s="113">
        <f>IF($B2751="","",YEAR($B2751))</f>
        <v/>
      </c>
    </row>
    <row r="2752">
      <c r="B2752" s="105" t="n"/>
      <c r="C2752" s="54" t="n"/>
      <c r="D2752" s="54" t="n"/>
      <c r="E2752" s="54" t="n"/>
      <c r="F2752" s="54" t="n"/>
      <c r="G2752" s="65" t="n"/>
      <c r="H2752" s="54" t="n"/>
      <c r="I2752" s="106">
        <f>IF($C2752="","",IFERROR(INDEX(Sens_Types,MATCH($C2752,Liste_Types,0)),""))</f>
        <v/>
      </c>
      <c r="J2752" s="107">
        <f>IF($I2752="▲ ENTRÉE",$U2752,"")</f>
        <v/>
      </c>
      <c r="K2752" s="108">
        <f>IF($I2752="▼ SORTIE",$U2752,"")</f>
        <v/>
      </c>
      <c r="L2752" s="109">
        <f>$L2751+N($J2752)-N($K2752)</f>
        <v/>
      </c>
      <c r="M2752" s="110" t="n"/>
      <c r="N2752" s="54" t="n"/>
      <c r="O2752" s="54" t="n"/>
      <c r="P2752" s="54" t="n"/>
      <c r="Q2752" s="110" t="n"/>
      <c r="R2752" s="110" t="n"/>
      <c r="S2752" s="54" t="n"/>
      <c r="T2752" s="111">
        <f>IF($G2752="","",IFERROR(INDEX(Taux_Devises,MATCH(IF($M2752="",Devise_Base,$M2752),Codes_Devises,0)),1))</f>
        <v/>
      </c>
      <c r="U2752" s="112">
        <f>IF($G2752="","",ROUND($G2752*$T2752,2))</f>
        <v/>
      </c>
      <c r="V2752" s="113">
        <f>IF($B2752="","",MONTH($B2752))</f>
        <v/>
      </c>
      <c r="W2752" s="113">
        <f>IF($B2752="","",YEAR($B2752))</f>
        <v/>
      </c>
    </row>
    <row r="2753">
      <c r="B2753" s="105" t="n"/>
      <c r="C2753" s="54" t="n"/>
      <c r="D2753" s="54" t="n"/>
      <c r="E2753" s="54" t="n"/>
      <c r="F2753" s="54" t="n"/>
      <c r="G2753" s="65" t="n"/>
      <c r="H2753" s="54" t="n"/>
      <c r="I2753" s="106">
        <f>IF($C2753="","",IFERROR(INDEX(Sens_Types,MATCH($C2753,Liste_Types,0)),""))</f>
        <v/>
      </c>
      <c r="J2753" s="107">
        <f>IF($I2753="▲ ENTRÉE",$U2753,"")</f>
        <v/>
      </c>
      <c r="K2753" s="108">
        <f>IF($I2753="▼ SORTIE",$U2753,"")</f>
        <v/>
      </c>
      <c r="L2753" s="109">
        <f>$L2752+N($J2753)-N($K2753)</f>
        <v/>
      </c>
      <c r="M2753" s="110" t="n"/>
      <c r="N2753" s="54" t="n"/>
      <c r="O2753" s="54" t="n"/>
      <c r="P2753" s="54" t="n"/>
      <c r="Q2753" s="110" t="n"/>
      <c r="R2753" s="110" t="n"/>
      <c r="S2753" s="54" t="n"/>
      <c r="T2753" s="111">
        <f>IF($G2753="","",IFERROR(INDEX(Taux_Devises,MATCH(IF($M2753="",Devise_Base,$M2753),Codes_Devises,0)),1))</f>
        <v/>
      </c>
      <c r="U2753" s="112">
        <f>IF($G2753="","",ROUND($G2753*$T2753,2))</f>
        <v/>
      </c>
      <c r="V2753" s="113">
        <f>IF($B2753="","",MONTH($B2753))</f>
        <v/>
      </c>
      <c r="W2753" s="113">
        <f>IF($B2753="","",YEAR($B2753))</f>
        <v/>
      </c>
    </row>
    <row r="2754">
      <c r="B2754" s="105" t="n"/>
      <c r="C2754" s="54" t="n"/>
      <c r="D2754" s="54" t="n"/>
      <c r="E2754" s="54" t="n"/>
      <c r="F2754" s="54" t="n"/>
      <c r="G2754" s="65" t="n"/>
      <c r="H2754" s="54" t="n"/>
      <c r="I2754" s="106">
        <f>IF($C2754="","",IFERROR(INDEX(Sens_Types,MATCH($C2754,Liste_Types,0)),""))</f>
        <v/>
      </c>
      <c r="J2754" s="107">
        <f>IF($I2754="▲ ENTRÉE",$U2754,"")</f>
        <v/>
      </c>
      <c r="K2754" s="108">
        <f>IF($I2754="▼ SORTIE",$U2754,"")</f>
        <v/>
      </c>
      <c r="L2754" s="109">
        <f>$L2753+N($J2754)-N($K2754)</f>
        <v/>
      </c>
      <c r="M2754" s="110" t="n"/>
      <c r="N2754" s="54" t="n"/>
      <c r="O2754" s="54" t="n"/>
      <c r="P2754" s="54" t="n"/>
      <c r="Q2754" s="110" t="n"/>
      <c r="R2754" s="110" t="n"/>
      <c r="S2754" s="54" t="n"/>
      <c r="T2754" s="111">
        <f>IF($G2754="","",IFERROR(INDEX(Taux_Devises,MATCH(IF($M2754="",Devise_Base,$M2754),Codes_Devises,0)),1))</f>
        <v/>
      </c>
      <c r="U2754" s="112">
        <f>IF($G2754="","",ROUND($G2754*$T2754,2))</f>
        <v/>
      </c>
      <c r="V2754" s="113">
        <f>IF($B2754="","",MONTH($B2754))</f>
        <v/>
      </c>
      <c r="W2754" s="113">
        <f>IF($B2754="","",YEAR($B2754))</f>
        <v/>
      </c>
    </row>
    <row r="2755">
      <c r="B2755" s="105" t="n"/>
      <c r="C2755" s="54" t="n"/>
      <c r="D2755" s="54" t="n"/>
      <c r="E2755" s="54" t="n"/>
      <c r="F2755" s="54" t="n"/>
      <c r="G2755" s="65" t="n"/>
      <c r="H2755" s="54" t="n"/>
      <c r="I2755" s="106">
        <f>IF($C2755="","",IFERROR(INDEX(Sens_Types,MATCH($C2755,Liste_Types,0)),""))</f>
        <v/>
      </c>
      <c r="J2755" s="107">
        <f>IF($I2755="▲ ENTRÉE",$U2755,"")</f>
        <v/>
      </c>
      <c r="K2755" s="108">
        <f>IF($I2755="▼ SORTIE",$U2755,"")</f>
        <v/>
      </c>
      <c r="L2755" s="109">
        <f>$L2754+N($J2755)-N($K2755)</f>
        <v/>
      </c>
      <c r="M2755" s="110" t="n"/>
      <c r="N2755" s="54" t="n"/>
      <c r="O2755" s="54" t="n"/>
      <c r="P2755" s="54" t="n"/>
      <c r="Q2755" s="110" t="n"/>
      <c r="R2755" s="110" t="n"/>
      <c r="S2755" s="54" t="n"/>
      <c r="T2755" s="111">
        <f>IF($G2755="","",IFERROR(INDEX(Taux_Devises,MATCH(IF($M2755="",Devise_Base,$M2755),Codes_Devises,0)),1))</f>
        <v/>
      </c>
      <c r="U2755" s="112">
        <f>IF($G2755="","",ROUND($G2755*$T2755,2))</f>
        <v/>
      </c>
      <c r="V2755" s="113">
        <f>IF($B2755="","",MONTH($B2755))</f>
        <v/>
      </c>
      <c r="W2755" s="113">
        <f>IF($B2755="","",YEAR($B2755))</f>
        <v/>
      </c>
    </row>
    <row r="2756">
      <c r="B2756" s="105" t="n"/>
      <c r="C2756" s="54" t="n"/>
      <c r="D2756" s="54" t="n"/>
      <c r="E2756" s="54" t="n"/>
      <c r="F2756" s="54" t="n"/>
      <c r="G2756" s="65" t="n"/>
      <c r="H2756" s="54" t="n"/>
      <c r="I2756" s="106">
        <f>IF($C2756="","",IFERROR(INDEX(Sens_Types,MATCH($C2756,Liste_Types,0)),""))</f>
        <v/>
      </c>
      <c r="J2756" s="107">
        <f>IF($I2756="▲ ENTRÉE",$U2756,"")</f>
        <v/>
      </c>
      <c r="K2756" s="108">
        <f>IF($I2756="▼ SORTIE",$U2756,"")</f>
        <v/>
      </c>
      <c r="L2756" s="109">
        <f>$L2755+N($J2756)-N($K2756)</f>
        <v/>
      </c>
      <c r="M2756" s="110" t="n"/>
      <c r="N2756" s="54" t="n"/>
      <c r="O2756" s="54" t="n"/>
      <c r="P2756" s="54" t="n"/>
      <c r="Q2756" s="110" t="n"/>
      <c r="R2756" s="110" t="n"/>
      <c r="S2756" s="54" t="n"/>
      <c r="T2756" s="111">
        <f>IF($G2756="","",IFERROR(INDEX(Taux_Devises,MATCH(IF($M2756="",Devise_Base,$M2756),Codes_Devises,0)),1))</f>
        <v/>
      </c>
      <c r="U2756" s="112">
        <f>IF($G2756="","",ROUND($G2756*$T2756,2))</f>
        <v/>
      </c>
      <c r="V2756" s="113">
        <f>IF($B2756="","",MONTH($B2756))</f>
        <v/>
      </c>
      <c r="W2756" s="113">
        <f>IF($B2756="","",YEAR($B2756))</f>
        <v/>
      </c>
    </row>
    <row r="2757">
      <c r="B2757" s="105" t="n"/>
      <c r="C2757" s="54" t="n"/>
      <c r="D2757" s="54" t="n"/>
      <c r="E2757" s="54" t="n"/>
      <c r="F2757" s="54" t="n"/>
      <c r="G2757" s="65" t="n"/>
      <c r="H2757" s="54" t="n"/>
      <c r="I2757" s="106">
        <f>IF($C2757="","",IFERROR(INDEX(Sens_Types,MATCH($C2757,Liste_Types,0)),""))</f>
        <v/>
      </c>
      <c r="J2757" s="107">
        <f>IF($I2757="▲ ENTRÉE",$U2757,"")</f>
        <v/>
      </c>
      <c r="K2757" s="108">
        <f>IF($I2757="▼ SORTIE",$U2757,"")</f>
        <v/>
      </c>
      <c r="L2757" s="109">
        <f>$L2756+N($J2757)-N($K2757)</f>
        <v/>
      </c>
      <c r="M2757" s="110" t="n"/>
      <c r="N2757" s="54" t="n"/>
      <c r="O2757" s="54" t="n"/>
      <c r="P2757" s="54" t="n"/>
      <c r="Q2757" s="110" t="n"/>
      <c r="R2757" s="110" t="n"/>
      <c r="S2757" s="54" t="n"/>
      <c r="T2757" s="111">
        <f>IF($G2757="","",IFERROR(INDEX(Taux_Devises,MATCH(IF($M2757="",Devise_Base,$M2757),Codes_Devises,0)),1))</f>
        <v/>
      </c>
      <c r="U2757" s="112">
        <f>IF($G2757="","",ROUND($G2757*$T2757,2))</f>
        <v/>
      </c>
      <c r="V2757" s="113">
        <f>IF($B2757="","",MONTH($B2757))</f>
        <v/>
      </c>
      <c r="W2757" s="113">
        <f>IF($B2757="","",YEAR($B2757))</f>
        <v/>
      </c>
    </row>
    <row r="2758">
      <c r="B2758" s="105" t="n"/>
      <c r="C2758" s="54" t="n"/>
      <c r="D2758" s="54" t="n"/>
      <c r="E2758" s="54" t="n"/>
      <c r="F2758" s="54" t="n"/>
      <c r="G2758" s="65" t="n"/>
      <c r="H2758" s="54" t="n"/>
      <c r="I2758" s="106">
        <f>IF($C2758="","",IFERROR(INDEX(Sens_Types,MATCH($C2758,Liste_Types,0)),""))</f>
        <v/>
      </c>
      <c r="J2758" s="107">
        <f>IF($I2758="▲ ENTRÉE",$U2758,"")</f>
        <v/>
      </c>
      <c r="K2758" s="108">
        <f>IF($I2758="▼ SORTIE",$U2758,"")</f>
        <v/>
      </c>
      <c r="L2758" s="109">
        <f>$L2757+N($J2758)-N($K2758)</f>
        <v/>
      </c>
      <c r="M2758" s="110" t="n"/>
      <c r="N2758" s="54" t="n"/>
      <c r="O2758" s="54" t="n"/>
      <c r="P2758" s="54" t="n"/>
      <c r="Q2758" s="110" t="n"/>
      <c r="R2758" s="110" t="n"/>
      <c r="S2758" s="54" t="n"/>
      <c r="T2758" s="111">
        <f>IF($G2758="","",IFERROR(INDEX(Taux_Devises,MATCH(IF($M2758="",Devise_Base,$M2758),Codes_Devises,0)),1))</f>
        <v/>
      </c>
      <c r="U2758" s="112">
        <f>IF($G2758="","",ROUND($G2758*$T2758,2))</f>
        <v/>
      </c>
      <c r="V2758" s="113">
        <f>IF($B2758="","",MONTH($B2758))</f>
        <v/>
      </c>
      <c r="W2758" s="113">
        <f>IF($B2758="","",YEAR($B2758))</f>
        <v/>
      </c>
    </row>
    <row r="2759">
      <c r="B2759" s="105" t="n"/>
      <c r="C2759" s="54" t="n"/>
      <c r="D2759" s="54" t="n"/>
      <c r="E2759" s="54" t="n"/>
      <c r="F2759" s="54" t="n"/>
      <c r="G2759" s="65" t="n"/>
      <c r="H2759" s="54" t="n"/>
      <c r="I2759" s="106">
        <f>IF($C2759="","",IFERROR(INDEX(Sens_Types,MATCH($C2759,Liste_Types,0)),""))</f>
        <v/>
      </c>
      <c r="J2759" s="107">
        <f>IF($I2759="▲ ENTRÉE",$U2759,"")</f>
        <v/>
      </c>
      <c r="K2759" s="108">
        <f>IF($I2759="▼ SORTIE",$U2759,"")</f>
        <v/>
      </c>
      <c r="L2759" s="109">
        <f>$L2758+N($J2759)-N($K2759)</f>
        <v/>
      </c>
      <c r="M2759" s="110" t="n"/>
      <c r="N2759" s="54" t="n"/>
      <c r="O2759" s="54" t="n"/>
      <c r="P2759" s="54" t="n"/>
      <c r="Q2759" s="110" t="n"/>
      <c r="R2759" s="110" t="n"/>
      <c r="S2759" s="54" t="n"/>
      <c r="T2759" s="111">
        <f>IF($G2759="","",IFERROR(INDEX(Taux_Devises,MATCH(IF($M2759="",Devise_Base,$M2759),Codes_Devises,0)),1))</f>
        <v/>
      </c>
      <c r="U2759" s="112">
        <f>IF($G2759="","",ROUND($G2759*$T2759,2))</f>
        <v/>
      </c>
      <c r="V2759" s="113">
        <f>IF($B2759="","",MONTH($B2759))</f>
        <v/>
      </c>
      <c r="W2759" s="113">
        <f>IF($B2759="","",YEAR($B2759))</f>
        <v/>
      </c>
    </row>
    <row r="2760">
      <c r="B2760" s="105" t="n"/>
      <c r="C2760" s="54" t="n"/>
      <c r="D2760" s="54" t="n"/>
      <c r="E2760" s="54" t="n"/>
      <c r="F2760" s="54" t="n"/>
      <c r="G2760" s="65" t="n"/>
      <c r="H2760" s="54" t="n"/>
      <c r="I2760" s="106">
        <f>IF($C2760="","",IFERROR(INDEX(Sens_Types,MATCH($C2760,Liste_Types,0)),""))</f>
        <v/>
      </c>
      <c r="J2760" s="107">
        <f>IF($I2760="▲ ENTRÉE",$U2760,"")</f>
        <v/>
      </c>
      <c r="K2760" s="108">
        <f>IF($I2760="▼ SORTIE",$U2760,"")</f>
        <v/>
      </c>
      <c r="L2760" s="109">
        <f>$L2759+N($J2760)-N($K2760)</f>
        <v/>
      </c>
      <c r="M2760" s="110" t="n"/>
      <c r="N2760" s="54" t="n"/>
      <c r="O2760" s="54" t="n"/>
      <c r="P2760" s="54" t="n"/>
      <c r="Q2760" s="110" t="n"/>
      <c r="R2760" s="110" t="n"/>
      <c r="S2760" s="54" t="n"/>
      <c r="T2760" s="111">
        <f>IF($G2760="","",IFERROR(INDEX(Taux_Devises,MATCH(IF($M2760="",Devise_Base,$M2760),Codes_Devises,0)),1))</f>
        <v/>
      </c>
      <c r="U2760" s="112">
        <f>IF($G2760="","",ROUND($G2760*$T2760,2))</f>
        <v/>
      </c>
      <c r="V2760" s="113">
        <f>IF($B2760="","",MONTH($B2760))</f>
        <v/>
      </c>
      <c r="W2760" s="113">
        <f>IF($B2760="","",YEAR($B2760))</f>
        <v/>
      </c>
    </row>
    <row r="2761">
      <c r="B2761" s="105" t="n"/>
      <c r="C2761" s="54" t="n"/>
      <c r="D2761" s="54" t="n"/>
      <c r="E2761" s="54" t="n"/>
      <c r="F2761" s="54" t="n"/>
      <c r="G2761" s="65" t="n"/>
      <c r="H2761" s="54" t="n"/>
      <c r="I2761" s="106">
        <f>IF($C2761="","",IFERROR(INDEX(Sens_Types,MATCH($C2761,Liste_Types,0)),""))</f>
        <v/>
      </c>
      <c r="J2761" s="107">
        <f>IF($I2761="▲ ENTRÉE",$U2761,"")</f>
        <v/>
      </c>
      <c r="K2761" s="108">
        <f>IF($I2761="▼ SORTIE",$U2761,"")</f>
        <v/>
      </c>
      <c r="L2761" s="109">
        <f>$L2760+N($J2761)-N($K2761)</f>
        <v/>
      </c>
      <c r="M2761" s="110" t="n"/>
      <c r="N2761" s="54" t="n"/>
      <c r="O2761" s="54" t="n"/>
      <c r="P2761" s="54" t="n"/>
      <c r="Q2761" s="110" t="n"/>
      <c r="R2761" s="110" t="n"/>
      <c r="S2761" s="54" t="n"/>
      <c r="T2761" s="111">
        <f>IF($G2761="","",IFERROR(INDEX(Taux_Devises,MATCH(IF($M2761="",Devise_Base,$M2761),Codes_Devises,0)),1))</f>
        <v/>
      </c>
      <c r="U2761" s="112">
        <f>IF($G2761="","",ROUND($G2761*$T2761,2))</f>
        <v/>
      </c>
      <c r="V2761" s="113">
        <f>IF($B2761="","",MONTH($B2761))</f>
        <v/>
      </c>
      <c r="W2761" s="113">
        <f>IF($B2761="","",YEAR($B2761))</f>
        <v/>
      </c>
    </row>
    <row r="2762">
      <c r="B2762" s="105" t="n"/>
      <c r="C2762" s="54" t="n"/>
      <c r="D2762" s="54" t="n"/>
      <c r="E2762" s="54" t="n"/>
      <c r="F2762" s="54" t="n"/>
      <c r="G2762" s="65" t="n"/>
      <c r="H2762" s="54" t="n"/>
      <c r="I2762" s="106">
        <f>IF($C2762="","",IFERROR(INDEX(Sens_Types,MATCH($C2762,Liste_Types,0)),""))</f>
        <v/>
      </c>
      <c r="J2762" s="107">
        <f>IF($I2762="▲ ENTRÉE",$U2762,"")</f>
        <v/>
      </c>
      <c r="K2762" s="108">
        <f>IF($I2762="▼ SORTIE",$U2762,"")</f>
        <v/>
      </c>
      <c r="L2762" s="109">
        <f>$L2761+N($J2762)-N($K2762)</f>
        <v/>
      </c>
      <c r="M2762" s="110" t="n"/>
      <c r="N2762" s="54" t="n"/>
      <c r="O2762" s="54" t="n"/>
      <c r="P2762" s="54" t="n"/>
      <c r="Q2762" s="110" t="n"/>
      <c r="R2762" s="110" t="n"/>
      <c r="S2762" s="54" t="n"/>
      <c r="T2762" s="111">
        <f>IF($G2762="","",IFERROR(INDEX(Taux_Devises,MATCH(IF($M2762="",Devise_Base,$M2762),Codes_Devises,0)),1))</f>
        <v/>
      </c>
      <c r="U2762" s="112">
        <f>IF($G2762="","",ROUND($G2762*$T2762,2))</f>
        <v/>
      </c>
      <c r="V2762" s="113">
        <f>IF($B2762="","",MONTH($B2762))</f>
        <v/>
      </c>
      <c r="W2762" s="113">
        <f>IF($B2762="","",YEAR($B2762))</f>
        <v/>
      </c>
    </row>
    <row r="2763">
      <c r="B2763" s="105" t="n"/>
      <c r="C2763" s="54" t="n"/>
      <c r="D2763" s="54" t="n"/>
      <c r="E2763" s="54" t="n"/>
      <c r="F2763" s="54" t="n"/>
      <c r="G2763" s="65" t="n"/>
      <c r="H2763" s="54" t="n"/>
      <c r="I2763" s="106">
        <f>IF($C2763="","",IFERROR(INDEX(Sens_Types,MATCH($C2763,Liste_Types,0)),""))</f>
        <v/>
      </c>
      <c r="J2763" s="107">
        <f>IF($I2763="▲ ENTRÉE",$U2763,"")</f>
        <v/>
      </c>
      <c r="K2763" s="108">
        <f>IF($I2763="▼ SORTIE",$U2763,"")</f>
        <v/>
      </c>
      <c r="L2763" s="109">
        <f>$L2762+N($J2763)-N($K2763)</f>
        <v/>
      </c>
      <c r="M2763" s="110" t="n"/>
      <c r="N2763" s="54" t="n"/>
      <c r="O2763" s="54" t="n"/>
      <c r="P2763" s="54" t="n"/>
      <c r="Q2763" s="110" t="n"/>
      <c r="R2763" s="110" t="n"/>
      <c r="S2763" s="54" t="n"/>
      <c r="T2763" s="111">
        <f>IF($G2763="","",IFERROR(INDEX(Taux_Devises,MATCH(IF($M2763="",Devise_Base,$M2763),Codes_Devises,0)),1))</f>
        <v/>
      </c>
      <c r="U2763" s="112">
        <f>IF($G2763="","",ROUND($G2763*$T2763,2))</f>
        <v/>
      </c>
      <c r="V2763" s="113">
        <f>IF($B2763="","",MONTH($B2763))</f>
        <v/>
      </c>
      <c r="W2763" s="113">
        <f>IF($B2763="","",YEAR($B2763))</f>
        <v/>
      </c>
    </row>
    <row r="2764">
      <c r="B2764" s="105" t="n"/>
      <c r="C2764" s="54" t="n"/>
      <c r="D2764" s="54" t="n"/>
      <c r="E2764" s="54" t="n"/>
      <c r="F2764" s="54" t="n"/>
      <c r="G2764" s="65" t="n"/>
      <c r="H2764" s="54" t="n"/>
      <c r="I2764" s="106">
        <f>IF($C2764="","",IFERROR(INDEX(Sens_Types,MATCH($C2764,Liste_Types,0)),""))</f>
        <v/>
      </c>
      <c r="J2764" s="107">
        <f>IF($I2764="▲ ENTRÉE",$U2764,"")</f>
        <v/>
      </c>
      <c r="K2764" s="108">
        <f>IF($I2764="▼ SORTIE",$U2764,"")</f>
        <v/>
      </c>
      <c r="L2764" s="109">
        <f>$L2763+N($J2764)-N($K2764)</f>
        <v/>
      </c>
      <c r="M2764" s="110" t="n"/>
      <c r="N2764" s="54" t="n"/>
      <c r="O2764" s="54" t="n"/>
      <c r="P2764" s="54" t="n"/>
      <c r="Q2764" s="110" t="n"/>
      <c r="R2764" s="110" t="n"/>
      <c r="S2764" s="54" t="n"/>
      <c r="T2764" s="111">
        <f>IF($G2764="","",IFERROR(INDEX(Taux_Devises,MATCH(IF($M2764="",Devise_Base,$M2764),Codes_Devises,0)),1))</f>
        <v/>
      </c>
      <c r="U2764" s="112">
        <f>IF($G2764="","",ROUND($G2764*$T2764,2))</f>
        <v/>
      </c>
      <c r="V2764" s="113">
        <f>IF($B2764="","",MONTH($B2764))</f>
        <v/>
      </c>
      <c r="W2764" s="113">
        <f>IF($B2764="","",YEAR($B2764))</f>
        <v/>
      </c>
    </row>
    <row r="2765">
      <c r="B2765" s="105" t="n"/>
      <c r="C2765" s="54" t="n"/>
      <c r="D2765" s="54" t="n"/>
      <c r="E2765" s="54" t="n"/>
      <c r="F2765" s="54" t="n"/>
      <c r="G2765" s="65" t="n"/>
      <c r="H2765" s="54" t="n"/>
      <c r="I2765" s="106">
        <f>IF($C2765="","",IFERROR(INDEX(Sens_Types,MATCH($C2765,Liste_Types,0)),""))</f>
        <v/>
      </c>
      <c r="J2765" s="107">
        <f>IF($I2765="▲ ENTRÉE",$U2765,"")</f>
        <v/>
      </c>
      <c r="K2765" s="108">
        <f>IF($I2765="▼ SORTIE",$U2765,"")</f>
        <v/>
      </c>
      <c r="L2765" s="109">
        <f>$L2764+N($J2765)-N($K2765)</f>
        <v/>
      </c>
      <c r="M2765" s="110" t="n"/>
      <c r="N2765" s="54" t="n"/>
      <c r="O2765" s="54" t="n"/>
      <c r="P2765" s="54" t="n"/>
      <c r="Q2765" s="110" t="n"/>
      <c r="R2765" s="110" t="n"/>
      <c r="S2765" s="54" t="n"/>
      <c r="T2765" s="111">
        <f>IF($G2765="","",IFERROR(INDEX(Taux_Devises,MATCH(IF($M2765="",Devise_Base,$M2765),Codes_Devises,0)),1))</f>
        <v/>
      </c>
      <c r="U2765" s="112">
        <f>IF($G2765="","",ROUND($G2765*$T2765,2))</f>
        <v/>
      </c>
      <c r="V2765" s="113">
        <f>IF($B2765="","",MONTH($B2765))</f>
        <v/>
      </c>
      <c r="W2765" s="113">
        <f>IF($B2765="","",YEAR($B2765))</f>
        <v/>
      </c>
    </row>
    <row r="2766">
      <c r="B2766" s="105" t="n"/>
      <c r="C2766" s="54" t="n"/>
      <c r="D2766" s="54" t="n"/>
      <c r="E2766" s="54" t="n"/>
      <c r="F2766" s="54" t="n"/>
      <c r="G2766" s="65" t="n"/>
      <c r="H2766" s="54" t="n"/>
      <c r="I2766" s="106">
        <f>IF($C2766="","",IFERROR(INDEX(Sens_Types,MATCH($C2766,Liste_Types,0)),""))</f>
        <v/>
      </c>
      <c r="J2766" s="107">
        <f>IF($I2766="▲ ENTRÉE",$U2766,"")</f>
        <v/>
      </c>
      <c r="K2766" s="108">
        <f>IF($I2766="▼ SORTIE",$U2766,"")</f>
        <v/>
      </c>
      <c r="L2766" s="109">
        <f>$L2765+N($J2766)-N($K2766)</f>
        <v/>
      </c>
      <c r="M2766" s="110" t="n"/>
      <c r="N2766" s="54" t="n"/>
      <c r="O2766" s="54" t="n"/>
      <c r="P2766" s="54" t="n"/>
      <c r="Q2766" s="110" t="n"/>
      <c r="R2766" s="110" t="n"/>
      <c r="S2766" s="54" t="n"/>
      <c r="T2766" s="111">
        <f>IF($G2766="","",IFERROR(INDEX(Taux_Devises,MATCH(IF($M2766="",Devise_Base,$M2766),Codes_Devises,0)),1))</f>
        <v/>
      </c>
      <c r="U2766" s="112">
        <f>IF($G2766="","",ROUND($G2766*$T2766,2))</f>
        <v/>
      </c>
      <c r="V2766" s="113">
        <f>IF($B2766="","",MONTH($B2766))</f>
        <v/>
      </c>
      <c r="W2766" s="113">
        <f>IF($B2766="","",YEAR($B2766))</f>
        <v/>
      </c>
    </row>
    <row r="2767">
      <c r="B2767" s="105" t="n"/>
      <c r="C2767" s="54" t="n"/>
      <c r="D2767" s="54" t="n"/>
      <c r="E2767" s="54" t="n"/>
      <c r="F2767" s="54" t="n"/>
      <c r="G2767" s="65" t="n"/>
      <c r="H2767" s="54" t="n"/>
      <c r="I2767" s="106">
        <f>IF($C2767="","",IFERROR(INDEX(Sens_Types,MATCH($C2767,Liste_Types,0)),""))</f>
        <v/>
      </c>
      <c r="J2767" s="107">
        <f>IF($I2767="▲ ENTRÉE",$U2767,"")</f>
        <v/>
      </c>
      <c r="K2767" s="108">
        <f>IF($I2767="▼ SORTIE",$U2767,"")</f>
        <v/>
      </c>
      <c r="L2767" s="109">
        <f>$L2766+N($J2767)-N($K2767)</f>
        <v/>
      </c>
      <c r="M2767" s="110" t="n"/>
      <c r="N2767" s="54" t="n"/>
      <c r="O2767" s="54" t="n"/>
      <c r="P2767" s="54" t="n"/>
      <c r="Q2767" s="110" t="n"/>
      <c r="R2767" s="110" t="n"/>
      <c r="S2767" s="54" t="n"/>
      <c r="T2767" s="111">
        <f>IF($G2767="","",IFERROR(INDEX(Taux_Devises,MATCH(IF($M2767="",Devise_Base,$M2767),Codes_Devises,0)),1))</f>
        <v/>
      </c>
      <c r="U2767" s="112">
        <f>IF($G2767="","",ROUND($G2767*$T2767,2))</f>
        <v/>
      </c>
      <c r="V2767" s="113">
        <f>IF($B2767="","",MONTH($B2767))</f>
        <v/>
      </c>
      <c r="W2767" s="113">
        <f>IF($B2767="","",YEAR($B2767))</f>
        <v/>
      </c>
    </row>
    <row r="2768">
      <c r="B2768" s="105" t="n"/>
      <c r="C2768" s="54" t="n"/>
      <c r="D2768" s="54" t="n"/>
      <c r="E2768" s="54" t="n"/>
      <c r="F2768" s="54" t="n"/>
      <c r="G2768" s="65" t="n"/>
      <c r="H2768" s="54" t="n"/>
      <c r="I2768" s="106">
        <f>IF($C2768="","",IFERROR(INDEX(Sens_Types,MATCH($C2768,Liste_Types,0)),""))</f>
        <v/>
      </c>
      <c r="J2768" s="107">
        <f>IF($I2768="▲ ENTRÉE",$U2768,"")</f>
        <v/>
      </c>
      <c r="K2768" s="108">
        <f>IF($I2768="▼ SORTIE",$U2768,"")</f>
        <v/>
      </c>
      <c r="L2768" s="109">
        <f>$L2767+N($J2768)-N($K2768)</f>
        <v/>
      </c>
      <c r="M2768" s="110" t="n"/>
      <c r="N2768" s="54" t="n"/>
      <c r="O2768" s="54" t="n"/>
      <c r="P2768" s="54" t="n"/>
      <c r="Q2768" s="110" t="n"/>
      <c r="R2768" s="110" t="n"/>
      <c r="S2768" s="54" t="n"/>
      <c r="T2768" s="111">
        <f>IF($G2768="","",IFERROR(INDEX(Taux_Devises,MATCH(IF($M2768="",Devise_Base,$M2768),Codes_Devises,0)),1))</f>
        <v/>
      </c>
      <c r="U2768" s="112">
        <f>IF($G2768="","",ROUND($G2768*$T2768,2))</f>
        <v/>
      </c>
      <c r="V2768" s="113">
        <f>IF($B2768="","",MONTH($B2768))</f>
        <v/>
      </c>
      <c r="W2768" s="113">
        <f>IF($B2768="","",YEAR($B2768))</f>
        <v/>
      </c>
    </row>
    <row r="2769">
      <c r="B2769" s="105" t="n"/>
      <c r="C2769" s="54" t="n"/>
      <c r="D2769" s="54" t="n"/>
      <c r="E2769" s="54" t="n"/>
      <c r="F2769" s="54" t="n"/>
      <c r="G2769" s="65" t="n"/>
      <c r="H2769" s="54" t="n"/>
      <c r="I2769" s="106">
        <f>IF($C2769="","",IFERROR(INDEX(Sens_Types,MATCH($C2769,Liste_Types,0)),""))</f>
        <v/>
      </c>
      <c r="J2769" s="107">
        <f>IF($I2769="▲ ENTRÉE",$U2769,"")</f>
        <v/>
      </c>
      <c r="K2769" s="108">
        <f>IF($I2769="▼ SORTIE",$U2769,"")</f>
        <v/>
      </c>
      <c r="L2769" s="109">
        <f>$L2768+N($J2769)-N($K2769)</f>
        <v/>
      </c>
      <c r="M2769" s="110" t="n"/>
      <c r="N2769" s="54" t="n"/>
      <c r="O2769" s="54" t="n"/>
      <c r="P2769" s="54" t="n"/>
      <c r="Q2769" s="110" t="n"/>
      <c r="R2769" s="110" t="n"/>
      <c r="S2769" s="54" t="n"/>
      <c r="T2769" s="111">
        <f>IF($G2769="","",IFERROR(INDEX(Taux_Devises,MATCH(IF($M2769="",Devise_Base,$M2769),Codes_Devises,0)),1))</f>
        <v/>
      </c>
      <c r="U2769" s="112">
        <f>IF($G2769="","",ROUND($G2769*$T2769,2))</f>
        <v/>
      </c>
      <c r="V2769" s="113">
        <f>IF($B2769="","",MONTH($B2769))</f>
        <v/>
      </c>
      <c r="W2769" s="113">
        <f>IF($B2769="","",YEAR($B2769))</f>
        <v/>
      </c>
    </row>
    <row r="2770">
      <c r="B2770" s="105" t="n"/>
      <c r="C2770" s="54" t="n"/>
      <c r="D2770" s="54" t="n"/>
      <c r="E2770" s="54" t="n"/>
      <c r="F2770" s="54" t="n"/>
      <c r="G2770" s="65" t="n"/>
      <c r="H2770" s="54" t="n"/>
      <c r="I2770" s="106">
        <f>IF($C2770="","",IFERROR(INDEX(Sens_Types,MATCH($C2770,Liste_Types,0)),""))</f>
        <v/>
      </c>
      <c r="J2770" s="107">
        <f>IF($I2770="▲ ENTRÉE",$U2770,"")</f>
        <v/>
      </c>
      <c r="K2770" s="108">
        <f>IF($I2770="▼ SORTIE",$U2770,"")</f>
        <v/>
      </c>
      <c r="L2770" s="109">
        <f>$L2769+N($J2770)-N($K2770)</f>
        <v/>
      </c>
      <c r="M2770" s="110" t="n"/>
      <c r="N2770" s="54" t="n"/>
      <c r="O2770" s="54" t="n"/>
      <c r="P2770" s="54" t="n"/>
      <c r="Q2770" s="110" t="n"/>
      <c r="R2770" s="110" t="n"/>
      <c r="S2770" s="54" t="n"/>
      <c r="T2770" s="111">
        <f>IF($G2770="","",IFERROR(INDEX(Taux_Devises,MATCH(IF($M2770="",Devise_Base,$M2770),Codes_Devises,0)),1))</f>
        <v/>
      </c>
      <c r="U2770" s="112">
        <f>IF($G2770="","",ROUND($G2770*$T2770,2))</f>
        <v/>
      </c>
      <c r="V2770" s="113">
        <f>IF($B2770="","",MONTH($B2770))</f>
        <v/>
      </c>
      <c r="W2770" s="113">
        <f>IF($B2770="","",YEAR($B2770))</f>
        <v/>
      </c>
    </row>
    <row r="2771">
      <c r="B2771" s="105" t="n"/>
      <c r="C2771" s="54" t="n"/>
      <c r="D2771" s="54" t="n"/>
      <c r="E2771" s="54" t="n"/>
      <c r="F2771" s="54" t="n"/>
      <c r="G2771" s="65" t="n"/>
      <c r="H2771" s="54" t="n"/>
      <c r="I2771" s="106">
        <f>IF($C2771="","",IFERROR(INDEX(Sens_Types,MATCH($C2771,Liste_Types,0)),""))</f>
        <v/>
      </c>
      <c r="J2771" s="107">
        <f>IF($I2771="▲ ENTRÉE",$U2771,"")</f>
        <v/>
      </c>
      <c r="K2771" s="108">
        <f>IF($I2771="▼ SORTIE",$U2771,"")</f>
        <v/>
      </c>
      <c r="L2771" s="109">
        <f>$L2770+N($J2771)-N($K2771)</f>
        <v/>
      </c>
      <c r="M2771" s="110" t="n"/>
      <c r="N2771" s="54" t="n"/>
      <c r="O2771" s="54" t="n"/>
      <c r="P2771" s="54" t="n"/>
      <c r="Q2771" s="110" t="n"/>
      <c r="R2771" s="110" t="n"/>
      <c r="S2771" s="54" t="n"/>
      <c r="T2771" s="111">
        <f>IF($G2771="","",IFERROR(INDEX(Taux_Devises,MATCH(IF($M2771="",Devise_Base,$M2771),Codes_Devises,0)),1))</f>
        <v/>
      </c>
      <c r="U2771" s="112">
        <f>IF($G2771="","",ROUND($G2771*$T2771,2))</f>
        <v/>
      </c>
      <c r="V2771" s="113">
        <f>IF($B2771="","",MONTH($B2771))</f>
        <v/>
      </c>
      <c r="W2771" s="113">
        <f>IF($B2771="","",YEAR($B2771))</f>
        <v/>
      </c>
    </row>
    <row r="2772">
      <c r="B2772" s="105" t="n"/>
      <c r="C2772" s="54" t="n"/>
      <c r="D2772" s="54" t="n"/>
      <c r="E2772" s="54" t="n"/>
      <c r="F2772" s="54" t="n"/>
      <c r="G2772" s="65" t="n"/>
      <c r="H2772" s="54" t="n"/>
      <c r="I2772" s="106">
        <f>IF($C2772="","",IFERROR(INDEX(Sens_Types,MATCH($C2772,Liste_Types,0)),""))</f>
        <v/>
      </c>
      <c r="J2772" s="107">
        <f>IF($I2772="▲ ENTRÉE",$U2772,"")</f>
        <v/>
      </c>
      <c r="K2772" s="108">
        <f>IF($I2772="▼ SORTIE",$U2772,"")</f>
        <v/>
      </c>
      <c r="L2772" s="109">
        <f>$L2771+N($J2772)-N($K2772)</f>
        <v/>
      </c>
      <c r="M2772" s="110" t="n"/>
      <c r="N2772" s="54" t="n"/>
      <c r="O2772" s="54" t="n"/>
      <c r="P2772" s="54" t="n"/>
      <c r="Q2772" s="110" t="n"/>
      <c r="R2772" s="110" t="n"/>
      <c r="S2772" s="54" t="n"/>
      <c r="T2772" s="111">
        <f>IF($G2772="","",IFERROR(INDEX(Taux_Devises,MATCH(IF($M2772="",Devise_Base,$M2772),Codes_Devises,0)),1))</f>
        <v/>
      </c>
      <c r="U2772" s="112">
        <f>IF($G2772="","",ROUND($G2772*$T2772,2))</f>
        <v/>
      </c>
      <c r="V2772" s="113">
        <f>IF($B2772="","",MONTH($B2772))</f>
        <v/>
      </c>
      <c r="W2772" s="113">
        <f>IF($B2772="","",YEAR($B2772))</f>
        <v/>
      </c>
    </row>
    <row r="2773">
      <c r="B2773" s="105" t="n"/>
      <c r="C2773" s="54" t="n"/>
      <c r="D2773" s="54" t="n"/>
      <c r="E2773" s="54" t="n"/>
      <c r="F2773" s="54" t="n"/>
      <c r="G2773" s="65" t="n"/>
      <c r="H2773" s="54" t="n"/>
      <c r="I2773" s="106">
        <f>IF($C2773="","",IFERROR(INDEX(Sens_Types,MATCH($C2773,Liste_Types,0)),""))</f>
        <v/>
      </c>
      <c r="J2773" s="107">
        <f>IF($I2773="▲ ENTRÉE",$U2773,"")</f>
        <v/>
      </c>
      <c r="K2773" s="108">
        <f>IF($I2773="▼ SORTIE",$U2773,"")</f>
        <v/>
      </c>
      <c r="L2773" s="109">
        <f>$L2772+N($J2773)-N($K2773)</f>
        <v/>
      </c>
      <c r="M2773" s="110" t="n"/>
      <c r="N2773" s="54" t="n"/>
      <c r="O2773" s="54" t="n"/>
      <c r="P2773" s="54" t="n"/>
      <c r="Q2773" s="110" t="n"/>
      <c r="R2773" s="110" t="n"/>
      <c r="S2773" s="54" t="n"/>
      <c r="T2773" s="111">
        <f>IF($G2773="","",IFERROR(INDEX(Taux_Devises,MATCH(IF($M2773="",Devise_Base,$M2773),Codes_Devises,0)),1))</f>
        <v/>
      </c>
      <c r="U2773" s="112">
        <f>IF($G2773="","",ROUND($G2773*$T2773,2))</f>
        <v/>
      </c>
      <c r="V2773" s="113">
        <f>IF($B2773="","",MONTH($B2773))</f>
        <v/>
      </c>
      <c r="W2773" s="113">
        <f>IF($B2773="","",YEAR($B2773))</f>
        <v/>
      </c>
    </row>
    <row r="2774">
      <c r="B2774" s="105" t="n"/>
      <c r="C2774" s="54" t="n"/>
      <c r="D2774" s="54" t="n"/>
      <c r="E2774" s="54" t="n"/>
      <c r="F2774" s="54" t="n"/>
      <c r="G2774" s="65" t="n"/>
      <c r="H2774" s="54" t="n"/>
      <c r="I2774" s="106">
        <f>IF($C2774="","",IFERROR(INDEX(Sens_Types,MATCH($C2774,Liste_Types,0)),""))</f>
        <v/>
      </c>
      <c r="J2774" s="107">
        <f>IF($I2774="▲ ENTRÉE",$U2774,"")</f>
        <v/>
      </c>
      <c r="K2774" s="108">
        <f>IF($I2774="▼ SORTIE",$U2774,"")</f>
        <v/>
      </c>
      <c r="L2774" s="109">
        <f>$L2773+N($J2774)-N($K2774)</f>
        <v/>
      </c>
      <c r="M2774" s="110" t="n"/>
      <c r="N2774" s="54" t="n"/>
      <c r="O2774" s="54" t="n"/>
      <c r="P2774" s="54" t="n"/>
      <c r="Q2774" s="110" t="n"/>
      <c r="R2774" s="110" t="n"/>
      <c r="S2774" s="54" t="n"/>
      <c r="T2774" s="111">
        <f>IF($G2774="","",IFERROR(INDEX(Taux_Devises,MATCH(IF($M2774="",Devise_Base,$M2774),Codes_Devises,0)),1))</f>
        <v/>
      </c>
      <c r="U2774" s="112">
        <f>IF($G2774="","",ROUND($G2774*$T2774,2))</f>
        <v/>
      </c>
      <c r="V2774" s="113">
        <f>IF($B2774="","",MONTH($B2774))</f>
        <v/>
      </c>
      <c r="W2774" s="113">
        <f>IF($B2774="","",YEAR($B2774))</f>
        <v/>
      </c>
    </row>
    <row r="2775">
      <c r="B2775" s="105" t="n"/>
      <c r="C2775" s="54" t="n"/>
      <c r="D2775" s="54" t="n"/>
      <c r="E2775" s="54" t="n"/>
      <c r="F2775" s="54" t="n"/>
      <c r="G2775" s="65" t="n"/>
      <c r="H2775" s="54" t="n"/>
      <c r="I2775" s="106">
        <f>IF($C2775="","",IFERROR(INDEX(Sens_Types,MATCH($C2775,Liste_Types,0)),""))</f>
        <v/>
      </c>
      <c r="J2775" s="107">
        <f>IF($I2775="▲ ENTRÉE",$U2775,"")</f>
        <v/>
      </c>
      <c r="K2775" s="108">
        <f>IF($I2775="▼ SORTIE",$U2775,"")</f>
        <v/>
      </c>
      <c r="L2775" s="109">
        <f>$L2774+N($J2775)-N($K2775)</f>
        <v/>
      </c>
      <c r="M2775" s="110" t="n"/>
      <c r="N2775" s="54" t="n"/>
      <c r="O2775" s="54" t="n"/>
      <c r="P2775" s="54" t="n"/>
      <c r="Q2775" s="110" t="n"/>
      <c r="R2775" s="110" t="n"/>
      <c r="S2775" s="54" t="n"/>
      <c r="T2775" s="111">
        <f>IF($G2775="","",IFERROR(INDEX(Taux_Devises,MATCH(IF($M2775="",Devise_Base,$M2775),Codes_Devises,0)),1))</f>
        <v/>
      </c>
      <c r="U2775" s="112">
        <f>IF($G2775="","",ROUND($G2775*$T2775,2))</f>
        <v/>
      </c>
      <c r="V2775" s="113">
        <f>IF($B2775="","",MONTH($B2775))</f>
        <v/>
      </c>
      <c r="W2775" s="113">
        <f>IF($B2775="","",YEAR($B2775))</f>
        <v/>
      </c>
    </row>
    <row r="2776">
      <c r="B2776" s="105" t="n"/>
      <c r="C2776" s="54" t="n"/>
      <c r="D2776" s="54" t="n"/>
      <c r="E2776" s="54" t="n"/>
      <c r="F2776" s="54" t="n"/>
      <c r="G2776" s="65" t="n"/>
      <c r="H2776" s="54" t="n"/>
      <c r="I2776" s="106">
        <f>IF($C2776="","",IFERROR(INDEX(Sens_Types,MATCH($C2776,Liste_Types,0)),""))</f>
        <v/>
      </c>
      <c r="J2776" s="107">
        <f>IF($I2776="▲ ENTRÉE",$U2776,"")</f>
        <v/>
      </c>
      <c r="K2776" s="108">
        <f>IF($I2776="▼ SORTIE",$U2776,"")</f>
        <v/>
      </c>
      <c r="L2776" s="109">
        <f>$L2775+N($J2776)-N($K2776)</f>
        <v/>
      </c>
      <c r="M2776" s="110" t="n"/>
      <c r="N2776" s="54" t="n"/>
      <c r="O2776" s="54" t="n"/>
      <c r="P2776" s="54" t="n"/>
      <c r="Q2776" s="110" t="n"/>
      <c r="R2776" s="110" t="n"/>
      <c r="S2776" s="54" t="n"/>
      <c r="T2776" s="111">
        <f>IF($G2776="","",IFERROR(INDEX(Taux_Devises,MATCH(IF($M2776="",Devise_Base,$M2776),Codes_Devises,0)),1))</f>
        <v/>
      </c>
      <c r="U2776" s="112">
        <f>IF($G2776="","",ROUND($G2776*$T2776,2))</f>
        <v/>
      </c>
      <c r="V2776" s="113">
        <f>IF($B2776="","",MONTH($B2776))</f>
        <v/>
      </c>
      <c r="W2776" s="113">
        <f>IF($B2776="","",YEAR($B2776))</f>
        <v/>
      </c>
    </row>
    <row r="2777">
      <c r="B2777" s="105" t="n"/>
      <c r="C2777" s="54" t="n"/>
      <c r="D2777" s="54" t="n"/>
      <c r="E2777" s="54" t="n"/>
      <c r="F2777" s="54" t="n"/>
      <c r="G2777" s="65" t="n"/>
      <c r="H2777" s="54" t="n"/>
      <c r="I2777" s="106">
        <f>IF($C2777="","",IFERROR(INDEX(Sens_Types,MATCH($C2777,Liste_Types,0)),""))</f>
        <v/>
      </c>
      <c r="J2777" s="107">
        <f>IF($I2777="▲ ENTRÉE",$U2777,"")</f>
        <v/>
      </c>
      <c r="K2777" s="108">
        <f>IF($I2777="▼ SORTIE",$U2777,"")</f>
        <v/>
      </c>
      <c r="L2777" s="109">
        <f>$L2776+N($J2777)-N($K2777)</f>
        <v/>
      </c>
      <c r="M2777" s="110" t="n"/>
      <c r="N2777" s="54" t="n"/>
      <c r="O2777" s="54" t="n"/>
      <c r="P2777" s="54" t="n"/>
      <c r="Q2777" s="110" t="n"/>
      <c r="R2777" s="110" t="n"/>
      <c r="S2777" s="54" t="n"/>
      <c r="T2777" s="111">
        <f>IF($G2777="","",IFERROR(INDEX(Taux_Devises,MATCH(IF($M2777="",Devise_Base,$M2777),Codes_Devises,0)),1))</f>
        <v/>
      </c>
      <c r="U2777" s="112">
        <f>IF($G2777="","",ROUND($G2777*$T2777,2))</f>
        <v/>
      </c>
      <c r="V2777" s="113">
        <f>IF($B2777="","",MONTH($B2777))</f>
        <v/>
      </c>
      <c r="W2777" s="113">
        <f>IF($B2777="","",YEAR($B2777))</f>
        <v/>
      </c>
    </row>
    <row r="2778">
      <c r="B2778" s="105" t="n"/>
      <c r="C2778" s="54" t="n"/>
      <c r="D2778" s="54" t="n"/>
      <c r="E2778" s="54" t="n"/>
      <c r="F2778" s="54" t="n"/>
      <c r="G2778" s="65" t="n"/>
      <c r="H2778" s="54" t="n"/>
      <c r="I2778" s="106">
        <f>IF($C2778="","",IFERROR(INDEX(Sens_Types,MATCH($C2778,Liste_Types,0)),""))</f>
        <v/>
      </c>
      <c r="J2778" s="107">
        <f>IF($I2778="▲ ENTRÉE",$U2778,"")</f>
        <v/>
      </c>
      <c r="K2778" s="108">
        <f>IF($I2778="▼ SORTIE",$U2778,"")</f>
        <v/>
      </c>
      <c r="L2778" s="109">
        <f>$L2777+N($J2778)-N($K2778)</f>
        <v/>
      </c>
      <c r="M2778" s="110" t="n"/>
      <c r="N2778" s="54" t="n"/>
      <c r="O2778" s="54" t="n"/>
      <c r="P2778" s="54" t="n"/>
      <c r="Q2778" s="110" t="n"/>
      <c r="R2778" s="110" t="n"/>
      <c r="S2778" s="54" t="n"/>
      <c r="T2778" s="111">
        <f>IF($G2778="","",IFERROR(INDEX(Taux_Devises,MATCH(IF($M2778="",Devise_Base,$M2778),Codes_Devises,0)),1))</f>
        <v/>
      </c>
      <c r="U2778" s="112">
        <f>IF($G2778="","",ROUND($G2778*$T2778,2))</f>
        <v/>
      </c>
      <c r="V2778" s="113">
        <f>IF($B2778="","",MONTH($B2778))</f>
        <v/>
      </c>
      <c r="W2778" s="113">
        <f>IF($B2778="","",YEAR($B2778))</f>
        <v/>
      </c>
    </row>
    <row r="2779">
      <c r="B2779" s="105" t="n"/>
      <c r="C2779" s="54" t="n"/>
      <c r="D2779" s="54" t="n"/>
      <c r="E2779" s="54" t="n"/>
      <c r="F2779" s="54" t="n"/>
      <c r="G2779" s="65" t="n"/>
      <c r="H2779" s="54" t="n"/>
      <c r="I2779" s="106">
        <f>IF($C2779="","",IFERROR(INDEX(Sens_Types,MATCH($C2779,Liste_Types,0)),""))</f>
        <v/>
      </c>
      <c r="J2779" s="107">
        <f>IF($I2779="▲ ENTRÉE",$U2779,"")</f>
        <v/>
      </c>
      <c r="K2779" s="108">
        <f>IF($I2779="▼ SORTIE",$U2779,"")</f>
        <v/>
      </c>
      <c r="L2779" s="109">
        <f>$L2778+N($J2779)-N($K2779)</f>
        <v/>
      </c>
      <c r="M2779" s="110" t="n"/>
      <c r="N2779" s="54" t="n"/>
      <c r="O2779" s="54" t="n"/>
      <c r="P2779" s="54" t="n"/>
      <c r="Q2779" s="110" t="n"/>
      <c r="R2779" s="110" t="n"/>
      <c r="S2779" s="54" t="n"/>
      <c r="T2779" s="111">
        <f>IF($G2779="","",IFERROR(INDEX(Taux_Devises,MATCH(IF($M2779="",Devise_Base,$M2779),Codes_Devises,0)),1))</f>
        <v/>
      </c>
      <c r="U2779" s="112">
        <f>IF($G2779="","",ROUND($G2779*$T2779,2))</f>
        <v/>
      </c>
      <c r="V2779" s="113">
        <f>IF($B2779="","",MONTH($B2779))</f>
        <v/>
      </c>
      <c r="W2779" s="113">
        <f>IF($B2779="","",YEAR($B2779))</f>
        <v/>
      </c>
    </row>
    <row r="2780">
      <c r="B2780" s="105" t="n"/>
      <c r="C2780" s="54" t="n"/>
      <c r="D2780" s="54" t="n"/>
      <c r="E2780" s="54" t="n"/>
      <c r="F2780" s="54" t="n"/>
      <c r="G2780" s="65" t="n"/>
      <c r="H2780" s="54" t="n"/>
      <c r="I2780" s="106">
        <f>IF($C2780="","",IFERROR(INDEX(Sens_Types,MATCH($C2780,Liste_Types,0)),""))</f>
        <v/>
      </c>
      <c r="J2780" s="107">
        <f>IF($I2780="▲ ENTRÉE",$U2780,"")</f>
        <v/>
      </c>
      <c r="K2780" s="108">
        <f>IF($I2780="▼ SORTIE",$U2780,"")</f>
        <v/>
      </c>
      <c r="L2780" s="109">
        <f>$L2779+N($J2780)-N($K2780)</f>
        <v/>
      </c>
      <c r="M2780" s="110" t="n"/>
      <c r="N2780" s="54" t="n"/>
      <c r="O2780" s="54" t="n"/>
      <c r="P2780" s="54" t="n"/>
      <c r="Q2780" s="110" t="n"/>
      <c r="R2780" s="110" t="n"/>
      <c r="S2780" s="54" t="n"/>
      <c r="T2780" s="111">
        <f>IF($G2780="","",IFERROR(INDEX(Taux_Devises,MATCH(IF($M2780="",Devise_Base,$M2780),Codes_Devises,0)),1))</f>
        <v/>
      </c>
      <c r="U2780" s="112">
        <f>IF($G2780="","",ROUND($G2780*$T2780,2))</f>
        <v/>
      </c>
      <c r="V2780" s="113">
        <f>IF($B2780="","",MONTH($B2780))</f>
        <v/>
      </c>
      <c r="W2780" s="113">
        <f>IF($B2780="","",YEAR($B2780))</f>
        <v/>
      </c>
    </row>
    <row r="2781">
      <c r="B2781" s="105" t="n"/>
      <c r="C2781" s="54" t="n"/>
      <c r="D2781" s="54" t="n"/>
      <c r="E2781" s="54" t="n"/>
      <c r="F2781" s="54" t="n"/>
      <c r="G2781" s="65" t="n"/>
      <c r="H2781" s="54" t="n"/>
      <c r="I2781" s="106">
        <f>IF($C2781="","",IFERROR(INDEX(Sens_Types,MATCH($C2781,Liste_Types,0)),""))</f>
        <v/>
      </c>
      <c r="J2781" s="107">
        <f>IF($I2781="▲ ENTRÉE",$U2781,"")</f>
        <v/>
      </c>
      <c r="K2781" s="108">
        <f>IF($I2781="▼ SORTIE",$U2781,"")</f>
        <v/>
      </c>
      <c r="L2781" s="109">
        <f>$L2780+N($J2781)-N($K2781)</f>
        <v/>
      </c>
      <c r="M2781" s="110" t="n"/>
      <c r="N2781" s="54" t="n"/>
      <c r="O2781" s="54" t="n"/>
      <c r="P2781" s="54" t="n"/>
      <c r="Q2781" s="110" t="n"/>
      <c r="R2781" s="110" t="n"/>
      <c r="S2781" s="54" t="n"/>
      <c r="T2781" s="111">
        <f>IF($G2781="","",IFERROR(INDEX(Taux_Devises,MATCH(IF($M2781="",Devise_Base,$M2781),Codes_Devises,0)),1))</f>
        <v/>
      </c>
      <c r="U2781" s="112">
        <f>IF($G2781="","",ROUND($G2781*$T2781,2))</f>
        <v/>
      </c>
      <c r="V2781" s="113">
        <f>IF($B2781="","",MONTH($B2781))</f>
        <v/>
      </c>
      <c r="W2781" s="113">
        <f>IF($B2781="","",YEAR($B2781))</f>
        <v/>
      </c>
    </row>
    <row r="2782">
      <c r="B2782" s="105" t="n"/>
      <c r="C2782" s="54" t="n"/>
      <c r="D2782" s="54" t="n"/>
      <c r="E2782" s="54" t="n"/>
      <c r="F2782" s="54" t="n"/>
      <c r="G2782" s="65" t="n"/>
      <c r="H2782" s="54" t="n"/>
      <c r="I2782" s="106">
        <f>IF($C2782="","",IFERROR(INDEX(Sens_Types,MATCH($C2782,Liste_Types,0)),""))</f>
        <v/>
      </c>
      <c r="J2782" s="107">
        <f>IF($I2782="▲ ENTRÉE",$U2782,"")</f>
        <v/>
      </c>
      <c r="K2782" s="108">
        <f>IF($I2782="▼ SORTIE",$U2782,"")</f>
        <v/>
      </c>
      <c r="L2782" s="109">
        <f>$L2781+N($J2782)-N($K2782)</f>
        <v/>
      </c>
      <c r="M2782" s="110" t="n"/>
      <c r="N2782" s="54" t="n"/>
      <c r="O2782" s="54" t="n"/>
      <c r="P2782" s="54" t="n"/>
      <c r="Q2782" s="110" t="n"/>
      <c r="R2782" s="110" t="n"/>
      <c r="S2782" s="54" t="n"/>
      <c r="T2782" s="111">
        <f>IF($G2782="","",IFERROR(INDEX(Taux_Devises,MATCH(IF($M2782="",Devise_Base,$M2782),Codes_Devises,0)),1))</f>
        <v/>
      </c>
      <c r="U2782" s="112">
        <f>IF($G2782="","",ROUND($G2782*$T2782,2))</f>
        <v/>
      </c>
      <c r="V2782" s="113">
        <f>IF($B2782="","",MONTH($B2782))</f>
        <v/>
      </c>
      <c r="W2782" s="113">
        <f>IF($B2782="","",YEAR($B2782))</f>
        <v/>
      </c>
    </row>
    <row r="2783">
      <c r="B2783" s="105" t="n"/>
      <c r="C2783" s="54" t="n"/>
      <c r="D2783" s="54" t="n"/>
      <c r="E2783" s="54" t="n"/>
      <c r="F2783" s="54" t="n"/>
      <c r="G2783" s="65" t="n"/>
      <c r="H2783" s="54" t="n"/>
      <c r="I2783" s="106">
        <f>IF($C2783="","",IFERROR(INDEX(Sens_Types,MATCH($C2783,Liste_Types,0)),""))</f>
        <v/>
      </c>
      <c r="J2783" s="107">
        <f>IF($I2783="▲ ENTRÉE",$U2783,"")</f>
        <v/>
      </c>
      <c r="K2783" s="108">
        <f>IF($I2783="▼ SORTIE",$U2783,"")</f>
        <v/>
      </c>
      <c r="L2783" s="109">
        <f>$L2782+N($J2783)-N($K2783)</f>
        <v/>
      </c>
      <c r="M2783" s="110" t="n"/>
      <c r="N2783" s="54" t="n"/>
      <c r="O2783" s="54" t="n"/>
      <c r="P2783" s="54" t="n"/>
      <c r="Q2783" s="110" t="n"/>
      <c r="R2783" s="110" t="n"/>
      <c r="S2783" s="54" t="n"/>
      <c r="T2783" s="111">
        <f>IF($G2783="","",IFERROR(INDEX(Taux_Devises,MATCH(IF($M2783="",Devise_Base,$M2783),Codes_Devises,0)),1))</f>
        <v/>
      </c>
      <c r="U2783" s="112">
        <f>IF($G2783="","",ROUND($G2783*$T2783,2))</f>
        <v/>
      </c>
      <c r="V2783" s="113">
        <f>IF($B2783="","",MONTH($B2783))</f>
        <v/>
      </c>
      <c r="W2783" s="113">
        <f>IF($B2783="","",YEAR($B2783))</f>
        <v/>
      </c>
    </row>
    <row r="2784">
      <c r="B2784" s="105" t="n"/>
      <c r="C2784" s="54" t="n"/>
      <c r="D2784" s="54" t="n"/>
      <c r="E2784" s="54" t="n"/>
      <c r="F2784" s="54" t="n"/>
      <c r="G2784" s="65" t="n"/>
      <c r="H2784" s="54" t="n"/>
      <c r="I2784" s="106">
        <f>IF($C2784="","",IFERROR(INDEX(Sens_Types,MATCH($C2784,Liste_Types,0)),""))</f>
        <v/>
      </c>
      <c r="J2784" s="107">
        <f>IF($I2784="▲ ENTRÉE",$U2784,"")</f>
        <v/>
      </c>
      <c r="K2784" s="108">
        <f>IF($I2784="▼ SORTIE",$U2784,"")</f>
        <v/>
      </c>
      <c r="L2784" s="109">
        <f>$L2783+N($J2784)-N($K2784)</f>
        <v/>
      </c>
      <c r="M2784" s="110" t="n"/>
      <c r="N2784" s="54" t="n"/>
      <c r="O2784" s="54" t="n"/>
      <c r="P2784" s="54" t="n"/>
      <c r="Q2784" s="110" t="n"/>
      <c r="R2784" s="110" t="n"/>
      <c r="S2784" s="54" t="n"/>
      <c r="T2784" s="111">
        <f>IF($G2784="","",IFERROR(INDEX(Taux_Devises,MATCH(IF($M2784="",Devise_Base,$M2784),Codes_Devises,0)),1))</f>
        <v/>
      </c>
      <c r="U2784" s="112">
        <f>IF($G2784="","",ROUND($G2784*$T2784,2))</f>
        <v/>
      </c>
      <c r="V2784" s="113">
        <f>IF($B2784="","",MONTH($B2784))</f>
        <v/>
      </c>
      <c r="W2784" s="113">
        <f>IF($B2784="","",YEAR($B2784))</f>
        <v/>
      </c>
    </row>
    <row r="2785">
      <c r="B2785" s="105" t="n"/>
      <c r="C2785" s="54" t="n"/>
      <c r="D2785" s="54" t="n"/>
      <c r="E2785" s="54" t="n"/>
      <c r="F2785" s="54" t="n"/>
      <c r="G2785" s="65" t="n"/>
      <c r="H2785" s="54" t="n"/>
      <c r="I2785" s="106">
        <f>IF($C2785="","",IFERROR(INDEX(Sens_Types,MATCH($C2785,Liste_Types,0)),""))</f>
        <v/>
      </c>
      <c r="J2785" s="107">
        <f>IF($I2785="▲ ENTRÉE",$U2785,"")</f>
        <v/>
      </c>
      <c r="K2785" s="108">
        <f>IF($I2785="▼ SORTIE",$U2785,"")</f>
        <v/>
      </c>
      <c r="L2785" s="109">
        <f>$L2784+N($J2785)-N($K2785)</f>
        <v/>
      </c>
      <c r="M2785" s="110" t="n"/>
      <c r="N2785" s="54" t="n"/>
      <c r="O2785" s="54" t="n"/>
      <c r="P2785" s="54" t="n"/>
      <c r="Q2785" s="110" t="n"/>
      <c r="R2785" s="110" t="n"/>
      <c r="S2785" s="54" t="n"/>
      <c r="T2785" s="111">
        <f>IF($G2785="","",IFERROR(INDEX(Taux_Devises,MATCH(IF($M2785="",Devise_Base,$M2785),Codes_Devises,0)),1))</f>
        <v/>
      </c>
      <c r="U2785" s="112">
        <f>IF($G2785="","",ROUND($G2785*$T2785,2))</f>
        <v/>
      </c>
      <c r="V2785" s="113">
        <f>IF($B2785="","",MONTH($B2785))</f>
        <v/>
      </c>
      <c r="W2785" s="113">
        <f>IF($B2785="","",YEAR($B2785))</f>
        <v/>
      </c>
    </row>
    <row r="2786">
      <c r="B2786" s="105" t="n"/>
      <c r="C2786" s="54" t="n"/>
      <c r="D2786" s="54" t="n"/>
      <c r="E2786" s="54" t="n"/>
      <c r="F2786" s="54" t="n"/>
      <c r="G2786" s="65" t="n"/>
      <c r="H2786" s="54" t="n"/>
      <c r="I2786" s="106">
        <f>IF($C2786="","",IFERROR(INDEX(Sens_Types,MATCH($C2786,Liste_Types,0)),""))</f>
        <v/>
      </c>
      <c r="J2786" s="107">
        <f>IF($I2786="▲ ENTRÉE",$U2786,"")</f>
        <v/>
      </c>
      <c r="K2786" s="108">
        <f>IF($I2786="▼ SORTIE",$U2786,"")</f>
        <v/>
      </c>
      <c r="L2786" s="109">
        <f>$L2785+N($J2786)-N($K2786)</f>
        <v/>
      </c>
      <c r="M2786" s="110" t="n"/>
      <c r="N2786" s="54" t="n"/>
      <c r="O2786" s="54" t="n"/>
      <c r="P2786" s="54" t="n"/>
      <c r="Q2786" s="110" t="n"/>
      <c r="R2786" s="110" t="n"/>
      <c r="S2786" s="54" t="n"/>
      <c r="T2786" s="111">
        <f>IF($G2786="","",IFERROR(INDEX(Taux_Devises,MATCH(IF($M2786="",Devise_Base,$M2786),Codes_Devises,0)),1))</f>
        <v/>
      </c>
      <c r="U2786" s="112">
        <f>IF($G2786="","",ROUND($G2786*$T2786,2))</f>
        <v/>
      </c>
      <c r="V2786" s="113">
        <f>IF($B2786="","",MONTH($B2786))</f>
        <v/>
      </c>
      <c r="W2786" s="113">
        <f>IF($B2786="","",YEAR($B2786))</f>
        <v/>
      </c>
    </row>
    <row r="2787">
      <c r="B2787" s="105" t="n"/>
      <c r="C2787" s="54" t="n"/>
      <c r="D2787" s="54" t="n"/>
      <c r="E2787" s="54" t="n"/>
      <c r="F2787" s="54" t="n"/>
      <c r="G2787" s="65" t="n"/>
      <c r="H2787" s="54" t="n"/>
      <c r="I2787" s="106">
        <f>IF($C2787="","",IFERROR(INDEX(Sens_Types,MATCH($C2787,Liste_Types,0)),""))</f>
        <v/>
      </c>
      <c r="J2787" s="107">
        <f>IF($I2787="▲ ENTRÉE",$U2787,"")</f>
        <v/>
      </c>
      <c r="K2787" s="108">
        <f>IF($I2787="▼ SORTIE",$U2787,"")</f>
        <v/>
      </c>
      <c r="L2787" s="109">
        <f>$L2786+N($J2787)-N($K2787)</f>
        <v/>
      </c>
      <c r="M2787" s="110" t="n"/>
      <c r="N2787" s="54" t="n"/>
      <c r="O2787" s="54" t="n"/>
      <c r="P2787" s="54" t="n"/>
      <c r="Q2787" s="110" t="n"/>
      <c r="R2787" s="110" t="n"/>
      <c r="S2787" s="54" t="n"/>
      <c r="T2787" s="111">
        <f>IF($G2787="","",IFERROR(INDEX(Taux_Devises,MATCH(IF($M2787="",Devise_Base,$M2787),Codes_Devises,0)),1))</f>
        <v/>
      </c>
      <c r="U2787" s="112">
        <f>IF($G2787="","",ROUND($G2787*$T2787,2))</f>
        <v/>
      </c>
      <c r="V2787" s="113">
        <f>IF($B2787="","",MONTH($B2787))</f>
        <v/>
      </c>
      <c r="W2787" s="113">
        <f>IF($B2787="","",YEAR($B2787))</f>
        <v/>
      </c>
    </row>
    <row r="2788">
      <c r="B2788" s="105" t="n"/>
      <c r="C2788" s="54" t="n"/>
      <c r="D2788" s="54" t="n"/>
      <c r="E2788" s="54" t="n"/>
      <c r="F2788" s="54" t="n"/>
      <c r="G2788" s="65" t="n"/>
      <c r="H2788" s="54" t="n"/>
      <c r="I2788" s="106">
        <f>IF($C2788="","",IFERROR(INDEX(Sens_Types,MATCH($C2788,Liste_Types,0)),""))</f>
        <v/>
      </c>
      <c r="J2788" s="107">
        <f>IF($I2788="▲ ENTRÉE",$U2788,"")</f>
        <v/>
      </c>
      <c r="K2788" s="108">
        <f>IF($I2788="▼ SORTIE",$U2788,"")</f>
        <v/>
      </c>
      <c r="L2788" s="109">
        <f>$L2787+N($J2788)-N($K2788)</f>
        <v/>
      </c>
      <c r="M2788" s="110" t="n"/>
      <c r="N2788" s="54" t="n"/>
      <c r="O2788" s="54" t="n"/>
      <c r="P2788" s="54" t="n"/>
      <c r="Q2788" s="110" t="n"/>
      <c r="R2788" s="110" t="n"/>
      <c r="S2788" s="54" t="n"/>
      <c r="T2788" s="111">
        <f>IF($G2788="","",IFERROR(INDEX(Taux_Devises,MATCH(IF($M2788="",Devise_Base,$M2788),Codes_Devises,0)),1))</f>
        <v/>
      </c>
      <c r="U2788" s="112">
        <f>IF($G2788="","",ROUND($G2788*$T2788,2))</f>
        <v/>
      </c>
      <c r="V2788" s="113">
        <f>IF($B2788="","",MONTH($B2788))</f>
        <v/>
      </c>
      <c r="W2788" s="113">
        <f>IF($B2788="","",YEAR($B2788))</f>
        <v/>
      </c>
    </row>
    <row r="2789">
      <c r="B2789" s="105" t="n"/>
      <c r="C2789" s="54" t="n"/>
      <c r="D2789" s="54" t="n"/>
      <c r="E2789" s="54" t="n"/>
      <c r="F2789" s="54" t="n"/>
      <c r="G2789" s="65" t="n"/>
      <c r="H2789" s="54" t="n"/>
      <c r="I2789" s="106">
        <f>IF($C2789="","",IFERROR(INDEX(Sens_Types,MATCH($C2789,Liste_Types,0)),""))</f>
        <v/>
      </c>
      <c r="J2789" s="107">
        <f>IF($I2789="▲ ENTRÉE",$U2789,"")</f>
        <v/>
      </c>
      <c r="K2789" s="108">
        <f>IF($I2789="▼ SORTIE",$U2789,"")</f>
        <v/>
      </c>
      <c r="L2789" s="109">
        <f>$L2788+N($J2789)-N($K2789)</f>
        <v/>
      </c>
      <c r="M2789" s="110" t="n"/>
      <c r="N2789" s="54" t="n"/>
      <c r="O2789" s="54" t="n"/>
      <c r="P2789" s="54" t="n"/>
      <c r="Q2789" s="110" t="n"/>
      <c r="R2789" s="110" t="n"/>
      <c r="S2789" s="54" t="n"/>
      <c r="T2789" s="111">
        <f>IF($G2789="","",IFERROR(INDEX(Taux_Devises,MATCH(IF($M2789="",Devise_Base,$M2789),Codes_Devises,0)),1))</f>
        <v/>
      </c>
      <c r="U2789" s="112">
        <f>IF($G2789="","",ROUND($G2789*$T2789,2))</f>
        <v/>
      </c>
      <c r="V2789" s="113">
        <f>IF($B2789="","",MONTH($B2789))</f>
        <v/>
      </c>
      <c r="W2789" s="113">
        <f>IF($B2789="","",YEAR($B2789))</f>
        <v/>
      </c>
    </row>
    <row r="2790">
      <c r="B2790" s="105" t="n"/>
      <c r="C2790" s="54" t="n"/>
      <c r="D2790" s="54" t="n"/>
      <c r="E2790" s="54" t="n"/>
      <c r="F2790" s="54" t="n"/>
      <c r="G2790" s="65" t="n"/>
      <c r="H2790" s="54" t="n"/>
      <c r="I2790" s="106">
        <f>IF($C2790="","",IFERROR(INDEX(Sens_Types,MATCH($C2790,Liste_Types,0)),""))</f>
        <v/>
      </c>
      <c r="J2790" s="107">
        <f>IF($I2790="▲ ENTRÉE",$U2790,"")</f>
        <v/>
      </c>
      <c r="K2790" s="108">
        <f>IF($I2790="▼ SORTIE",$U2790,"")</f>
        <v/>
      </c>
      <c r="L2790" s="109">
        <f>$L2789+N($J2790)-N($K2790)</f>
        <v/>
      </c>
      <c r="M2790" s="110" t="n"/>
      <c r="N2790" s="54" t="n"/>
      <c r="O2790" s="54" t="n"/>
      <c r="P2790" s="54" t="n"/>
      <c r="Q2790" s="110" t="n"/>
      <c r="R2790" s="110" t="n"/>
      <c r="S2790" s="54" t="n"/>
      <c r="T2790" s="111">
        <f>IF($G2790="","",IFERROR(INDEX(Taux_Devises,MATCH(IF($M2790="",Devise_Base,$M2790),Codes_Devises,0)),1))</f>
        <v/>
      </c>
      <c r="U2790" s="112">
        <f>IF($G2790="","",ROUND($G2790*$T2790,2))</f>
        <v/>
      </c>
      <c r="V2790" s="113">
        <f>IF($B2790="","",MONTH($B2790))</f>
        <v/>
      </c>
      <c r="W2790" s="113">
        <f>IF($B2790="","",YEAR($B2790))</f>
        <v/>
      </c>
    </row>
    <row r="2791">
      <c r="B2791" s="105" t="n"/>
      <c r="C2791" s="54" t="n"/>
      <c r="D2791" s="54" t="n"/>
      <c r="E2791" s="54" t="n"/>
      <c r="F2791" s="54" t="n"/>
      <c r="G2791" s="65" t="n"/>
      <c r="H2791" s="54" t="n"/>
      <c r="I2791" s="106">
        <f>IF($C2791="","",IFERROR(INDEX(Sens_Types,MATCH($C2791,Liste_Types,0)),""))</f>
        <v/>
      </c>
      <c r="J2791" s="107">
        <f>IF($I2791="▲ ENTRÉE",$U2791,"")</f>
        <v/>
      </c>
      <c r="K2791" s="108">
        <f>IF($I2791="▼ SORTIE",$U2791,"")</f>
        <v/>
      </c>
      <c r="L2791" s="109">
        <f>$L2790+N($J2791)-N($K2791)</f>
        <v/>
      </c>
      <c r="M2791" s="110" t="n"/>
      <c r="N2791" s="54" t="n"/>
      <c r="O2791" s="54" t="n"/>
      <c r="P2791" s="54" t="n"/>
      <c r="Q2791" s="110" t="n"/>
      <c r="R2791" s="110" t="n"/>
      <c r="S2791" s="54" t="n"/>
      <c r="T2791" s="111">
        <f>IF($G2791="","",IFERROR(INDEX(Taux_Devises,MATCH(IF($M2791="",Devise_Base,$M2791),Codes_Devises,0)),1))</f>
        <v/>
      </c>
      <c r="U2791" s="112">
        <f>IF($G2791="","",ROUND($G2791*$T2791,2))</f>
        <v/>
      </c>
      <c r="V2791" s="113">
        <f>IF($B2791="","",MONTH($B2791))</f>
        <v/>
      </c>
      <c r="W2791" s="113">
        <f>IF($B2791="","",YEAR($B2791))</f>
        <v/>
      </c>
    </row>
    <row r="2792">
      <c r="B2792" s="105" t="n"/>
      <c r="C2792" s="54" t="n"/>
      <c r="D2792" s="54" t="n"/>
      <c r="E2792" s="54" t="n"/>
      <c r="F2792" s="54" t="n"/>
      <c r="G2792" s="65" t="n"/>
      <c r="H2792" s="54" t="n"/>
      <c r="I2792" s="106">
        <f>IF($C2792="","",IFERROR(INDEX(Sens_Types,MATCH($C2792,Liste_Types,0)),""))</f>
        <v/>
      </c>
      <c r="J2792" s="107">
        <f>IF($I2792="▲ ENTRÉE",$U2792,"")</f>
        <v/>
      </c>
      <c r="K2792" s="108">
        <f>IF($I2792="▼ SORTIE",$U2792,"")</f>
        <v/>
      </c>
      <c r="L2792" s="109">
        <f>$L2791+N($J2792)-N($K2792)</f>
        <v/>
      </c>
      <c r="M2792" s="110" t="n"/>
      <c r="N2792" s="54" t="n"/>
      <c r="O2792" s="54" t="n"/>
      <c r="P2792" s="54" t="n"/>
      <c r="Q2792" s="110" t="n"/>
      <c r="R2792" s="110" t="n"/>
      <c r="S2792" s="54" t="n"/>
      <c r="T2792" s="111">
        <f>IF($G2792="","",IFERROR(INDEX(Taux_Devises,MATCH(IF($M2792="",Devise_Base,$M2792),Codes_Devises,0)),1))</f>
        <v/>
      </c>
      <c r="U2792" s="112">
        <f>IF($G2792="","",ROUND($G2792*$T2792,2))</f>
        <v/>
      </c>
      <c r="V2792" s="113">
        <f>IF($B2792="","",MONTH($B2792))</f>
        <v/>
      </c>
      <c r="W2792" s="113">
        <f>IF($B2792="","",YEAR($B2792))</f>
        <v/>
      </c>
    </row>
    <row r="2793">
      <c r="B2793" s="105" t="n"/>
      <c r="C2793" s="54" t="n"/>
      <c r="D2793" s="54" t="n"/>
      <c r="E2793" s="54" t="n"/>
      <c r="F2793" s="54" t="n"/>
      <c r="G2793" s="65" t="n"/>
      <c r="H2793" s="54" t="n"/>
      <c r="I2793" s="106">
        <f>IF($C2793="","",IFERROR(INDEX(Sens_Types,MATCH($C2793,Liste_Types,0)),""))</f>
        <v/>
      </c>
      <c r="J2793" s="107">
        <f>IF($I2793="▲ ENTRÉE",$U2793,"")</f>
        <v/>
      </c>
      <c r="K2793" s="108">
        <f>IF($I2793="▼ SORTIE",$U2793,"")</f>
        <v/>
      </c>
      <c r="L2793" s="109">
        <f>$L2792+N($J2793)-N($K2793)</f>
        <v/>
      </c>
      <c r="M2793" s="110" t="n"/>
      <c r="N2793" s="54" t="n"/>
      <c r="O2793" s="54" t="n"/>
      <c r="P2793" s="54" t="n"/>
      <c r="Q2793" s="110" t="n"/>
      <c r="R2793" s="110" t="n"/>
      <c r="S2793" s="54" t="n"/>
      <c r="T2793" s="111">
        <f>IF($G2793="","",IFERROR(INDEX(Taux_Devises,MATCH(IF($M2793="",Devise_Base,$M2793),Codes_Devises,0)),1))</f>
        <v/>
      </c>
      <c r="U2793" s="112">
        <f>IF($G2793="","",ROUND($G2793*$T2793,2))</f>
        <v/>
      </c>
      <c r="V2793" s="113">
        <f>IF($B2793="","",MONTH($B2793))</f>
        <v/>
      </c>
      <c r="W2793" s="113">
        <f>IF($B2793="","",YEAR($B2793))</f>
        <v/>
      </c>
    </row>
    <row r="2794">
      <c r="B2794" s="105" t="n"/>
      <c r="C2794" s="54" t="n"/>
      <c r="D2794" s="54" t="n"/>
      <c r="E2794" s="54" t="n"/>
      <c r="F2794" s="54" t="n"/>
      <c r="G2794" s="65" t="n"/>
      <c r="H2794" s="54" t="n"/>
      <c r="I2794" s="106">
        <f>IF($C2794="","",IFERROR(INDEX(Sens_Types,MATCH($C2794,Liste_Types,0)),""))</f>
        <v/>
      </c>
      <c r="J2794" s="107">
        <f>IF($I2794="▲ ENTRÉE",$U2794,"")</f>
        <v/>
      </c>
      <c r="K2794" s="108">
        <f>IF($I2794="▼ SORTIE",$U2794,"")</f>
        <v/>
      </c>
      <c r="L2794" s="109">
        <f>$L2793+N($J2794)-N($K2794)</f>
        <v/>
      </c>
      <c r="M2794" s="110" t="n"/>
      <c r="N2794" s="54" t="n"/>
      <c r="O2794" s="54" t="n"/>
      <c r="P2794" s="54" t="n"/>
      <c r="Q2794" s="110" t="n"/>
      <c r="R2794" s="110" t="n"/>
      <c r="S2794" s="54" t="n"/>
      <c r="T2794" s="111">
        <f>IF($G2794="","",IFERROR(INDEX(Taux_Devises,MATCH(IF($M2794="",Devise_Base,$M2794),Codes_Devises,0)),1))</f>
        <v/>
      </c>
      <c r="U2794" s="112">
        <f>IF($G2794="","",ROUND($G2794*$T2794,2))</f>
        <v/>
      </c>
      <c r="V2794" s="113">
        <f>IF($B2794="","",MONTH($B2794))</f>
        <v/>
      </c>
      <c r="W2794" s="113">
        <f>IF($B2794="","",YEAR($B2794))</f>
        <v/>
      </c>
    </row>
    <row r="2795">
      <c r="B2795" s="105" t="n"/>
      <c r="C2795" s="54" t="n"/>
      <c r="D2795" s="54" t="n"/>
      <c r="E2795" s="54" t="n"/>
      <c r="F2795" s="54" t="n"/>
      <c r="G2795" s="65" t="n"/>
      <c r="H2795" s="54" t="n"/>
      <c r="I2795" s="106">
        <f>IF($C2795="","",IFERROR(INDEX(Sens_Types,MATCH($C2795,Liste_Types,0)),""))</f>
        <v/>
      </c>
      <c r="J2795" s="107">
        <f>IF($I2795="▲ ENTRÉE",$U2795,"")</f>
        <v/>
      </c>
      <c r="K2795" s="108">
        <f>IF($I2795="▼ SORTIE",$U2795,"")</f>
        <v/>
      </c>
      <c r="L2795" s="109">
        <f>$L2794+N($J2795)-N($K2795)</f>
        <v/>
      </c>
      <c r="M2795" s="110" t="n"/>
      <c r="N2795" s="54" t="n"/>
      <c r="O2795" s="54" t="n"/>
      <c r="P2795" s="54" t="n"/>
      <c r="Q2795" s="110" t="n"/>
      <c r="R2795" s="110" t="n"/>
      <c r="S2795" s="54" t="n"/>
      <c r="T2795" s="111">
        <f>IF($G2795="","",IFERROR(INDEX(Taux_Devises,MATCH(IF($M2795="",Devise_Base,$M2795),Codes_Devises,0)),1))</f>
        <v/>
      </c>
      <c r="U2795" s="112">
        <f>IF($G2795="","",ROUND($G2795*$T2795,2))</f>
        <v/>
      </c>
      <c r="V2795" s="113">
        <f>IF($B2795="","",MONTH($B2795))</f>
        <v/>
      </c>
      <c r="W2795" s="113">
        <f>IF($B2795="","",YEAR($B2795))</f>
        <v/>
      </c>
    </row>
    <row r="2796">
      <c r="B2796" s="105" t="n"/>
      <c r="C2796" s="54" t="n"/>
      <c r="D2796" s="54" t="n"/>
      <c r="E2796" s="54" t="n"/>
      <c r="F2796" s="54" t="n"/>
      <c r="G2796" s="65" t="n"/>
      <c r="H2796" s="54" t="n"/>
      <c r="I2796" s="106">
        <f>IF($C2796="","",IFERROR(INDEX(Sens_Types,MATCH($C2796,Liste_Types,0)),""))</f>
        <v/>
      </c>
      <c r="J2796" s="107">
        <f>IF($I2796="▲ ENTRÉE",$U2796,"")</f>
        <v/>
      </c>
      <c r="K2796" s="108">
        <f>IF($I2796="▼ SORTIE",$U2796,"")</f>
        <v/>
      </c>
      <c r="L2796" s="109">
        <f>$L2795+N($J2796)-N($K2796)</f>
        <v/>
      </c>
      <c r="M2796" s="110" t="n"/>
      <c r="N2796" s="54" t="n"/>
      <c r="O2796" s="54" t="n"/>
      <c r="P2796" s="54" t="n"/>
      <c r="Q2796" s="110" t="n"/>
      <c r="R2796" s="110" t="n"/>
      <c r="S2796" s="54" t="n"/>
      <c r="T2796" s="111">
        <f>IF($G2796="","",IFERROR(INDEX(Taux_Devises,MATCH(IF($M2796="",Devise_Base,$M2796),Codes_Devises,0)),1))</f>
        <v/>
      </c>
      <c r="U2796" s="112">
        <f>IF($G2796="","",ROUND($G2796*$T2796,2))</f>
        <v/>
      </c>
      <c r="V2796" s="113">
        <f>IF($B2796="","",MONTH($B2796))</f>
        <v/>
      </c>
      <c r="W2796" s="113">
        <f>IF($B2796="","",YEAR($B2796))</f>
        <v/>
      </c>
    </row>
    <row r="2797">
      <c r="B2797" s="105" t="n"/>
      <c r="C2797" s="54" t="n"/>
      <c r="D2797" s="54" t="n"/>
      <c r="E2797" s="54" t="n"/>
      <c r="F2797" s="54" t="n"/>
      <c r="G2797" s="65" t="n"/>
      <c r="H2797" s="54" t="n"/>
      <c r="I2797" s="106">
        <f>IF($C2797="","",IFERROR(INDEX(Sens_Types,MATCH($C2797,Liste_Types,0)),""))</f>
        <v/>
      </c>
      <c r="J2797" s="107">
        <f>IF($I2797="▲ ENTRÉE",$U2797,"")</f>
        <v/>
      </c>
      <c r="K2797" s="108">
        <f>IF($I2797="▼ SORTIE",$U2797,"")</f>
        <v/>
      </c>
      <c r="L2797" s="109">
        <f>$L2796+N($J2797)-N($K2797)</f>
        <v/>
      </c>
      <c r="M2797" s="110" t="n"/>
      <c r="N2797" s="54" t="n"/>
      <c r="O2797" s="54" t="n"/>
      <c r="P2797" s="54" t="n"/>
      <c r="Q2797" s="110" t="n"/>
      <c r="R2797" s="110" t="n"/>
      <c r="S2797" s="54" t="n"/>
      <c r="T2797" s="111">
        <f>IF($G2797="","",IFERROR(INDEX(Taux_Devises,MATCH(IF($M2797="",Devise_Base,$M2797),Codes_Devises,0)),1))</f>
        <v/>
      </c>
      <c r="U2797" s="112">
        <f>IF($G2797="","",ROUND($G2797*$T2797,2))</f>
        <v/>
      </c>
      <c r="V2797" s="113">
        <f>IF($B2797="","",MONTH($B2797))</f>
        <v/>
      </c>
      <c r="W2797" s="113">
        <f>IF($B2797="","",YEAR($B2797))</f>
        <v/>
      </c>
    </row>
    <row r="2798">
      <c r="B2798" s="105" t="n"/>
      <c r="C2798" s="54" t="n"/>
      <c r="D2798" s="54" t="n"/>
      <c r="E2798" s="54" t="n"/>
      <c r="F2798" s="54" t="n"/>
      <c r="G2798" s="65" t="n"/>
      <c r="H2798" s="54" t="n"/>
      <c r="I2798" s="106">
        <f>IF($C2798="","",IFERROR(INDEX(Sens_Types,MATCH($C2798,Liste_Types,0)),""))</f>
        <v/>
      </c>
      <c r="J2798" s="107">
        <f>IF($I2798="▲ ENTRÉE",$U2798,"")</f>
        <v/>
      </c>
      <c r="K2798" s="108">
        <f>IF($I2798="▼ SORTIE",$U2798,"")</f>
        <v/>
      </c>
      <c r="L2798" s="109">
        <f>$L2797+N($J2798)-N($K2798)</f>
        <v/>
      </c>
      <c r="M2798" s="110" t="n"/>
      <c r="N2798" s="54" t="n"/>
      <c r="O2798" s="54" t="n"/>
      <c r="P2798" s="54" t="n"/>
      <c r="Q2798" s="110" t="n"/>
      <c r="R2798" s="110" t="n"/>
      <c r="S2798" s="54" t="n"/>
      <c r="T2798" s="111">
        <f>IF($G2798="","",IFERROR(INDEX(Taux_Devises,MATCH(IF($M2798="",Devise_Base,$M2798),Codes_Devises,0)),1))</f>
        <v/>
      </c>
      <c r="U2798" s="112">
        <f>IF($G2798="","",ROUND($G2798*$T2798,2))</f>
        <v/>
      </c>
      <c r="V2798" s="113">
        <f>IF($B2798="","",MONTH($B2798))</f>
        <v/>
      </c>
      <c r="W2798" s="113">
        <f>IF($B2798="","",YEAR($B2798))</f>
        <v/>
      </c>
    </row>
    <row r="2799">
      <c r="B2799" s="105" t="n"/>
      <c r="C2799" s="54" t="n"/>
      <c r="D2799" s="54" t="n"/>
      <c r="E2799" s="54" t="n"/>
      <c r="F2799" s="54" t="n"/>
      <c r="G2799" s="65" t="n"/>
      <c r="H2799" s="54" t="n"/>
      <c r="I2799" s="106">
        <f>IF($C2799="","",IFERROR(INDEX(Sens_Types,MATCH($C2799,Liste_Types,0)),""))</f>
        <v/>
      </c>
      <c r="J2799" s="107">
        <f>IF($I2799="▲ ENTRÉE",$U2799,"")</f>
        <v/>
      </c>
      <c r="K2799" s="108">
        <f>IF($I2799="▼ SORTIE",$U2799,"")</f>
        <v/>
      </c>
      <c r="L2799" s="109">
        <f>$L2798+N($J2799)-N($K2799)</f>
        <v/>
      </c>
      <c r="M2799" s="110" t="n"/>
      <c r="N2799" s="54" t="n"/>
      <c r="O2799" s="54" t="n"/>
      <c r="P2799" s="54" t="n"/>
      <c r="Q2799" s="110" t="n"/>
      <c r="R2799" s="110" t="n"/>
      <c r="S2799" s="54" t="n"/>
      <c r="T2799" s="111">
        <f>IF($G2799="","",IFERROR(INDEX(Taux_Devises,MATCH(IF($M2799="",Devise_Base,$M2799),Codes_Devises,0)),1))</f>
        <v/>
      </c>
      <c r="U2799" s="112">
        <f>IF($G2799="","",ROUND($G2799*$T2799,2))</f>
        <v/>
      </c>
      <c r="V2799" s="113">
        <f>IF($B2799="","",MONTH($B2799))</f>
        <v/>
      </c>
      <c r="W2799" s="113">
        <f>IF($B2799="","",YEAR($B2799))</f>
        <v/>
      </c>
    </row>
    <row r="2800">
      <c r="B2800" s="105" t="n"/>
      <c r="C2800" s="54" t="n"/>
      <c r="D2800" s="54" t="n"/>
      <c r="E2800" s="54" t="n"/>
      <c r="F2800" s="54" t="n"/>
      <c r="G2800" s="65" t="n"/>
      <c r="H2800" s="54" t="n"/>
      <c r="I2800" s="106">
        <f>IF($C2800="","",IFERROR(INDEX(Sens_Types,MATCH($C2800,Liste_Types,0)),""))</f>
        <v/>
      </c>
      <c r="J2800" s="107">
        <f>IF($I2800="▲ ENTRÉE",$U2800,"")</f>
        <v/>
      </c>
      <c r="K2800" s="108">
        <f>IF($I2800="▼ SORTIE",$U2800,"")</f>
        <v/>
      </c>
      <c r="L2800" s="109">
        <f>$L2799+N($J2800)-N($K2800)</f>
        <v/>
      </c>
      <c r="M2800" s="110" t="n"/>
      <c r="N2800" s="54" t="n"/>
      <c r="O2800" s="54" t="n"/>
      <c r="P2800" s="54" t="n"/>
      <c r="Q2800" s="110" t="n"/>
      <c r="R2800" s="110" t="n"/>
      <c r="S2800" s="54" t="n"/>
      <c r="T2800" s="111">
        <f>IF($G2800="","",IFERROR(INDEX(Taux_Devises,MATCH(IF($M2800="",Devise_Base,$M2800),Codes_Devises,0)),1))</f>
        <v/>
      </c>
      <c r="U2800" s="112">
        <f>IF($G2800="","",ROUND($G2800*$T2800,2))</f>
        <v/>
      </c>
      <c r="V2800" s="113">
        <f>IF($B2800="","",MONTH($B2800))</f>
        <v/>
      </c>
      <c r="W2800" s="113">
        <f>IF($B2800="","",YEAR($B2800))</f>
        <v/>
      </c>
    </row>
    <row r="2801">
      <c r="B2801" s="105" t="n"/>
      <c r="C2801" s="54" t="n"/>
      <c r="D2801" s="54" t="n"/>
      <c r="E2801" s="54" t="n"/>
      <c r="F2801" s="54" t="n"/>
      <c r="G2801" s="65" t="n"/>
      <c r="H2801" s="54" t="n"/>
      <c r="I2801" s="106">
        <f>IF($C2801="","",IFERROR(INDEX(Sens_Types,MATCH($C2801,Liste_Types,0)),""))</f>
        <v/>
      </c>
      <c r="J2801" s="107">
        <f>IF($I2801="▲ ENTRÉE",$U2801,"")</f>
        <v/>
      </c>
      <c r="K2801" s="108">
        <f>IF($I2801="▼ SORTIE",$U2801,"")</f>
        <v/>
      </c>
      <c r="L2801" s="109">
        <f>$L2800+N($J2801)-N($K2801)</f>
        <v/>
      </c>
      <c r="M2801" s="110" t="n"/>
      <c r="N2801" s="54" t="n"/>
      <c r="O2801" s="54" t="n"/>
      <c r="P2801" s="54" t="n"/>
      <c r="Q2801" s="110" t="n"/>
      <c r="R2801" s="110" t="n"/>
      <c r="S2801" s="54" t="n"/>
      <c r="T2801" s="111">
        <f>IF($G2801="","",IFERROR(INDEX(Taux_Devises,MATCH(IF($M2801="",Devise_Base,$M2801),Codes_Devises,0)),1))</f>
        <v/>
      </c>
      <c r="U2801" s="112">
        <f>IF($G2801="","",ROUND($G2801*$T2801,2))</f>
        <v/>
      </c>
      <c r="V2801" s="113">
        <f>IF($B2801="","",MONTH($B2801))</f>
        <v/>
      </c>
      <c r="W2801" s="113">
        <f>IF($B2801="","",YEAR($B2801))</f>
        <v/>
      </c>
    </row>
    <row r="2802">
      <c r="B2802" s="105" t="n"/>
      <c r="C2802" s="54" t="n"/>
      <c r="D2802" s="54" t="n"/>
      <c r="E2802" s="54" t="n"/>
      <c r="F2802" s="54" t="n"/>
      <c r="G2802" s="65" t="n"/>
      <c r="H2802" s="54" t="n"/>
      <c r="I2802" s="106">
        <f>IF($C2802="","",IFERROR(INDEX(Sens_Types,MATCH($C2802,Liste_Types,0)),""))</f>
        <v/>
      </c>
      <c r="J2802" s="107">
        <f>IF($I2802="▲ ENTRÉE",$U2802,"")</f>
        <v/>
      </c>
      <c r="K2802" s="108">
        <f>IF($I2802="▼ SORTIE",$U2802,"")</f>
        <v/>
      </c>
      <c r="L2802" s="109">
        <f>$L2801+N($J2802)-N($K2802)</f>
        <v/>
      </c>
      <c r="M2802" s="110" t="n"/>
      <c r="N2802" s="54" t="n"/>
      <c r="O2802" s="54" t="n"/>
      <c r="P2802" s="54" t="n"/>
      <c r="Q2802" s="110" t="n"/>
      <c r="R2802" s="110" t="n"/>
      <c r="S2802" s="54" t="n"/>
      <c r="T2802" s="111">
        <f>IF($G2802="","",IFERROR(INDEX(Taux_Devises,MATCH(IF($M2802="",Devise_Base,$M2802),Codes_Devises,0)),1))</f>
        <v/>
      </c>
      <c r="U2802" s="112">
        <f>IF($G2802="","",ROUND($G2802*$T2802,2))</f>
        <v/>
      </c>
      <c r="V2802" s="113">
        <f>IF($B2802="","",MONTH($B2802))</f>
        <v/>
      </c>
      <c r="W2802" s="113">
        <f>IF($B2802="","",YEAR($B2802))</f>
        <v/>
      </c>
    </row>
    <row r="2803">
      <c r="B2803" s="105" t="n"/>
      <c r="C2803" s="54" t="n"/>
      <c r="D2803" s="54" t="n"/>
      <c r="E2803" s="54" t="n"/>
      <c r="F2803" s="54" t="n"/>
      <c r="G2803" s="65" t="n"/>
      <c r="H2803" s="54" t="n"/>
      <c r="I2803" s="106">
        <f>IF($C2803="","",IFERROR(INDEX(Sens_Types,MATCH($C2803,Liste_Types,0)),""))</f>
        <v/>
      </c>
      <c r="J2803" s="107">
        <f>IF($I2803="▲ ENTRÉE",$U2803,"")</f>
        <v/>
      </c>
      <c r="K2803" s="108">
        <f>IF($I2803="▼ SORTIE",$U2803,"")</f>
        <v/>
      </c>
      <c r="L2803" s="109">
        <f>$L2802+N($J2803)-N($K2803)</f>
        <v/>
      </c>
      <c r="M2803" s="110" t="n"/>
      <c r="N2803" s="54" t="n"/>
      <c r="O2803" s="54" t="n"/>
      <c r="P2803" s="54" t="n"/>
      <c r="Q2803" s="110" t="n"/>
      <c r="R2803" s="110" t="n"/>
      <c r="S2803" s="54" t="n"/>
      <c r="T2803" s="111">
        <f>IF($G2803="","",IFERROR(INDEX(Taux_Devises,MATCH(IF($M2803="",Devise_Base,$M2803),Codes_Devises,0)),1))</f>
        <v/>
      </c>
      <c r="U2803" s="112">
        <f>IF($G2803="","",ROUND($G2803*$T2803,2))</f>
        <v/>
      </c>
      <c r="V2803" s="113">
        <f>IF($B2803="","",MONTH($B2803))</f>
        <v/>
      </c>
      <c r="W2803" s="113">
        <f>IF($B2803="","",YEAR($B2803))</f>
        <v/>
      </c>
    </row>
    <row r="2804">
      <c r="B2804" s="105" t="n"/>
      <c r="C2804" s="54" t="n"/>
      <c r="D2804" s="54" t="n"/>
      <c r="E2804" s="54" t="n"/>
      <c r="F2804" s="54" t="n"/>
      <c r="G2804" s="65" t="n"/>
      <c r="H2804" s="54" t="n"/>
      <c r="I2804" s="106">
        <f>IF($C2804="","",IFERROR(INDEX(Sens_Types,MATCH($C2804,Liste_Types,0)),""))</f>
        <v/>
      </c>
      <c r="J2804" s="107">
        <f>IF($I2804="▲ ENTRÉE",$U2804,"")</f>
        <v/>
      </c>
      <c r="K2804" s="108">
        <f>IF($I2804="▼ SORTIE",$U2804,"")</f>
        <v/>
      </c>
      <c r="L2804" s="109">
        <f>$L2803+N($J2804)-N($K2804)</f>
        <v/>
      </c>
      <c r="M2804" s="110" t="n"/>
      <c r="N2804" s="54" t="n"/>
      <c r="O2804" s="54" t="n"/>
      <c r="P2804" s="54" t="n"/>
      <c r="Q2804" s="110" t="n"/>
      <c r="R2804" s="110" t="n"/>
      <c r="S2804" s="54" t="n"/>
      <c r="T2804" s="111">
        <f>IF($G2804="","",IFERROR(INDEX(Taux_Devises,MATCH(IF($M2804="",Devise_Base,$M2804),Codes_Devises,0)),1))</f>
        <v/>
      </c>
      <c r="U2804" s="112">
        <f>IF($G2804="","",ROUND($G2804*$T2804,2))</f>
        <v/>
      </c>
      <c r="V2804" s="113">
        <f>IF($B2804="","",MONTH($B2804))</f>
        <v/>
      </c>
      <c r="W2804" s="113">
        <f>IF($B2804="","",YEAR($B2804))</f>
        <v/>
      </c>
    </row>
    <row r="2805">
      <c r="B2805" s="105" t="n"/>
      <c r="C2805" s="54" t="n"/>
      <c r="D2805" s="54" t="n"/>
      <c r="E2805" s="54" t="n"/>
      <c r="F2805" s="54" t="n"/>
      <c r="G2805" s="65" t="n"/>
      <c r="H2805" s="54" t="n"/>
      <c r="I2805" s="106">
        <f>IF($C2805="","",IFERROR(INDEX(Sens_Types,MATCH($C2805,Liste_Types,0)),""))</f>
        <v/>
      </c>
      <c r="J2805" s="107">
        <f>IF($I2805="▲ ENTRÉE",$U2805,"")</f>
        <v/>
      </c>
      <c r="K2805" s="108">
        <f>IF($I2805="▼ SORTIE",$U2805,"")</f>
        <v/>
      </c>
      <c r="L2805" s="109">
        <f>$L2804+N($J2805)-N($K2805)</f>
        <v/>
      </c>
      <c r="M2805" s="110" t="n"/>
      <c r="N2805" s="54" t="n"/>
      <c r="O2805" s="54" t="n"/>
      <c r="P2805" s="54" t="n"/>
      <c r="Q2805" s="110" t="n"/>
      <c r="R2805" s="110" t="n"/>
      <c r="S2805" s="54" t="n"/>
      <c r="T2805" s="111">
        <f>IF($G2805="","",IFERROR(INDEX(Taux_Devises,MATCH(IF($M2805="",Devise_Base,$M2805),Codes_Devises,0)),1))</f>
        <v/>
      </c>
      <c r="U2805" s="112">
        <f>IF($G2805="","",ROUND($G2805*$T2805,2))</f>
        <v/>
      </c>
      <c r="V2805" s="113">
        <f>IF($B2805="","",MONTH($B2805))</f>
        <v/>
      </c>
      <c r="W2805" s="113">
        <f>IF($B2805="","",YEAR($B2805))</f>
        <v/>
      </c>
    </row>
    <row r="2806">
      <c r="B2806" s="105" t="n"/>
      <c r="C2806" s="54" t="n"/>
      <c r="D2806" s="54" t="n"/>
      <c r="E2806" s="54" t="n"/>
      <c r="F2806" s="54" t="n"/>
      <c r="G2806" s="65" t="n"/>
      <c r="H2806" s="54" t="n"/>
      <c r="I2806" s="106">
        <f>IF($C2806="","",IFERROR(INDEX(Sens_Types,MATCH($C2806,Liste_Types,0)),""))</f>
        <v/>
      </c>
      <c r="J2806" s="107">
        <f>IF($I2806="▲ ENTRÉE",$U2806,"")</f>
        <v/>
      </c>
      <c r="K2806" s="108">
        <f>IF($I2806="▼ SORTIE",$U2806,"")</f>
        <v/>
      </c>
      <c r="L2806" s="109">
        <f>$L2805+N($J2806)-N($K2806)</f>
        <v/>
      </c>
      <c r="M2806" s="110" t="n"/>
      <c r="N2806" s="54" t="n"/>
      <c r="O2806" s="54" t="n"/>
      <c r="P2806" s="54" t="n"/>
      <c r="Q2806" s="110" t="n"/>
      <c r="R2806" s="110" t="n"/>
      <c r="S2806" s="54" t="n"/>
      <c r="T2806" s="111">
        <f>IF($G2806="","",IFERROR(INDEX(Taux_Devises,MATCH(IF($M2806="",Devise_Base,$M2806),Codes_Devises,0)),1))</f>
        <v/>
      </c>
      <c r="U2806" s="112">
        <f>IF($G2806="","",ROUND($G2806*$T2806,2))</f>
        <v/>
      </c>
      <c r="V2806" s="113">
        <f>IF($B2806="","",MONTH($B2806))</f>
        <v/>
      </c>
      <c r="W2806" s="113">
        <f>IF($B2806="","",YEAR($B2806))</f>
        <v/>
      </c>
    </row>
    <row r="2807">
      <c r="B2807" s="105" t="n"/>
      <c r="C2807" s="54" t="n"/>
      <c r="D2807" s="54" t="n"/>
      <c r="E2807" s="54" t="n"/>
      <c r="F2807" s="54" t="n"/>
      <c r="G2807" s="65" t="n"/>
      <c r="H2807" s="54" t="n"/>
      <c r="I2807" s="106">
        <f>IF($C2807="","",IFERROR(INDEX(Sens_Types,MATCH($C2807,Liste_Types,0)),""))</f>
        <v/>
      </c>
      <c r="J2807" s="107">
        <f>IF($I2807="▲ ENTRÉE",$U2807,"")</f>
        <v/>
      </c>
      <c r="K2807" s="108">
        <f>IF($I2807="▼ SORTIE",$U2807,"")</f>
        <v/>
      </c>
      <c r="L2807" s="109">
        <f>$L2806+N($J2807)-N($K2807)</f>
        <v/>
      </c>
      <c r="M2807" s="110" t="n"/>
      <c r="N2807" s="54" t="n"/>
      <c r="O2807" s="54" t="n"/>
      <c r="P2807" s="54" t="n"/>
      <c r="Q2807" s="110" t="n"/>
      <c r="R2807" s="110" t="n"/>
      <c r="S2807" s="54" t="n"/>
      <c r="T2807" s="111">
        <f>IF($G2807="","",IFERROR(INDEX(Taux_Devises,MATCH(IF($M2807="",Devise_Base,$M2807),Codes_Devises,0)),1))</f>
        <v/>
      </c>
      <c r="U2807" s="112">
        <f>IF($G2807="","",ROUND($G2807*$T2807,2))</f>
        <v/>
      </c>
      <c r="V2807" s="113">
        <f>IF($B2807="","",MONTH($B2807))</f>
        <v/>
      </c>
      <c r="W2807" s="113">
        <f>IF($B2807="","",YEAR($B2807))</f>
        <v/>
      </c>
    </row>
    <row r="2808">
      <c r="B2808" s="105" t="n"/>
      <c r="C2808" s="54" t="n"/>
      <c r="D2808" s="54" t="n"/>
      <c r="E2808" s="54" t="n"/>
      <c r="F2808" s="54" t="n"/>
      <c r="G2808" s="65" t="n"/>
      <c r="H2808" s="54" t="n"/>
      <c r="I2808" s="106">
        <f>IF($C2808="","",IFERROR(INDEX(Sens_Types,MATCH($C2808,Liste_Types,0)),""))</f>
        <v/>
      </c>
      <c r="J2808" s="107">
        <f>IF($I2808="▲ ENTRÉE",$U2808,"")</f>
        <v/>
      </c>
      <c r="K2808" s="108">
        <f>IF($I2808="▼ SORTIE",$U2808,"")</f>
        <v/>
      </c>
      <c r="L2808" s="109">
        <f>$L2807+N($J2808)-N($K2808)</f>
        <v/>
      </c>
      <c r="M2808" s="110" t="n"/>
      <c r="N2808" s="54" t="n"/>
      <c r="O2808" s="54" t="n"/>
      <c r="P2808" s="54" t="n"/>
      <c r="Q2808" s="110" t="n"/>
      <c r="R2808" s="110" t="n"/>
      <c r="S2808" s="54" t="n"/>
      <c r="T2808" s="111">
        <f>IF($G2808="","",IFERROR(INDEX(Taux_Devises,MATCH(IF($M2808="",Devise_Base,$M2808),Codes_Devises,0)),1))</f>
        <v/>
      </c>
      <c r="U2808" s="112">
        <f>IF($G2808="","",ROUND($G2808*$T2808,2))</f>
        <v/>
      </c>
      <c r="V2808" s="113">
        <f>IF($B2808="","",MONTH($B2808))</f>
        <v/>
      </c>
      <c r="W2808" s="113">
        <f>IF($B2808="","",YEAR($B2808))</f>
        <v/>
      </c>
    </row>
    <row r="2809">
      <c r="B2809" s="105" t="n"/>
      <c r="C2809" s="54" t="n"/>
      <c r="D2809" s="54" t="n"/>
      <c r="E2809" s="54" t="n"/>
      <c r="F2809" s="54" t="n"/>
      <c r="G2809" s="65" t="n"/>
      <c r="H2809" s="54" t="n"/>
      <c r="I2809" s="106">
        <f>IF($C2809="","",IFERROR(INDEX(Sens_Types,MATCH($C2809,Liste_Types,0)),""))</f>
        <v/>
      </c>
      <c r="J2809" s="107">
        <f>IF($I2809="▲ ENTRÉE",$U2809,"")</f>
        <v/>
      </c>
      <c r="K2809" s="108">
        <f>IF($I2809="▼ SORTIE",$U2809,"")</f>
        <v/>
      </c>
      <c r="L2809" s="109">
        <f>$L2808+N($J2809)-N($K2809)</f>
        <v/>
      </c>
      <c r="M2809" s="110" t="n"/>
      <c r="N2809" s="54" t="n"/>
      <c r="O2809" s="54" t="n"/>
      <c r="P2809" s="54" t="n"/>
      <c r="Q2809" s="110" t="n"/>
      <c r="R2809" s="110" t="n"/>
      <c r="S2809" s="54" t="n"/>
      <c r="T2809" s="111">
        <f>IF($G2809="","",IFERROR(INDEX(Taux_Devises,MATCH(IF($M2809="",Devise_Base,$M2809),Codes_Devises,0)),1))</f>
        <v/>
      </c>
      <c r="U2809" s="112">
        <f>IF($G2809="","",ROUND($G2809*$T2809,2))</f>
        <v/>
      </c>
      <c r="V2809" s="113">
        <f>IF($B2809="","",MONTH($B2809))</f>
        <v/>
      </c>
      <c r="W2809" s="113">
        <f>IF($B2809="","",YEAR($B2809))</f>
        <v/>
      </c>
    </row>
    <row r="2810">
      <c r="B2810" s="105" t="n"/>
      <c r="C2810" s="54" t="n"/>
      <c r="D2810" s="54" t="n"/>
      <c r="E2810" s="54" t="n"/>
      <c r="F2810" s="54" t="n"/>
      <c r="G2810" s="65" t="n"/>
      <c r="H2810" s="54" t="n"/>
      <c r="I2810" s="106">
        <f>IF($C2810="","",IFERROR(INDEX(Sens_Types,MATCH($C2810,Liste_Types,0)),""))</f>
        <v/>
      </c>
      <c r="J2810" s="107">
        <f>IF($I2810="▲ ENTRÉE",$U2810,"")</f>
        <v/>
      </c>
      <c r="K2810" s="108">
        <f>IF($I2810="▼ SORTIE",$U2810,"")</f>
        <v/>
      </c>
      <c r="L2810" s="109">
        <f>$L2809+N($J2810)-N($K2810)</f>
        <v/>
      </c>
      <c r="M2810" s="110" t="n"/>
      <c r="N2810" s="54" t="n"/>
      <c r="O2810" s="54" t="n"/>
      <c r="P2810" s="54" t="n"/>
      <c r="Q2810" s="110" t="n"/>
      <c r="R2810" s="110" t="n"/>
      <c r="S2810" s="54" t="n"/>
      <c r="T2810" s="111">
        <f>IF($G2810="","",IFERROR(INDEX(Taux_Devises,MATCH(IF($M2810="",Devise_Base,$M2810),Codes_Devises,0)),1))</f>
        <v/>
      </c>
      <c r="U2810" s="112">
        <f>IF($G2810="","",ROUND($G2810*$T2810,2))</f>
        <v/>
      </c>
      <c r="V2810" s="113">
        <f>IF($B2810="","",MONTH($B2810))</f>
        <v/>
      </c>
      <c r="W2810" s="113">
        <f>IF($B2810="","",YEAR($B2810))</f>
        <v/>
      </c>
    </row>
    <row r="2811">
      <c r="B2811" s="105" t="n"/>
      <c r="C2811" s="54" t="n"/>
      <c r="D2811" s="54" t="n"/>
      <c r="E2811" s="54" t="n"/>
      <c r="F2811" s="54" t="n"/>
      <c r="G2811" s="65" t="n"/>
      <c r="H2811" s="54" t="n"/>
      <c r="I2811" s="106">
        <f>IF($C2811="","",IFERROR(INDEX(Sens_Types,MATCH($C2811,Liste_Types,0)),""))</f>
        <v/>
      </c>
      <c r="J2811" s="107">
        <f>IF($I2811="▲ ENTRÉE",$U2811,"")</f>
        <v/>
      </c>
      <c r="K2811" s="108">
        <f>IF($I2811="▼ SORTIE",$U2811,"")</f>
        <v/>
      </c>
      <c r="L2811" s="109">
        <f>$L2810+N($J2811)-N($K2811)</f>
        <v/>
      </c>
      <c r="M2811" s="110" t="n"/>
      <c r="N2811" s="54" t="n"/>
      <c r="O2811" s="54" t="n"/>
      <c r="P2811" s="54" t="n"/>
      <c r="Q2811" s="110" t="n"/>
      <c r="R2811" s="110" t="n"/>
      <c r="S2811" s="54" t="n"/>
      <c r="T2811" s="111">
        <f>IF($G2811="","",IFERROR(INDEX(Taux_Devises,MATCH(IF($M2811="",Devise_Base,$M2811),Codes_Devises,0)),1))</f>
        <v/>
      </c>
      <c r="U2811" s="112">
        <f>IF($G2811="","",ROUND($G2811*$T2811,2))</f>
        <v/>
      </c>
      <c r="V2811" s="113">
        <f>IF($B2811="","",MONTH($B2811))</f>
        <v/>
      </c>
      <c r="W2811" s="113">
        <f>IF($B2811="","",YEAR($B2811))</f>
        <v/>
      </c>
    </row>
    <row r="2812">
      <c r="B2812" s="105" t="n"/>
      <c r="C2812" s="54" t="n"/>
      <c r="D2812" s="54" t="n"/>
      <c r="E2812" s="54" t="n"/>
      <c r="F2812" s="54" t="n"/>
      <c r="G2812" s="65" t="n"/>
      <c r="H2812" s="54" t="n"/>
      <c r="I2812" s="106">
        <f>IF($C2812="","",IFERROR(INDEX(Sens_Types,MATCH($C2812,Liste_Types,0)),""))</f>
        <v/>
      </c>
      <c r="J2812" s="107">
        <f>IF($I2812="▲ ENTRÉE",$U2812,"")</f>
        <v/>
      </c>
      <c r="K2812" s="108">
        <f>IF($I2812="▼ SORTIE",$U2812,"")</f>
        <v/>
      </c>
      <c r="L2812" s="109">
        <f>$L2811+N($J2812)-N($K2812)</f>
        <v/>
      </c>
      <c r="M2812" s="110" t="n"/>
      <c r="N2812" s="54" t="n"/>
      <c r="O2812" s="54" t="n"/>
      <c r="P2812" s="54" t="n"/>
      <c r="Q2812" s="110" t="n"/>
      <c r="R2812" s="110" t="n"/>
      <c r="S2812" s="54" t="n"/>
      <c r="T2812" s="111">
        <f>IF($G2812="","",IFERROR(INDEX(Taux_Devises,MATCH(IF($M2812="",Devise_Base,$M2812),Codes_Devises,0)),1))</f>
        <v/>
      </c>
      <c r="U2812" s="112">
        <f>IF($G2812="","",ROUND($G2812*$T2812,2))</f>
        <v/>
      </c>
      <c r="V2812" s="113">
        <f>IF($B2812="","",MONTH($B2812))</f>
        <v/>
      </c>
      <c r="W2812" s="113">
        <f>IF($B2812="","",YEAR($B2812))</f>
        <v/>
      </c>
    </row>
    <row r="2813">
      <c r="B2813" s="105" t="n"/>
      <c r="C2813" s="54" t="n"/>
      <c r="D2813" s="54" t="n"/>
      <c r="E2813" s="54" t="n"/>
      <c r="F2813" s="54" t="n"/>
      <c r="G2813" s="65" t="n"/>
      <c r="H2813" s="54" t="n"/>
      <c r="I2813" s="106">
        <f>IF($C2813="","",IFERROR(INDEX(Sens_Types,MATCH($C2813,Liste_Types,0)),""))</f>
        <v/>
      </c>
      <c r="J2813" s="107">
        <f>IF($I2813="▲ ENTRÉE",$U2813,"")</f>
        <v/>
      </c>
      <c r="K2813" s="108">
        <f>IF($I2813="▼ SORTIE",$U2813,"")</f>
        <v/>
      </c>
      <c r="L2813" s="109">
        <f>$L2812+N($J2813)-N($K2813)</f>
        <v/>
      </c>
      <c r="M2813" s="110" t="n"/>
      <c r="N2813" s="54" t="n"/>
      <c r="O2813" s="54" t="n"/>
      <c r="P2813" s="54" t="n"/>
      <c r="Q2813" s="110" t="n"/>
      <c r="R2813" s="110" t="n"/>
      <c r="S2813" s="54" t="n"/>
      <c r="T2813" s="111">
        <f>IF($G2813="","",IFERROR(INDEX(Taux_Devises,MATCH(IF($M2813="",Devise_Base,$M2813),Codes_Devises,0)),1))</f>
        <v/>
      </c>
      <c r="U2813" s="112">
        <f>IF($G2813="","",ROUND($G2813*$T2813,2))</f>
        <v/>
      </c>
      <c r="V2813" s="113">
        <f>IF($B2813="","",MONTH($B2813))</f>
        <v/>
      </c>
      <c r="W2813" s="113">
        <f>IF($B2813="","",YEAR($B2813))</f>
        <v/>
      </c>
    </row>
    <row r="2814">
      <c r="B2814" s="105" t="n"/>
      <c r="C2814" s="54" t="n"/>
      <c r="D2814" s="54" t="n"/>
      <c r="E2814" s="54" t="n"/>
      <c r="F2814" s="54" t="n"/>
      <c r="G2814" s="65" t="n"/>
      <c r="H2814" s="54" t="n"/>
      <c r="I2814" s="106">
        <f>IF($C2814="","",IFERROR(INDEX(Sens_Types,MATCH($C2814,Liste_Types,0)),""))</f>
        <v/>
      </c>
      <c r="J2814" s="107">
        <f>IF($I2814="▲ ENTRÉE",$U2814,"")</f>
        <v/>
      </c>
      <c r="K2814" s="108">
        <f>IF($I2814="▼ SORTIE",$U2814,"")</f>
        <v/>
      </c>
      <c r="L2814" s="109">
        <f>$L2813+N($J2814)-N($K2814)</f>
        <v/>
      </c>
      <c r="M2814" s="110" t="n"/>
      <c r="N2814" s="54" t="n"/>
      <c r="O2814" s="54" t="n"/>
      <c r="P2814" s="54" t="n"/>
      <c r="Q2814" s="110" t="n"/>
      <c r="R2814" s="110" t="n"/>
      <c r="S2814" s="54" t="n"/>
      <c r="T2814" s="111">
        <f>IF($G2814="","",IFERROR(INDEX(Taux_Devises,MATCH(IF($M2814="",Devise_Base,$M2814),Codes_Devises,0)),1))</f>
        <v/>
      </c>
      <c r="U2814" s="112">
        <f>IF($G2814="","",ROUND($G2814*$T2814,2))</f>
        <v/>
      </c>
      <c r="V2814" s="113">
        <f>IF($B2814="","",MONTH($B2814))</f>
        <v/>
      </c>
      <c r="W2814" s="113">
        <f>IF($B2814="","",YEAR($B2814))</f>
        <v/>
      </c>
    </row>
    <row r="2815">
      <c r="B2815" s="105" t="n"/>
      <c r="C2815" s="54" t="n"/>
      <c r="D2815" s="54" t="n"/>
      <c r="E2815" s="54" t="n"/>
      <c r="F2815" s="54" t="n"/>
      <c r="G2815" s="65" t="n"/>
      <c r="H2815" s="54" t="n"/>
      <c r="I2815" s="106">
        <f>IF($C2815="","",IFERROR(INDEX(Sens_Types,MATCH($C2815,Liste_Types,0)),""))</f>
        <v/>
      </c>
      <c r="J2815" s="107">
        <f>IF($I2815="▲ ENTRÉE",$U2815,"")</f>
        <v/>
      </c>
      <c r="K2815" s="108">
        <f>IF($I2815="▼ SORTIE",$U2815,"")</f>
        <v/>
      </c>
      <c r="L2815" s="109">
        <f>$L2814+N($J2815)-N($K2815)</f>
        <v/>
      </c>
      <c r="M2815" s="110" t="n"/>
      <c r="N2815" s="54" t="n"/>
      <c r="O2815" s="54" t="n"/>
      <c r="P2815" s="54" t="n"/>
      <c r="Q2815" s="110" t="n"/>
      <c r="R2815" s="110" t="n"/>
      <c r="S2815" s="54" t="n"/>
      <c r="T2815" s="111">
        <f>IF($G2815="","",IFERROR(INDEX(Taux_Devises,MATCH(IF($M2815="",Devise_Base,$M2815),Codes_Devises,0)),1))</f>
        <v/>
      </c>
      <c r="U2815" s="112">
        <f>IF($G2815="","",ROUND($G2815*$T2815,2))</f>
        <v/>
      </c>
      <c r="V2815" s="113">
        <f>IF($B2815="","",MONTH($B2815))</f>
        <v/>
      </c>
      <c r="W2815" s="113">
        <f>IF($B2815="","",YEAR($B2815))</f>
        <v/>
      </c>
    </row>
    <row r="2816">
      <c r="B2816" s="105" t="n"/>
      <c r="C2816" s="54" t="n"/>
      <c r="D2816" s="54" t="n"/>
      <c r="E2816" s="54" t="n"/>
      <c r="F2816" s="54" t="n"/>
      <c r="G2816" s="65" t="n"/>
      <c r="H2816" s="54" t="n"/>
      <c r="I2816" s="106">
        <f>IF($C2816="","",IFERROR(INDEX(Sens_Types,MATCH($C2816,Liste_Types,0)),""))</f>
        <v/>
      </c>
      <c r="J2816" s="107">
        <f>IF($I2816="▲ ENTRÉE",$U2816,"")</f>
        <v/>
      </c>
      <c r="K2816" s="108">
        <f>IF($I2816="▼ SORTIE",$U2816,"")</f>
        <v/>
      </c>
      <c r="L2816" s="109">
        <f>$L2815+N($J2816)-N($K2816)</f>
        <v/>
      </c>
      <c r="M2816" s="110" t="n"/>
      <c r="N2816" s="54" t="n"/>
      <c r="O2816" s="54" t="n"/>
      <c r="P2816" s="54" t="n"/>
      <c r="Q2816" s="110" t="n"/>
      <c r="R2816" s="110" t="n"/>
      <c r="S2816" s="54" t="n"/>
      <c r="T2816" s="111">
        <f>IF($G2816="","",IFERROR(INDEX(Taux_Devises,MATCH(IF($M2816="",Devise_Base,$M2816),Codes_Devises,0)),1))</f>
        <v/>
      </c>
      <c r="U2816" s="112">
        <f>IF($G2816="","",ROUND($G2816*$T2816,2))</f>
        <v/>
      </c>
      <c r="V2816" s="113">
        <f>IF($B2816="","",MONTH($B2816))</f>
        <v/>
      </c>
      <c r="W2816" s="113">
        <f>IF($B2816="","",YEAR($B2816))</f>
        <v/>
      </c>
    </row>
    <row r="2817">
      <c r="B2817" s="105" t="n"/>
      <c r="C2817" s="54" t="n"/>
      <c r="D2817" s="54" t="n"/>
      <c r="E2817" s="54" t="n"/>
      <c r="F2817" s="54" t="n"/>
      <c r="G2817" s="65" t="n"/>
      <c r="H2817" s="54" t="n"/>
      <c r="I2817" s="106">
        <f>IF($C2817="","",IFERROR(INDEX(Sens_Types,MATCH($C2817,Liste_Types,0)),""))</f>
        <v/>
      </c>
      <c r="J2817" s="107">
        <f>IF($I2817="▲ ENTRÉE",$U2817,"")</f>
        <v/>
      </c>
      <c r="K2817" s="108">
        <f>IF($I2817="▼ SORTIE",$U2817,"")</f>
        <v/>
      </c>
      <c r="L2817" s="109">
        <f>$L2816+N($J2817)-N($K2817)</f>
        <v/>
      </c>
      <c r="M2817" s="110" t="n"/>
      <c r="N2817" s="54" t="n"/>
      <c r="O2817" s="54" t="n"/>
      <c r="P2817" s="54" t="n"/>
      <c r="Q2817" s="110" t="n"/>
      <c r="R2817" s="110" t="n"/>
      <c r="S2817" s="54" t="n"/>
      <c r="T2817" s="111">
        <f>IF($G2817="","",IFERROR(INDEX(Taux_Devises,MATCH(IF($M2817="",Devise_Base,$M2817),Codes_Devises,0)),1))</f>
        <v/>
      </c>
      <c r="U2817" s="112">
        <f>IF($G2817="","",ROUND($G2817*$T2817,2))</f>
        <v/>
      </c>
      <c r="V2817" s="113">
        <f>IF($B2817="","",MONTH($B2817))</f>
        <v/>
      </c>
      <c r="W2817" s="113">
        <f>IF($B2817="","",YEAR($B2817))</f>
        <v/>
      </c>
    </row>
    <row r="2818">
      <c r="B2818" s="105" t="n"/>
      <c r="C2818" s="54" t="n"/>
      <c r="D2818" s="54" t="n"/>
      <c r="E2818" s="54" t="n"/>
      <c r="F2818" s="54" t="n"/>
      <c r="G2818" s="65" t="n"/>
      <c r="H2818" s="54" t="n"/>
      <c r="I2818" s="106">
        <f>IF($C2818="","",IFERROR(INDEX(Sens_Types,MATCH($C2818,Liste_Types,0)),""))</f>
        <v/>
      </c>
      <c r="J2818" s="107">
        <f>IF($I2818="▲ ENTRÉE",$U2818,"")</f>
        <v/>
      </c>
      <c r="K2818" s="108">
        <f>IF($I2818="▼ SORTIE",$U2818,"")</f>
        <v/>
      </c>
      <c r="L2818" s="109">
        <f>$L2817+N($J2818)-N($K2818)</f>
        <v/>
      </c>
      <c r="M2818" s="110" t="n"/>
      <c r="N2818" s="54" t="n"/>
      <c r="O2818" s="54" t="n"/>
      <c r="P2818" s="54" t="n"/>
      <c r="Q2818" s="110" t="n"/>
      <c r="R2818" s="110" t="n"/>
      <c r="S2818" s="54" t="n"/>
      <c r="T2818" s="111">
        <f>IF($G2818="","",IFERROR(INDEX(Taux_Devises,MATCH(IF($M2818="",Devise_Base,$M2818),Codes_Devises,0)),1))</f>
        <v/>
      </c>
      <c r="U2818" s="112">
        <f>IF($G2818="","",ROUND($G2818*$T2818,2))</f>
        <v/>
      </c>
      <c r="V2818" s="113">
        <f>IF($B2818="","",MONTH($B2818))</f>
        <v/>
      </c>
      <c r="W2818" s="113">
        <f>IF($B2818="","",YEAR($B2818))</f>
        <v/>
      </c>
    </row>
    <row r="2819">
      <c r="B2819" s="105" t="n"/>
      <c r="C2819" s="54" t="n"/>
      <c r="D2819" s="54" t="n"/>
      <c r="E2819" s="54" t="n"/>
      <c r="F2819" s="54" t="n"/>
      <c r="G2819" s="65" t="n"/>
      <c r="H2819" s="54" t="n"/>
      <c r="I2819" s="106">
        <f>IF($C2819="","",IFERROR(INDEX(Sens_Types,MATCH($C2819,Liste_Types,0)),""))</f>
        <v/>
      </c>
      <c r="J2819" s="107">
        <f>IF($I2819="▲ ENTRÉE",$U2819,"")</f>
        <v/>
      </c>
      <c r="K2819" s="108">
        <f>IF($I2819="▼ SORTIE",$U2819,"")</f>
        <v/>
      </c>
      <c r="L2819" s="109">
        <f>$L2818+N($J2819)-N($K2819)</f>
        <v/>
      </c>
      <c r="M2819" s="110" t="n"/>
      <c r="N2819" s="54" t="n"/>
      <c r="O2819" s="54" t="n"/>
      <c r="P2819" s="54" t="n"/>
      <c r="Q2819" s="110" t="n"/>
      <c r="R2819" s="110" t="n"/>
      <c r="S2819" s="54" t="n"/>
      <c r="T2819" s="111">
        <f>IF($G2819="","",IFERROR(INDEX(Taux_Devises,MATCH(IF($M2819="",Devise_Base,$M2819),Codes_Devises,0)),1))</f>
        <v/>
      </c>
      <c r="U2819" s="112">
        <f>IF($G2819="","",ROUND($G2819*$T2819,2))</f>
        <v/>
      </c>
      <c r="V2819" s="113">
        <f>IF($B2819="","",MONTH($B2819))</f>
        <v/>
      </c>
      <c r="W2819" s="113">
        <f>IF($B2819="","",YEAR($B2819))</f>
        <v/>
      </c>
    </row>
    <row r="2820">
      <c r="B2820" s="105" t="n"/>
      <c r="C2820" s="54" t="n"/>
      <c r="D2820" s="54" t="n"/>
      <c r="E2820" s="54" t="n"/>
      <c r="F2820" s="54" t="n"/>
      <c r="G2820" s="65" t="n"/>
      <c r="H2820" s="54" t="n"/>
      <c r="I2820" s="106">
        <f>IF($C2820="","",IFERROR(INDEX(Sens_Types,MATCH($C2820,Liste_Types,0)),""))</f>
        <v/>
      </c>
      <c r="J2820" s="107">
        <f>IF($I2820="▲ ENTRÉE",$U2820,"")</f>
        <v/>
      </c>
      <c r="K2820" s="108">
        <f>IF($I2820="▼ SORTIE",$U2820,"")</f>
        <v/>
      </c>
      <c r="L2820" s="109">
        <f>$L2819+N($J2820)-N($K2820)</f>
        <v/>
      </c>
      <c r="M2820" s="110" t="n"/>
      <c r="N2820" s="54" t="n"/>
      <c r="O2820" s="54" t="n"/>
      <c r="P2820" s="54" t="n"/>
      <c r="Q2820" s="110" t="n"/>
      <c r="R2820" s="110" t="n"/>
      <c r="S2820" s="54" t="n"/>
      <c r="T2820" s="111">
        <f>IF($G2820="","",IFERROR(INDEX(Taux_Devises,MATCH(IF($M2820="",Devise_Base,$M2820),Codes_Devises,0)),1))</f>
        <v/>
      </c>
      <c r="U2820" s="112">
        <f>IF($G2820="","",ROUND($G2820*$T2820,2))</f>
        <v/>
      </c>
      <c r="V2820" s="113">
        <f>IF($B2820="","",MONTH($B2820))</f>
        <v/>
      </c>
      <c r="W2820" s="113">
        <f>IF($B2820="","",YEAR($B2820))</f>
        <v/>
      </c>
    </row>
    <row r="2821">
      <c r="B2821" s="105" t="n"/>
      <c r="C2821" s="54" t="n"/>
      <c r="D2821" s="54" t="n"/>
      <c r="E2821" s="54" t="n"/>
      <c r="F2821" s="54" t="n"/>
      <c r="G2821" s="65" t="n"/>
      <c r="H2821" s="54" t="n"/>
      <c r="I2821" s="106">
        <f>IF($C2821="","",IFERROR(INDEX(Sens_Types,MATCH($C2821,Liste_Types,0)),""))</f>
        <v/>
      </c>
      <c r="J2821" s="107">
        <f>IF($I2821="▲ ENTRÉE",$U2821,"")</f>
        <v/>
      </c>
      <c r="K2821" s="108">
        <f>IF($I2821="▼ SORTIE",$U2821,"")</f>
        <v/>
      </c>
      <c r="L2821" s="109">
        <f>$L2820+N($J2821)-N($K2821)</f>
        <v/>
      </c>
      <c r="M2821" s="110" t="n"/>
      <c r="N2821" s="54" t="n"/>
      <c r="O2821" s="54" t="n"/>
      <c r="P2821" s="54" t="n"/>
      <c r="Q2821" s="110" t="n"/>
      <c r="R2821" s="110" t="n"/>
      <c r="S2821" s="54" t="n"/>
      <c r="T2821" s="111">
        <f>IF($G2821="","",IFERROR(INDEX(Taux_Devises,MATCH(IF($M2821="",Devise_Base,$M2821),Codes_Devises,0)),1))</f>
        <v/>
      </c>
      <c r="U2821" s="112">
        <f>IF($G2821="","",ROUND($G2821*$T2821,2))</f>
        <v/>
      </c>
      <c r="V2821" s="113">
        <f>IF($B2821="","",MONTH($B2821))</f>
        <v/>
      </c>
      <c r="W2821" s="113">
        <f>IF($B2821="","",YEAR($B2821))</f>
        <v/>
      </c>
    </row>
    <row r="2822">
      <c r="B2822" s="105" t="n"/>
      <c r="C2822" s="54" t="n"/>
      <c r="D2822" s="54" t="n"/>
      <c r="E2822" s="54" t="n"/>
      <c r="F2822" s="54" t="n"/>
      <c r="G2822" s="65" t="n"/>
      <c r="H2822" s="54" t="n"/>
      <c r="I2822" s="106">
        <f>IF($C2822="","",IFERROR(INDEX(Sens_Types,MATCH($C2822,Liste_Types,0)),""))</f>
        <v/>
      </c>
      <c r="J2822" s="107">
        <f>IF($I2822="▲ ENTRÉE",$U2822,"")</f>
        <v/>
      </c>
      <c r="K2822" s="108">
        <f>IF($I2822="▼ SORTIE",$U2822,"")</f>
        <v/>
      </c>
      <c r="L2822" s="109">
        <f>$L2821+N($J2822)-N($K2822)</f>
        <v/>
      </c>
      <c r="M2822" s="110" t="n"/>
      <c r="N2822" s="54" t="n"/>
      <c r="O2822" s="54" t="n"/>
      <c r="P2822" s="54" t="n"/>
      <c r="Q2822" s="110" t="n"/>
      <c r="R2822" s="110" t="n"/>
      <c r="S2822" s="54" t="n"/>
      <c r="T2822" s="111">
        <f>IF($G2822="","",IFERROR(INDEX(Taux_Devises,MATCH(IF($M2822="",Devise_Base,$M2822),Codes_Devises,0)),1))</f>
        <v/>
      </c>
      <c r="U2822" s="112">
        <f>IF($G2822="","",ROUND($G2822*$T2822,2))</f>
        <v/>
      </c>
      <c r="V2822" s="113">
        <f>IF($B2822="","",MONTH($B2822))</f>
        <v/>
      </c>
      <c r="W2822" s="113">
        <f>IF($B2822="","",YEAR($B2822))</f>
        <v/>
      </c>
    </row>
    <row r="2823">
      <c r="B2823" s="105" t="n"/>
      <c r="C2823" s="54" t="n"/>
      <c r="D2823" s="54" t="n"/>
      <c r="E2823" s="54" t="n"/>
      <c r="F2823" s="54" t="n"/>
      <c r="G2823" s="65" t="n"/>
      <c r="H2823" s="54" t="n"/>
      <c r="I2823" s="106">
        <f>IF($C2823="","",IFERROR(INDEX(Sens_Types,MATCH($C2823,Liste_Types,0)),""))</f>
        <v/>
      </c>
      <c r="J2823" s="107">
        <f>IF($I2823="▲ ENTRÉE",$U2823,"")</f>
        <v/>
      </c>
      <c r="K2823" s="108">
        <f>IF($I2823="▼ SORTIE",$U2823,"")</f>
        <v/>
      </c>
      <c r="L2823" s="109">
        <f>$L2822+N($J2823)-N($K2823)</f>
        <v/>
      </c>
      <c r="M2823" s="110" t="n"/>
      <c r="N2823" s="54" t="n"/>
      <c r="O2823" s="54" t="n"/>
      <c r="P2823" s="54" t="n"/>
      <c r="Q2823" s="110" t="n"/>
      <c r="R2823" s="110" t="n"/>
      <c r="S2823" s="54" t="n"/>
      <c r="T2823" s="111">
        <f>IF($G2823="","",IFERROR(INDEX(Taux_Devises,MATCH(IF($M2823="",Devise_Base,$M2823),Codes_Devises,0)),1))</f>
        <v/>
      </c>
      <c r="U2823" s="112">
        <f>IF($G2823="","",ROUND($G2823*$T2823,2))</f>
        <v/>
      </c>
      <c r="V2823" s="113">
        <f>IF($B2823="","",MONTH($B2823))</f>
        <v/>
      </c>
      <c r="W2823" s="113">
        <f>IF($B2823="","",YEAR($B2823))</f>
        <v/>
      </c>
    </row>
    <row r="2824">
      <c r="B2824" s="105" t="n"/>
      <c r="C2824" s="54" t="n"/>
      <c r="D2824" s="54" t="n"/>
      <c r="E2824" s="54" t="n"/>
      <c r="F2824" s="54" t="n"/>
      <c r="G2824" s="65" t="n"/>
      <c r="H2824" s="54" t="n"/>
      <c r="I2824" s="106">
        <f>IF($C2824="","",IFERROR(INDEX(Sens_Types,MATCH($C2824,Liste_Types,0)),""))</f>
        <v/>
      </c>
      <c r="J2824" s="107">
        <f>IF($I2824="▲ ENTRÉE",$U2824,"")</f>
        <v/>
      </c>
      <c r="K2824" s="108">
        <f>IF($I2824="▼ SORTIE",$U2824,"")</f>
        <v/>
      </c>
      <c r="L2824" s="109">
        <f>$L2823+N($J2824)-N($K2824)</f>
        <v/>
      </c>
      <c r="M2824" s="110" t="n"/>
      <c r="N2824" s="54" t="n"/>
      <c r="O2824" s="54" t="n"/>
      <c r="P2824" s="54" t="n"/>
      <c r="Q2824" s="110" t="n"/>
      <c r="R2824" s="110" t="n"/>
      <c r="S2824" s="54" t="n"/>
      <c r="T2824" s="111">
        <f>IF($G2824="","",IFERROR(INDEX(Taux_Devises,MATCH(IF($M2824="",Devise_Base,$M2824),Codes_Devises,0)),1))</f>
        <v/>
      </c>
      <c r="U2824" s="112">
        <f>IF($G2824="","",ROUND($G2824*$T2824,2))</f>
        <v/>
      </c>
      <c r="V2824" s="113">
        <f>IF($B2824="","",MONTH($B2824))</f>
        <v/>
      </c>
      <c r="W2824" s="113">
        <f>IF($B2824="","",YEAR($B2824))</f>
        <v/>
      </c>
    </row>
    <row r="2825">
      <c r="B2825" s="105" t="n"/>
      <c r="C2825" s="54" t="n"/>
      <c r="D2825" s="54" t="n"/>
      <c r="E2825" s="54" t="n"/>
      <c r="F2825" s="54" t="n"/>
      <c r="G2825" s="65" t="n"/>
      <c r="H2825" s="54" t="n"/>
      <c r="I2825" s="106">
        <f>IF($C2825="","",IFERROR(INDEX(Sens_Types,MATCH($C2825,Liste_Types,0)),""))</f>
        <v/>
      </c>
      <c r="J2825" s="107">
        <f>IF($I2825="▲ ENTRÉE",$U2825,"")</f>
        <v/>
      </c>
      <c r="K2825" s="108">
        <f>IF($I2825="▼ SORTIE",$U2825,"")</f>
        <v/>
      </c>
      <c r="L2825" s="109">
        <f>$L2824+N($J2825)-N($K2825)</f>
        <v/>
      </c>
      <c r="M2825" s="110" t="n"/>
      <c r="N2825" s="54" t="n"/>
      <c r="O2825" s="54" t="n"/>
      <c r="P2825" s="54" t="n"/>
      <c r="Q2825" s="110" t="n"/>
      <c r="R2825" s="110" t="n"/>
      <c r="S2825" s="54" t="n"/>
      <c r="T2825" s="111">
        <f>IF($G2825="","",IFERROR(INDEX(Taux_Devises,MATCH(IF($M2825="",Devise_Base,$M2825),Codes_Devises,0)),1))</f>
        <v/>
      </c>
      <c r="U2825" s="112">
        <f>IF($G2825="","",ROUND($G2825*$T2825,2))</f>
        <v/>
      </c>
      <c r="V2825" s="113">
        <f>IF($B2825="","",MONTH($B2825))</f>
        <v/>
      </c>
      <c r="W2825" s="113">
        <f>IF($B2825="","",YEAR($B2825))</f>
        <v/>
      </c>
    </row>
    <row r="2826">
      <c r="B2826" s="105" t="n"/>
      <c r="C2826" s="54" t="n"/>
      <c r="D2826" s="54" t="n"/>
      <c r="E2826" s="54" t="n"/>
      <c r="F2826" s="54" t="n"/>
      <c r="G2826" s="65" t="n"/>
      <c r="H2826" s="54" t="n"/>
      <c r="I2826" s="106">
        <f>IF($C2826="","",IFERROR(INDEX(Sens_Types,MATCH($C2826,Liste_Types,0)),""))</f>
        <v/>
      </c>
      <c r="J2826" s="107">
        <f>IF($I2826="▲ ENTRÉE",$U2826,"")</f>
        <v/>
      </c>
      <c r="K2826" s="108">
        <f>IF($I2826="▼ SORTIE",$U2826,"")</f>
        <v/>
      </c>
      <c r="L2826" s="109">
        <f>$L2825+N($J2826)-N($K2826)</f>
        <v/>
      </c>
      <c r="M2826" s="110" t="n"/>
      <c r="N2826" s="54" t="n"/>
      <c r="O2826" s="54" t="n"/>
      <c r="P2826" s="54" t="n"/>
      <c r="Q2826" s="110" t="n"/>
      <c r="R2826" s="110" t="n"/>
      <c r="S2826" s="54" t="n"/>
      <c r="T2826" s="111">
        <f>IF($G2826="","",IFERROR(INDEX(Taux_Devises,MATCH(IF($M2826="",Devise_Base,$M2826),Codes_Devises,0)),1))</f>
        <v/>
      </c>
      <c r="U2826" s="112">
        <f>IF($G2826="","",ROUND($G2826*$T2826,2))</f>
        <v/>
      </c>
      <c r="V2826" s="113">
        <f>IF($B2826="","",MONTH($B2826))</f>
        <v/>
      </c>
      <c r="W2826" s="113">
        <f>IF($B2826="","",YEAR($B2826))</f>
        <v/>
      </c>
    </row>
    <row r="2827">
      <c r="B2827" s="105" t="n"/>
      <c r="C2827" s="54" t="n"/>
      <c r="D2827" s="54" t="n"/>
      <c r="E2827" s="54" t="n"/>
      <c r="F2827" s="54" t="n"/>
      <c r="G2827" s="65" t="n"/>
      <c r="H2827" s="54" t="n"/>
      <c r="I2827" s="106">
        <f>IF($C2827="","",IFERROR(INDEX(Sens_Types,MATCH($C2827,Liste_Types,0)),""))</f>
        <v/>
      </c>
      <c r="J2827" s="107">
        <f>IF($I2827="▲ ENTRÉE",$U2827,"")</f>
        <v/>
      </c>
      <c r="K2827" s="108">
        <f>IF($I2827="▼ SORTIE",$U2827,"")</f>
        <v/>
      </c>
      <c r="L2827" s="109">
        <f>$L2826+N($J2827)-N($K2827)</f>
        <v/>
      </c>
      <c r="M2827" s="110" t="n"/>
      <c r="N2827" s="54" t="n"/>
      <c r="O2827" s="54" t="n"/>
      <c r="P2827" s="54" t="n"/>
      <c r="Q2827" s="110" t="n"/>
      <c r="R2827" s="110" t="n"/>
      <c r="S2827" s="54" t="n"/>
      <c r="T2827" s="111">
        <f>IF($G2827="","",IFERROR(INDEX(Taux_Devises,MATCH(IF($M2827="",Devise_Base,$M2827),Codes_Devises,0)),1))</f>
        <v/>
      </c>
      <c r="U2827" s="112">
        <f>IF($G2827="","",ROUND($G2827*$T2827,2))</f>
        <v/>
      </c>
      <c r="V2827" s="113">
        <f>IF($B2827="","",MONTH($B2827))</f>
        <v/>
      </c>
      <c r="W2827" s="113">
        <f>IF($B2827="","",YEAR($B2827))</f>
        <v/>
      </c>
    </row>
    <row r="2828">
      <c r="B2828" s="105" t="n"/>
      <c r="C2828" s="54" t="n"/>
      <c r="D2828" s="54" t="n"/>
      <c r="E2828" s="54" t="n"/>
      <c r="F2828" s="54" t="n"/>
      <c r="G2828" s="65" t="n"/>
      <c r="H2828" s="54" t="n"/>
      <c r="I2828" s="106">
        <f>IF($C2828="","",IFERROR(INDEX(Sens_Types,MATCH($C2828,Liste_Types,0)),""))</f>
        <v/>
      </c>
      <c r="J2828" s="107">
        <f>IF($I2828="▲ ENTRÉE",$U2828,"")</f>
        <v/>
      </c>
      <c r="K2828" s="108">
        <f>IF($I2828="▼ SORTIE",$U2828,"")</f>
        <v/>
      </c>
      <c r="L2828" s="109">
        <f>$L2827+N($J2828)-N($K2828)</f>
        <v/>
      </c>
      <c r="M2828" s="110" t="n"/>
      <c r="N2828" s="54" t="n"/>
      <c r="O2828" s="54" t="n"/>
      <c r="P2828" s="54" t="n"/>
      <c r="Q2828" s="110" t="n"/>
      <c r="R2828" s="110" t="n"/>
      <c r="S2828" s="54" t="n"/>
      <c r="T2828" s="111">
        <f>IF($G2828="","",IFERROR(INDEX(Taux_Devises,MATCH(IF($M2828="",Devise_Base,$M2828),Codes_Devises,0)),1))</f>
        <v/>
      </c>
      <c r="U2828" s="112">
        <f>IF($G2828="","",ROUND($G2828*$T2828,2))</f>
        <v/>
      </c>
      <c r="V2828" s="113">
        <f>IF($B2828="","",MONTH($B2828))</f>
        <v/>
      </c>
      <c r="W2828" s="113">
        <f>IF($B2828="","",YEAR($B2828))</f>
        <v/>
      </c>
    </row>
    <row r="2829">
      <c r="B2829" s="105" t="n"/>
      <c r="C2829" s="54" t="n"/>
      <c r="D2829" s="54" t="n"/>
      <c r="E2829" s="54" t="n"/>
      <c r="F2829" s="54" t="n"/>
      <c r="G2829" s="65" t="n"/>
      <c r="H2829" s="54" t="n"/>
      <c r="I2829" s="106">
        <f>IF($C2829="","",IFERROR(INDEX(Sens_Types,MATCH($C2829,Liste_Types,0)),""))</f>
        <v/>
      </c>
      <c r="J2829" s="107">
        <f>IF($I2829="▲ ENTRÉE",$U2829,"")</f>
        <v/>
      </c>
      <c r="K2829" s="108">
        <f>IF($I2829="▼ SORTIE",$U2829,"")</f>
        <v/>
      </c>
      <c r="L2829" s="109">
        <f>$L2828+N($J2829)-N($K2829)</f>
        <v/>
      </c>
      <c r="M2829" s="110" t="n"/>
      <c r="N2829" s="54" t="n"/>
      <c r="O2829" s="54" t="n"/>
      <c r="P2829" s="54" t="n"/>
      <c r="Q2829" s="110" t="n"/>
      <c r="R2829" s="110" t="n"/>
      <c r="S2829" s="54" t="n"/>
      <c r="T2829" s="111">
        <f>IF($G2829="","",IFERROR(INDEX(Taux_Devises,MATCH(IF($M2829="",Devise_Base,$M2829),Codes_Devises,0)),1))</f>
        <v/>
      </c>
      <c r="U2829" s="112">
        <f>IF($G2829="","",ROUND($G2829*$T2829,2))</f>
        <v/>
      </c>
      <c r="V2829" s="113">
        <f>IF($B2829="","",MONTH($B2829))</f>
        <v/>
      </c>
      <c r="W2829" s="113">
        <f>IF($B2829="","",YEAR($B2829))</f>
        <v/>
      </c>
    </row>
    <row r="2830">
      <c r="B2830" s="105" t="n"/>
      <c r="C2830" s="54" t="n"/>
      <c r="D2830" s="54" t="n"/>
      <c r="E2830" s="54" t="n"/>
      <c r="F2830" s="54" t="n"/>
      <c r="G2830" s="65" t="n"/>
      <c r="H2830" s="54" t="n"/>
      <c r="I2830" s="106">
        <f>IF($C2830="","",IFERROR(INDEX(Sens_Types,MATCH($C2830,Liste_Types,0)),""))</f>
        <v/>
      </c>
      <c r="J2830" s="107">
        <f>IF($I2830="▲ ENTRÉE",$U2830,"")</f>
        <v/>
      </c>
      <c r="K2830" s="108">
        <f>IF($I2830="▼ SORTIE",$U2830,"")</f>
        <v/>
      </c>
      <c r="L2830" s="109">
        <f>$L2829+N($J2830)-N($K2830)</f>
        <v/>
      </c>
      <c r="M2830" s="110" t="n"/>
      <c r="N2830" s="54" t="n"/>
      <c r="O2830" s="54" t="n"/>
      <c r="P2830" s="54" t="n"/>
      <c r="Q2830" s="110" t="n"/>
      <c r="R2830" s="110" t="n"/>
      <c r="S2830" s="54" t="n"/>
      <c r="T2830" s="111">
        <f>IF($G2830="","",IFERROR(INDEX(Taux_Devises,MATCH(IF($M2830="",Devise_Base,$M2830),Codes_Devises,0)),1))</f>
        <v/>
      </c>
      <c r="U2830" s="112">
        <f>IF($G2830="","",ROUND($G2830*$T2830,2))</f>
        <v/>
      </c>
      <c r="V2830" s="113">
        <f>IF($B2830="","",MONTH($B2830))</f>
        <v/>
      </c>
      <c r="W2830" s="113">
        <f>IF($B2830="","",YEAR($B2830))</f>
        <v/>
      </c>
    </row>
    <row r="2831">
      <c r="B2831" s="105" t="n"/>
      <c r="C2831" s="54" t="n"/>
      <c r="D2831" s="54" t="n"/>
      <c r="E2831" s="54" t="n"/>
      <c r="F2831" s="54" t="n"/>
      <c r="G2831" s="65" t="n"/>
      <c r="H2831" s="54" t="n"/>
      <c r="I2831" s="106">
        <f>IF($C2831="","",IFERROR(INDEX(Sens_Types,MATCH($C2831,Liste_Types,0)),""))</f>
        <v/>
      </c>
      <c r="J2831" s="107">
        <f>IF($I2831="▲ ENTRÉE",$U2831,"")</f>
        <v/>
      </c>
      <c r="K2831" s="108">
        <f>IF($I2831="▼ SORTIE",$U2831,"")</f>
        <v/>
      </c>
      <c r="L2831" s="109">
        <f>$L2830+N($J2831)-N($K2831)</f>
        <v/>
      </c>
      <c r="M2831" s="110" t="n"/>
      <c r="N2831" s="54" t="n"/>
      <c r="O2831" s="54" t="n"/>
      <c r="P2831" s="54" t="n"/>
      <c r="Q2831" s="110" t="n"/>
      <c r="R2831" s="110" t="n"/>
      <c r="S2831" s="54" t="n"/>
      <c r="T2831" s="111">
        <f>IF($G2831="","",IFERROR(INDEX(Taux_Devises,MATCH(IF($M2831="",Devise_Base,$M2831),Codes_Devises,0)),1))</f>
        <v/>
      </c>
      <c r="U2831" s="112">
        <f>IF($G2831="","",ROUND($G2831*$T2831,2))</f>
        <v/>
      </c>
      <c r="V2831" s="113">
        <f>IF($B2831="","",MONTH($B2831))</f>
        <v/>
      </c>
      <c r="W2831" s="113">
        <f>IF($B2831="","",YEAR($B2831))</f>
        <v/>
      </c>
    </row>
    <row r="2832">
      <c r="B2832" s="105" t="n"/>
      <c r="C2832" s="54" t="n"/>
      <c r="D2832" s="54" t="n"/>
      <c r="E2832" s="54" t="n"/>
      <c r="F2832" s="54" t="n"/>
      <c r="G2832" s="65" t="n"/>
      <c r="H2832" s="54" t="n"/>
      <c r="I2832" s="106">
        <f>IF($C2832="","",IFERROR(INDEX(Sens_Types,MATCH($C2832,Liste_Types,0)),""))</f>
        <v/>
      </c>
      <c r="J2832" s="107">
        <f>IF($I2832="▲ ENTRÉE",$U2832,"")</f>
        <v/>
      </c>
      <c r="K2832" s="108">
        <f>IF($I2832="▼ SORTIE",$U2832,"")</f>
        <v/>
      </c>
      <c r="L2832" s="109">
        <f>$L2831+N($J2832)-N($K2832)</f>
        <v/>
      </c>
      <c r="M2832" s="110" t="n"/>
      <c r="N2832" s="54" t="n"/>
      <c r="O2832" s="54" t="n"/>
      <c r="P2832" s="54" t="n"/>
      <c r="Q2832" s="110" t="n"/>
      <c r="R2832" s="110" t="n"/>
      <c r="S2832" s="54" t="n"/>
      <c r="T2832" s="111">
        <f>IF($G2832="","",IFERROR(INDEX(Taux_Devises,MATCH(IF($M2832="",Devise_Base,$M2832),Codes_Devises,0)),1))</f>
        <v/>
      </c>
      <c r="U2832" s="112">
        <f>IF($G2832="","",ROUND($G2832*$T2832,2))</f>
        <v/>
      </c>
      <c r="V2832" s="113">
        <f>IF($B2832="","",MONTH($B2832))</f>
        <v/>
      </c>
      <c r="W2832" s="113">
        <f>IF($B2832="","",YEAR($B2832))</f>
        <v/>
      </c>
    </row>
    <row r="2833">
      <c r="B2833" s="105" t="n"/>
      <c r="C2833" s="54" t="n"/>
      <c r="D2833" s="54" t="n"/>
      <c r="E2833" s="54" t="n"/>
      <c r="F2833" s="54" t="n"/>
      <c r="G2833" s="65" t="n"/>
      <c r="H2833" s="54" t="n"/>
      <c r="I2833" s="106">
        <f>IF($C2833="","",IFERROR(INDEX(Sens_Types,MATCH($C2833,Liste_Types,0)),""))</f>
        <v/>
      </c>
      <c r="J2833" s="107">
        <f>IF($I2833="▲ ENTRÉE",$U2833,"")</f>
        <v/>
      </c>
      <c r="K2833" s="108">
        <f>IF($I2833="▼ SORTIE",$U2833,"")</f>
        <v/>
      </c>
      <c r="L2833" s="109">
        <f>$L2832+N($J2833)-N($K2833)</f>
        <v/>
      </c>
      <c r="M2833" s="110" t="n"/>
      <c r="N2833" s="54" t="n"/>
      <c r="O2833" s="54" t="n"/>
      <c r="P2833" s="54" t="n"/>
      <c r="Q2833" s="110" t="n"/>
      <c r="R2833" s="110" t="n"/>
      <c r="S2833" s="54" t="n"/>
      <c r="T2833" s="111">
        <f>IF($G2833="","",IFERROR(INDEX(Taux_Devises,MATCH(IF($M2833="",Devise_Base,$M2833),Codes_Devises,0)),1))</f>
        <v/>
      </c>
      <c r="U2833" s="112">
        <f>IF($G2833="","",ROUND($G2833*$T2833,2))</f>
        <v/>
      </c>
      <c r="V2833" s="113">
        <f>IF($B2833="","",MONTH($B2833))</f>
        <v/>
      </c>
      <c r="W2833" s="113">
        <f>IF($B2833="","",YEAR($B2833))</f>
        <v/>
      </c>
    </row>
    <row r="2834">
      <c r="B2834" s="105" t="n"/>
      <c r="C2834" s="54" t="n"/>
      <c r="D2834" s="54" t="n"/>
      <c r="E2834" s="54" t="n"/>
      <c r="F2834" s="54" t="n"/>
      <c r="G2834" s="65" t="n"/>
      <c r="H2834" s="54" t="n"/>
      <c r="I2834" s="106">
        <f>IF($C2834="","",IFERROR(INDEX(Sens_Types,MATCH($C2834,Liste_Types,0)),""))</f>
        <v/>
      </c>
      <c r="J2834" s="107">
        <f>IF($I2834="▲ ENTRÉE",$U2834,"")</f>
        <v/>
      </c>
      <c r="K2834" s="108">
        <f>IF($I2834="▼ SORTIE",$U2834,"")</f>
        <v/>
      </c>
      <c r="L2834" s="109">
        <f>$L2833+N($J2834)-N($K2834)</f>
        <v/>
      </c>
      <c r="M2834" s="110" t="n"/>
      <c r="N2834" s="54" t="n"/>
      <c r="O2834" s="54" t="n"/>
      <c r="P2834" s="54" t="n"/>
      <c r="Q2834" s="110" t="n"/>
      <c r="R2834" s="110" t="n"/>
      <c r="S2834" s="54" t="n"/>
      <c r="T2834" s="111">
        <f>IF($G2834="","",IFERROR(INDEX(Taux_Devises,MATCH(IF($M2834="",Devise_Base,$M2834),Codes_Devises,0)),1))</f>
        <v/>
      </c>
      <c r="U2834" s="112">
        <f>IF($G2834="","",ROUND($G2834*$T2834,2))</f>
        <v/>
      </c>
      <c r="V2834" s="113">
        <f>IF($B2834="","",MONTH($B2834))</f>
        <v/>
      </c>
      <c r="W2834" s="113">
        <f>IF($B2834="","",YEAR($B2834))</f>
        <v/>
      </c>
    </row>
    <row r="2835">
      <c r="B2835" s="105" t="n"/>
      <c r="C2835" s="54" t="n"/>
      <c r="D2835" s="54" t="n"/>
      <c r="E2835" s="54" t="n"/>
      <c r="F2835" s="54" t="n"/>
      <c r="G2835" s="65" t="n"/>
      <c r="H2835" s="54" t="n"/>
      <c r="I2835" s="106">
        <f>IF($C2835="","",IFERROR(INDEX(Sens_Types,MATCH($C2835,Liste_Types,0)),""))</f>
        <v/>
      </c>
      <c r="J2835" s="107">
        <f>IF($I2835="▲ ENTRÉE",$U2835,"")</f>
        <v/>
      </c>
      <c r="K2835" s="108">
        <f>IF($I2835="▼ SORTIE",$U2835,"")</f>
        <v/>
      </c>
      <c r="L2835" s="109">
        <f>$L2834+N($J2835)-N($K2835)</f>
        <v/>
      </c>
      <c r="M2835" s="110" t="n"/>
      <c r="N2835" s="54" t="n"/>
      <c r="O2835" s="54" t="n"/>
      <c r="P2835" s="54" t="n"/>
      <c r="Q2835" s="110" t="n"/>
      <c r="R2835" s="110" t="n"/>
      <c r="S2835" s="54" t="n"/>
      <c r="T2835" s="111">
        <f>IF($G2835="","",IFERROR(INDEX(Taux_Devises,MATCH(IF($M2835="",Devise_Base,$M2835),Codes_Devises,0)),1))</f>
        <v/>
      </c>
      <c r="U2835" s="112">
        <f>IF($G2835="","",ROUND($G2835*$T2835,2))</f>
        <v/>
      </c>
      <c r="V2835" s="113">
        <f>IF($B2835="","",MONTH($B2835))</f>
        <v/>
      </c>
      <c r="W2835" s="113">
        <f>IF($B2835="","",YEAR($B2835))</f>
        <v/>
      </c>
    </row>
    <row r="2836">
      <c r="B2836" s="105" t="n"/>
      <c r="C2836" s="54" t="n"/>
      <c r="D2836" s="54" t="n"/>
      <c r="E2836" s="54" t="n"/>
      <c r="F2836" s="54" t="n"/>
      <c r="G2836" s="65" t="n"/>
      <c r="H2836" s="54" t="n"/>
      <c r="I2836" s="106">
        <f>IF($C2836="","",IFERROR(INDEX(Sens_Types,MATCH($C2836,Liste_Types,0)),""))</f>
        <v/>
      </c>
      <c r="J2836" s="107">
        <f>IF($I2836="▲ ENTRÉE",$U2836,"")</f>
        <v/>
      </c>
      <c r="K2836" s="108">
        <f>IF($I2836="▼ SORTIE",$U2836,"")</f>
        <v/>
      </c>
      <c r="L2836" s="109">
        <f>$L2835+N($J2836)-N($K2836)</f>
        <v/>
      </c>
      <c r="M2836" s="110" t="n"/>
      <c r="N2836" s="54" t="n"/>
      <c r="O2836" s="54" t="n"/>
      <c r="P2836" s="54" t="n"/>
      <c r="Q2836" s="110" t="n"/>
      <c r="R2836" s="110" t="n"/>
      <c r="S2836" s="54" t="n"/>
      <c r="T2836" s="111">
        <f>IF($G2836="","",IFERROR(INDEX(Taux_Devises,MATCH(IF($M2836="",Devise_Base,$M2836),Codes_Devises,0)),1))</f>
        <v/>
      </c>
      <c r="U2836" s="112">
        <f>IF($G2836="","",ROUND($G2836*$T2836,2))</f>
        <v/>
      </c>
      <c r="V2836" s="113">
        <f>IF($B2836="","",MONTH($B2836))</f>
        <v/>
      </c>
      <c r="W2836" s="113">
        <f>IF($B2836="","",YEAR($B2836))</f>
        <v/>
      </c>
    </row>
    <row r="2837">
      <c r="B2837" s="105" t="n"/>
      <c r="C2837" s="54" t="n"/>
      <c r="D2837" s="54" t="n"/>
      <c r="E2837" s="54" t="n"/>
      <c r="F2837" s="54" t="n"/>
      <c r="G2837" s="65" t="n"/>
      <c r="H2837" s="54" t="n"/>
      <c r="I2837" s="106">
        <f>IF($C2837="","",IFERROR(INDEX(Sens_Types,MATCH($C2837,Liste_Types,0)),""))</f>
        <v/>
      </c>
      <c r="J2837" s="107">
        <f>IF($I2837="▲ ENTRÉE",$U2837,"")</f>
        <v/>
      </c>
      <c r="K2837" s="108">
        <f>IF($I2837="▼ SORTIE",$U2837,"")</f>
        <v/>
      </c>
      <c r="L2837" s="109">
        <f>$L2836+N($J2837)-N($K2837)</f>
        <v/>
      </c>
      <c r="M2837" s="110" t="n"/>
      <c r="N2837" s="54" t="n"/>
      <c r="O2837" s="54" t="n"/>
      <c r="P2837" s="54" t="n"/>
      <c r="Q2837" s="110" t="n"/>
      <c r="R2837" s="110" t="n"/>
      <c r="S2837" s="54" t="n"/>
      <c r="T2837" s="111">
        <f>IF($G2837="","",IFERROR(INDEX(Taux_Devises,MATCH(IF($M2837="",Devise_Base,$M2837),Codes_Devises,0)),1))</f>
        <v/>
      </c>
      <c r="U2837" s="112">
        <f>IF($G2837="","",ROUND($G2837*$T2837,2))</f>
        <v/>
      </c>
      <c r="V2837" s="113">
        <f>IF($B2837="","",MONTH($B2837))</f>
        <v/>
      </c>
      <c r="W2837" s="113">
        <f>IF($B2837="","",YEAR($B2837))</f>
        <v/>
      </c>
    </row>
    <row r="2838">
      <c r="B2838" s="105" t="n"/>
      <c r="C2838" s="54" t="n"/>
      <c r="D2838" s="54" t="n"/>
      <c r="E2838" s="54" t="n"/>
      <c r="F2838" s="54" t="n"/>
      <c r="G2838" s="65" t="n"/>
      <c r="H2838" s="54" t="n"/>
      <c r="I2838" s="106">
        <f>IF($C2838="","",IFERROR(INDEX(Sens_Types,MATCH($C2838,Liste_Types,0)),""))</f>
        <v/>
      </c>
      <c r="J2838" s="107">
        <f>IF($I2838="▲ ENTRÉE",$U2838,"")</f>
        <v/>
      </c>
      <c r="K2838" s="108">
        <f>IF($I2838="▼ SORTIE",$U2838,"")</f>
        <v/>
      </c>
      <c r="L2838" s="109">
        <f>$L2837+N($J2838)-N($K2838)</f>
        <v/>
      </c>
      <c r="M2838" s="110" t="n"/>
      <c r="N2838" s="54" t="n"/>
      <c r="O2838" s="54" t="n"/>
      <c r="P2838" s="54" t="n"/>
      <c r="Q2838" s="110" t="n"/>
      <c r="R2838" s="110" t="n"/>
      <c r="S2838" s="54" t="n"/>
      <c r="T2838" s="111">
        <f>IF($G2838="","",IFERROR(INDEX(Taux_Devises,MATCH(IF($M2838="",Devise_Base,$M2838),Codes_Devises,0)),1))</f>
        <v/>
      </c>
      <c r="U2838" s="112">
        <f>IF($G2838="","",ROUND($G2838*$T2838,2))</f>
        <v/>
      </c>
      <c r="V2838" s="113">
        <f>IF($B2838="","",MONTH($B2838))</f>
        <v/>
      </c>
      <c r="W2838" s="113">
        <f>IF($B2838="","",YEAR($B2838))</f>
        <v/>
      </c>
    </row>
    <row r="2839">
      <c r="B2839" s="105" t="n"/>
      <c r="C2839" s="54" t="n"/>
      <c r="D2839" s="54" t="n"/>
      <c r="E2839" s="54" t="n"/>
      <c r="F2839" s="54" t="n"/>
      <c r="G2839" s="65" t="n"/>
      <c r="H2839" s="54" t="n"/>
      <c r="I2839" s="106">
        <f>IF($C2839="","",IFERROR(INDEX(Sens_Types,MATCH($C2839,Liste_Types,0)),""))</f>
        <v/>
      </c>
      <c r="J2839" s="107">
        <f>IF($I2839="▲ ENTRÉE",$U2839,"")</f>
        <v/>
      </c>
      <c r="K2839" s="108">
        <f>IF($I2839="▼ SORTIE",$U2839,"")</f>
        <v/>
      </c>
      <c r="L2839" s="109">
        <f>$L2838+N($J2839)-N($K2839)</f>
        <v/>
      </c>
      <c r="M2839" s="110" t="n"/>
      <c r="N2839" s="54" t="n"/>
      <c r="O2839" s="54" t="n"/>
      <c r="P2839" s="54" t="n"/>
      <c r="Q2839" s="110" t="n"/>
      <c r="R2839" s="110" t="n"/>
      <c r="S2839" s="54" t="n"/>
      <c r="T2839" s="111">
        <f>IF($G2839="","",IFERROR(INDEX(Taux_Devises,MATCH(IF($M2839="",Devise_Base,$M2839),Codes_Devises,0)),1))</f>
        <v/>
      </c>
      <c r="U2839" s="112">
        <f>IF($G2839="","",ROUND($G2839*$T2839,2))</f>
        <v/>
      </c>
      <c r="V2839" s="113">
        <f>IF($B2839="","",MONTH($B2839))</f>
        <v/>
      </c>
      <c r="W2839" s="113">
        <f>IF($B2839="","",YEAR($B2839))</f>
        <v/>
      </c>
    </row>
    <row r="2840">
      <c r="B2840" s="105" t="n"/>
      <c r="C2840" s="54" t="n"/>
      <c r="D2840" s="54" t="n"/>
      <c r="E2840" s="54" t="n"/>
      <c r="F2840" s="54" t="n"/>
      <c r="G2840" s="65" t="n"/>
      <c r="H2840" s="54" t="n"/>
      <c r="I2840" s="106">
        <f>IF($C2840="","",IFERROR(INDEX(Sens_Types,MATCH($C2840,Liste_Types,0)),""))</f>
        <v/>
      </c>
      <c r="J2840" s="107">
        <f>IF($I2840="▲ ENTRÉE",$U2840,"")</f>
        <v/>
      </c>
      <c r="K2840" s="108">
        <f>IF($I2840="▼ SORTIE",$U2840,"")</f>
        <v/>
      </c>
      <c r="L2840" s="109">
        <f>$L2839+N($J2840)-N($K2840)</f>
        <v/>
      </c>
      <c r="M2840" s="110" t="n"/>
      <c r="N2840" s="54" t="n"/>
      <c r="O2840" s="54" t="n"/>
      <c r="P2840" s="54" t="n"/>
      <c r="Q2840" s="110" t="n"/>
      <c r="R2840" s="110" t="n"/>
      <c r="S2840" s="54" t="n"/>
      <c r="T2840" s="111">
        <f>IF($G2840="","",IFERROR(INDEX(Taux_Devises,MATCH(IF($M2840="",Devise_Base,$M2840),Codes_Devises,0)),1))</f>
        <v/>
      </c>
      <c r="U2840" s="112">
        <f>IF($G2840="","",ROUND($G2840*$T2840,2))</f>
        <v/>
      </c>
      <c r="V2840" s="113">
        <f>IF($B2840="","",MONTH($B2840))</f>
        <v/>
      </c>
      <c r="W2840" s="113">
        <f>IF($B2840="","",YEAR($B2840))</f>
        <v/>
      </c>
    </row>
    <row r="2841">
      <c r="B2841" s="105" t="n"/>
      <c r="C2841" s="54" t="n"/>
      <c r="D2841" s="54" t="n"/>
      <c r="E2841" s="54" t="n"/>
      <c r="F2841" s="54" t="n"/>
      <c r="G2841" s="65" t="n"/>
      <c r="H2841" s="54" t="n"/>
      <c r="I2841" s="106">
        <f>IF($C2841="","",IFERROR(INDEX(Sens_Types,MATCH($C2841,Liste_Types,0)),""))</f>
        <v/>
      </c>
      <c r="J2841" s="107">
        <f>IF($I2841="▲ ENTRÉE",$U2841,"")</f>
        <v/>
      </c>
      <c r="K2841" s="108">
        <f>IF($I2841="▼ SORTIE",$U2841,"")</f>
        <v/>
      </c>
      <c r="L2841" s="109">
        <f>$L2840+N($J2841)-N($K2841)</f>
        <v/>
      </c>
      <c r="M2841" s="110" t="n"/>
      <c r="N2841" s="54" t="n"/>
      <c r="O2841" s="54" t="n"/>
      <c r="P2841" s="54" t="n"/>
      <c r="Q2841" s="110" t="n"/>
      <c r="R2841" s="110" t="n"/>
      <c r="S2841" s="54" t="n"/>
      <c r="T2841" s="111">
        <f>IF($G2841="","",IFERROR(INDEX(Taux_Devises,MATCH(IF($M2841="",Devise_Base,$M2841),Codes_Devises,0)),1))</f>
        <v/>
      </c>
      <c r="U2841" s="112">
        <f>IF($G2841="","",ROUND($G2841*$T2841,2))</f>
        <v/>
      </c>
      <c r="V2841" s="113">
        <f>IF($B2841="","",MONTH($B2841))</f>
        <v/>
      </c>
      <c r="W2841" s="113">
        <f>IF($B2841="","",YEAR($B2841))</f>
        <v/>
      </c>
    </row>
    <row r="2842">
      <c r="B2842" s="105" t="n"/>
      <c r="C2842" s="54" t="n"/>
      <c r="D2842" s="54" t="n"/>
      <c r="E2842" s="54" t="n"/>
      <c r="F2842" s="54" t="n"/>
      <c r="G2842" s="65" t="n"/>
      <c r="H2842" s="54" t="n"/>
      <c r="I2842" s="106">
        <f>IF($C2842="","",IFERROR(INDEX(Sens_Types,MATCH($C2842,Liste_Types,0)),""))</f>
        <v/>
      </c>
      <c r="J2842" s="107">
        <f>IF($I2842="▲ ENTRÉE",$U2842,"")</f>
        <v/>
      </c>
      <c r="K2842" s="108">
        <f>IF($I2842="▼ SORTIE",$U2842,"")</f>
        <v/>
      </c>
      <c r="L2842" s="109">
        <f>$L2841+N($J2842)-N($K2842)</f>
        <v/>
      </c>
      <c r="M2842" s="110" t="n"/>
      <c r="N2842" s="54" t="n"/>
      <c r="O2842" s="54" t="n"/>
      <c r="P2842" s="54" t="n"/>
      <c r="Q2842" s="110" t="n"/>
      <c r="R2842" s="110" t="n"/>
      <c r="S2842" s="54" t="n"/>
      <c r="T2842" s="111">
        <f>IF($G2842="","",IFERROR(INDEX(Taux_Devises,MATCH(IF($M2842="",Devise_Base,$M2842),Codes_Devises,0)),1))</f>
        <v/>
      </c>
      <c r="U2842" s="112">
        <f>IF($G2842="","",ROUND($G2842*$T2842,2))</f>
        <v/>
      </c>
      <c r="V2842" s="113">
        <f>IF($B2842="","",MONTH($B2842))</f>
        <v/>
      </c>
      <c r="W2842" s="113">
        <f>IF($B2842="","",YEAR($B2842))</f>
        <v/>
      </c>
    </row>
    <row r="2843">
      <c r="B2843" s="105" t="n"/>
      <c r="C2843" s="54" t="n"/>
      <c r="D2843" s="54" t="n"/>
      <c r="E2843" s="54" t="n"/>
      <c r="F2843" s="54" t="n"/>
      <c r="G2843" s="65" t="n"/>
      <c r="H2843" s="54" t="n"/>
      <c r="I2843" s="106">
        <f>IF($C2843="","",IFERROR(INDEX(Sens_Types,MATCH($C2843,Liste_Types,0)),""))</f>
        <v/>
      </c>
      <c r="J2843" s="107">
        <f>IF($I2843="▲ ENTRÉE",$U2843,"")</f>
        <v/>
      </c>
      <c r="K2843" s="108">
        <f>IF($I2843="▼ SORTIE",$U2843,"")</f>
        <v/>
      </c>
      <c r="L2843" s="109">
        <f>$L2842+N($J2843)-N($K2843)</f>
        <v/>
      </c>
      <c r="M2843" s="110" t="n"/>
      <c r="N2843" s="54" t="n"/>
      <c r="O2843" s="54" t="n"/>
      <c r="P2843" s="54" t="n"/>
      <c r="Q2843" s="110" t="n"/>
      <c r="R2843" s="110" t="n"/>
      <c r="S2843" s="54" t="n"/>
      <c r="T2843" s="111">
        <f>IF($G2843="","",IFERROR(INDEX(Taux_Devises,MATCH(IF($M2843="",Devise_Base,$M2843),Codes_Devises,0)),1))</f>
        <v/>
      </c>
      <c r="U2843" s="112">
        <f>IF($G2843="","",ROUND($G2843*$T2843,2))</f>
        <v/>
      </c>
      <c r="V2843" s="113">
        <f>IF($B2843="","",MONTH($B2843))</f>
        <v/>
      </c>
      <c r="W2843" s="113">
        <f>IF($B2843="","",YEAR($B2843))</f>
        <v/>
      </c>
    </row>
    <row r="2844">
      <c r="B2844" s="105" t="n"/>
      <c r="C2844" s="54" t="n"/>
      <c r="D2844" s="54" t="n"/>
      <c r="E2844" s="54" t="n"/>
      <c r="F2844" s="54" t="n"/>
      <c r="G2844" s="65" t="n"/>
      <c r="H2844" s="54" t="n"/>
      <c r="I2844" s="106">
        <f>IF($C2844="","",IFERROR(INDEX(Sens_Types,MATCH($C2844,Liste_Types,0)),""))</f>
        <v/>
      </c>
      <c r="J2844" s="107">
        <f>IF($I2844="▲ ENTRÉE",$U2844,"")</f>
        <v/>
      </c>
      <c r="K2844" s="108">
        <f>IF($I2844="▼ SORTIE",$U2844,"")</f>
        <v/>
      </c>
      <c r="L2844" s="109">
        <f>$L2843+N($J2844)-N($K2844)</f>
        <v/>
      </c>
      <c r="M2844" s="110" t="n"/>
      <c r="N2844" s="54" t="n"/>
      <c r="O2844" s="54" t="n"/>
      <c r="P2844" s="54" t="n"/>
      <c r="Q2844" s="110" t="n"/>
      <c r="R2844" s="110" t="n"/>
      <c r="S2844" s="54" t="n"/>
      <c r="T2844" s="111">
        <f>IF($G2844="","",IFERROR(INDEX(Taux_Devises,MATCH(IF($M2844="",Devise_Base,$M2844),Codes_Devises,0)),1))</f>
        <v/>
      </c>
      <c r="U2844" s="112">
        <f>IF($G2844="","",ROUND($G2844*$T2844,2))</f>
        <v/>
      </c>
      <c r="V2844" s="113">
        <f>IF($B2844="","",MONTH($B2844))</f>
        <v/>
      </c>
      <c r="W2844" s="113">
        <f>IF($B2844="","",YEAR($B2844))</f>
        <v/>
      </c>
    </row>
    <row r="2845">
      <c r="B2845" s="105" t="n"/>
      <c r="C2845" s="54" t="n"/>
      <c r="D2845" s="54" t="n"/>
      <c r="E2845" s="54" t="n"/>
      <c r="F2845" s="54" t="n"/>
      <c r="G2845" s="65" t="n"/>
      <c r="H2845" s="54" t="n"/>
      <c r="I2845" s="106">
        <f>IF($C2845="","",IFERROR(INDEX(Sens_Types,MATCH($C2845,Liste_Types,0)),""))</f>
        <v/>
      </c>
      <c r="J2845" s="107">
        <f>IF($I2845="▲ ENTRÉE",$U2845,"")</f>
        <v/>
      </c>
      <c r="K2845" s="108">
        <f>IF($I2845="▼ SORTIE",$U2845,"")</f>
        <v/>
      </c>
      <c r="L2845" s="109">
        <f>$L2844+N($J2845)-N($K2845)</f>
        <v/>
      </c>
      <c r="M2845" s="110" t="n"/>
      <c r="N2845" s="54" t="n"/>
      <c r="O2845" s="54" t="n"/>
      <c r="P2845" s="54" t="n"/>
      <c r="Q2845" s="110" t="n"/>
      <c r="R2845" s="110" t="n"/>
      <c r="S2845" s="54" t="n"/>
      <c r="T2845" s="111">
        <f>IF($G2845="","",IFERROR(INDEX(Taux_Devises,MATCH(IF($M2845="",Devise_Base,$M2845),Codes_Devises,0)),1))</f>
        <v/>
      </c>
      <c r="U2845" s="112">
        <f>IF($G2845="","",ROUND($G2845*$T2845,2))</f>
        <v/>
      </c>
      <c r="V2845" s="113">
        <f>IF($B2845="","",MONTH($B2845))</f>
        <v/>
      </c>
      <c r="W2845" s="113">
        <f>IF($B2845="","",YEAR($B2845))</f>
        <v/>
      </c>
    </row>
    <row r="2846">
      <c r="B2846" s="105" t="n"/>
      <c r="C2846" s="54" t="n"/>
      <c r="D2846" s="54" t="n"/>
      <c r="E2846" s="54" t="n"/>
      <c r="F2846" s="54" t="n"/>
      <c r="G2846" s="65" t="n"/>
      <c r="H2846" s="54" t="n"/>
      <c r="I2846" s="106">
        <f>IF($C2846="","",IFERROR(INDEX(Sens_Types,MATCH($C2846,Liste_Types,0)),""))</f>
        <v/>
      </c>
      <c r="J2846" s="107">
        <f>IF($I2846="▲ ENTRÉE",$U2846,"")</f>
        <v/>
      </c>
      <c r="K2846" s="108">
        <f>IF($I2846="▼ SORTIE",$U2846,"")</f>
        <v/>
      </c>
      <c r="L2846" s="109">
        <f>$L2845+N($J2846)-N($K2846)</f>
        <v/>
      </c>
      <c r="M2846" s="110" t="n"/>
      <c r="N2846" s="54" t="n"/>
      <c r="O2846" s="54" t="n"/>
      <c r="P2846" s="54" t="n"/>
      <c r="Q2846" s="110" t="n"/>
      <c r="R2846" s="110" t="n"/>
      <c r="S2846" s="54" t="n"/>
      <c r="T2846" s="111">
        <f>IF($G2846="","",IFERROR(INDEX(Taux_Devises,MATCH(IF($M2846="",Devise_Base,$M2846),Codes_Devises,0)),1))</f>
        <v/>
      </c>
      <c r="U2846" s="112">
        <f>IF($G2846="","",ROUND($G2846*$T2846,2))</f>
        <v/>
      </c>
      <c r="V2846" s="113">
        <f>IF($B2846="","",MONTH($B2846))</f>
        <v/>
      </c>
      <c r="W2846" s="113">
        <f>IF($B2846="","",YEAR($B2846))</f>
        <v/>
      </c>
    </row>
    <row r="2847">
      <c r="B2847" s="105" t="n"/>
      <c r="C2847" s="54" t="n"/>
      <c r="D2847" s="54" t="n"/>
      <c r="E2847" s="54" t="n"/>
      <c r="F2847" s="54" t="n"/>
      <c r="G2847" s="65" t="n"/>
      <c r="H2847" s="54" t="n"/>
      <c r="I2847" s="106">
        <f>IF($C2847="","",IFERROR(INDEX(Sens_Types,MATCH($C2847,Liste_Types,0)),""))</f>
        <v/>
      </c>
      <c r="J2847" s="107">
        <f>IF($I2847="▲ ENTRÉE",$U2847,"")</f>
        <v/>
      </c>
      <c r="K2847" s="108">
        <f>IF($I2847="▼ SORTIE",$U2847,"")</f>
        <v/>
      </c>
      <c r="L2847" s="109">
        <f>$L2846+N($J2847)-N($K2847)</f>
        <v/>
      </c>
      <c r="M2847" s="110" t="n"/>
      <c r="N2847" s="54" t="n"/>
      <c r="O2847" s="54" t="n"/>
      <c r="P2847" s="54" t="n"/>
      <c r="Q2847" s="110" t="n"/>
      <c r="R2847" s="110" t="n"/>
      <c r="S2847" s="54" t="n"/>
      <c r="T2847" s="111">
        <f>IF($G2847="","",IFERROR(INDEX(Taux_Devises,MATCH(IF($M2847="",Devise_Base,$M2847),Codes_Devises,0)),1))</f>
        <v/>
      </c>
      <c r="U2847" s="112">
        <f>IF($G2847="","",ROUND($G2847*$T2847,2))</f>
        <v/>
      </c>
      <c r="V2847" s="113">
        <f>IF($B2847="","",MONTH($B2847))</f>
        <v/>
      </c>
      <c r="W2847" s="113">
        <f>IF($B2847="","",YEAR($B2847))</f>
        <v/>
      </c>
    </row>
    <row r="2848">
      <c r="B2848" s="105" t="n"/>
      <c r="C2848" s="54" t="n"/>
      <c r="D2848" s="54" t="n"/>
      <c r="E2848" s="54" t="n"/>
      <c r="F2848" s="54" t="n"/>
      <c r="G2848" s="65" t="n"/>
      <c r="H2848" s="54" t="n"/>
      <c r="I2848" s="106">
        <f>IF($C2848="","",IFERROR(INDEX(Sens_Types,MATCH($C2848,Liste_Types,0)),""))</f>
        <v/>
      </c>
      <c r="J2848" s="107">
        <f>IF($I2848="▲ ENTRÉE",$U2848,"")</f>
        <v/>
      </c>
      <c r="K2848" s="108">
        <f>IF($I2848="▼ SORTIE",$U2848,"")</f>
        <v/>
      </c>
      <c r="L2848" s="109">
        <f>$L2847+N($J2848)-N($K2848)</f>
        <v/>
      </c>
      <c r="M2848" s="110" t="n"/>
      <c r="N2848" s="54" t="n"/>
      <c r="O2848" s="54" t="n"/>
      <c r="P2848" s="54" t="n"/>
      <c r="Q2848" s="110" t="n"/>
      <c r="R2848" s="110" t="n"/>
      <c r="S2848" s="54" t="n"/>
      <c r="T2848" s="111">
        <f>IF($G2848="","",IFERROR(INDEX(Taux_Devises,MATCH(IF($M2848="",Devise_Base,$M2848),Codes_Devises,0)),1))</f>
        <v/>
      </c>
      <c r="U2848" s="112">
        <f>IF($G2848="","",ROUND($G2848*$T2848,2))</f>
        <v/>
      </c>
      <c r="V2848" s="113">
        <f>IF($B2848="","",MONTH($B2848))</f>
        <v/>
      </c>
      <c r="W2848" s="113">
        <f>IF($B2848="","",YEAR($B2848))</f>
        <v/>
      </c>
    </row>
    <row r="2849">
      <c r="B2849" s="105" t="n"/>
      <c r="C2849" s="54" t="n"/>
      <c r="D2849" s="54" t="n"/>
      <c r="E2849" s="54" t="n"/>
      <c r="F2849" s="54" t="n"/>
      <c r="G2849" s="65" t="n"/>
      <c r="H2849" s="54" t="n"/>
      <c r="I2849" s="106">
        <f>IF($C2849="","",IFERROR(INDEX(Sens_Types,MATCH($C2849,Liste_Types,0)),""))</f>
        <v/>
      </c>
      <c r="J2849" s="107">
        <f>IF($I2849="▲ ENTRÉE",$U2849,"")</f>
        <v/>
      </c>
      <c r="K2849" s="108">
        <f>IF($I2849="▼ SORTIE",$U2849,"")</f>
        <v/>
      </c>
      <c r="L2849" s="109">
        <f>$L2848+N($J2849)-N($K2849)</f>
        <v/>
      </c>
      <c r="M2849" s="110" t="n"/>
      <c r="N2849" s="54" t="n"/>
      <c r="O2849" s="54" t="n"/>
      <c r="P2849" s="54" t="n"/>
      <c r="Q2849" s="110" t="n"/>
      <c r="R2849" s="110" t="n"/>
      <c r="S2849" s="54" t="n"/>
      <c r="T2849" s="111">
        <f>IF($G2849="","",IFERROR(INDEX(Taux_Devises,MATCH(IF($M2849="",Devise_Base,$M2849),Codes_Devises,0)),1))</f>
        <v/>
      </c>
      <c r="U2849" s="112">
        <f>IF($G2849="","",ROUND($G2849*$T2849,2))</f>
        <v/>
      </c>
      <c r="V2849" s="113">
        <f>IF($B2849="","",MONTH($B2849))</f>
        <v/>
      </c>
      <c r="W2849" s="113">
        <f>IF($B2849="","",YEAR($B2849))</f>
        <v/>
      </c>
    </row>
    <row r="2850">
      <c r="B2850" s="105" t="n"/>
      <c r="C2850" s="54" t="n"/>
      <c r="D2850" s="54" t="n"/>
      <c r="E2850" s="54" t="n"/>
      <c r="F2850" s="54" t="n"/>
      <c r="G2850" s="65" t="n"/>
      <c r="H2850" s="54" t="n"/>
      <c r="I2850" s="106">
        <f>IF($C2850="","",IFERROR(INDEX(Sens_Types,MATCH($C2850,Liste_Types,0)),""))</f>
        <v/>
      </c>
      <c r="J2850" s="107">
        <f>IF($I2850="▲ ENTRÉE",$U2850,"")</f>
        <v/>
      </c>
      <c r="K2850" s="108">
        <f>IF($I2850="▼ SORTIE",$U2850,"")</f>
        <v/>
      </c>
      <c r="L2850" s="109">
        <f>$L2849+N($J2850)-N($K2850)</f>
        <v/>
      </c>
      <c r="M2850" s="110" t="n"/>
      <c r="N2850" s="54" t="n"/>
      <c r="O2850" s="54" t="n"/>
      <c r="P2850" s="54" t="n"/>
      <c r="Q2850" s="110" t="n"/>
      <c r="R2850" s="110" t="n"/>
      <c r="S2850" s="54" t="n"/>
      <c r="T2850" s="111">
        <f>IF($G2850="","",IFERROR(INDEX(Taux_Devises,MATCH(IF($M2850="",Devise_Base,$M2850),Codes_Devises,0)),1))</f>
        <v/>
      </c>
      <c r="U2850" s="112">
        <f>IF($G2850="","",ROUND($G2850*$T2850,2))</f>
        <v/>
      </c>
      <c r="V2850" s="113">
        <f>IF($B2850="","",MONTH($B2850))</f>
        <v/>
      </c>
      <c r="W2850" s="113">
        <f>IF($B2850="","",YEAR($B2850))</f>
        <v/>
      </c>
    </row>
    <row r="2851">
      <c r="B2851" s="105" t="n"/>
      <c r="C2851" s="54" t="n"/>
      <c r="D2851" s="54" t="n"/>
      <c r="E2851" s="54" t="n"/>
      <c r="F2851" s="54" t="n"/>
      <c r="G2851" s="65" t="n"/>
      <c r="H2851" s="54" t="n"/>
      <c r="I2851" s="106">
        <f>IF($C2851="","",IFERROR(INDEX(Sens_Types,MATCH($C2851,Liste_Types,0)),""))</f>
        <v/>
      </c>
      <c r="J2851" s="107">
        <f>IF($I2851="▲ ENTRÉE",$U2851,"")</f>
        <v/>
      </c>
      <c r="K2851" s="108">
        <f>IF($I2851="▼ SORTIE",$U2851,"")</f>
        <v/>
      </c>
      <c r="L2851" s="109">
        <f>$L2850+N($J2851)-N($K2851)</f>
        <v/>
      </c>
      <c r="M2851" s="110" t="n"/>
      <c r="N2851" s="54" t="n"/>
      <c r="O2851" s="54" t="n"/>
      <c r="P2851" s="54" t="n"/>
      <c r="Q2851" s="110" t="n"/>
      <c r="R2851" s="110" t="n"/>
      <c r="S2851" s="54" t="n"/>
      <c r="T2851" s="111">
        <f>IF($G2851="","",IFERROR(INDEX(Taux_Devises,MATCH(IF($M2851="",Devise_Base,$M2851),Codes_Devises,0)),1))</f>
        <v/>
      </c>
      <c r="U2851" s="112">
        <f>IF($G2851="","",ROUND($G2851*$T2851,2))</f>
        <v/>
      </c>
      <c r="V2851" s="113">
        <f>IF($B2851="","",MONTH($B2851))</f>
        <v/>
      </c>
      <c r="W2851" s="113">
        <f>IF($B2851="","",YEAR($B2851))</f>
        <v/>
      </c>
    </row>
    <row r="2852">
      <c r="B2852" s="105" t="n"/>
      <c r="C2852" s="54" t="n"/>
      <c r="D2852" s="54" t="n"/>
      <c r="E2852" s="54" t="n"/>
      <c r="F2852" s="54" t="n"/>
      <c r="G2852" s="65" t="n"/>
      <c r="H2852" s="54" t="n"/>
      <c r="I2852" s="106">
        <f>IF($C2852="","",IFERROR(INDEX(Sens_Types,MATCH($C2852,Liste_Types,0)),""))</f>
        <v/>
      </c>
      <c r="J2852" s="107">
        <f>IF($I2852="▲ ENTRÉE",$U2852,"")</f>
        <v/>
      </c>
      <c r="K2852" s="108">
        <f>IF($I2852="▼ SORTIE",$U2852,"")</f>
        <v/>
      </c>
      <c r="L2852" s="109">
        <f>$L2851+N($J2852)-N($K2852)</f>
        <v/>
      </c>
      <c r="M2852" s="110" t="n"/>
      <c r="N2852" s="54" t="n"/>
      <c r="O2852" s="54" t="n"/>
      <c r="P2852" s="54" t="n"/>
      <c r="Q2852" s="110" t="n"/>
      <c r="R2852" s="110" t="n"/>
      <c r="S2852" s="54" t="n"/>
      <c r="T2852" s="111">
        <f>IF($G2852="","",IFERROR(INDEX(Taux_Devises,MATCH(IF($M2852="",Devise_Base,$M2852),Codes_Devises,0)),1))</f>
        <v/>
      </c>
      <c r="U2852" s="112">
        <f>IF($G2852="","",ROUND($G2852*$T2852,2))</f>
        <v/>
      </c>
      <c r="V2852" s="113">
        <f>IF($B2852="","",MONTH($B2852))</f>
        <v/>
      </c>
      <c r="W2852" s="113">
        <f>IF($B2852="","",YEAR($B2852))</f>
        <v/>
      </c>
    </row>
    <row r="2853">
      <c r="B2853" s="105" t="n"/>
      <c r="C2853" s="54" t="n"/>
      <c r="D2853" s="54" t="n"/>
      <c r="E2853" s="54" t="n"/>
      <c r="F2853" s="54" t="n"/>
      <c r="G2853" s="65" t="n"/>
      <c r="H2853" s="54" t="n"/>
      <c r="I2853" s="106">
        <f>IF($C2853="","",IFERROR(INDEX(Sens_Types,MATCH($C2853,Liste_Types,0)),""))</f>
        <v/>
      </c>
      <c r="J2853" s="107">
        <f>IF($I2853="▲ ENTRÉE",$U2853,"")</f>
        <v/>
      </c>
      <c r="K2853" s="108">
        <f>IF($I2853="▼ SORTIE",$U2853,"")</f>
        <v/>
      </c>
      <c r="L2853" s="109">
        <f>$L2852+N($J2853)-N($K2853)</f>
        <v/>
      </c>
      <c r="M2853" s="110" t="n"/>
      <c r="N2853" s="54" t="n"/>
      <c r="O2853" s="54" t="n"/>
      <c r="P2853" s="54" t="n"/>
      <c r="Q2853" s="110" t="n"/>
      <c r="R2853" s="110" t="n"/>
      <c r="S2853" s="54" t="n"/>
      <c r="T2853" s="111">
        <f>IF($G2853="","",IFERROR(INDEX(Taux_Devises,MATCH(IF($M2853="",Devise_Base,$M2853),Codes_Devises,0)),1))</f>
        <v/>
      </c>
      <c r="U2853" s="112">
        <f>IF($G2853="","",ROUND($G2853*$T2853,2))</f>
        <v/>
      </c>
      <c r="V2853" s="113">
        <f>IF($B2853="","",MONTH($B2853))</f>
        <v/>
      </c>
      <c r="W2853" s="113">
        <f>IF($B2853="","",YEAR($B2853))</f>
        <v/>
      </c>
    </row>
    <row r="2854">
      <c r="B2854" s="105" t="n"/>
      <c r="C2854" s="54" t="n"/>
      <c r="D2854" s="54" t="n"/>
      <c r="E2854" s="54" t="n"/>
      <c r="F2854" s="54" t="n"/>
      <c r="G2854" s="65" t="n"/>
      <c r="H2854" s="54" t="n"/>
      <c r="I2854" s="106">
        <f>IF($C2854="","",IFERROR(INDEX(Sens_Types,MATCH($C2854,Liste_Types,0)),""))</f>
        <v/>
      </c>
      <c r="J2854" s="107">
        <f>IF($I2854="▲ ENTRÉE",$U2854,"")</f>
        <v/>
      </c>
      <c r="K2854" s="108">
        <f>IF($I2854="▼ SORTIE",$U2854,"")</f>
        <v/>
      </c>
      <c r="L2854" s="109">
        <f>$L2853+N($J2854)-N($K2854)</f>
        <v/>
      </c>
      <c r="M2854" s="110" t="n"/>
      <c r="N2854" s="54" t="n"/>
      <c r="O2854" s="54" t="n"/>
      <c r="P2854" s="54" t="n"/>
      <c r="Q2854" s="110" t="n"/>
      <c r="R2854" s="110" t="n"/>
      <c r="S2854" s="54" t="n"/>
      <c r="T2854" s="111">
        <f>IF($G2854="","",IFERROR(INDEX(Taux_Devises,MATCH(IF($M2854="",Devise_Base,$M2854),Codes_Devises,0)),1))</f>
        <v/>
      </c>
      <c r="U2854" s="112">
        <f>IF($G2854="","",ROUND($G2854*$T2854,2))</f>
        <v/>
      </c>
      <c r="V2854" s="113">
        <f>IF($B2854="","",MONTH($B2854))</f>
        <v/>
      </c>
      <c r="W2854" s="113">
        <f>IF($B2854="","",YEAR($B2854))</f>
        <v/>
      </c>
    </row>
    <row r="2855">
      <c r="B2855" s="105" t="n"/>
      <c r="C2855" s="54" t="n"/>
      <c r="D2855" s="54" t="n"/>
      <c r="E2855" s="54" t="n"/>
      <c r="F2855" s="54" t="n"/>
      <c r="G2855" s="65" t="n"/>
      <c r="H2855" s="54" t="n"/>
      <c r="I2855" s="106">
        <f>IF($C2855="","",IFERROR(INDEX(Sens_Types,MATCH($C2855,Liste_Types,0)),""))</f>
        <v/>
      </c>
      <c r="J2855" s="107">
        <f>IF($I2855="▲ ENTRÉE",$U2855,"")</f>
        <v/>
      </c>
      <c r="K2855" s="108">
        <f>IF($I2855="▼ SORTIE",$U2855,"")</f>
        <v/>
      </c>
      <c r="L2855" s="109">
        <f>$L2854+N($J2855)-N($K2855)</f>
        <v/>
      </c>
      <c r="M2855" s="110" t="n"/>
      <c r="N2855" s="54" t="n"/>
      <c r="O2855" s="54" t="n"/>
      <c r="P2855" s="54" t="n"/>
      <c r="Q2855" s="110" t="n"/>
      <c r="R2855" s="110" t="n"/>
      <c r="S2855" s="54" t="n"/>
      <c r="T2855" s="111">
        <f>IF($G2855="","",IFERROR(INDEX(Taux_Devises,MATCH(IF($M2855="",Devise_Base,$M2855),Codes_Devises,0)),1))</f>
        <v/>
      </c>
      <c r="U2855" s="112">
        <f>IF($G2855="","",ROUND($G2855*$T2855,2))</f>
        <v/>
      </c>
      <c r="V2855" s="113">
        <f>IF($B2855="","",MONTH($B2855))</f>
        <v/>
      </c>
      <c r="W2855" s="113">
        <f>IF($B2855="","",YEAR($B2855))</f>
        <v/>
      </c>
    </row>
    <row r="2856">
      <c r="B2856" s="105" t="n"/>
      <c r="C2856" s="54" t="n"/>
      <c r="D2856" s="54" t="n"/>
      <c r="E2856" s="54" t="n"/>
      <c r="F2856" s="54" t="n"/>
      <c r="G2856" s="65" t="n"/>
      <c r="H2856" s="54" t="n"/>
      <c r="I2856" s="106">
        <f>IF($C2856="","",IFERROR(INDEX(Sens_Types,MATCH($C2856,Liste_Types,0)),""))</f>
        <v/>
      </c>
      <c r="J2856" s="107">
        <f>IF($I2856="▲ ENTRÉE",$U2856,"")</f>
        <v/>
      </c>
      <c r="K2856" s="108">
        <f>IF($I2856="▼ SORTIE",$U2856,"")</f>
        <v/>
      </c>
      <c r="L2856" s="109">
        <f>$L2855+N($J2856)-N($K2856)</f>
        <v/>
      </c>
      <c r="M2856" s="110" t="n"/>
      <c r="N2856" s="54" t="n"/>
      <c r="O2856" s="54" t="n"/>
      <c r="P2856" s="54" t="n"/>
      <c r="Q2856" s="110" t="n"/>
      <c r="R2856" s="110" t="n"/>
      <c r="S2856" s="54" t="n"/>
      <c r="T2856" s="111">
        <f>IF($G2856="","",IFERROR(INDEX(Taux_Devises,MATCH(IF($M2856="",Devise_Base,$M2856),Codes_Devises,0)),1))</f>
        <v/>
      </c>
      <c r="U2856" s="112">
        <f>IF($G2856="","",ROUND($G2856*$T2856,2))</f>
        <v/>
      </c>
      <c r="V2856" s="113">
        <f>IF($B2856="","",MONTH($B2856))</f>
        <v/>
      </c>
      <c r="W2856" s="113">
        <f>IF($B2856="","",YEAR($B2856))</f>
        <v/>
      </c>
    </row>
    <row r="2857">
      <c r="B2857" s="105" t="n"/>
      <c r="C2857" s="54" t="n"/>
      <c r="D2857" s="54" t="n"/>
      <c r="E2857" s="54" t="n"/>
      <c r="F2857" s="54" t="n"/>
      <c r="G2857" s="65" t="n"/>
      <c r="H2857" s="54" t="n"/>
      <c r="I2857" s="106">
        <f>IF($C2857="","",IFERROR(INDEX(Sens_Types,MATCH($C2857,Liste_Types,0)),""))</f>
        <v/>
      </c>
      <c r="J2857" s="107">
        <f>IF($I2857="▲ ENTRÉE",$U2857,"")</f>
        <v/>
      </c>
      <c r="K2857" s="108">
        <f>IF($I2857="▼ SORTIE",$U2857,"")</f>
        <v/>
      </c>
      <c r="L2857" s="109">
        <f>$L2856+N($J2857)-N($K2857)</f>
        <v/>
      </c>
      <c r="M2857" s="110" t="n"/>
      <c r="N2857" s="54" t="n"/>
      <c r="O2857" s="54" t="n"/>
      <c r="P2857" s="54" t="n"/>
      <c r="Q2857" s="110" t="n"/>
      <c r="R2857" s="110" t="n"/>
      <c r="S2857" s="54" t="n"/>
      <c r="T2857" s="111">
        <f>IF($G2857="","",IFERROR(INDEX(Taux_Devises,MATCH(IF($M2857="",Devise_Base,$M2857),Codes_Devises,0)),1))</f>
        <v/>
      </c>
      <c r="U2857" s="112">
        <f>IF($G2857="","",ROUND($G2857*$T2857,2))</f>
        <v/>
      </c>
      <c r="V2857" s="113">
        <f>IF($B2857="","",MONTH($B2857))</f>
        <v/>
      </c>
      <c r="W2857" s="113">
        <f>IF($B2857="","",YEAR($B2857))</f>
        <v/>
      </c>
    </row>
    <row r="2858">
      <c r="B2858" s="105" t="n"/>
      <c r="C2858" s="54" t="n"/>
      <c r="D2858" s="54" t="n"/>
      <c r="E2858" s="54" t="n"/>
      <c r="F2858" s="54" t="n"/>
      <c r="G2858" s="65" t="n"/>
      <c r="H2858" s="54" t="n"/>
      <c r="I2858" s="106">
        <f>IF($C2858="","",IFERROR(INDEX(Sens_Types,MATCH($C2858,Liste_Types,0)),""))</f>
        <v/>
      </c>
      <c r="J2858" s="107">
        <f>IF($I2858="▲ ENTRÉE",$U2858,"")</f>
        <v/>
      </c>
      <c r="K2858" s="108">
        <f>IF($I2858="▼ SORTIE",$U2858,"")</f>
        <v/>
      </c>
      <c r="L2858" s="109">
        <f>$L2857+N($J2858)-N($K2858)</f>
        <v/>
      </c>
      <c r="M2858" s="110" t="n"/>
      <c r="N2858" s="54" t="n"/>
      <c r="O2858" s="54" t="n"/>
      <c r="P2858" s="54" t="n"/>
      <c r="Q2858" s="110" t="n"/>
      <c r="R2858" s="110" t="n"/>
      <c r="S2858" s="54" t="n"/>
      <c r="T2858" s="111">
        <f>IF($G2858="","",IFERROR(INDEX(Taux_Devises,MATCH(IF($M2858="",Devise_Base,$M2858),Codes_Devises,0)),1))</f>
        <v/>
      </c>
      <c r="U2858" s="112">
        <f>IF($G2858="","",ROUND($G2858*$T2858,2))</f>
        <v/>
      </c>
      <c r="V2858" s="113">
        <f>IF($B2858="","",MONTH($B2858))</f>
        <v/>
      </c>
      <c r="W2858" s="113">
        <f>IF($B2858="","",YEAR($B2858))</f>
        <v/>
      </c>
    </row>
    <row r="2859">
      <c r="B2859" s="105" t="n"/>
      <c r="C2859" s="54" t="n"/>
      <c r="D2859" s="54" t="n"/>
      <c r="E2859" s="54" t="n"/>
      <c r="F2859" s="54" t="n"/>
      <c r="G2859" s="65" t="n"/>
      <c r="H2859" s="54" t="n"/>
      <c r="I2859" s="106">
        <f>IF($C2859="","",IFERROR(INDEX(Sens_Types,MATCH($C2859,Liste_Types,0)),""))</f>
        <v/>
      </c>
      <c r="J2859" s="107">
        <f>IF($I2859="▲ ENTRÉE",$U2859,"")</f>
        <v/>
      </c>
      <c r="K2859" s="108">
        <f>IF($I2859="▼ SORTIE",$U2859,"")</f>
        <v/>
      </c>
      <c r="L2859" s="109">
        <f>$L2858+N($J2859)-N($K2859)</f>
        <v/>
      </c>
      <c r="M2859" s="110" t="n"/>
      <c r="N2859" s="54" t="n"/>
      <c r="O2859" s="54" t="n"/>
      <c r="P2859" s="54" t="n"/>
      <c r="Q2859" s="110" t="n"/>
      <c r="R2859" s="110" t="n"/>
      <c r="S2859" s="54" t="n"/>
      <c r="T2859" s="111">
        <f>IF($G2859="","",IFERROR(INDEX(Taux_Devises,MATCH(IF($M2859="",Devise_Base,$M2859),Codes_Devises,0)),1))</f>
        <v/>
      </c>
      <c r="U2859" s="112">
        <f>IF($G2859="","",ROUND($G2859*$T2859,2))</f>
        <v/>
      </c>
      <c r="V2859" s="113">
        <f>IF($B2859="","",MONTH($B2859))</f>
        <v/>
      </c>
      <c r="W2859" s="113">
        <f>IF($B2859="","",YEAR($B2859))</f>
        <v/>
      </c>
    </row>
    <row r="2860">
      <c r="B2860" s="105" t="n"/>
      <c r="C2860" s="54" t="n"/>
      <c r="D2860" s="54" t="n"/>
      <c r="E2860" s="54" t="n"/>
      <c r="F2860" s="54" t="n"/>
      <c r="G2860" s="65" t="n"/>
      <c r="H2860" s="54" t="n"/>
      <c r="I2860" s="106">
        <f>IF($C2860="","",IFERROR(INDEX(Sens_Types,MATCH($C2860,Liste_Types,0)),""))</f>
        <v/>
      </c>
      <c r="J2860" s="107">
        <f>IF($I2860="▲ ENTRÉE",$U2860,"")</f>
        <v/>
      </c>
      <c r="K2860" s="108">
        <f>IF($I2860="▼ SORTIE",$U2860,"")</f>
        <v/>
      </c>
      <c r="L2860" s="109">
        <f>$L2859+N($J2860)-N($K2860)</f>
        <v/>
      </c>
      <c r="M2860" s="110" t="n"/>
      <c r="N2860" s="54" t="n"/>
      <c r="O2860" s="54" t="n"/>
      <c r="P2860" s="54" t="n"/>
      <c r="Q2860" s="110" t="n"/>
      <c r="R2860" s="110" t="n"/>
      <c r="S2860" s="54" t="n"/>
      <c r="T2860" s="111">
        <f>IF($G2860="","",IFERROR(INDEX(Taux_Devises,MATCH(IF($M2860="",Devise_Base,$M2860),Codes_Devises,0)),1))</f>
        <v/>
      </c>
      <c r="U2860" s="112">
        <f>IF($G2860="","",ROUND($G2860*$T2860,2))</f>
        <v/>
      </c>
      <c r="V2860" s="113">
        <f>IF($B2860="","",MONTH($B2860))</f>
        <v/>
      </c>
      <c r="W2860" s="113">
        <f>IF($B2860="","",YEAR($B2860))</f>
        <v/>
      </c>
    </row>
    <row r="2861">
      <c r="B2861" s="105" t="n"/>
      <c r="C2861" s="54" t="n"/>
      <c r="D2861" s="54" t="n"/>
      <c r="E2861" s="54" t="n"/>
      <c r="F2861" s="54" t="n"/>
      <c r="G2861" s="65" t="n"/>
      <c r="H2861" s="54" t="n"/>
      <c r="I2861" s="106">
        <f>IF($C2861="","",IFERROR(INDEX(Sens_Types,MATCH($C2861,Liste_Types,0)),""))</f>
        <v/>
      </c>
      <c r="J2861" s="107">
        <f>IF($I2861="▲ ENTRÉE",$U2861,"")</f>
        <v/>
      </c>
      <c r="K2861" s="108">
        <f>IF($I2861="▼ SORTIE",$U2861,"")</f>
        <v/>
      </c>
      <c r="L2861" s="109">
        <f>$L2860+N($J2861)-N($K2861)</f>
        <v/>
      </c>
      <c r="M2861" s="110" t="n"/>
      <c r="N2861" s="54" t="n"/>
      <c r="O2861" s="54" t="n"/>
      <c r="P2861" s="54" t="n"/>
      <c r="Q2861" s="110" t="n"/>
      <c r="R2861" s="110" t="n"/>
      <c r="S2861" s="54" t="n"/>
      <c r="T2861" s="111">
        <f>IF($G2861="","",IFERROR(INDEX(Taux_Devises,MATCH(IF($M2861="",Devise_Base,$M2861),Codes_Devises,0)),1))</f>
        <v/>
      </c>
      <c r="U2861" s="112">
        <f>IF($G2861="","",ROUND($G2861*$T2861,2))</f>
        <v/>
      </c>
      <c r="V2861" s="113">
        <f>IF($B2861="","",MONTH($B2861))</f>
        <v/>
      </c>
      <c r="W2861" s="113">
        <f>IF($B2861="","",YEAR($B2861))</f>
        <v/>
      </c>
    </row>
    <row r="2862">
      <c r="B2862" s="105" t="n"/>
      <c r="C2862" s="54" t="n"/>
      <c r="D2862" s="54" t="n"/>
      <c r="E2862" s="54" t="n"/>
      <c r="F2862" s="54" t="n"/>
      <c r="G2862" s="65" t="n"/>
      <c r="H2862" s="54" t="n"/>
      <c r="I2862" s="106">
        <f>IF($C2862="","",IFERROR(INDEX(Sens_Types,MATCH($C2862,Liste_Types,0)),""))</f>
        <v/>
      </c>
      <c r="J2862" s="107">
        <f>IF($I2862="▲ ENTRÉE",$U2862,"")</f>
        <v/>
      </c>
      <c r="K2862" s="108">
        <f>IF($I2862="▼ SORTIE",$U2862,"")</f>
        <v/>
      </c>
      <c r="L2862" s="109">
        <f>$L2861+N($J2862)-N($K2862)</f>
        <v/>
      </c>
      <c r="M2862" s="110" t="n"/>
      <c r="N2862" s="54" t="n"/>
      <c r="O2862" s="54" t="n"/>
      <c r="P2862" s="54" t="n"/>
      <c r="Q2862" s="110" t="n"/>
      <c r="R2862" s="110" t="n"/>
      <c r="S2862" s="54" t="n"/>
      <c r="T2862" s="111">
        <f>IF($G2862="","",IFERROR(INDEX(Taux_Devises,MATCH(IF($M2862="",Devise_Base,$M2862),Codes_Devises,0)),1))</f>
        <v/>
      </c>
      <c r="U2862" s="112">
        <f>IF($G2862="","",ROUND($G2862*$T2862,2))</f>
        <v/>
      </c>
      <c r="V2862" s="113">
        <f>IF($B2862="","",MONTH($B2862))</f>
        <v/>
      </c>
      <c r="W2862" s="113">
        <f>IF($B2862="","",YEAR($B2862))</f>
        <v/>
      </c>
    </row>
    <row r="2863">
      <c r="B2863" s="105" t="n"/>
      <c r="C2863" s="54" t="n"/>
      <c r="D2863" s="54" t="n"/>
      <c r="E2863" s="54" t="n"/>
      <c r="F2863" s="54" t="n"/>
      <c r="G2863" s="65" t="n"/>
      <c r="H2863" s="54" t="n"/>
      <c r="I2863" s="106">
        <f>IF($C2863="","",IFERROR(INDEX(Sens_Types,MATCH($C2863,Liste_Types,0)),""))</f>
        <v/>
      </c>
      <c r="J2863" s="107">
        <f>IF($I2863="▲ ENTRÉE",$U2863,"")</f>
        <v/>
      </c>
      <c r="K2863" s="108">
        <f>IF($I2863="▼ SORTIE",$U2863,"")</f>
        <v/>
      </c>
      <c r="L2863" s="109">
        <f>$L2862+N($J2863)-N($K2863)</f>
        <v/>
      </c>
      <c r="M2863" s="110" t="n"/>
      <c r="N2863" s="54" t="n"/>
      <c r="O2863" s="54" t="n"/>
      <c r="P2863" s="54" t="n"/>
      <c r="Q2863" s="110" t="n"/>
      <c r="R2863" s="110" t="n"/>
      <c r="S2863" s="54" t="n"/>
      <c r="T2863" s="111">
        <f>IF($G2863="","",IFERROR(INDEX(Taux_Devises,MATCH(IF($M2863="",Devise_Base,$M2863),Codes_Devises,0)),1))</f>
        <v/>
      </c>
      <c r="U2863" s="112">
        <f>IF($G2863="","",ROUND($G2863*$T2863,2))</f>
        <v/>
      </c>
      <c r="V2863" s="113">
        <f>IF($B2863="","",MONTH($B2863))</f>
        <v/>
      </c>
      <c r="W2863" s="113">
        <f>IF($B2863="","",YEAR($B2863))</f>
        <v/>
      </c>
    </row>
    <row r="2864">
      <c r="B2864" s="105" t="n"/>
      <c r="C2864" s="54" t="n"/>
      <c r="D2864" s="54" t="n"/>
      <c r="E2864" s="54" t="n"/>
      <c r="F2864" s="54" t="n"/>
      <c r="G2864" s="65" t="n"/>
      <c r="H2864" s="54" t="n"/>
      <c r="I2864" s="106">
        <f>IF($C2864="","",IFERROR(INDEX(Sens_Types,MATCH($C2864,Liste_Types,0)),""))</f>
        <v/>
      </c>
      <c r="J2864" s="107">
        <f>IF($I2864="▲ ENTRÉE",$U2864,"")</f>
        <v/>
      </c>
      <c r="K2864" s="108">
        <f>IF($I2864="▼ SORTIE",$U2864,"")</f>
        <v/>
      </c>
      <c r="L2864" s="109">
        <f>$L2863+N($J2864)-N($K2864)</f>
        <v/>
      </c>
      <c r="M2864" s="110" t="n"/>
      <c r="N2864" s="54" t="n"/>
      <c r="O2864" s="54" t="n"/>
      <c r="P2864" s="54" t="n"/>
      <c r="Q2864" s="110" t="n"/>
      <c r="R2864" s="110" t="n"/>
      <c r="S2864" s="54" t="n"/>
      <c r="T2864" s="111">
        <f>IF($G2864="","",IFERROR(INDEX(Taux_Devises,MATCH(IF($M2864="",Devise_Base,$M2864),Codes_Devises,0)),1))</f>
        <v/>
      </c>
      <c r="U2864" s="112">
        <f>IF($G2864="","",ROUND($G2864*$T2864,2))</f>
        <v/>
      </c>
      <c r="V2864" s="113">
        <f>IF($B2864="","",MONTH($B2864))</f>
        <v/>
      </c>
      <c r="W2864" s="113">
        <f>IF($B2864="","",YEAR($B2864))</f>
        <v/>
      </c>
    </row>
    <row r="2865">
      <c r="B2865" s="105" t="n"/>
      <c r="C2865" s="54" t="n"/>
      <c r="D2865" s="54" t="n"/>
      <c r="E2865" s="54" t="n"/>
      <c r="F2865" s="54" t="n"/>
      <c r="G2865" s="65" t="n"/>
      <c r="H2865" s="54" t="n"/>
      <c r="I2865" s="106">
        <f>IF($C2865="","",IFERROR(INDEX(Sens_Types,MATCH($C2865,Liste_Types,0)),""))</f>
        <v/>
      </c>
      <c r="J2865" s="107">
        <f>IF($I2865="▲ ENTRÉE",$U2865,"")</f>
        <v/>
      </c>
      <c r="K2865" s="108">
        <f>IF($I2865="▼ SORTIE",$U2865,"")</f>
        <v/>
      </c>
      <c r="L2865" s="109">
        <f>$L2864+N($J2865)-N($K2865)</f>
        <v/>
      </c>
      <c r="M2865" s="110" t="n"/>
      <c r="N2865" s="54" t="n"/>
      <c r="O2865" s="54" t="n"/>
      <c r="P2865" s="54" t="n"/>
      <c r="Q2865" s="110" t="n"/>
      <c r="R2865" s="110" t="n"/>
      <c r="S2865" s="54" t="n"/>
      <c r="T2865" s="111">
        <f>IF($G2865="","",IFERROR(INDEX(Taux_Devises,MATCH(IF($M2865="",Devise_Base,$M2865),Codes_Devises,0)),1))</f>
        <v/>
      </c>
      <c r="U2865" s="112">
        <f>IF($G2865="","",ROUND($G2865*$T2865,2))</f>
        <v/>
      </c>
      <c r="V2865" s="113">
        <f>IF($B2865="","",MONTH($B2865))</f>
        <v/>
      </c>
      <c r="W2865" s="113">
        <f>IF($B2865="","",YEAR($B2865))</f>
        <v/>
      </c>
    </row>
    <row r="2866">
      <c r="B2866" s="105" t="n"/>
      <c r="C2866" s="54" t="n"/>
      <c r="D2866" s="54" t="n"/>
      <c r="E2866" s="54" t="n"/>
      <c r="F2866" s="54" t="n"/>
      <c r="G2866" s="65" t="n"/>
      <c r="H2866" s="54" t="n"/>
      <c r="I2866" s="106">
        <f>IF($C2866="","",IFERROR(INDEX(Sens_Types,MATCH($C2866,Liste_Types,0)),""))</f>
        <v/>
      </c>
      <c r="J2866" s="107">
        <f>IF($I2866="▲ ENTRÉE",$U2866,"")</f>
        <v/>
      </c>
      <c r="K2866" s="108">
        <f>IF($I2866="▼ SORTIE",$U2866,"")</f>
        <v/>
      </c>
      <c r="L2866" s="109">
        <f>$L2865+N($J2866)-N($K2866)</f>
        <v/>
      </c>
      <c r="M2866" s="110" t="n"/>
      <c r="N2866" s="54" t="n"/>
      <c r="O2866" s="54" t="n"/>
      <c r="P2866" s="54" t="n"/>
      <c r="Q2866" s="110" t="n"/>
      <c r="R2866" s="110" t="n"/>
      <c r="S2866" s="54" t="n"/>
      <c r="T2866" s="111">
        <f>IF($G2866="","",IFERROR(INDEX(Taux_Devises,MATCH(IF($M2866="",Devise_Base,$M2866),Codes_Devises,0)),1))</f>
        <v/>
      </c>
      <c r="U2866" s="112">
        <f>IF($G2866="","",ROUND($G2866*$T2866,2))</f>
        <v/>
      </c>
      <c r="V2866" s="113">
        <f>IF($B2866="","",MONTH($B2866))</f>
        <v/>
      </c>
      <c r="W2866" s="113">
        <f>IF($B2866="","",YEAR($B2866))</f>
        <v/>
      </c>
    </row>
    <row r="2867">
      <c r="B2867" s="105" t="n"/>
      <c r="C2867" s="54" t="n"/>
      <c r="D2867" s="54" t="n"/>
      <c r="E2867" s="54" t="n"/>
      <c r="F2867" s="54" t="n"/>
      <c r="G2867" s="65" t="n"/>
      <c r="H2867" s="54" t="n"/>
      <c r="I2867" s="106">
        <f>IF($C2867="","",IFERROR(INDEX(Sens_Types,MATCH($C2867,Liste_Types,0)),""))</f>
        <v/>
      </c>
      <c r="J2867" s="107">
        <f>IF($I2867="▲ ENTRÉE",$U2867,"")</f>
        <v/>
      </c>
      <c r="K2867" s="108">
        <f>IF($I2867="▼ SORTIE",$U2867,"")</f>
        <v/>
      </c>
      <c r="L2867" s="109">
        <f>$L2866+N($J2867)-N($K2867)</f>
        <v/>
      </c>
      <c r="M2867" s="110" t="n"/>
      <c r="N2867" s="54" t="n"/>
      <c r="O2867" s="54" t="n"/>
      <c r="P2867" s="54" t="n"/>
      <c r="Q2867" s="110" t="n"/>
      <c r="R2867" s="110" t="n"/>
      <c r="S2867" s="54" t="n"/>
      <c r="T2867" s="111">
        <f>IF($G2867="","",IFERROR(INDEX(Taux_Devises,MATCH(IF($M2867="",Devise_Base,$M2867),Codes_Devises,0)),1))</f>
        <v/>
      </c>
      <c r="U2867" s="112">
        <f>IF($G2867="","",ROUND($G2867*$T2867,2))</f>
        <v/>
      </c>
      <c r="V2867" s="113">
        <f>IF($B2867="","",MONTH($B2867))</f>
        <v/>
      </c>
      <c r="W2867" s="113">
        <f>IF($B2867="","",YEAR($B2867))</f>
        <v/>
      </c>
    </row>
    <row r="2868">
      <c r="B2868" s="105" t="n"/>
      <c r="C2868" s="54" t="n"/>
      <c r="D2868" s="54" t="n"/>
      <c r="E2868" s="54" t="n"/>
      <c r="F2868" s="54" t="n"/>
      <c r="G2868" s="65" t="n"/>
      <c r="H2868" s="54" t="n"/>
      <c r="I2868" s="106">
        <f>IF($C2868="","",IFERROR(INDEX(Sens_Types,MATCH($C2868,Liste_Types,0)),""))</f>
        <v/>
      </c>
      <c r="J2868" s="107">
        <f>IF($I2868="▲ ENTRÉE",$U2868,"")</f>
        <v/>
      </c>
      <c r="K2868" s="108">
        <f>IF($I2868="▼ SORTIE",$U2868,"")</f>
        <v/>
      </c>
      <c r="L2868" s="109">
        <f>$L2867+N($J2868)-N($K2868)</f>
        <v/>
      </c>
      <c r="M2868" s="110" t="n"/>
      <c r="N2868" s="54" t="n"/>
      <c r="O2868" s="54" t="n"/>
      <c r="P2868" s="54" t="n"/>
      <c r="Q2868" s="110" t="n"/>
      <c r="R2868" s="110" t="n"/>
      <c r="S2868" s="54" t="n"/>
      <c r="T2868" s="111">
        <f>IF($G2868="","",IFERROR(INDEX(Taux_Devises,MATCH(IF($M2868="",Devise_Base,$M2868),Codes_Devises,0)),1))</f>
        <v/>
      </c>
      <c r="U2868" s="112">
        <f>IF($G2868="","",ROUND($G2868*$T2868,2))</f>
        <v/>
      </c>
      <c r="V2868" s="113">
        <f>IF($B2868="","",MONTH($B2868))</f>
        <v/>
      </c>
      <c r="W2868" s="113">
        <f>IF($B2868="","",YEAR($B2868))</f>
        <v/>
      </c>
    </row>
    <row r="2869">
      <c r="B2869" s="105" t="n"/>
      <c r="C2869" s="54" t="n"/>
      <c r="D2869" s="54" t="n"/>
      <c r="E2869" s="54" t="n"/>
      <c r="F2869" s="54" t="n"/>
      <c r="G2869" s="65" t="n"/>
      <c r="H2869" s="54" t="n"/>
      <c r="I2869" s="106">
        <f>IF($C2869="","",IFERROR(INDEX(Sens_Types,MATCH($C2869,Liste_Types,0)),""))</f>
        <v/>
      </c>
      <c r="J2869" s="107">
        <f>IF($I2869="▲ ENTRÉE",$U2869,"")</f>
        <v/>
      </c>
      <c r="K2869" s="108">
        <f>IF($I2869="▼ SORTIE",$U2869,"")</f>
        <v/>
      </c>
      <c r="L2869" s="109">
        <f>$L2868+N($J2869)-N($K2869)</f>
        <v/>
      </c>
      <c r="M2869" s="110" t="n"/>
      <c r="N2869" s="54" t="n"/>
      <c r="O2869" s="54" t="n"/>
      <c r="P2869" s="54" t="n"/>
      <c r="Q2869" s="110" t="n"/>
      <c r="R2869" s="110" t="n"/>
      <c r="S2869" s="54" t="n"/>
      <c r="T2869" s="111">
        <f>IF($G2869="","",IFERROR(INDEX(Taux_Devises,MATCH(IF($M2869="",Devise_Base,$M2869),Codes_Devises,0)),1))</f>
        <v/>
      </c>
      <c r="U2869" s="112">
        <f>IF($G2869="","",ROUND($G2869*$T2869,2))</f>
        <v/>
      </c>
      <c r="V2869" s="113">
        <f>IF($B2869="","",MONTH($B2869))</f>
        <v/>
      </c>
      <c r="W2869" s="113">
        <f>IF($B2869="","",YEAR($B2869))</f>
        <v/>
      </c>
    </row>
    <row r="2870">
      <c r="B2870" s="105" t="n"/>
      <c r="C2870" s="54" t="n"/>
      <c r="D2870" s="54" t="n"/>
      <c r="E2870" s="54" t="n"/>
      <c r="F2870" s="54" t="n"/>
      <c r="G2870" s="65" t="n"/>
      <c r="H2870" s="54" t="n"/>
      <c r="I2870" s="106">
        <f>IF($C2870="","",IFERROR(INDEX(Sens_Types,MATCH($C2870,Liste_Types,0)),""))</f>
        <v/>
      </c>
      <c r="J2870" s="107">
        <f>IF($I2870="▲ ENTRÉE",$U2870,"")</f>
        <v/>
      </c>
      <c r="K2870" s="108">
        <f>IF($I2870="▼ SORTIE",$U2870,"")</f>
        <v/>
      </c>
      <c r="L2870" s="109">
        <f>$L2869+N($J2870)-N($K2870)</f>
        <v/>
      </c>
      <c r="M2870" s="110" t="n"/>
      <c r="N2870" s="54" t="n"/>
      <c r="O2870" s="54" t="n"/>
      <c r="P2870" s="54" t="n"/>
      <c r="Q2870" s="110" t="n"/>
      <c r="R2870" s="110" t="n"/>
      <c r="S2870" s="54" t="n"/>
      <c r="T2870" s="111">
        <f>IF($G2870="","",IFERROR(INDEX(Taux_Devises,MATCH(IF($M2870="",Devise_Base,$M2870),Codes_Devises,0)),1))</f>
        <v/>
      </c>
      <c r="U2870" s="112">
        <f>IF($G2870="","",ROUND($G2870*$T2870,2))</f>
        <v/>
      </c>
      <c r="V2870" s="113">
        <f>IF($B2870="","",MONTH($B2870))</f>
        <v/>
      </c>
      <c r="W2870" s="113">
        <f>IF($B2870="","",YEAR($B2870))</f>
        <v/>
      </c>
    </row>
    <row r="2871">
      <c r="B2871" s="105" t="n"/>
      <c r="C2871" s="54" t="n"/>
      <c r="D2871" s="54" t="n"/>
      <c r="E2871" s="54" t="n"/>
      <c r="F2871" s="54" t="n"/>
      <c r="G2871" s="65" t="n"/>
      <c r="H2871" s="54" t="n"/>
      <c r="I2871" s="106">
        <f>IF($C2871="","",IFERROR(INDEX(Sens_Types,MATCH($C2871,Liste_Types,0)),""))</f>
        <v/>
      </c>
      <c r="J2871" s="107">
        <f>IF($I2871="▲ ENTRÉE",$U2871,"")</f>
        <v/>
      </c>
      <c r="K2871" s="108">
        <f>IF($I2871="▼ SORTIE",$U2871,"")</f>
        <v/>
      </c>
      <c r="L2871" s="109">
        <f>$L2870+N($J2871)-N($K2871)</f>
        <v/>
      </c>
      <c r="M2871" s="110" t="n"/>
      <c r="N2871" s="54" t="n"/>
      <c r="O2871" s="54" t="n"/>
      <c r="P2871" s="54" t="n"/>
      <c r="Q2871" s="110" t="n"/>
      <c r="R2871" s="110" t="n"/>
      <c r="S2871" s="54" t="n"/>
      <c r="T2871" s="111">
        <f>IF($G2871="","",IFERROR(INDEX(Taux_Devises,MATCH(IF($M2871="",Devise_Base,$M2871),Codes_Devises,0)),1))</f>
        <v/>
      </c>
      <c r="U2871" s="112">
        <f>IF($G2871="","",ROUND($G2871*$T2871,2))</f>
        <v/>
      </c>
      <c r="V2871" s="113">
        <f>IF($B2871="","",MONTH($B2871))</f>
        <v/>
      </c>
      <c r="W2871" s="113">
        <f>IF($B2871="","",YEAR($B2871))</f>
        <v/>
      </c>
    </row>
    <row r="2872">
      <c r="B2872" s="105" t="n"/>
      <c r="C2872" s="54" t="n"/>
      <c r="D2872" s="54" t="n"/>
      <c r="E2872" s="54" t="n"/>
      <c r="F2872" s="54" t="n"/>
      <c r="G2872" s="65" t="n"/>
      <c r="H2872" s="54" t="n"/>
      <c r="I2872" s="106">
        <f>IF($C2872="","",IFERROR(INDEX(Sens_Types,MATCH($C2872,Liste_Types,0)),""))</f>
        <v/>
      </c>
      <c r="J2872" s="107">
        <f>IF($I2872="▲ ENTRÉE",$U2872,"")</f>
        <v/>
      </c>
      <c r="K2872" s="108">
        <f>IF($I2872="▼ SORTIE",$U2872,"")</f>
        <v/>
      </c>
      <c r="L2872" s="109">
        <f>$L2871+N($J2872)-N($K2872)</f>
        <v/>
      </c>
      <c r="M2872" s="110" t="n"/>
      <c r="N2872" s="54" t="n"/>
      <c r="O2872" s="54" t="n"/>
      <c r="P2872" s="54" t="n"/>
      <c r="Q2872" s="110" t="n"/>
      <c r="R2872" s="110" t="n"/>
      <c r="S2872" s="54" t="n"/>
      <c r="T2872" s="111">
        <f>IF($G2872="","",IFERROR(INDEX(Taux_Devises,MATCH(IF($M2872="",Devise_Base,$M2872),Codes_Devises,0)),1))</f>
        <v/>
      </c>
      <c r="U2872" s="112">
        <f>IF($G2872="","",ROUND($G2872*$T2872,2))</f>
        <v/>
      </c>
      <c r="V2872" s="113">
        <f>IF($B2872="","",MONTH($B2872))</f>
        <v/>
      </c>
      <c r="W2872" s="113">
        <f>IF($B2872="","",YEAR($B2872))</f>
        <v/>
      </c>
    </row>
    <row r="2873">
      <c r="B2873" s="105" t="n"/>
      <c r="C2873" s="54" t="n"/>
      <c r="D2873" s="54" t="n"/>
      <c r="E2873" s="54" t="n"/>
      <c r="F2873" s="54" t="n"/>
      <c r="G2873" s="65" t="n"/>
      <c r="H2873" s="54" t="n"/>
      <c r="I2873" s="106">
        <f>IF($C2873="","",IFERROR(INDEX(Sens_Types,MATCH($C2873,Liste_Types,0)),""))</f>
        <v/>
      </c>
      <c r="J2873" s="107">
        <f>IF($I2873="▲ ENTRÉE",$U2873,"")</f>
        <v/>
      </c>
      <c r="K2873" s="108">
        <f>IF($I2873="▼ SORTIE",$U2873,"")</f>
        <v/>
      </c>
      <c r="L2873" s="109">
        <f>$L2872+N($J2873)-N($K2873)</f>
        <v/>
      </c>
      <c r="M2873" s="110" t="n"/>
      <c r="N2873" s="54" t="n"/>
      <c r="O2873" s="54" t="n"/>
      <c r="P2873" s="54" t="n"/>
      <c r="Q2873" s="110" t="n"/>
      <c r="R2873" s="110" t="n"/>
      <c r="S2873" s="54" t="n"/>
      <c r="T2873" s="111">
        <f>IF($G2873="","",IFERROR(INDEX(Taux_Devises,MATCH(IF($M2873="",Devise_Base,$M2873),Codes_Devises,0)),1))</f>
        <v/>
      </c>
      <c r="U2873" s="112">
        <f>IF($G2873="","",ROUND($G2873*$T2873,2))</f>
        <v/>
      </c>
      <c r="V2873" s="113">
        <f>IF($B2873="","",MONTH($B2873))</f>
        <v/>
      </c>
      <c r="W2873" s="113">
        <f>IF($B2873="","",YEAR($B2873))</f>
        <v/>
      </c>
    </row>
    <row r="2874">
      <c r="B2874" s="105" t="n"/>
      <c r="C2874" s="54" t="n"/>
      <c r="D2874" s="54" t="n"/>
      <c r="E2874" s="54" t="n"/>
      <c r="F2874" s="54" t="n"/>
      <c r="G2874" s="65" t="n"/>
      <c r="H2874" s="54" t="n"/>
      <c r="I2874" s="106">
        <f>IF($C2874="","",IFERROR(INDEX(Sens_Types,MATCH($C2874,Liste_Types,0)),""))</f>
        <v/>
      </c>
      <c r="J2874" s="107">
        <f>IF($I2874="▲ ENTRÉE",$U2874,"")</f>
        <v/>
      </c>
      <c r="K2874" s="108">
        <f>IF($I2874="▼ SORTIE",$U2874,"")</f>
        <v/>
      </c>
      <c r="L2874" s="109">
        <f>$L2873+N($J2874)-N($K2874)</f>
        <v/>
      </c>
      <c r="M2874" s="110" t="n"/>
      <c r="N2874" s="54" t="n"/>
      <c r="O2874" s="54" t="n"/>
      <c r="P2874" s="54" t="n"/>
      <c r="Q2874" s="110" t="n"/>
      <c r="R2874" s="110" t="n"/>
      <c r="S2874" s="54" t="n"/>
      <c r="T2874" s="111">
        <f>IF($G2874="","",IFERROR(INDEX(Taux_Devises,MATCH(IF($M2874="",Devise_Base,$M2874),Codes_Devises,0)),1))</f>
        <v/>
      </c>
      <c r="U2874" s="112">
        <f>IF($G2874="","",ROUND($G2874*$T2874,2))</f>
        <v/>
      </c>
      <c r="V2874" s="113">
        <f>IF($B2874="","",MONTH($B2874))</f>
        <v/>
      </c>
      <c r="W2874" s="113">
        <f>IF($B2874="","",YEAR($B2874))</f>
        <v/>
      </c>
    </row>
    <row r="2875">
      <c r="B2875" s="105" t="n"/>
      <c r="C2875" s="54" t="n"/>
      <c r="D2875" s="54" t="n"/>
      <c r="E2875" s="54" t="n"/>
      <c r="F2875" s="54" t="n"/>
      <c r="G2875" s="65" t="n"/>
      <c r="H2875" s="54" t="n"/>
      <c r="I2875" s="106">
        <f>IF($C2875="","",IFERROR(INDEX(Sens_Types,MATCH($C2875,Liste_Types,0)),""))</f>
        <v/>
      </c>
      <c r="J2875" s="107">
        <f>IF($I2875="▲ ENTRÉE",$U2875,"")</f>
        <v/>
      </c>
      <c r="K2875" s="108">
        <f>IF($I2875="▼ SORTIE",$U2875,"")</f>
        <v/>
      </c>
      <c r="L2875" s="109">
        <f>$L2874+N($J2875)-N($K2875)</f>
        <v/>
      </c>
      <c r="M2875" s="110" t="n"/>
      <c r="N2875" s="54" t="n"/>
      <c r="O2875" s="54" t="n"/>
      <c r="P2875" s="54" t="n"/>
      <c r="Q2875" s="110" t="n"/>
      <c r="R2875" s="110" t="n"/>
      <c r="S2875" s="54" t="n"/>
      <c r="T2875" s="111">
        <f>IF($G2875="","",IFERROR(INDEX(Taux_Devises,MATCH(IF($M2875="",Devise_Base,$M2875),Codes_Devises,0)),1))</f>
        <v/>
      </c>
      <c r="U2875" s="112">
        <f>IF($G2875="","",ROUND($G2875*$T2875,2))</f>
        <v/>
      </c>
      <c r="V2875" s="113">
        <f>IF($B2875="","",MONTH($B2875))</f>
        <v/>
      </c>
      <c r="W2875" s="113">
        <f>IF($B2875="","",YEAR($B2875))</f>
        <v/>
      </c>
    </row>
    <row r="2876">
      <c r="B2876" s="105" t="n"/>
      <c r="C2876" s="54" t="n"/>
      <c r="D2876" s="54" t="n"/>
      <c r="E2876" s="54" t="n"/>
      <c r="F2876" s="54" t="n"/>
      <c r="G2876" s="65" t="n"/>
      <c r="H2876" s="54" t="n"/>
      <c r="I2876" s="106">
        <f>IF($C2876="","",IFERROR(INDEX(Sens_Types,MATCH($C2876,Liste_Types,0)),""))</f>
        <v/>
      </c>
      <c r="J2876" s="107">
        <f>IF($I2876="▲ ENTRÉE",$U2876,"")</f>
        <v/>
      </c>
      <c r="K2876" s="108">
        <f>IF($I2876="▼ SORTIE",$U2876,"")</f>
        <v/>
      </c>
      <c r="L2876" s="109">
        <f>$L2875+N($J2876)-N($K2876)</f>
        <v/>
      </c>
      <c r="M2876" s="110" t="n"/>
      <c r="N2876" s="54" t="n"/>
      <c r="O2876" s="54" t="n"/>
      <c r="P2876" s="54" t="n"/>
      <c r="Q2876" s="110" t="n"/>
      <c r="R2876" s="110" t="n"/>
      <c r="S2876" s="54" t="n"/>
      <c r="T2876" s="111">
        <f>IF($G2876="","",IFERROR(INDEX(Taux_Devises,MATCH(IF($M2876="",Devise_Base,$M2876),Codes_Devises,0)),1))</f>
        <v/>
      </c>
      <c r="U2876" s="112">
        <f>IF($G2876="","",ROUND($G2876*$T2876,2))</f>
        <v/>
      </c>
      <c r="V2876" s="113">
        <f>IF($B2876="","",MONTH($B2876))</f>
        <v/>
      </c>
      <c r="W2876" s="113">
        <f>IF($B2876="","",YEAR($B2876))</f>
        <v/>
      </c>
    </row>
    <row r="2877">
      <c r="B2877" s="105" t="n"/>
      <c r="C2877" s="54" t="n"/>
      <c r="D2877" s="54" t="n"/>
      <c r="E2877" s="54" t="n"/>
      <c r="F2877" s="54" t="n"/>
      <c r="G2877" s="65" t="n"/>
      <c r="H2877" s="54" t="n"/>
      <c r="I2877" s="106">
        <f>IF($C2877="","",IFERROR(INDEX(Sens_Types,MATCH($C2877,Liste_Types,0)),""))</f>
        <v/>
      </c>
      <c r="J2877" s="107">
        <f>IF($I2877="▲ ENTRÉE",$U2877,"")</f>
        <v/>
      </c>
      <c r="K2877" s="108">
        <f>IF($I2877="▼ SORTIE",$U2877,"")</f>
        <v/>
      </c>
      <c r="L2877" s="109">
        <f>$L2876+N($J2877)-N($K2877)</f>
        <v/>
      </c>
      <c r="M2877" s="110" t="n"/>
      <c r="N2877" s="54" t="n"/>
      <c r="O2877" s="54" t="n"/>
      <c r="P2877" s="54" t="n"/>
      <c r="Q2877" s="110" t="n"/>
      <c r="R2877" s="110" t="n"/>
      <c r="S2877" s="54" t="n"/>
      <c r="T2877" s="111">
        <f>IF($G2877="","",IFERROR(INDEX(Taux_Devises,MATCH(IF($M2877="",Devise_Base,$M2877),Codes_Devises,0)),1))</f>
        <v/>
      </c>
      <c r="U2877" s="112">
        <f>IF($G2877="","",ROUND($G2877*$T2877,2))</f>
        <v/>
      </c>
      <c r="V2877" s="113">
        <f>IF($B2877="","",MONTH($B2877))</f>
        <v/>
      </c>
      <c r="W2877" s="113">
        <f>IF($B2877="","",YEAR($B2877))</f>
        <v/>
      </c>
    </row>
    <row r="2878">
      <c r="B2878" s="105" t="n"/>
      <c r="C2878" s="54" t="n"/>
      <c r="D2878" s="54" t="n"/>
      <c r="E2878" s="54" t="n"/>
      <c r="F2878" s="54" t="n"/>
      <c r="G2878" s="65" t="n"/>
      <c r="H2878" s="54" t="n"/>
      <c r="I2878" s="106">
        <f>IF($C2878="","",IFERROR(INDEX(Sens_Types,MATCH($C2878,Liste_Types,0)),""))</f>
        <v/>
      </c>
      <c r="J2878" s="107">
        <f>IF($I2878="▲ ENTRÉE",$U2878,"")</f>
        <v/>
      </c>
      <c r="K2878" s="108">
        <f>IF($I2878="▼ SORTIE",$U2878,"")</f>
        <v/>
      </c>
      <c r="L2878" s="109">
        <f>$L2877+N($J2878)-N($K2878)</f>
        <v/>
      </c>
      <c r="M2878" s="110" t="n"/>
      <c r="N2878" s="54" t="n"/>
      <c r="O2878" s="54" t="n"/>
      <c r="P2878" s="54" t="n"/>
      <c r="Q2878" s="110" t="n"/>
      <c r="R2878" s="110" t="n"/>
      <c r="S2878" s="54" t="n"/>
      <c r="T2878" s="111">
        <f>IF($G2878="","",IFERROR(INDEX(Taux_Devises,MATCH(IF($M2878="",Devise_Base,$M2878),Codes_Devises,0)),1))</f>
        <v/>
      </c>
      <c r="U2878" s="112">
        <f>IF($G2878="","",ROUND($G2878*$T2878,2))</f>
        <v/>
      </c>
      <c r="V2878" s="113">
        <f>IF($B2878="","",MONTH($B2878))</f>
        <v/>
      </c>
      <c r="W2878" s="113">
        <f>IF($B2878="","",YEAR($B2878))</f>
        <v/>
      </c>
    </row>
    <row r="2879">
      <c r="B2879" s="105" t="n"/>
      <c r="C2879" s="54" t="n"/>
      <c r="D2879" s="54" t="n"/>
      <c r="E2879" s="54" t="n"/>
      <c r="F2879" s="54" t="n"/>
      <c r="G2879" s="65" t="n"/>
      <c r="H2879" s="54" t="n"/>
      <c r="I2879" s="106">
        <f>IF($C2879="","",IFERROR(INDEX(Sens_Types,MATCH($C2879,Liste_Types,0)),""))</f>
        <v/>
      </c>
      <c r="J2879" s="107">
        <f>IF($I2879="▲ ENTRÉE",$U2879,"")</f>
        <v/>
      </c>
      <c r="K2879" s="108">
        <f>IF($I2879="▼ SORTIE",$U2879,"")</f>
        <v/>
      </c>
      <c r="L2879" s="109">
        <f>$L2878+N($J2879)-N($K2879)</f>
        <v/>
      </c>
      <c r="M2879" s="110" t="n"/>
      <c r="N2879" s="54" t="n"/>
      <c r="O2879" s="54" t="n"/>
      <c r="P2879" s="54" t="n"/>
      <c r="Q2879" s="110" t="n"/>
      <c r="R2879" s="110" t="n"/>
      <c r="S2879" s="54" t="n"/>
      <c r="T2879" s="111">
        <f>IF($G2879="","",IFERROR(INDEX(Taux_Devises,MATCH(IF($M2879="",Devise_Base,$M2879),Codes_Devises,0)),1))</f>
        <v/>
      </c>
      <c r="U2879" s="112">
        <f>IF($G2879="","",ROUND($G2879*$T2879,2))</f>
        <v/>
      </c>
      <c r="V2879" s="113">
        <f>IF($B2879="","",MONTH($B2879))</f>
        <v/>
      </c>
      <c r="W2879" s="113">
        <f>IF($B2879="","",YEAR($B2879))</f>
        <v/>
      </c>
    </row>
    <row r="2880">
      <c r="B2880" s="105" t="n"/>
      <c r="C2880" s="54" t="n"/>
      <c r="D2880" s="54" t="n"/>
      <c r="E2880" s="54" t="n"/>
      <c r="F2880" s="54" t="n"/>
      <c r="G2880" s="65" t="n"/>
      <c r="H2880" s="54" t="n"/>
      <c r="I2880" s="106">
        <f>IF($C2880="","",IFERROR(INDEX(Sens_Types,MATCH($C2880,Liste_Types,0)),""))</f>
        <v/>
      </c>
      <c r="J2880" s="107">
        <f>IF($I2880="▲ ENTRÉE",$U2880,"")</f>
        <v/>
      </c>
      <c r="K2880" s="108">
        <f>IF($I2880="▼ SORTIE",$U2880,"")</f>
        <v/>
      </c>
      <c r="L2880" s="109">
        <f>$L2879+N($J2880)-N($K2880)</f>
        <v/>
      </c>
      <c r="M2880" s="110" t="n"/>
      <c r="N2880" s="54" t="n"/>
      <c r="O2880" s="54" t="n"/>
      <c r="P2880" s="54" t="n"/>
      <c r="Q2880" s="110" t="n"/>
      <c r="R2880" s="110" t="n"/>
      <c r="S2880" s="54" t="n"/>
      <c r="T2880" s="111">
        <f>IF($G2880="","",IFERROR(INDEX(Taux_Devises,MATCH(IF($M2880="",Devise_Base,$M2880),Codes_Devises,0)),1))</f>
        <v/>
      </c>
      <c r="U2880" s="112">
        <f>IF($G2880="","",ROUND($G2880*$T2880,2))</f>
        <v/>
      </c>
      <c r="V2880" s="113">
        <f>IF($B2880="","",MONTH($B2880))</f>
        <v/>
      </c>
      <c r="W2880" s="113">
        <f>IF($B2880="","",YEAR($B2880))</f>
        <v/>
      </c>
    </row>
    <row r="2881">
      <c r="B2881" s="105" t="n"/>
      <c r="C2881" s="54" t="n"/>
      <c r="D2881" s="54" t="n"/>
      <c r="E2881" s="54" t="n"/>
      <c r="F2881" s="54" t="n"/>
      <c r="G2881" s="65" t="n"/>
      <c r="H2881" s="54" t="n"/>
      <c r="I2881" s="106">
        <f>IF($C2881="","",IFERROR(INDEX(Sens_Types,MATCH($C2881,Liste_Types,0)),""))</f>
        <v/>
      </c>
      <c r="J2881" s="107">
        <f>IF($I2881="▲ ENTRÉE",$U2881,"")</f>
        <v/>
      </c>
      <c r="K2881" s="108">
        <f>IF($I2881="▼ SORTIE",$U2881,"")</f>
        <v/>
      </c>
      <c r="L2881" s="109">
        <f>$L2880+N($J2881)-N($K2881)</f>
        <v/>
      </c>
      <c r="M2881" s="110" t="n"/>
      <c r="N2881" s="54" t="n"/>
      <c r="O2881" s="54" t="n"/>
      <c r="P2881" s="54" t="n"/>
      <c r="Q2881" s="110" t="n"/>
      <c r="R2881" s="110" t="n"/>
      <c r="S2881" s="54" t="n"/>
      <c r="T2881" s="111">
        <f>IF($G2881="","",IFERROR(INDEX(Taux_Devises,MATCH(IF($M2881="",Devise_Base,$M2881),Codes_Devises,0)),1))</f>
        <v/>
      </c>
      <c r="U2881" s="112">
        <f>IF($G2881="","",ROUND($G2881*$T2881,2))</f>
        <v/>
      </c>
      <c r="V2881" s="113">
        <f>IF($B2881="","",MONTH($B2881))</f>
        <v/>
      </c>
      <c r="W2881" s="113">
        <f>IF($B2881="","",YEAR($B2881))</f>
        <v/>
      </c>
    </row>
    <row r="2882">
      <c r="B2882" s="105" t="n"/>
      <c r="C2882" s="54" t="n"/>
      <c r="D2882" s="54" t="n"/>
      <c r="E2882" s="54" t="n"/>
      <c r="F2882" s="54" t="n"/>
      <c r="G2882" s="65" t="n"/>
      <c r="H2882" s="54" t="n"/>
      <c r="I2882" s="106">
        <f>IF($C2882="","",IFERROR(INDEX(Sens_Types,MATCH($C2882,Liste_Types,0)),""))</f>
        <v/>
      </c>
      <c r="J2882" s="107">
        <f>IF($I2882="▲ ENTRÉE",$U2882,"")</f>
        <v/>
      </c>
      <c r="K2882" s="108">
        <f>IF($I2882="▼ SORTIE",$U2882,"")</f>
        <v/>
      </c>
      <c r="L2882" s="109">
        <f>$L2881+N($J2882)-N($K2882)</f>
        <v/>
      </c>
      <c r="M2882" s="110" t="n"/>
      <c r="N2882" s="54" t="n"/>
      <c r="O2882" s="54" t="n"/>
      <c r="P2882" s="54" t="n"/>
      <c r="Q2882" s="110" t="n"/>
      <c r="R2882" s="110" t="n"/>
      <c r="S2882" s="54" t="n"/>
      <c r="T2882" s="111">
        <f>IF($G2882="","",IFERROR(INDEX(Taux_Devises,MATCH(IF($M2882="",Devise_Base,$M2882),Codes_Devises,0)),1))</f>
        <v/>
      </c>
      <c r="U2882" s="112">
        <f>IF($G2882="","",ROUND($G2882*$T2882,2))</f>
        <v/>
      </c>
      <c r="V2882" s="113">
        <f>IF($B2882="","",MONTH($B2882))</f>
        <v/>
      </c>
      <c r="W2882" s="113">
        <f>IF($B2882="","",YEAR($B2882))</f>
        <v/>
      </c>
    </row>
    <row r="2883">
      <c r="B2883" s="105" t="n"/>
      <c r="C2883" s="54" t="n"/>
      <c r="D2883" s="54" t="n"/>
      <c r="E2883" s="54" t="n"/>
      <c r="F2883" s="54" t="n"/>
      <c r="G2883" s="65" t="n"/>
      <c r="H2883" s="54" t="n"/>
      <c r="I2883" s="106">
        <f>IF($C2883="","",IFERROR(INDEX(Sens_Types,MATCH($C2883,Liste_Types,0)),""))</f>
        <v/>
      </c>
      <c r="J2883" s="107">
        <f>IF($I2883="▲ ENTRÉE",$U2883,"")</f>
        <v/>
      </c>
      <c r="K2883" s="108">
        <f>IF($I2883="▼ SORTIE",$U2883,"")</f>
        <v/>
      </c>
      <c r="L2883" s="109">
        <f>$L2882+N($J2883)-N($K2883)</f>
        <v/>
      </c>
      <c r="M2883" s="110" t="n"/>
      <c r="N2883" s="54" t="n"/>
      <c r="O2883" s="54" t="n"/>
      <c r="P2883" s="54" t="n"/>
      <c r="Q2883" s="110" t="n"/>
      <c r="R2883" s="110" t="n"/>
      <c r="S2883" s="54" t="n"/>
      <c r="T2883" s="111">
        <f>IF($G2883="","",IFERROR(INDEX(Taux_Devises,MATCH(IF($M2883="",Devise_Base,$M2883),Codes_Devises,0)),1))</f>
        <v/>
      </c>
      <c r="U2883" s="112">
        <f>IF($G2883="","",ROUND($G2883*$T2883,2))</f>
        <v/>
      </c>
      <c r="V2883" s="113">
        <f>IF($B2883="","",MONTH($B2883))</f>
        <v/>
      </c>
      <c r="W2883" s="113">
        <f>IF($B2883="","",YEAR($B2883))</f>
        <v/>
      </c>
    </row>
    <row r="2884">
      <c r="B2884" s="105" t="n"/>
      <c r="C2884" s="54" t="n"/>
      <c r="D2884" s="54" t="n"/>
      <c r="E2884" s="54" t="n"/>
      <c r="F2884" s="54" t="n"/>
      <c r="G2884" s="65" t="n"/>
      <c r="H2884" s="54" t="n"/>
      <c r="I2884" s="106">
        <f>IF($C2884="","",IFERROR(INDEX(Sens_Types,MATCH($C2884,Liste_Types,0)),""))</f>
        <v/>
      </c>
      <c r="J2884" s="107">
        <f>IF($I2884="▲ ENTRÉE",$U2884,"")</f>
        <v/>
      </c>
      <c r="K2884" s="108">
        <f>IF($I2884="▼ SORTIE",$U2884,"")</f>
        <v/>
      </c>
      <c r="L2884" s="109">
        <f>$L2883+N($J2884)-N($K2884)</f>
        <v/>
      </c>
      <c r="M2884" s="110" t="n"/>
      <c r="N2884" s="54" t="n"/>
      <c r="O2884" s="54" t="n"/>
      <c r="P2884" s="54" t="n"/>
      <c r="Q2884" s="110" t="n"/>
      <c r="R2884" s="110" t="n"/>
      <c r="S2884" s="54" t="n"/>
      <c r="T2884" s="111">
        <f>IF($G2884="","",IFERROR(INDEX(Taux_Devises,MATCH(IF($M2884="",Devise_Base,$M2884),Codes_Devises,0)),1))</f>
        <v/>
      </c>
      <c r="U2884" s="112">
        <f>IF($G2884="","",ROUND($G2884*$T2884,2))</f>
        <v/>
      </c>
      <c r="V2884" s="113">
        <f>IF($B2884="","",MONTH($B2884))</f>
        <v/>
      </c>
      <c r="W2884" s="113">
        <f>IF($B2884="","",YEAR($B2884))</f>
        <v/>
      </c>
    </row>
    <row r="2885">
      <c r="B2885" s="105" t="n"/>
      <c r="C2885" s="54" t="n"/>
      <c r="D2885" s="54" t="n"/>
      <c r="E2885" s="54" t="n"/>
      <c r="F2885" s="54" t="n"/>
      <c r="G2885" s="65" t="n"/>
      <c r="H2885" s="54" t="n"/>
      <c r="I2885" s="106">
        <f>IF($C2885="","",IFERROR(INDEX(Sens_Types,MATCH($C2885,Liste_Types,0)),""))</f>
        <v/>
      </c>
      <c r="J2885" s="107">
        <f>IF($I2885="▲ ENTRÉE",$U2885,"")</f>
        <v/>
      </c>
      <c r="K2885" s="108">
        <f>IF($I2885="▼ SORTIE",$U2885,"")</f>
        <v/>
      </c>
      <c r="L2885" s="109">
        <f>$L2884+N($J2885)-N($K2885)</f>
        <v/>
      </c>
      <c r="M2885" s="110" t="n"/>
      <c r="N2885" s="54" t="n"/>
      <c r="O2885" s="54" t="n"/>
      <c r="P2885" s="54" t="n"/>
      <c r="Q2885" s="110" t="n"/>
      <c r="R2885" s="110" t="n"/>
      <c r="S2885" s="54" t="n"/>
      <c r="T2885" s="111">
        <f>IF($G2885="","",IFERROR(INDEX(Taux_Devises,MATCH(IF($M2885="",Devise_Base,$M2885),Codes_Devises,0)),1))</f>
        <v/>
      </c>
      <c r="U2885" s="112">
        <f>IF($G2885="","",ROUND($G2885*$T2885,2))</f>
        <v/>
      </c>
      <c r="V2885" s="113">
        <f>IF($B2885="","",MONTH($B2885))</f>
        <v/>
      </c>
      <c r="W2885" s="113">
        <f>IF($B2885="","",YEAR($B2885))</f>
        <v/>
      </c>
    </row>
    <row r="2886">
      <c r="B2886" s="105" t="n"/>
      <c r="C2886" s="54" t="n"/>
      <c r="D2886" s="54" t="n"/>
      <c r="E2886" s="54" t="n"/>
      <c r="F2886" s="54" t="n"/>
      <c r="G2886" s="65" t="n"/>
      <c r="H2886" s="54" t="n"/>
      <c r="I2886" s="106">
        <f>IF($C2886="","",IFERROR(INDEX(Sens_Types,MATCH($C2886,Liste_Types,0)),""))</f>
        <v/>
      </c>
      <c r="J2886" s="107">
        <f>IF($I2886="▲ ENTRÉE",$U2886,"")</f>
        <v/>
      </c>
      <c r="K2886" s="108">
        <f>IF($I2886="▼ SORTIE",$U2886,"")</f>
        <v/>
      </c>
      <c r="L2886" s="109">
        <f>$L2885+N($J2886)-N($K2886)</f>
        <v/>
      </c>
      <c r="M2886" s="110" t="n"/>
      <c r="N2886" s="54" t="n"/>
      <c r="O2886" s="54" t="n"/>
      <c r="P2886" s="54" t="n"/>
      <c r="Q2886" s="110" t="n"/>
      <c r="R2886" s="110" t="n"/>
      <c r="S2886" s="54" t="n"/>
      <c r="T2886" s="111">
        <f>IF($G2886="","",IFERROR(INDEX(Taux_Devises,MATCH(IF($M2886="",Devise_Base,$M2886),Codes_Devises,0)),1))</f>
        <v/>
      </c>
      <c r="U2886" s="112">
        <f>IF($G2886="","",ROUND($G2886*$T2886,2))</f>
        <v/>
      </c>
      <c r="V2886" s="113">
        <f>IF($B2886="","",MONTH($B2886))</f>
        <v/>
      </c>
      <c r="W2886" s="113">
        <f>IF($B2886="","",YEAR($B2886))</f>
        <v/>
      </c>
    </row>
    <row r="2887">
      <c r="B2887" s="105" t="n"/>
      <c r="C2887" s="54" t="n"/>
      <c r="D2887" s="54" t="n"/>
      <c r="E2887" s="54" t="n"/>
      <c r="F2887" s="54" t="n"/>
      <c r="G2887" s="65" t="n"/>
      <c r="H2887" s="54" t="n"/>
      <c r="I2887" s="106">
        <f>IF($C2887="","",IFERROR(INDEX(Sens_Types,MATCH($C2887,Liste_Types,0)),""))</f>
        <v/>
      </c>
      <c r="J2887" s="107">
        <f>IF($I2887="▲ ENTRÉE",$U2887,"")</f>
        <v/>
      </c>
      <c r="K2887" s="108">
        <f>IF($I2887="▼ SORTIE",$U2887,"")</f>
        <v/>
      </c>
      <c r="L2887" s="109">
        <f>$L2886+N($J2887)-N($K2887)</f>
        <v/>
      </c>
      <c r="M2887" s="110" t="n"/>
      <c r="N2887" s="54" t="n"/>
      <c r="O2887" s="54" t="n"/>
      <c r="P2887" s="54" t="n"/>
      <c r="Q2887" s="110" t="n"/>
      <c r="R2887" s="110" t="n"/>
      <c r="S2887" s="54" t="n"/>
      <c r="T2887" s="111">
        <f>IF($G2887="","",IFERROR(INDEX(Taux_Devises,MATCH(IF($M2887="",Devise_Base,$M2887),Codes_Devises,0)),1))</f>
        <v/>
      </c>
      <c r="U2887" s="112">
        <f>IF($G2887="","",ROUND($G2887*$T2887,2))</f>
        <v/>
      </c>
      <c r="V2887" s="113">
        <f>IF($B2887="","",MONTH($B2887))</f>
        <v/>
      </c>
      <c r="W2887" s="113">
        <f>IF($B2887="","",YEAR($B2887))</f>
        <v/>
      </c>
    </row>
    <row r="2888">
      <c r="B2888" s="105" t="n"/>
      <c r="C2888" s="54" t="n"/>
      <c r="D2888" s="54" t="n"/>
      <c r="E2888" s="54" t="n"/>
      <c r="F2888" s="54" t="n"/>
      <c r="G2888" s="65" t="n"/>
      <c r="H2888" s="54" t="n"/>
      <c r="I2888" s="106">
        <f>IF($C2888="","",IFERROR(INDEX(Sens_Types,MATCH($C2888,Liste_Types,0)),""))</f>
        <v/>
      </c>
      <c r="J2888" s="107">
        <f>IF($I2888="▲ ENTRÉE",$U2888,"")</f>
        <v/>
      </c>
      <c r="K2888" s="108">
        <f>IF($I2888="▼ SORTIE",$U2888,"")</f>
        <v/>
      </c>
      <c r="L2888" s="109">
        <f>$L2887+N($J2888)-N($K2888)</f>
        <v/>
      </c>
      <c r="M2888" s="110" t="n"/>
      <c r="N2888" s="54" t="n"/>
      <c r="O2888" s="54" t="n"/>
      <c r="P2888" s="54" t="n"/>
      <c r="Q2888" s="110" t="n"/>
      <c r="R2888" s="110" t="n"/>
      <c r="S2888" s="54" t="n"/>
      <c r="T2888" s="111">
        <f>IF($G2888="","",IFERROR(INDEX(Taux_Devises,MATCH(IF($M2888="",Devise_Base,$M2888),Codes_Devises,0)),1))</f>
        <v/>
      </c>
      <c r="U2888" s="112">
        <f>IF($G2888="","",ROUND($G2888*$T2888,2))</f>
        <v/>
      </c>
      <c r="V2888" s="113">
        <f>IF($B2888="","",MONTH($B2888))</f>
        <v/>
      </c>
      <c r="W2888" s="113">
        <f>IF($B2888="","",YEAR($B2888))</f>
        <v/>
      </c>
    </row>
    <row r="2889">
      <c r="B2889" s="105" t="n"/>
      <c r="C2889" s="54" t="n"/>
      <c r="D2889" s="54" t="n"/>
      <c r="E2889" s="54" t="n"/>
      <c r="F2889" s="54" t="n"/>
      <c r="G2889" s="65" t="n"/>
      <c r="H2889" s="54" t="n"/>
      <c r="I2889" s="106">
        <f>IF($C2889="","",IFERROR(INDEX(Sens_Types,MATCH($C2889,Liste_Types,0)),""))</f>
        <v/>
      </c>
      <c r="J2889" s="107">
        <f>IF($I2889="▲ ENTRÉE",$U2889,"")</f>
        <v/>
      </c>
      <c r="K2889" s="108">
        <f>IF($I2889="▼ SORTIE",$U2889,"")</f>
        <v/>
      </c>
      <c r="L2889" s="109">
        <f>$L2888+N($J2889)-N($K2889)</f>
        <v/>
      </c>
      <c r="M2889" s="110" t="n"/>
      <c r="N2889" s="54" t="n"/>
      <c r="O2889" s="54" t="n"/>
      <c r="P2889" s="54" t="n"/>
      <c r="Q2889" s="110" t="n"/>
      <c r="R2889" s="110" t="n"/>
      <c r="S2889" s="54" t="n"/>
      <c r="T2889" s="111">
        <f>IF($G2889="","",IFERROR(INDEX(Taux_Devises,MATCH(IF($M2889="",Devise_Base,$M2889),Codes_Devises,0)),1))</f>
        <v/>
      </c>
      <c r="U2889" s="112">
        <f>IF($G2889="","",ROUND($G2889*$T2889,2))</f>
        <v/>
      </c>
      <c r="V2889" s="113">
        <f>IF($B2889="","",MONTH($B2889))</f>
        <v/>
      </c>
      <c r="W2889" s="113">
        <f>IF($B2889="","",YEAR($B2889))</f>
        <v/>
      </c>
    </row>
    <row r="2890">
      <c r="B2890" s="105" t="n"/>
      <c r="C2890" s="54" t="n"/>
      <c r="D2890" s="54" t="n"/>
      <c r="E2890" s="54" t="n"/>
      <c r="F2890" s="54" t="n"/>
      <c r="G2890" s="65" t="n"/>
      <c r="H2890" s="54" t="n"/>
      <c r="I2890" s="106">
        <f>IF($C2890="","",IFERROR(INDEX(Sens_Types,MATCH($C2890,Liste_Types,0)),""))</f>
        <v/>
      </c>
      <c r="J2890" s="107">
        <f>IF($I2890="▲ ENTRÉE",$U2890,"")</f>
        <v/>
      </c>
      <c r="K2890" s="108">
        <f>IF($I2890="▼ SORTIE",$U2890,"")</f>
        <v/>
      </c>
      <c r="L2890" s="109">
        <f>$L2889+N($J2890)-N($K2890)</f>
        <v/>
      </c>
      <c r="M2890" s="110" t="n"/>
      <c r="N2890" s="54" t="n"/>
      <c r="O2890" s="54" t="n"/>
      <c r="P2890" s="54" t="n"/>
      <c r="Q2890" s="110" t="n"/>
      <c r="R2890" s="110" t="n"/>
      <c r="S2890" s="54" t="n"/>
      <c r="T2890" s="111">
        <f>IF($G2890="","",IFERROR(INDEX(Taux_Devises,MATCH(IF($M2890="",Devise_Base,$M2890),Codes_Devises,0)),1))</f>
        <v/>
      </c>
      <c r="U2890" s="112">
        <f>IF($G2890="","",ROUND($G2890*$T2890,2))</f>
        <v/>
      </c>
      <c r="V2890" s="113">
        <f>IF($B2890="","",MONTH($B2890))</f>
        <v/>
      </c>
      <c r="W2890" s="113">
        <f>IF($B2890="","",YEAR($B2890))</f>
        <v/>
      </c>
    </row>
    <row r="2891">
      <c r="B2891" s="105" t="n"/>
      <c r="C2891" s="54" t="n"/>
      <c r="D2891" s="54" t="n"/>
      <c r="E2891" s="54" t="n"/>
      <c r="F2891" s="54" t="n"/>
      <c r="G2891" s="65" t="n"/>
      <c r="H2891" s="54" t="n"/>
      <c r="I2891" s="106">
        <f>IF($C2891="","",IFERROR(INDEX(Sens_Types,MATCH($C2891,Liste_Types,0)),""))</f>
        <v/>
      </c>
      <c r="J2891" s="107">
        <f>IF($I2891="▲ ENTRÉE",$U2891,"")</f>
        <v/>
      </c>
      <c r="K2891" s="108">
        <f>IF($I2891="▼ SORTIE",$U2891,"")</f>
        <v/>
      </c>
      <c r="L2891" s="109">
        <f>$L2890+N($J2891)-N($K2891)</f>
        <v/>
      </c>
      <c r="M2891" s="110" t="n"/>
      <c r="N2891" s="54" t="n"/>
      <c r="O2891" s="54" t="n"/>
      <c r="P2891" s="54" t="n"/>
      <c r="Q2891" s="110" t="n"/>
      <c r="R2891" s="110" t="n"/>
      <c r="S2891" s="54" t="n"/>
      <c r="T2891" s="111">
        <f>IF($G2891="","",IFERROR(INDEX(Taux_Devises,MATCH(IF($M2891="",Devise_Base,$M2891),Codes_Devises,0)),1))</f>
        <v/>
      </c>
      <c r="U2891" s="112">
        <f>IF($G2891="","",ROUND($G2891*$T2891,2))</f>
        <v/>
      </c>
      <c r="V2891" s="113">
        <f>IF($B2891="","",MONTH($B2891))</f>
        <v/>
      </c>
      <c r="W2891" s="113">
        <f>IF($B2891="","",YEAR($B2891))</f>
        <v/>
      </c>
    </row>
    <row r="2892">
      <c r="B2892" s="105" t="n"/>
      <c r="C2892" s="54" t="n"/>
      <c r="D2892" s="54" t="n"/>
      <c r="E2892" s="54" t="n"/>
      <c r="F2892" s="54" t="n"/>
      <c r="G2892" s="65" t="n"/>
      <c r="H2892" s="54" t="n"/>
      <c r="I2892" s="106">
        <f>IF($C2892="","",IFERROR(INDEX(Sens_Types,MATCH($C2892,Liste_Types,0)),""))</f>
        <v/>
      </c>
      <c r="J2892" s="107">
        <f>IF($I2892="▲ ENTRÉE",$U2892,"")</f>
        <v/>
      </c>
      <c r="K2892" s="108">
        <f>IF($I2892="▼ SORTIE",$U2892,"")</f>
        <v/>
      </c>
      <c r="L2892" s="109">
        <f>$L2891+N($J2892)-N($K2892)</f>
        <v/>
      </c>
      <c r="M2892" s="110" t="n"/>
      <c r="N2892" s="54" t="n"/>
      <c r="O2892" s="54" t="n"/>
      <c r="P2892" s="54" t="n"/>
      <c r="Q2892" s="110" t="n"/>
      <c r="R2892" s="110" t="n"/>
      <c r="S2892" s="54" t="n"/>
      <c r="T2892" s="111">
        <f>IF($G2892="","",IFERROR(INDEX(Taux_Devises,MATCH(IF($M2892="",Devise_Base,$M2892),Codes_Devises,0)),1))</f>
        <v/>
      </c>
      <c r="U2892" s="112">
        <f>IF($G2892="","",ROUND($G2892*$T2892,2))</f>
        <v/>
      </c>
      <c r="V2892" s="113">
        <f>IF($B2892="","",MONTH($B2892))</f>
        <v/>
      </c>
      <c r="W2892" s="113">
        <f>IF($B2892="","",YEAR($B2892))</f>
        <v/>
      </c>
    </row>
    <row r="2893">
      <c r="B2893" s="105" t="n"/>
      <c r="C2893" s="54" t="n"/>
      <c r="D2893" s="54" t="n"/>
      <c r="E2893" s="54" t="n"/>
      <c r="F2893" s="54" t="n"/>
      <c r="G2893" s="65" t="n"/>
      <c r="H2893" s="54" t="n"/>
      <c r="I2893" s="106">
        <f>IF($C2893="","",IFERROR(INDEX(Sens_Types,MATCH($C2893,Liste_Types,0)),""))</f>
        <v/>
      </c>
      <c r="J2893" s="107">
        <f>IF($I2893="▲ ENTRÉE",$U2893,"")</f>
        <v/>
      </c>
      <c r="K2893" s="108">
        <f>IF($I2893="▼ SORTIE",$U2893,"")</f>
        <v/>
      </c>
      <c r="L2893" s="109">
        <f>$L2892+N($J2893)-N($K2893)</f>
        <v/>
      </c>
      <c r="M2893" s="110" t="n"/>
      <c r="N2893" s="54" t="n"/>
      <c r="O2893" s="54" t="n"/>
      <c r="P2893" s="54" t="n"/>
      <c r="Q2893" s="110" t="n"/>
      <c r="R2893" s="110" t="n"/>
      <c r="S2893" s="54" t="n"/>
      <c r="T2893" s="111">
        <f>IF($G2893="","",IFERROR(INDEX(Taux_Devises,MATCH(IF($M2893="",Devise_Base,$M2893),Codes_Devises,0)),1))</f>
        <v/>
      </c>
      <c r="U2893" s="112">
        <f>IF($G2893="","",ROUND($G2893*$T2893,2))</f>
        <v/>
      </c>
      <c r="V2893" s="113">
        <f>IF($B2893="","",MONTH($B2893))</f>
        <v/>
      </c>
      <c r="W2893" s="113">
        <f>IF($B2893="","",YEAR($B2893))</f>
        <v/>
      </c>
    </row>
    <row r="2894">
      <c r="B2894" s="105" t="n"/>
      <c r="C2894" s="54" t="n"/>
      <c r="D2894" s="54" t="n"/>
      <c r="E2894" s="54" t="n"/>
      <c r="F2894" s="54" t="n"/>
      <c r="G2894" s="65" t="n"/>
      <c r="H2894" s="54" t="n"/>
      <c r="I2894" s="106">
        <f>IF($C2894="","",IFERROR(INDEX(Sens_Types,MATCH($C2894,Liste_Types,0)),""))</f>
        <v/>
      </c>
      <c r="J2894" s="107">
        <f>IF($I2894="▲ ENTRÉE",$U2894,"")</f>
        <v/>
      </c>
      <c r="K2894" s="108">
        <f>IF($I2894="▼ SORTIE",$U2894,"")</f>
        <v/>
      </c>
      <c r="L2894" s="109">
        <f>$L2893+N($J2894)-N($K2894)</f>
        <v/>
      </c>
      <c r="M2894" s="110" t="n"/>
      <c r="N2894" s="54" t="n"/>
      <c r="O2894" s="54" t="n"/>
      <c r="P2894" s="54" t="n"/>
      <c r="Q2894" s="110" t="n"/>
      <c r="R2894" s="110" t="n"/>
      <c r="S2894" s="54" t="n"/>
      <c r="T2894" s="111">
        <f>IF($G2894="","",IFERROR(INDEX(Taux_Devises,MATCH(IF($M2894="",Devise_Base,$M2894),Codes_Devises,0)),1))</f>
        <v/>
      </c>
      <c r="U2894" s="112">
        <f>IF($G2894="","",ROUND($G2894*$T2894,2))</f>
        <v/>
      </c>
      <c r="V2894" s="113">
        <f>IF($B2894="","",MONTH($B2894))</f>
        <v/>
      </c>
      <c r="W2894" s="113">
        <f>IF($B2894="","",YEAR($B2894))</f>
        <v/>
      </c>
    </row>
    <row r="2895">
      <c r="B2895" s="105" t="n"/>
      <c r="C2895" s="54" t="n"/>
      <c r="D2895" s="54" t="n"/>
      <c r="E2895" s="54" t="n"/>
      <c r="F2895" s="54" t="n"/>
      <c r="G2895" s="65" t="n"/>
      <c r="H2895" s="54" t="n"/>
      <c r="I2895" s="106">
        <f>IF($C2895="","",IFERROR(INDEX(Sens_Types,MATCH($C2895,Liste_Types,0)),""))</f>
        <v/>
      </c>
      <c r="J2895" s="107">
        <f>IF($I2895="▲ ENTRÉE",$U2895,"")</f>
        <v/>
      </c>
      <c r="K2895" s="108">
        <f>IF($I2895="▼ SORTIE",$U2895,"")</f>
        <v/>
      </c>
      <c r="L2895" s="109">
        <f>$L2894+N($J2895)-N($K2895)</f>
        <v/>
      </c>
      <c r="M2895" s="110" t="n"/>
      <c r="N2895" s="54" t="n"/>
      <c r="O2895" s="54" t="n"/>
      <c r="P2895" s="54" t="n"/>
      <c r="Q2895" s="110" t="n"/>
      <c r="R2895" s="110" t="n"/>
      <c r="S2895" s="54" t="n"/>
      <c r="T2895" s="111">
        <f>IF($G2895="","",IFERROR(INDEX(Taux_Devises,MATCH(IF($M2895="",Devise_Base,$M2895),Codes_Devises,0)),1))</f>
        <v/>
      </c>
      <c r="U2895" s="112">
        <f>IF($G2895="","",ROUND($G2895*$T2895,2))</f>
        <v/>
      </c>
      <c r="V2895" s="113">
        <f>IF($B2895="","",MONTH($B2895))</f>
        <v/>
      </c>
      <c r="W2895" s="113">
        <f>IF($B2895="","",YEAR($B2895))</f>
        <v/>
      </c>
    </row>
    <row r="2896">
      <c r="B2896" s="105" t="n"/>
      <c r="C2896" s="54" t="n"/>
      <c r="D2896" s="54" t="n"/>
      <c r="E2896" s="54" t="n"/>
      <c r="F2896" s="54" t="n"/>
      <c r="G2896" s="65" t="n"/>
      <c r="H2896" s="54" t="n"/>
      <c r="I2896" s="106">
        <f>IF($C2896="","",IFERROR(INDEX(Sens_Types,MATCH($C2896,Liste_Types,0)),""))</f>
        <v/>
      </c>
      <c r="J2896" s="107">
        <f>IF($I2896="▲ ENTRÉE",$U2896,"")</f>
        <v/>
      </c>
      <c r="K2896" s="108">
        <f>IF($I2896="▼ SORTIE",$U2896,"")</f>
        <v/>
      </c>
      <c r="L2896" s="109">
        <f>$L2895+N($J2896)-N($K2896)</f>
        <v/>
      </c>
      <c r="M2896" s="110" t="n"/>
      <c r="N2896" s="54" t="n"/>
      <c r="O2896" s="54" t="n"/>
      <c r="P2896" s="54" t="n"/>
      <c r="Q2896" s="110" t="n"/>
      <c r="R2896" s="110" t="n"/>
      <c r="S2896" s="54" t="n"/>
      <c r="T2896" s="111">
        <f>IF($G2896="","",IFERROR(INDEX(Taux_Devises,MATCH(IF($M2896="",Devise_Base,$M2896),Codes_Devises,0)),1))</f>
        <v/>
      </c>
      <c r="U2896" s="112">
        <f>IF($G2896="","",ROUND($G2896*$T2896,2))</f>
        <v/>
      </c>
      <c r="V2896" s="113">
        <f>IF($B2896="","",MONTH($B2896))</f>
        <v/>
      </c>
      <c r="W2896" s="113">
        <f>IF($B2896="","",YEAR($B2896))</f>
        <v/>
      </c>
    </row>
    <row r="2897">
      <c r="B2897" s="105" t="n"/>
      <c r="C2897" s="54" t="n"/>
      <c r="D2897" s="54" t="n"/>
      <c r="E2897" s="54" t="n"/>
      <c r="F2897" s="54" t="n"/>
      <c r="G2897" s="65" t="n"/>
      <c r="H2897" s="54" t="n"/>
      <c r="I2897" s="106">
        <f>IF($C2897="","",IFERROR(INDEX(Sens_Types,MATCH($C2897,Liste_Types,0)),""))</f>
        <v/>
      </c>
      <c r="J2897" s="107">
        <f>IF($I2897="▲ ENTRÉE",$U2897,"")</f>
        <v/>
      </c>
      <c r="K2897" s="108">
        <f>IF($I2897="▼ SORTIE",$U2897,"")</f>
        <v/>
      </c>
      <c r="L2897" s="109">
        <f>$L2896+N($J2897)-N($K2897)</f>
        <v/>
      </c>
      <c r="M2897" s="110" t="n"/>
      <c r="N2897" s="54" t="n"/>
      <c r="O2897" s="54" t="n"/>
      <c r="P2897" s="54" t="n"/>
      <c r="Q2897" s="110" t="n"/>
      <c r="R2897" s="110" t="n"/>
      <c r="S2897" s="54" t="n"/>
      <c r="T2897" s="111">
        <f>IF($G2897="","",IFERROR(INDEX(Taux_Devises,MATCH(IF($M2897="",Devise_Base,$M2897),Codes_Devises,0)),1))</f>
        <v/>
      </c>
      <c r="U2897" s="112">
        <f>IF($G2897="","",ROUND($G2897*$T2897,2))</f>
        <v/>
      </c>
      <c r="V2897" s="113">
        <f>IF($B2897="","",MONTH($B2897))</f>
        <v/>
      </c>
      <c r="W2897" s="113">
        <f>IF($B2897="","",YEAR($B2897))</f>
        <v/>
      </c>
    </row>
    <row r="2898">
      <c r="B2898" s="105" t="n"/>
      <c r="C2898" s="54" t="n"/>
      <c r="D2898" s="54" t="n"/>
      <c r="E2898" s="54" t="n"/>
      <c r="F2898" s="54" t="n"/>
      <c r="G2898" s="65" t="n"/>
      <c r="H2898" s="54" t="n"/>
      <c r="I2898" s="106">
        <f>IF($C2898="","",IFERROR(INDEX(Sens_Types,MATCH($C2898,Liste_Types,0)),""))</f>
        <v/>
      </c>
      <c r="J2898" s="107">
        <f>IF($I2898="▲ ENTRÉE",$U2898,"")</f>
        <v/>
      </c>
      <c r="K2898" s="108">
        <f>IF($I2898="▼ SORTIE",$U2898,"")</f>
        <v/>
      </c>
      <c r="L2898" s="109">
        <f>$L2897+N($J2898)-N($K2898)</f>
        <v/>
      </c>
      <c r="M2898" s="110" t="n"/>
      <c r="N2898" s="54" t="n"/>
      <c r="O2898" s="54" t="n"/>
      <c r="P2898" s="54" t="n"/>
      <c r="Q2898" s="110" t="n"/>
      <c r="R2898" s="110" t="n"/>
      <c r="S2898" s="54" t="n"/>
      <c r="T2898" s="111">
        <f>IF($G2898="","",IFERROR(INDEX(Taux_Devises,MATCH(IF($M2898="",Devise_Base,$M2898),Codes_Devises,0)),1))</f>
        <v/>
      </c>
      <c r="U2898" s="112">
        <f>IF($G2898="","",ROUND($G2898*$T2898,2))</f>
        <v/>
      </c>
      <c r="V2898" s="113">
        <f>IF($B2898="","",MONTH($B2898))</f>
        <v/>
      </c>
      <c r="W2898" s="113">
        <f>IF($B2898="","",YEAR($B2898))</f>
        <v/>
      </c>
    </row>
    <row r="2899">
      <c r="B2899" s="105" t="n"/>
      <c r="C2899" s="54" t="n"/>
      <c r="D2899" s="54" t="n"/>
      <c r="E2899" s="54" t="n"/>
      <c r="F2899" s="54" t="n"/>
      <c r="G2899" s="65" t="n"/>
      <c r="H2899" s="54" t="n"/>
      <c r="I2899" s="106">
        <f>IF($C2899="","",IFERROR(INDEX(Sens_Types,MATCH($C2899,Liste_Types,0)),""))</f>
        <v/>
      </c>
      <c r="J2899" s="107">
        <f>IF($I2899="▲ ENTRÉE",$U2899,"")</f>
        <v/>
      </c>
      <c r="K2899" s="108">
        <f>IF($I2899="▼ SORTIE",$U2899,"")</f>
        <v/>
      </c>
      <c r="L2899" s="109">
        <f>$L2898+N($J2899)-N($K2899)</f>
        <v/>
      </c>
      <c r="M2899" s="110" t="n"/>
      <c r="N2899" s="54" t="n"/>
      <c r="O2899" s="54" t="n"/>
      <c r="P2899" s="54" t="n"/>
      <c r="Q2899" s="110" t="n"/>
      <c r="R2899" s="110" t="n"/>
      <c r="S2899" s="54" t="n"/>
      <c r="T2899" s="111">
        <f>IF($G2899="","",IFERROR(INDEX(Taux_Devises,MATCH(IF($M2899="",Devise_Base,$M2899),Codes_Devises,0)),1))</f>
        <v/>
      </c>
      <c r="U2899" s="112">
        <f>IF($G2899="","",ROUND($G2899*$T2899,2))</f>
        <v/>
      </c>
      <c r="V2899" s="113">
        <f>IF($B2899="","",MONTH($B2899))</f>
        <v/>
      </c>
      <c r="W2899" s="113">
        <f>IF($B2899="","",YEAR($B2899))</f>
        <v/>
      </c>
    </row>
    <row r="2900">
      <c r="B2900" s="105" t="n"/>
      <c r="C2900" s="54" t="n"/>
      <c r="D2900" s="54" t="n"/>
      <c r="E2900" s="54" t="n"/>
      <c r="F2900" s="54" t="n"/>
      <c r="G2900" s="65" t="n"/>
      <c r="H2900" s="54" t="n"/>
      <c r="I2900" s="106">
        <f>IF($C2900="","",IFERROR(INDEX(Sens_Types,MATCH($C2900,Liste_Types,0)),""))</f>
        <v/>
      </c>
      <c r="J2900" s="107">
        <f>IF($I2900="▲ ENTRÉE",$U2900,"")</f>
        <v/>
      </c>
      <c r="K2900" s="108">
        <f>IF($I2900="▼ SORTIE",$U2900,"")</f>
        <v/>
      </c>
      <c r="L2900" s="109">
        <f>$L2899+N($J2900)-N($K2900)</f>
        <v/>
      </c>
      <c r="M2900" s="110" t="n"/>
      <c r="N2900" s="54" t="n"/>
      <c r="O2900" s="54" t="n"/>
      <c r="P2900" s="54" t="n"/>
      <c r="Q2900" s="110" t="n"/>
      <c r="R2900" s="110" t="n"/>
      <c r="S2900" s="54" t="n"/>
      <c r="T2900" s="111">
        <f>IF($G2900="","",IFERROR(INDEX(Taux_Devises,MATCH(IF($M2900="",Devise_Base,$M2900),Codes_Devises,0)),1))</f>
        <v/>
      </c>
      <c r="U2900" s="112">
        <f>IF($G2900="","",ROUND($G2900*$T2900,2))</f>
        <v/>
      </c>
      <c r="V2900" s="113">
        <f>IF($B2900="","",MONTH($B2900))</f>
        <v/>
      </c>
      <c r="W2900" s="113">
        <f>IF($B2900="","",YEAR($B2900))</f>
        <v/>
      </c>
    </row>
    <row r="2901">
      <c r="B2901" s="105" t="n"/>
      <c r="C2901" s="54" t="n"/>
      <c r="D2901" s="54" t="n"/>
      <c r="E2901" s="54" t="n"/>
      <c r="F2901" s="54" t="n"/>
      <c r="G2901" s="65" t="n"/>
      <c r="H2901" s="54" t="n"/>
      <c r="I2901" s="106">
        <f>IF($C2901="","",IFERROR(INDEX(Sens_Types,MATCH($C2901,Liste_Types,0)),""))</f>
        <v/>
      </c>
      <c r="J2901" s="107">
        <f>IF($I2901="▲ ENTRÉE",$U2901,"")</f>
        <v/>
      </c>
      <c r="K2901" s="108">
        <f>IF($I2901="▼ SORTIE",$U2901,"")</f>
        <v/>
      </c>
      <c r="L2901" s="109">
        <f>$L2900+N($J2901)-N($K2901)</f>
        <v/>
      </c>
      <c r="M2901" s="110" t="n"/>
      <c r="N2901" s="54" t="n"/>
      <c r="O2901" s="54" t="n"/>
      <c r="P2901" s="54" t="n"/>
      <c r="Q2901" s="110" t="n"/>
      <c r="R2901" s="110" t="n"/>
      <c r="S2901" s="54" t="n"/>
      <c r="T2901" s="111">
        <f>IF($G2901="","",IFERROR(INDEX(Taux_Devises,MATCH(IF($M2901="",Devise_Base,$M2901),Codes_Devises,0)),1))</f>
        <v/>
      </c>
      <c r="U2901" s="112">
        <f>IF($G2901="","",ROUND($G2901*$T2901,2))</f>
        <v/>
      </c>
      <c r="V2901" s="113">
        <f>IF($B2901="","",MONTH($B2901))</f>
        <v/>
      </c>
      <c r="W2901" s="113">
        <f>IF($B2901="","",YEAR($B2901))</f>
        <v/>
      </c>
    </row>
    <row r="2902">
      <c r="B2902" s="105" t="n"/>
      <c r="C2902" s="54" t="n"/>
      <c r="D2902" s="54" t="n"/>
      <c r="E2902" s="54" t="n"/>
      <c r="F2902" s="54" t="n"/>
      <c r="G2902" s="65" t="n"/>
      <c r="H2902" s="54" t="n"/>
      <c r="I2902" s="106">
        <f>IF($C2902="","",IFERROR(INDEX(Sens_Types,MATCH($C2902,Liste_Types,0)),""))</f>
        <v/>
      </c>
      <c r="J2902" s="107">
        <f>IF($I2902="▲ ENTRÉE",$U2902,"")</f>
        <v/>
      </c>
      <c r="K2902" s="108">
        <f>IF($I2902="▼ SORTIE",$U2902,"")</f>
        <v/>
      </c>
      <c r="L2902" s="109">
        <f>$L2901+N($J2902)-N($K2902)</f>
        <v/>
      </c>
      <c r="M2902" s="110" t="n"/>
      <c r="N2902" s="54" t="n"/>
      <c r="O2902" s="54" t="n"/>
      <c r="P2902" s="54" t="n"/>
      <c r="Q2902" s="110" t="n"/>
      <c r="R2902" s="110" t="n"/>
      <c r="S2902" s="54" t="n"/>
      <c r="T2902" s="111">
        <f>IF($G2902="","",IFERROR(INDEX(Taux_Devises,MATCH(IF($M2902="",Devise_Base,$M2902),Codes_Devises,0)),1))</f>
        <v/>
      </c>
      <c r="U2902" s="112">
        <f>IF($G2902="","",ROUND($G2902*$T2902,2))</f>
        <v/>
      </c>
      <c r="V2902" s="113">
        <f>IF($B2902="","",MONTH($B2902))</f>
        <v/>
      </c>
      <c r="W2902" s="113">
        <f>IF($B2902="","",YEAR($B2902))</f>
        <v/>
      </c>
    </row>
    <row r="2903">
      <c r="B2903" s="105" t="n"/>
      <c r="C2903" s="54" t="n"/>
      <c r="D2903" s="54" t="n"/>
      <c r="E2903" s="54" t="n"/>
      <c r="F2903" s="54" t="n"/>
      <c r="G2903" s="65" t="n"/>
      <c r="H2903" s="54" t="n"/>
      <c r="I2903" s="106">
        <f>IF($C2903="","",IFERROR(INDEX(Sens_Types,MATCH($C2903,Liste_Types,0)),""))</f>
        <v/>
      </c>
      <c r="J2903" s="107">
        <f>IF($I2903="▲ ENTRÉE",$U2903,"")</f>
        <v/>
      </c>
      <c r="K2903" s="108">
        <f>IF($I2903="▼ SORTIE",$U2903,"")</f>
        <v/>
      </c>
      <c r="L2903" s="109">
        <f>$L2902+N($J2903)-N($K2903)</f>
        <v/>
      </c>
      <c r="M2903" s="110" t="n"/>
      <c r="N2903" s="54" t="n"/>
      <c r="O2903" s="54" t="n"/>
      <c r="P2903" s="54" t="n"/>
      <c r="Q2903" s="110" t="n"/>
      <c r="R2903" s="110" t="n"/>
      <c r="S2903" s="54" t="n"/>
      <c r="T2903" s="111">
        <f>IF($G2903="","",IFERROR(INDEX(Taux_Devises,MATCH(IF($M2903="",Devise_Base,$M2903),Codes_Devises,0)),1))</f>
        <v/>
      </c>
      <c r="U2903" s="112">
        <f>IF($G2903="","",ROUND($G2903*$T2903,2))</f>
        <v/>
      </c>
      <c r="V2903" s="113">
        <f>IF($B2903="","",MONTH($B2903))</f>
        <v/>
      </c>
      <c r="W2903" s="113">
        <f>IF($B2903="","",YEAR($B2903))</f>
        <v/>
      </c>
    </row>
    <row r="2904">
      <c r="B2904" s="105" t="n"/>
      <c r="C2904" s="54" t="n"/>
      <c r="D2904" s="54" t="n"/>
      <c r="E2904" s="54" t="n"/>
      <c r="F2904" s="54" t="n"/>
      <c r="G2904" s="65" t="n"/>
      <c r="H2904" s="54" t="n"/>
      <c r="I2904" s="106">
        <f>IF($C2904="","",IFERROR(INDEX(Sens_Types,MATCH($C2904,Liste_Types,0)),""))</f>
        <v/>
      </c>
      <c r="J2904" s="107">
        <f>IF($I2904="▲ ENTRÉE",$U2904,"")</f>
        <v/>
      </c>
      <c r="K2904" s="108">
        <f>IF($I2904="▼ SORTIE",$U2904,"")</f>
        <v/>
      </c>
      <c r="L2904" s="109">
        <f>$L2903+N($J2904)-N($K2904)</f>
        <v/>
      </c>
      <c r="M2904" s="110" t="n"/>
      <c r="N2904" s="54" t="n"/>
      <c r="O2904" s="54" t="n"/>
      <c r="P2904" s="54" t="n"/>
      <c r="Q2904" s="110" t="n"/>
      <c r="R2904" s="110" t="n"/>
      <c r="S2904" s="54" t="n"/>
      <c r="T2904" s="111">
        <f>IF($G2904="","",IFERROR(INDEX(Taux_Devises,MATCH(IF($M2904="",Devise_Base,$M2904),Codes_Devises,0)),1))</f>
        <v/>
      </c>
      <c r="U2904" s="112">
        <f>IF($G2904="","",ROUND($G2904*$T2904,2))</f>
        <v/>
      </c>
      <c r="V2904" s="113">
        <f>IF($B2904="","",MONTH($B2904))</f>
        <v/>
      </c>
      <c r="W2904" s="113">
        <f>IF($B2904="","",YEAR($B2904))</f>
        <v/>
      </c>
    </row>
    <row r="2905">
      <c r="B2905" s="105" t="n"/>
      <c r="C2905" s="54" t="n"/>
      <c r="D2905" s="54" t="n"/>
      <c r="E2905" s="54" t="n"/>
      <c r="F2905" s="54" t="n"/>
      <c r="G2905" s="65" t="n"/>
      <c r="H2905" s="54" t="n"/>
      <c r="I2905" s="106">
        <f>IF($C2905="","",IFERROR(INDEX(Sens_Types,MATCH($C2905,Liste_Types,0)),""))</f>
        <v/>
      </c>
      <c r="J2905" s="107">
        <f>IF($I2905="▲ ENTRÉE",$U2905,"")</f>
        <v/>
      </c>
      <c r="K2905" s="108">
        <f>IF($I2905="▼ SORTIE",$U2905,"")</f>
        <v/>
      </c>
      <c r="L2905" s="109">
        <f>$L2904+N($J2905)-N($K2905)</f>
        <v/>
      </c>
      <c r="M2905" s="110" t="n"/>
      <c r="N2905" s="54" t="n"/>
      <c r="O2905" s="54" t="n"/>
      <c r="P2905" s="54" t="n"/>
      <c r="Q2905" s="110" t="n"/>
      <c r="R2905" s="110" t="n"/>
      <c r="S2905" s="54" t="n"/>
      <c r="T2905" s="111">
        <f>IF($G2905="","",IFERROR(INDEX(Taux_Devises,MATCH(IF($M2905="",Devise_Base,$M2905),Codes_Devises,0)),1))</f>
        <v/>
      </c>
      <c r="U2905" s="112">
        <f>IF($G2905="","",ROUND($G2905*$T2905,2))</f>
        <v/>
      </c>
      <c r="V2905" s="113">
        <f>IF($B2905="","",MONTH($B2905))</f>
        <v/>
      </c>
      <c r="W2905" s="113">
        <f>IF($B2905="","",YEAR($B2905))</f>
        <v/>
      </c>
    </row>
    <row r="2906">
      <c r="B2906" s="105" t="n"/>
      <c r="C2906" s="54" t="n"/>
      <c r="D2906" s="54" t="n"/>
      <c r="E2906" s="54" t="n"/>
      <c r="F2906" s="54" t="n"/>
      <c r="G2906" s="65" t="n"/>
      <c r="H2906" s="54" t="n"/>
      <c r="I2906" s="106">
        <f>IF($C2906="","",IFERROR(INDEX(Sens_Types,MATCH($C2906,Liste_Types,0)),""))</f>
        <v/>
      </c>
      <c r="J2906" s="107">
        <f>IF($I2906="▲ ENTRÉE",$U2906,"")</f>
        <v/>
      </c>
      <c r="K2906" s="108">
        <f>IF($I2906="▼ SORTIE",$U2906,"")</f>
        <v/>
      </c>
      <c r="L2906" s="109">
        <f>$L2905+N($J2906)-N($K2906)</f>
        <v/>
      </c>
      <c r="M2906" s="110" t="n"/>
      <c r="N2906" s="54" t="n"/>
      <c r="O2906" s="54" t="n"/>
      <c r="P2906" s="54" t="n"/>
      <c r="Q2906" s="110" t="n"/>
      <c r="R2906" s="110" t="n"/>
      <c r="S2906" s="54" t="n"/>
      <c r="T2906" s="111">
        <f>IF($G2906="","",IFERROR(INDEX(Taux_Devises,MATCH(IF($M2906="",Devise_Base,$M2906),Codes_Devises,0)),1))</f>
        <v/>
      </c>
      <c r="U2906" s="112">
        <f>IF($G2906="","",ROUND($G2906*$T2906,2))</f>
        <v/>
      </c>
      <c r="V2906" s="113">
        <f>IF($B2906="","",MONTH($B2906))</f>
        <v/>
      </c>
      <c r="W2906" s="113">
        <f>IF($B2906="","",YEAR($B2906))</f>
        <v/>
      </c>
    </row>
    <row r="2907">
      <c r="B2907" s="105" t="n"/>
      <c r="C2907" s="54" t="n"/>
      <c r="D2907" s="54" t="n"/>
      <c r="E2907" s="54" t="n"/>
      <c r="F2907" s="54" t="n"/>
      <c r="G2907" s="65" t="n"/>
      <c r="H2907" s="54" t="n"/>
      <c r="I2907" s="106">
        <f>IF($C2907="","",IFERROR(INDEX(Sens_Types,MATCH($C2907,Liste_Types,0)),""))</f>
        <v/>
      </c>
      <c r="J2907" s="107">
        <f>IF($I2907="▲ ENTRÉE",$U2907,"")</f>
        <v/>
      </c>
      <c r="K2907" s="108">
        <f>IF($I2907="▼ SORTIE",$U2907,"")</f>
        <v/>
      </c>
      <c r="L2907" s="109">
        <f>$L2906+N($J2907)-N($K2907)</f>
        <v/>
      </c>
      <c r="M2907" s="110" t="n"/>
      <c r="N2907" s="54" t="n"/>
      <c r="O2907" s="54" t="n"/>
      <c r="P2907" s="54" t="n"/>
      <c r="Q2907" s="110" t="n"/>
      <c r="R2907" s="110" t="n"/>
      <c r="S2907" s="54" t="n"/>
      <c r="T2907" s="111">
        <f>IF($G2907="","",IFERROR(INDEX(Taux_Devises,MATCH(IF($M2907="",Devise_Base,$M2907),Codes_Devises,0)),1))</f>
        <v/>
      </c>
      <c r="U2907" s="112">
        <f>IF($G2907="","",ROUND($G2907*$T2907,2))</f>
        <v/>
      </c>
      <c r="V2907" s="113">
        <f>IF($B2907="","",MONTH($B2907))</f>
        <v/>
      </c>
      <c r="W2907" s="113">
        <f>IF($B2907="","",YEAR($B2907))</f>
        <v/>
      </c>
    </row>
    <row r="2908">
      <c r="B2908" s="105" t="n"/>
      <c r="C2908" s="54" t="n"/>
      <c r="D2908" s="54" t="n"/>
      <c r="E2908" s="54" t="n"/>
      <c r="F2908" s="54" t="n"/>
      <c r="G2908" s="65" t="n"/>
      <c r="H2908" s="54" t="n"/>
      <c r="I2908" s="106">
        <f>IF($C2908="","",IFERROR(INDEX(Sens_Types,MATCH($C2908,Liste_Types,0)),""))</f>
        <v/>
      </c>
      <c r="J2908" s="107">
        <f>IF($I2908="▲ ENTRÉE",$U2908,"")</f>
        <v/>
      </c>
      <c r="K2908" s="108">
        <f>IF($I2908="▼ SORTIE",$U2908,"")</f>
        <v/>
      </c>
      <c r="L2908" s="109">
        <f>$L2907+N($J2908)-N($K2908)</f>
        <v/>
      </c>
      <c r="M2908" s="110" t="n"/>
      <c r="N2908" s="54" t="n"/>
      <c r="O2908" s="54" t="n"/>
      <c r="P2908" s="54" t="n"/>
      <c r="Q2908" s="110" t="n"/>
      <c r="R2908" s="110" t="n"/>
      <c r="S2908" s="54" t="n"/>
      <c r="T2908" s="111">
        <f>IF($G2908="","",IFERROR(INDEX(Taux_Devises,MATCH(IF($M2908="",Devise_Base,$M2908),Codes_Devises,0)),1))</f>
        <v/>
      </c>
      <c r="U2908" s="112">
        <f>IF($G2908="","",ROUND($G2908*$T2908,2))</f>
        <v/>
      </c>
      <c r="V2908" s="113">
        <f>IF($B2908="","",MONTH($B2908))</f>
        <v/>
      </c>
      <c r="W2908" s="113">
        <f>IF($B2908="","",YEAR($B2908))</f>
        <v/>
      </c>
    </row>
    <row r="2909">
      <c r="B2909" s="105" t="n"/>
      <c r="C2909" s="54" t="n"/>
      <c r="D2909" s="54" t="n"/>
      <c r="E2909" s="54" t="n"/>
      <c r="F2909" s="54" t="n"/>
      <c r="G2909" s="65" t="n"/>
      <c r="H2909" s="54" t="n"/>
      <c r="I2909" s="106">
        <f>IF($C2909="","",IFERROR(INDEX(Sens_Types,MATCH($C2909,Liste_Types,0)),""))</f>
        <v/>
      </c>
      <c r="J2909" s="107">
        <f>IF($I2909="▲ ENTRÉE",$U2909,"")</f>
        <v/>
      </c>
      <c r="K2909" s="108">
        <f>IF($I2909="▼ SORTIE",$U2909,"")</f>
        <v/>
      </c>
      <c r="L2909" s="109">
        <f>$L2908+N($J2909)-N($K2909)</f>
        <v/>
      </c>
      <c r="M2909" s="110" t="n"/>
      <c r="N2909" s="54" t="n"/>
      <c r="O2909" s="54" t="n"/>
      <c r="P2909" s="54" t="n"/>
      <c r="Q2909" s="110" t="n"/>
      <c r="R2909" s="110" t="n"/>
      <c r="S2909" s="54" t="n"/>
      <c r="T2909" s="111">
        <f>IF($G2909="","",IFERROR(INDEX(Taux_Devises,MATCH(IF($M2909="",Devise_Base,$M2909),Codes_Devises,0)),1))</f>
        <v/>
      </c>
      <c r="U2909" s="112">
        <f>IF($G2909="","",ROUND($G2909*$T2909,2))</f>
        <v/>
      </c>
      <c r="V2909" s="113">
        <f>IF($B2909="","",MONTH($B2909))</f>
        <v/>
      </c>
      <c r="W2909" s="113">
        <f>IF($B2909="","",YEAR($B2909))</f>
        <v/>
      </c>
    </row>
    <row r="2910">
      <c r="B2910" s="105" t="n"/>
      <c r="C2910" s="54" t="n"/>
      <c r="D2910" s="54" t="n"/>
      <c r="E2910" s="54" t="n"/>
      <c r="F2910" s="54" t="n"/>
      <c r="G2910" s="65" t="n"/>
      <c r="H2910" s="54" t="n"/>
      <c r="I2910" s="106">
        <f>IF($C2910="","",IFERROR(INDEX(Sens_Types,MATCH($C2910,Liste_Types,0)),""))</f>
        <v/>
      </c>
      <c r="J2910" s="107">
        <f>IF($I2910="▲ ENTRÉE",$U2910,"")</f>
        <v/>
      </c>
      <c r="K2910" s="108">
        <f>IF($I2910="▼ SORTIE",$U2910,"")</f>
        <v/>
      </c>
      <c r="L2910" s="109">
        <f>$L2909+N($J2910)-N($K2910)</f>
        <v/>
      </c>
      <c r="M2910" s="110" t="n"/>
      <c r="N2910" s="54" t="n"/>
      <c r="O2910" s="54" t="n"/>
      <c r="P2910" s="54" t="n"/>
      <c r="Q2910" s="110" t="n"/>
      <c r="R2910" s="110" t="n"/>
      <c r="S2910" s="54" t="n"/>
      <c r="T2910" s="111">
        <f>IF($G2910="","",IFERROR(INDEX(Taux_Devises,MATCH(IF($M2910="",Devise_Base,$M2910),Codes_Devises,0)),1))</f>
        <v/>
      </c>
      <c r="U2910" s="112">
        <f>IF($G2910="","",ROUND($G2910*$T2910,2))</f>
        <v/>
      </c>
      <c r="V2910" s="113">
        <f>IF($B2910="","",MONTH($B2910))</f>
        <v/>
      </c>
      <c r="W2910" s="113">
        <f>IF($B2910="","",YEAR($B2910))</f>
        <v/>
      </c>
    </row>
    <row r="2911">
      <c r="B2911" s="105" t="n"/>
      <c r="C2911" s="54" t="n"/>
      <c r="D2911" s="54" t="n"/>
      <c r="E2911" s="54" t="n"/>
      <c r="F2911" s="54" t="n"/>
      <c r="G2911" s="65" t="n"/>
      <c r="H2911" s="54" t="n"/>
      <c r="I2911" s="106">
        <f>IF($C2911="","",IFERROR(INDEX(Sens_Types,MATCH($C2911,Liste_Types,0)),""))</f>
        <v/>
      </c>
      <c r="J2911" s="107">
        <f>IF($I2911="▲ ENTRÉE",$U2911,"")</f>
        <v/>
      </c>
      <c r="K2911" s="108">
        <f>IF($I2911="▼ SORTIE",$U2911,"")</f>
        <v/>
      </c>
      <c r="L2911" s="109">
        <f>$L2910+N($J2911)-N($K2911)</f>
        <v/>
      </c>
      <c r="M2911" s="110" t="n"/>
      <c r="N2911" s="54" t="n"/>
      <c r="O2911" s="54" t="n"/>
      <c r="P2911" s="54" t="n"/>
      <c r="Q2911" s="110" t="n"/>
      <c r="R2911" s="110" t="n"/>
      <c r="S2911" s="54" t="n"/>
      <c r="T2911" s="111">
        <f>IF($G2911="","",IFERROR(INDEX(Taux_Devises,MATCH(IF($M2911="",Devise_Base,$M2911),Codes_Devises,0)),1))</f>
        <v/>
      </c>
      <c r="U2911" s="112">
        <f>IF($G2911="","",ROUND($G2911*$T2911,2))</f>
        <v/>
      </c>
      <c r="V2911" s="113">
        <f>IF($B2911="","",MONTH($B2911))</f>
        <v/>
      </c>
      <c r="W2911" s="113">
        <f>IF($B2911="","",YEAR($B2911))</f>
        <v/>
      </c>
    </row>
    <row r="2912">
      <c r="B2912" s="105" t="n"/>
      <c r="C2912" s="54" t="n"/>
      <c r="D2912" s="54" t="n"/>
      <c r="E2912" s="54" t="n"/>
      <c r="F2912" s="54" t="n"/>
      <c r="G2912" s="65" t="n"/>
      <c r="H2912" s="54" t="n"/>
      <c r="I2912" s="106">
        <f>IF($C2912="","",IFERROR(INDEX(Sens_Types,MATCH($C2912,Liste_Types,0)),""))</f>
        <v/>
      </c>
      <c r="J2912" s="107">
        <f>IF($I2912="▲ ENTRÉE",$U2912,"")</f>
        <v/>
      </c>
      <c r="K2912" s="108">
        <f>IF($I2912="▼ SORTIE",$U2912,"")</f>
        <v/>
      </c>
      <c r="L2912" s="109">
        <f>$L2911+N($J2912)-N($K2912)</f>
        <v/>
      </c>
      <c r="M2912" s="110" t="n"/>
      <c r="N2912" s="54" t="n"/>
      <c r="O2912" s="54" t="n"/>
      <c r="P2912" s="54" t="n"/>
      <c r="Q2912" s="110" t="n"/>
      <c r="R2912" s="110" t="n"/>
      <c r="S2912" s="54" t="n"/>
      <c r="T2912" s="111">
        <f>IF($G2912="","",IFERROR(INDEX(Taux_Devises,MATCH(IF($M2912="",Devise_Base,$M2912),Codes_Devises,0)),1))</f>
        <v/>
      </c>
      <c r="U2912" s="112">
        <f>IF($G2912="","",ROUND($G2912*$T2912,2))</f>
        <v/>
      </c>
      <c r="V2912" s="113">
        <f>IF($B2912="","",MONTH($B2912))</f>
        <v/>
      </c>
      <c r="W2912" s="113">
        <f>IF($B2912="","",YEAR($B2912))</f>
        <v/>
      </c>
    </row>
    <row r="2913">
      <c r="B2913" s="105" t="n"/>
      <c r="C2913" s="54" t="n"/>
      <c r="D2913" s="54" t="n"/>
      <c r="E2913" s="54" t="n"/>
      <c r="F2913" s="54" t="n"/>
      <c r="G2913" s="65" t="n"/>
      <c r="H2913" s="54" t="n"/>
      <c r="I2913" s="106">
        <f>IF($C2913="","",IFERROR(INDEX(Sens_Types,MATCH($C2913,Liste_Types,0)),""))</f>
        <v/>
      </c>
      <c r="J2913" s="107">
        <f>IF($I2913="▲ ENTRÉE",$U2913,"")</f>
        <v/>
      </c>
      <c r="K2913" s="108">
        <f>IF($I2913="▼ SORTIE",$U2913,"")</f>
        <v/>
      </c>
      <c r="L2913" s="109">
        <f>$L2912+N($J2913)-N($K2913)</f>
        <v/>
      </c>
      <c r="M2913" s="110" t="n"/>
      <c r="N2913" s="54" t="n"/>
      <c r="O2913" s="54" t="n"/>
      <c r="P2913" s="54" t="n"/>
      <c r="Q2913" s="110" t="n"/>
      <c r="R2913" s="110" t="n"/>
      <c r="S2913" s="54" t="n"/>
      <c r="T2913" s="111">
        <f>IF($G2913="","",IFERROR(INDEX(Taux_Devises,MATCH(IF($M2913="",Devise_Base,$M2913),Codes_Devises,0)),1))</f>
        <v/>
      </c>
      <c r="U2913" s="112">
        <f>IF($G2913="","",ROUND($G2913*$T2913,2))</f>
        <v/>
      </c>
      <c r="V2913" s="113">
        <f>IF($B2913="","",MONTH($B2913))</f>
        <v/>
      </c>
      <c r="W2913" s="113">
        <f>IF($B2913="","",YEAR($B2913))</f>
        <v/>
      </c>
    </row>
    <row r="2914">
      <c r="B2914" s="105" t="n"/>
      <c r="C2914" s="54" t="n"/>
      <c r="D2914" s="54" t="n"/>
      <c r="E2914" s="54" t="n"/>
      <c r="F2914" s="54" t="n"/>
      <c r="G2914" s="65" t="n"/>
      <c r="H2914" s="54" t="n"/>
      <c r="I2914" s="106">
        <f>IF($C2914="","",IFERROR(INDEX(Sens_Types,MATCH($C2914,Liste_Types,0)),""))</f>
        <v/>
      </c>
      <c r="J2914" s="107">
        <f>IF($I2914="▲ ENTRÉE",$U2914,"")</f>
        <v/>
      </c>
      <c r="K2914" s="108">
        <f>IF($I2914="▼ SORTIE",$U2914,"")</f>
        <v/>
      </c>
      <c r="L2914" s="109">
        <f>$L2913+N($J2914)-N($K2914)</f>
        <v/>
      </c>
      <c r="M2914" s="110" t="n"/>
      <c r="N2914" s="54" t="n"/>
      <c r="O2914" s="54" t="n"/>
      <c r="P2914" s="54" t="n"/>
      <c r="Q2914" s="110" t="n"/>
      <c r="R2914" s="110" t="n"/>
      <c r="S2914" s="54" t="n"/>
      <c r="T2914" s="111">
        <f>IF($G2914="","",IFERROR(INDEX(Taux_Devises,MATCH(IF($M2914="",Devise_Base,$M2914),Codes_Devises,0)),1))</f>
        <v/>
      </c>
      <c r="U2914" s="112">
        <f>IF($G2914="","",ROUND($G2914*$T2914,2))</f>
        <v/>
      </c>
      <c r="V2914" s="113">
        <f>IF($B2914="","",MONTH($B2914))</f>
        <v/>
      </c>
      <c r="W2914" s="113">
        <f>IF($B2914="","",YEAR($B2914))</f>
        <v/>
      </c>
    </row>
    <row r="2915">
      <c r="B2915" s="105" t="n"/>
      <c r="C2915" s="54" t="n"/>
      <c r="D2915" s="54" t="n"/>
      <c r="E2915" s="54" t="n"/>
      <c r="F2915" s="54" t="n"/>
      <c r="G2915" s="65" t="n"/>
      <c r="H2915" s="54" t="n"/>
      <c r="I2915" s="106">
        <f>IF($C2915="","",IFERROR(INDEX(Sens_Types,MATCH($C2915,Liste_Types,0)),""))</f>
        <v/>
      </c>
      <c r="J2915" s="107">
        <f>IF($I2915="▲ ENTRÉE",$U2915,"")</f>
        <v/>
      </c>
      <c r="K2915" s="108">
        <f>IF($I2915="▼ SORTIE",$U2915,"")</f>
        <v/>
      </c>
      <c r="L2915" s="109">
        <f>$L2914+N($J2915)-N($K2915)</f>
        <v/>
      </c>
      <c r="M2915" s="110" t="n"/>
      <c r="N2915" s="54" t="n"/>
      <c r="O2915" s="54" t="n"/>
      <c r="P2915" s="54" t="n"/>
      <c r="Q2915" s="110" t="n"/>
      <c r="R2915" s="110" t="n"/>
      <c r="S2915" s="54" t="n"/>
      <c r="T2915" s="111">
        <f>IF($G2915="","",IFERROR(INDEX(Taux_Devises,MATCH(IF($M2915="",Devise_Base,$M2915),Codes_Devises,0)),1))</f>
        <v/>
      </c>
      <c r="U2915" s="112">
        <f>IF($G2915="","",ROUND($G2915*$T2915,2))</f>
        <v/>
      </c>
      <c r="V2915" s="113">
        <f>IF($B2915="","",MONTH($B2915))</f>
        <v/>
      </c>
      <c r="W2915" s="113">
        <f>IF($B2915="","",YEAR($B2915))</f>
        <v/>
      </c>
    </row>
    <row r="2916">
      <c r="B2916" s="105" t="n"/>
      <c r="C2916" s="54" t="n"/>
      <c r="D2916" s="54" t="n"/>
      <c r="E2916" s="54" t="n"/>
      <c r="F2916" s="54" t="n"/>
      <c r="G2916" s="65" t="n"/>
      <c r="H2916" s="54" t="n"/>
      <c r="I2916" s="106">
        <f>IF($C2916="","",IFERROR(INDEX(Sens_Types,MATCH($C2916,Liste_Types,0)),""))</f>
        <v/>
      </c>
      <c r="J2916" s="107">
        <f>IF($I2916="▲ ENTRÉE",$U2916,"")</f>
        <v/>
      </c>
      <c r="K2916" s="108">
        <f>IF($I2916="▼ SORTIE",$U2916,"")</f>
        <v/>
      </c>
      <c r="L2916" s="109">
        <f>$L2915+N($J2916)-N($K2916)</f>
        <v/>
      </c>
      <c r="M2916" s="110" t="n"/>
      <c r="N2916" s="54" t="n"/>
      <c r="O2916" s="54" t="n"/>
      <c r="P2916" s="54" t="n"/>
      <c r="Q2916" s="110" t="n"/>
      <c r="R2916" s="110" t="n"/>
      <c r="S2916" s="54" t="n"/>
      <c r="T2916" s="111">
        <f>IF($G2916="","",IFERROR(INDEX(Taux_Devises,MATCH(IF($M2916="",Devise_Base,$M2916),Codes_Devises,0)),1))</f>
        <v/>
      </c>
      <c r="U2916" s="112">
        <f>IF($G2916="","",ROUND($G2916*$T2916,2))</f>
        <v/>
      </c>
      <c r="V2916" s="113">
        <f>IF($B2916="","",MONTH($B2916))</f>
        <v/>
      </c>
      <c r="W2916" s="113">
        <f>IF($B2916="","",YEAR($B2916))</f>
        <v/>
      </c>
    </row>
    <row r="2917">
      <c r="B2917" s="105" t="n"/>
      <c r="C2917" s="54" t="n"/>
      <c r="D2917" s="54" t="n"/>
      <c r="E2917" s="54" t="n"/>
      <c r="F2917" s="54" t="n"/>
      <c r="G2917" s="65" t="n"/>
      <c r="H2917" s="54" t="n"/>
      <c r="I2917" s="106">
        <f>IF($C2917="","",IFERROR(INDEX(Sens_Types,MATCH($C2917,Liste_Types,0)),""))</f>
        <v/>
      </c>
      <c r="J2917" s="107">
        <f>IF($I2917="▲ ENTRÉE",$U2917,"")</f>
        <v/>
      </c>
      <c r="K2917" s="108">
        <f>IF($I2917="▼ SORTIE",$U2917,"")</f>
        <v/>
      </c>
      <c r="L2917" s="109">
        <f>$L2916+N($J2917)-N($K2917)</f>
        <v/>
      </c>
      <c r="M2917" s="110" t="n"/>
      <c r="N2917" s="54" t="n"/>
      <c r="O2917" s="54" t="n"/>
      <c r="P2917" s="54" t="n"/>
      <c r="Q2917" s="110" t="n"/>
      <c r="R2917" s="110" t="n"/>
      <c r="S2917" s="54" t="n"/>
      <c r="T2917" s="111">
        <f>IF($G2917="","",IFERROR(INDEX(Taux_Devises,MATCH(IF($M2917="",Devise_Base,$M2917),Codes_Devises,0)),1))</f>
        <v/>
      </c>
      <c r="U2917" s="112">
        <f>IF($G2917="","",ROUND($G2917*$T2917,2))</f>
        <v/>
      </c>
      <c r="V2917" s="113">
        <f>IF($B2917="","",MONTH($B2917))</f>
        <v/>
      </c>
      <c r="W2917" s="113">
        <f>IF($B2917="","",YEAR($B2917))</f>
        <v/>
      </c>
    </row>
    <row r="2918">
      <c r="B2918" s="105" t="n"/>
      <c r="C2918" s="54" t="n"/>
      <c r="D2918" s="54" t="n"/>
      <c r="E2918" s="54" t="n"/>
      <c r="F2918" s="54" t="n"/>
      <c r="G2918" s="65" t="n"/>
      <c r="H2918" s="54" t="n"/>
      <c r="I2918" s="106">
        <f>IF($C2918="","",IFERROR(INDEX(Sens_Types,MATCH($C2918,Liste_Types,0)),""))</f>
        <v/>
      </c>
      <c r="J2918" s="107">
        <f>IF($I2918="▲ ENTRÉE",$U2918,"")</f>
        <v/>
      </c>
      <c r="K2918" s="108">
        <f>IF($I2918="▼ SORTIE",$U2918,"")</f>
        <v/>
      </c>
      <c r="L2918" s="109">
        <f>$L2917+N($J2918)-N($K2918)</f>
        <v/>
      </c>
      <c r="M2918" s="110" t="n"/>
      <c r="N2918" s="54" t="n"/>
      <c r="O2918" s="54" t="n"/>
      <c r="P2918" s="54" t="n"/>
      <c r="Q2918" s="110" t="n"/>
      <c r="R2918" s="110" t="n"/>
      <c r="S2918" s="54" t="n"/>
      <c r="T2918" s="111">
        <f>IF($G2918="","",IFERROR(INDEX(Taux_Devises,MATCH(IF($M2918="",Devise_Base,$M2918),Codes_Devises,0)),1))</f>
        <v/>
      </c>
      <c r="U2918" s="112">
        <f>IF($G2918="","",ROUND($G2918*$T2918,2))</f>
        <v/>
      </c>
      <c r="V2918" s="113">
        <f>IF($B2918="","",MONTH($B2918))</f>
        <v/>
      </c>
      <c r="W2918" s="113">
        <f>IF($B2918="","",YEAR($B2918))</f>
        <v/>
      </c>
    </row>
    <row r="2919">
      <c r="B2919" s="105" t="n"/>
      <c r="C2919" s="54" t="n"/>
      <c r="D2919" s="54" t="n"/>
      <c r="E2919" s="54" t="n"/>
      <c r="F2919" s="54" t="n"/>
      <c r="G2919" s="65" t="n"/>
      <c r="H2919" s="54" t="n"/>
      <c r="I2919" s="106">
        <f>IF($C2919="","",IFERROR(INDEX(Sens_Types,MATCH($C2919,Liste_Types,0)),""))</f>
        <v/>
      </c>
      <c r="J2919" s="107">
        <f>IF($I2919="▲ ENTRÉE",$U2919,"")</f>
        <v/>
      </c>
      <c r="K2919" s="108">
        <f>IF($I2919="▼ SORTIE",$U2919,"")</f>
        <v/>
      </c>
      <c r="L2919" s="109">
        <f>$L2918+N($J2919)-N($K2919)</f>
        <v/>
      </c>
      <c r="M2919" s="110" t="n"/>
      <c r="N2919" s="54" t="n"/>
      <c r="O2919" s="54" t="n"/>
      <c r="P2919" s="54" t="n"/>
      <c r="Q2919" s="110" t="n"/>
      <c r="R2919" s="110" t="n"/>
      <c r="S2919" s="54" t="n"/>
      <c r="T2919" s="111">
        <f>IF($G2919="","",IFERROR(INDEX(Taux_Devises,MATCH(IF($M2919="",Devise_Base,$M2919),Codes_Devises,0)),1))</f>
        <v/>
      </c>
      <c r="U2919" s="112">
        <f>IF($G2919="","",ROUND($G2919*$T2919,2))</f>
        <v/>
      </c>
      <c r="V2919" s="113">
        <f>IF($B2919="","",MONTH($B2919))</f>
        <v/>
      </c>
      <c r="W2919" s="113">
        <f>IF($B2919="","",YEAR($B2919))</f>
        <v/>
      </c>
    </row>
    <row r="2920">
      <c r="B2920" s="105" t="n"/>
      <c r="C2920" s="54" t="n"/>
      <c r="D2920" s="54" t="n"/>
      <c r="E2920" s="54" t="n"/>
      <c r="F2920" s="54" t="n"/>
      <c r="G2920" s="65" t="n"/>
      <c r="H2920" s="54" t="n"/>
      <c r="I2920" s="106">
        <f>IF($C2920="","",IFERROR(INDEX(Sens_Types,MATCH($C2920,Liste_Types,0)),""))</f>
        <v/>
      </c>
      <c r="J2920" s="107">
        <f>IF($I2920="▲ ENTRÉE",$U2920,"")</f>
        <v/>
      </c>
      <c r="K2920" s="108">
        <f>IF($I2920="▼ SORTIE",$U2920,"")</f>
        <v/>
      </c>
      <c r="L2920" s="109">
        <f>$L2919+N($J2920)-N($K2920)</f>
        <v/>
      </c>
      <c r="M2920" s="110" t="n"/>
      <c r="N2920" s="54" t="n"/>
      <c r="O2920" s="54" t="n"/>
      <c r="P2920" s="54" t="n"/>
      <c r="Q2920" s="110" t="n"/>
      <c r="R2920" s="110" t="n"/>
      <c r="S2920" s="54" t="n"/>
      <c r="T2920" s="111">
        <f>IF($G2920="","",IFERROR(INDEX(Taux_Devises,MATCH(IF($M2920="",Devise_Base,$M2920),Codes_Devises,0)),1))</f>
        <v/>
      </c>
      <c r="U2920" s="112">
        <f>IF($G2920="","",ROUND($G2920*$T2920,2))</f>
        <v/>
      </c>
      <c r="V2920" s="113">
        <f>IF($B2920="","",MONTH($B2920))</f>
        <v/>
      </c>
      <c r="W2920" s="113">
        <f>IF($B2920="","",YEAR($B2920))</f>
        <v/>
      </c>
    </row>
    <row r="2921">
      <c r="B2921" s="105" t="n"/>
      <c r="C2921" s="54" t="n"/>
      <c r="D2921" s="54" t="n"/>
      <c r="E2921" s="54" t="n"/>
      <c r="F2921" s="54" t="n"/>
      <c r="G2921" s="65" t="n"/>
      <c r="H2921" s="54" t="n"/>
      <c r="I2921" s="106">
        <f>IF($C2921="","",IFERROR(INDEX(Sens_Types,MATCH($C2921,Liste_Types,0)),""))</f>
        <v/>
      </c>
      <c r="J2921" s="107">
        <f>IF($I2921="▲ ENTRÉE",$U2921,"")</f>
        <v/>
      </c>
      <c r="K2921" s="108">
        <f>IF($I2921="▼ SORTIE",$U2921,"")</f>
        <v/>
      </c>
      <c r="L2921" s="109">
        <f>$L2920+N($J2921)-N($K2921)</f>
        <v/>
      </c>
      <c r="M2921" s="110" t="n"/>
      <c r="N2921" s="54" t="n"/>
      <c r="O2921" s="54" t="n"/>
      <c r="P2921" s="54" t="n"/>
      <c r="Q2921" s="110" t="n"/>
      <c r="R2921" s="110" t="n"/>
      <c r="S2921" s="54" t="n"/>
      <c r="T2921" s="111">
        <f>IF($G2921="","",IFERROR(INDEX(Taux_Devises,MATCH(IF($M2921="",Devise_Base,$M2921),Codes_Devises,0)),1))</f>
        <v/>
      </c>
      <c r="U2921" s="112">
        <f>IF($G2921="","",ROUND($G2921*$T2921,2))</f>
        <v/>
      </c>
      <c r="V2921" s="113">
        <f>IF($B2921="","",MONTH($B2921))</f>
        <v/>
      </c>
      <c r="W2921" s="113">
        <f>IF($B2921="","",YEAR($B2921))</f>
        <v/>
      </c>
    </row>
    <row r="2922">
      <c r="B2922" s="105" t="n"/>
      <c r="C2922" s="54" t="n"/>
      <c r="D2922" s="54" t="n"/>
      <c r="E2922" s="54" t="n"/>
      <c r="F2922" s="54" t="n"/>
      <c r="G2922" s="65" t="n"/>
      <c r="H2922" s="54" t="n"/>
      <c r="I2922" s="106">
        <f>IF($C2922="","",IFERROR(INDEX(Sens_Types,MATCH($C2922,Liste_Types,0)),""))</f>
        <v/>
      </c>
      <c r="J2922" s="107">
        <f>IF($I2922="▲ ENTRÉE",$U2922,"")</f>
        <v/>
      </c>
      <c r="K2922" s="108">
        <f>IF($I2922="▼ SORTIE",$U2922,"")</f>
        <v/>
      </c>
      <c r="L2922" s="109">
        <f>$L2921+N($J2922)-N($K2922)</f>
        <v/>
      </c>
      <c r="M2922" s="110" t="n"/>
      <c r="N2922" s="54" t="n"/>
      <c r="O2922" s="54" t="n"/>
      <c r="P2922" s="54" t="n"/>
      <c r="Q2922" s="110" t="n"/>
      <c r="R2922" s="110" t="n"/>
      <c r="S2922" s="54" t="n"/>
      <c r="T2922" s="111">
        <f>IF($G2922="","",IFERROR(INDEX(Taux_Devises,MATCH(IF($M2922="",Devise_Base,$M2922),Codes_Devises,0)),1))</f>
        <v/>
      </c>
      <c r="U2922" s="112">
        <f>IF($G2922="","",ROUND($G2922*$T2922,2))</f>
        <v/>
      </c>
      <c r="V2922" s="113">
        <f>IF($B2922="","",MONTH($B2922))</f>
        <v/>
      </c>
      <c r="W2922" s="113">
        <f>IF($B2922="","",YEAR($B2922))</f>
        <v/>
      </c>
    </row>
    <row r="2923">
      <c r="B2923" s="105" t="n"/>
      <c r="C2923" s="54" t="n"/>
      <c r="D2923" s="54" t="n"/>
      <c r="E2923" s="54" t="n"/>
      <c r="F2923" s="54" t="n"/>
      <c r="G2923" s="65" t="n"/>
      <c r="H2923" s="54" t="n"/>
      <c r="I2923" s="106">
        <f>IF($C2923="","",IFERROR(INDEX(Sens_Types,MATCH($C2923,Liste_Types,0)),""))</f>
        <v/>
      </c>
      <c r="J2923" s="107">
        <f>IF($I2923="▲ ENTRÉE",$U2923,"")</f>
        <v/>
      </c>
      <c r="K2923" s="108">
        <f>IF($I2923="▼ SORTIE",$U2923,"")</f>
        <v/>
      </c>
      <c r="L2923" s="109">
        <f>$L2922+N($J2923)-N($K2923)</f>
        <v/>
      </c>
      <c r="M2923" s="110" t="n"/>
      <c r="N2923" s="54" t="n"/>
      <c r="O2923" s="54" t="n"/>
      <c r="P2923" s="54" t="n"/>
      <c r="Q2923" s="110" t="n"/>
      <c r="R2923" s="110" t="n"/>
      <c r="S2923" s="54" t="n"/>
      <c r="T2923" s="111">
        <f>IF($G2923="","",IFERROR(INDEX(Taux_Devises,MATCH(IF($M2923="",Devise_Base,$M2923),Codes_Devises,0)),1))</f>
        <v/>
      </c>
      <c r="U2923" s="112">
        <f>IF($G2923="","",ROUND($G2923*$T2923,2))</f>
        <v/>
      </c>
      <c r="V2923" s="113">
        <f>IF($B2923="","",MONTH($B2923))</f>
        <v/>
      </c>
      <c r="W2923" s="113">
        <f>IF($B2923="","",YEAR($B2923))</f>
        <v/>
      </c>
    </row>
    <row r="2924">
      <c r="B2924" s="105" t="n"/>
      <c r="C2924" s="54" t="n"/>
      <c r="D2924" s="54" t="n"/>
      <c r="E2924" s="54" t="n"/>
      <c r="F2924" s="54" t="n"/>
      <c r="G2924" s="65" t="n"/>
      <c r="H2924" s="54" t="n"/>
      <c r="I2924" s="106">
        <f>IF($C2924="","",IFERROR(INDEX(Sens_Types,MATCH($C2924,Liste_Types,0)),""))</f>
        <v/>
      </c>
      <c r="J2924" s="107">
        <f>IF($I2924="▲ ENTRÉE",$U2924,"")</f>
        <v/>
      </c>
      <c r="K2924" s="108">
        <f>IF($I2924="▼ SORTIE",$U2924,"")</f>
        <v/>
      </c>
      <c r="L2924" s="109">
        <f>$L2923+N($J2924)-N($K2924)</f>
        <v/>
      </c>
      <c r="M2924" s="110" t="n"/>
      <c r="N2924" s="54" t="n"/>
      <c r="O2924" s="54" t="n"/>
      <c r="P2924" s="54" t="n"/>
      <c r="Q2924" s="110" t="n"/>
      <c r="R2924" s="110" t="n"/>
      <c r="S2924" s="54" t="n"/>
      <c r="T2924" s="111">
        <f>IF($G2924="","",IFERROR(INDEX(Taux_Devises,MATCH(IF($M2924="",Devise_Base,$M2924),Codes_Devises,0)),1))</f>
        <v/>
      </c>
      <c r="U2924" s="112">
        <f>IF($G2924="","",ROUND($G2924*$T2924,2))</f>
        <v/>
      </c>
      <c r="V2924" s="113">
        <f>IF($B2924="","",MONTH($B2924))</f>
        <v/>
      </c>
      <c r="W2924" s="113">
        <f>IF($B2924="","",YEAR($B2924))</f>
        <v/>
      </c>
    </row>
    <row r="2925">
      <c r="B2925" s="105" t="n"/>
      <c r="C2925" s="54" t="n"/>
      <c r="D2925" s="54" t="n"/>
      <c r="E2925" s="54" t="n"/>
      <c r="F2925" s="54" t="n"/>
      <c r="G2925" s="65" t="n"/>
      <c r="H2925" s="54" t="n"/>
      <c r="I2925" s="106">
        <f>IF($C2925="","",IFERROR(INDEX(Sens_Types,MATCH($C2925,Liste_Types,0)),""))</f>
        <v/>
      </c>
      <c r="J2925" s="107">
        <f>IF($I2925="▲ ENTRÉE",$U2925,"")</f>
        <v/>
      </c>
      <c r="K2925" s="108">
        <f>IF($I2925="▼ SORTIE",$U2925,"")</f>
        <v/>
      </c>
      <c r="L2925" s="109">
        <f>$L2924+N($J2925)-N($K2925)</f>
        <v/>
      </c>
      <c r="M2925" s="110" t="n"/>
      <c r="N2925" s="54" t="n"/>
      <c r="O2925" s="54" t="n"/>
      <c r="P2925" s="54" t="n"/>
      <c r="Q2925" s="110" t="n"/>
      <c r="R2925" s="110" t="n"/>
      <c r="S2925" s="54" t="n"/>
      <c r="T2925" s="111">
        <f>IF($G2925="","",IFERROR(INDEX(Taux_Devises,MATCH(IF($M2925="",Devise_Base,$M2925),Codes_Devises,0)),1))</f>
        <v/>
      </c>
      <c r="U2925" s="112">
        <f>IF($G2925="","",ROUND($G2925*$T2925,2))</f>
        <v/>
      </c>
      <c r="V2925" s="113">
        <f>IF($B2925="","",MONTH($B2925))</f>
        <v/>
      </c>
      <c r="W2925" s="113">
        <f>IF($B2925="","",YEAR($B2925))</f>
        <v/>
      </c>
    </row>
    <row r="2926">
      <c r="B2926" s="105" t="n"/>
      <c r="C2926" s="54" t="n"/>
      <c r="D2926" s="54" t="n"/>
      <c r="E2926" s="54" t="n"/>
      <c r="F2926" s="54" t="n"/>
      <c r="G2926" s="65" t="n"/>
      <c r="H2926" s="54" t="n"/>
      <c r="I2926" s="106">
        <f>IF($C2926="","",IFERROR(INDEX(Sens_Types,MATCH($C2926,Liste_Types,0)),""))</f>
        <v/>
      </c>
      <c r="J2926" s="107">
        <f>IF($I2926="▲ ENTRÉE",$U2926,"")</f>
        <v/>
      </c>
      <c r="K2926" s="108">
        <f>IF($I2926="▼ SORTIE",$U2926,"")</f>
        <v/>
      </c>
      <c r="L2926" s="109">
        <f>$L2925+N($J2926)-N($K2926)</f>
        <v/>
      </c>
      <c r="M2926" s="110" t="n"/>
      <c r="N2926" s="54" t="n"/>
      <c r="O2926" s="54" t="n"/>
      <c r="P2926" s="54" t="n"/>
      <c r="Q2926" s="110" t="n"/>
      <c r="R2926" s="110" t="n"/>
      <c r="S2926" s="54" t="n"/>
      <c r="T2926" s="111">
        <f>IF($G2926="","",IFERROR(INDEX(Taux_Devises,MATCH(IF($M2926="",Devise_Base,$M2926),Codes_Devises,0)),1))</f>
        <v/>
      </c>
      <c r="U2926" s="112">
        <f>IF($G2926="","",ROUND($G2926*$T2926,2))</f>
        <v/>
      </c>
      <c r="V2926" s="113">
        <f>IF($B2926="","",MONTH($B2926))</f>
        <v/>
      </c>
      <c r="W2926" s="113">
        <f>IF($B2926="","",YEAR($B2926))</f>
        <v/>
      </c>
    </row>
    <row r="2927">
      <c r="B2927" s="105" t="n"/>
      <c r="C2927" s="54" t="n"/>
      <c r="D2927" s="54" t="n"/>
      <c r="E2927" s="54" t="n"/>
      <c r="F2927" s="54" t="n"/>
      <c r="G2927" s="65" t="n"/>
      <c r="H2927" s="54" t="n"/>
      <c r="I2927" s="106">
        <f>IF($C2927="","",IFERROR(INDEX(Sens_Types,MATCH($C2927,Liste_Types,0)),""))</f>
        <v/>
      </c>
      <c r="J2927" s="107">
        <f>IF($I2927="▲ ENTRÉE",$U2927,"")</f>
        <v/>
      </c>
      <c r="K2927" s="108">
        <f>IF($I2927="▼ SORTIE",$U2927,"")</f>
        <v/>
      </c>
      <c r="L2927" s="109">
        <f>$L2926+N($J2927)-N($K2927)</f>
        <v/>
      </c>
      <c r="M2927" s="110" t="n"/>
      <c r="N2927" s="54" t="n"/>
      <c r="O2927" s="54" t="n"/>
      <c r="P2927" s="54" t="n"/>
      <c r="Q2927" s="110" t="n"/>
      <c r="R2927" s="110" t="n"/>
      <c r="S2927" s="54" t="n"/>
      <c r="T2927" s="111">
        <f>IF($G2927="","",IFERROR(INDEX(Taux_Devises,MATCH(IF($M2927="",Devise_Base,$M2927),Codes_Devises,0)),1))</f>
        <v/>
      </c>
      <c r="U2927" s="112">
        <f>IF($G2927="","",ROUND($G2927*$T2927,2))</f>
        <v/>
      </c>
      <c r="V2927" s="113">
        <f>IF($B2927="","",MONTH($B2927))</f>
        <v/>
      </c>
      <c r="W2927" s="113">
        <f>IF($B2927="","",YEAR($B2927))</f>
        <v/>
      </c>
    </row>
    <row r="2928">
      <c r="B2928" s="105" t="n"/>
      <c r="C2928" s="54" t="n"/>
      <c r="D2928" s="54" t="n"/>
      <c r="E2928" s="54" t="n"/>
      <c r="F2928" s="54" t="n"/>
      <c r="G2928" s="65" t="n"/>
      <c r="H2928" s="54" t="n"/>
      <c r="I2928" s="106">
        <f>IF($C2928="","",IFERROR(INDEX(Sens_Types,MATCH($C2928,Liste_Types,0)),""))</f>
        <v/>
      </c>
      <c r="J2928" s="107">
        <f>IF($I2928="▲ ENTRÉE",$U2928,"")</f>
        <v/>
      </c>
      <c r="K2928" s="108">
        <f>IF($I2928="▼ SORTIE",$U2928,"")</f>
        <v/>
      </c>
      <c r="L2928" s="109">
        <f>$L2927+N($J2928)-N($K2928)</f>
        <v/>
      </c>
      <c r="M2928" s="110" t="n"/>
      <c r="N2928" s="54" t="n"/>
      <c r="O2928" s="54" t="n"/>
      <c r="P2928" s="54" t="n"/>
      <c r="Q2928" s="110" t="n"/>
      <c r="R2928" s="110" t="n"/>
      <c r="S2928" s="54" t="n"/>
      <c r="T2928" s="111">
        <f>IF($G2928="","",IFERROR(INDEX(Taux_Devises,MATCH(IF($M2928="",Devise_Base,$M2928),Codes_Devises,0)),1))</f>
        <v/>
      </c>
      <c r="U2928" s="112">
        <f>IF($G2928="","",ROUND($G2928*$T2928,2))</f>
        <v/>
      </c>
      <c r="V2928" s="113">
        <f>IF($B2928="","",MONTH($B2928))</f>
        <v/>
      </c>
      <c r="W2928" s="113">
        <f>IF($B2928="","",YEAR($B2928))</f>
        <v/>
      </c>
    </row>
    <row r="2929">
      <c r="B2929" s="105" t="n"/>
      <c r="C2929" s="54" t="n"/>
      <c r="D2929" s="54" t="n"/>
      <c r="E2929" s="54" t="n"/>
      <c r="F2929" s="54" t="n"/>
      <c r="G2929" s="65" t="n"/>
      <c r="H2929" s="54" t="n"/>
      <c r="I2929" s="106">
        <f>IF($C2929="","",IFERROR(INDEX(Sens_Types,MATCH($C2929,Liste_Types,0)),""))</f>
        <v/>
      </c>
      <c r="J2929" s="107">
        <f>IF($I2929="▲ ENTRÉE",$U2929,"")</f>
        <v/>
      </c>
      <c r="K2929" s="108">
        <f>IF($I2929="▼ SORTIE",$U2929,"")</f>
        <v/>
      </c>
      <c r="L2929" s="109">
        <f>$L2928+N($J2929)-N($K2929)</f>
        <v/>
      </c>
      <c r="M2929" s="110" t="n"/>
      <c r="N2929" s="54" t="n"/>
      <c r="O2929" s="54" t="n"/>
      <c r="P2929" s="54" t="n"/>
      <c r="Q2929" s="110" t="n"/>
      <c r="R2929" s="110" t="n"/>
      <c r="S2929" s="54" t="n"/>
      <c r="T2929" s="111">
        <f>IF($G2929="","",IFERROR(INDEX(Taux_Devises,MATCH(IF($M2929="",Devise_Base,$M2929),Codes_Devises,0)),1))</f>
        <v/>
      </c>
      <c r="U2929" s="112">
        <f>IF($G2929="","",ROUND($G2929*$T2929,2))</f>
        <v/>
      </c>
      <c r="V2929" s="113">
        <f>IF($B2929="","",MONTH($B2929))</f>
        <v/>
      </c>
      <c r="W2929" s="113">
        <f>IF($B2929="","",YEAR($B2929))</f>
        <v/>
      </c>
    </row>
    <row r="2930">
      <c r="B2930" s="105" t="n"/>
      <c r="C2930" s="54" t="n"/>
      <c r="D2930" s="54" t="n"/>
      <c r="E2930" s="54" t="n"/>
      <c r="F2930" s="54" t="n"/>
      <c r="G2930" s="65" t="n"/>
      <c r="H2930" s="54" t="n"/>
      <c r="I2930" s="106">
        <f>IF($C2930="","",IFERROR(INDEX(Sens_Types,MATCH($C2930,Liste_Types,0)),""))</f>
        <v/>
      </c>
      <c r="J2930" s="107">
        <f>IF($I2930="▲ ENTRÉE",$U2930,"")</f>
        <v/>
      </c>
      <c r="K2930" s="108">
        <f>IF($I2930="▼ SORTIE",$U2930,"")</f>
        <v/>
      </c>
      <c r="L2930" s="109">
        <f>$L2929+N($J2930)-N($K2930)</f>
        <v/>
      </c>
      <c r="M2930" s="110" t="n"/>
      <c r="N2930" s="54" t="n"/>
      <c r="O2930" s="54" t="n"/>
      <c r="P2930" s="54" t="n"/>
      <c r="Q2930" s="110" t="n"/>
      <c r="R2930" s="110" t="n"/>
      <c r="S2930" s="54" t="n"/>
      <c r="T2930" s="111">
        <f>IF($G2930="","",IFERROR(INDEX(Taux_Devises,MATCH(IF($M2930="",Devise_Base,$M2930),Codes_Devises,0)),1))</f>
        <v/>
      </c>
      <c r="U2930" s="112">
        <f>IF($G2930="","",ROUND($G2930*$T2930,2))</f>
        <v/>
      </c>
      <c r="V2930" s="113">
        <f>IF($B2930="","",MONTH($B2930))</f>
        <v/>
      </c>
      <c r="W2930" s="113">
        <f>IF($B2930="","",YEAR($B2930))</f>
        <v/>
      </c>
    </row>
    <row r="2931">
      <c r="B2931" s="105" t="n"/>
      <c r="C2931" s="54" t="n"/>
      <c r="D2931" s="54" t="n"/>
      <c r="E2931" s="54" t="n"/>
      <c r="F2931" s="54" t="n"/>
      <c r="G2931" s="65" t="n"/>
      <c r="H2931" s="54" t="n"/>
      <c r="I2931" s="106">
        <f>IF($C2931="","",IFERROR(INDEX(Sens_Types,MATCH($C2931,Liste_Types,0)),""))</f>
        <v/>
      </c>
      <c r="J2931" s="107">
        <f>IF($I2931="▲ ENTRÉE",$U2931,"")</f>
        <v/>
      </c>
      <c r="K2931" s="108">
        <f>IF($I2931="▼ SORTIE",$U2931,"")</f>
        <v/>
      </c>
      <c r="L2931" s="109">
        <f>$L2930+N($J2931)-N($K2931)</f>
        <v/>
      </c>
      <c r="M2931" s="110" t="n"/>
      <c r="N2931" s="54" t="n"/>
      <c r="O2931" s="54" t="n"/>
      <c r="P2931" s="54" t="n"/>
      <c r="Q2931" s="110" t="n"/>
      <c r="R2931" s="110" t="n"/>
      <c r="S2931" s="54" t="n"/>
      <c r="T2931" s="111">
        <f>IF($G2931="","",IFERROR(INDEX(Taux_Devises,MATCH(IF($M2931="",Devise_Base,$M2931),Codes_Devises,0)),1))</f>
        <v/>
      </c>
      <c r="U2931" s="112">
        <f>IF($G2931="","",ROUND($G2931*$T2931,2))</f>
        <v/>
      </c>
      <c r="V2931" s="113">
        <f>IF($B2931="","",MONTH($B2931))</f>
        <v/>
      </c>
      <c r="W2931" s="113">
        <f>IF($B2931="","",YEAR($B2931))</f>
        <v/>
      </c>
    </row>
    <row r="2932">
      <c r="B2932" s="105" t="n"/>
      <c r="C2932" s="54" t="n"/>
      <c r="D2932" s="54" t="n"/>
      <c r="E2932" s="54" t="n"/>
      <c r="F2932" s="54" t="n"/>
      <c r="G2932" s="65" t="n"/>
      <c r="H2932" s="54" t="n"/>
      <c r="I2932" s="106">
        <f>IF($C2932="","",IFERROR(INDEX(Sens_Types,MATCH($C2932,Liste_Types,0)),""))</f>
        <v/>
      </c>
      <c r="J2932" s="107">
        <f>IF($I2932="▲ ENTRÉE",$U2932,"")</f>
        <v/>
      </c>
      <c r="K2932" s="108">
        <f>IF($I2932="▼ SORTIE",$U2932,"")</f>
        <v/>
      </c>
      <c r="L2932" s="109">
        <f>$L2931+N($J2932)-N($K2932)</f>
        <v/>
      </c>
      <c r="M2932" s="110" t="n"/>
      <c r="N2932" s="54" t="n"/>
      <c r="O2932" s="54" t="n"/>
      <c r="P2932" s="54" t="n"/>
      <c r="Q2932" s="110" t="n"/>
      <c r="R2932" s="110" t="n"/>
      <c r="S2932" s="54" t="n"/>
      <c r="T2932" s="111">
        <f>IF($G2932="","",IFERROR(INDEX(Taux_Devises,MATCH(IF($M2932="",Devise_Base,$M2932),Codes_Devises,0)),1))</f>
        <v/>
      </c>
      <c r="U2932" s="112">
        <f>IF($G2932="","",ROUND($G2932*$T2932,2))</f>
        <v/>
      </c>
      <c r="V2932" s="113">
        <f>IF($B2932="","",MONTH($B2932))</f>
        <v/>
      </c>
      <c r="W2932" s="113">
        <f>IF($B2932="","",YEAR($B2932))</f>
        <v/>
      </c>
    </row>
    <row r="2933">
      <c r="B2933" s="105" t="n"/>
      <c r="C2933" s="54" t="n"/>
      <c r="D2933" s="54" t="n"/>
      <c r="E2933" s="54" t="n"/>
      <c r="F2933" s="54" t="n"/>
      <c r="G2933" s="65" t="n"/>
      <c r="H2933" s="54" t="n"/>
      <c r="I2933" s="106">
        <f>IF($C2933="","",IFERROR(INDEX(Sens_Types,MATCH($C2933,Liste_Types,0)),""))</f>
        <v/>
      </c>
      <c r="J2933" s="107">
        <f>IF($I2933="▲ ENTRÉE",$U2933,"")</f>
        <v/>
      </c>
      <c r="K2933" s="108">
        <f>IF($I2933="▼ SORTIE",$U2933,"")</f>
        <v/>
      </c>
      <c r="L2933" s="109">
        <f>$L2932+N($J2933)-N($K2933)</f>
        <v/>
      </c>
      <c r="M2933" s="110" t="n"/>
      <c r="N2933" s="54" t="n"/>
      <c r="O2933" s="54" t="n"/>
      <c r="P2933" s="54" t="n"/>
      <c r="Q2933" s="110" t="n"/>
      <c r="R2933" s="110" t="n"/>
      <c r="S2933" s="54" t="n"/>
      <c r="T2933" s="111">
        <f>IF($G2933="","",IFERROR(INDEX(Taux_Devises,MATCH(IF($M2933="",Devise_Base,$M2933),Codes_Devises,0)),1))</f>
        <v/>
      </c>
      <c r="U2933" s="112">
        <f>IF($G2933="","",ROUND($G2933*$T2933,2))</f>
        <v/>
      </c>
      <c r="V2933" s="113">
        <f>IF($B2933="","",MONTH($B2933))</f>
        <v/>
      </c>
      <c r="W2933" s="113">
        <f>IF($B2933="","",YEAR($B2933))</f>
        <v/>
      </c>
    </row>
    <row r="2934">
      <c r="B2934" s="105" t="n"/>
      <c r="C2934" s="54" t="n"/>
      <c r="D2934" s="54" t="n"/>
      <c r="E2934" s="54" t="n"/>
      <c r="F2934" s="54" t="n"/>
      <c r="G2934" s="65" t="n"/>
      <c r="H2934" s="54" t="n"/>
      <c r="I2934" s="106">
        <f>IF($C2934="","",IFERROR(INDEX(Sens_Types,MATCH($C2934,Liste_Types,0)),""))</f>
        <v/>
      </c>
      <c r="J2934" s="107">
        <f>IF($I2934="▲ ENTRÉE",$U2934,"")</f>
        <v/>
      </c>
      <c r="K2934" s="108">
        <f>IF($I2934="▼ SORTIE",$U2934,"")</f>
        <v/>
      </c>
      <c r="L2934" s="109">
        <f>$L2933+N($J2934)-N($K2934)</f>
        <v/>
      </c>
      <c r="M2934" s="110" t="n"/>
      <c r="N2934" s="54" t="n"/>
      <c r="O2934" s="54" t="n"/>
      <c r="P2934" s="54" t="n"/>
      <c r="Q2934" s="110" t="n"/>
      <c r="R2934" s="110" t="n"/>
      <c r="S2934" s="54" t="n"/>
      <c r="T2934" s="111">
        <f>IF($G2934="","",IFERROR(INDEX(Taux_Devises,MATCH(IF($M2934="",Devise_Base,$M2934),Codes_Devises,0)),1))</f>
        <v/>
      </c>
      <c r="U2934" s="112">
        <f>IF($G2934="","",ROUND($G2934*$T2934,2))</f>
        <v/>
      </c>
      <c r="V2934" s="113">
        <f>IF($B2934="","",MONTH($B2934))</f>
        <v/>
      </c>
      <c r="W2934" s="113">
        <f>IF($B2934="","",YEAR($B2934))</f>
        <v/>
      </c>
    </row>
    <row r="2935">
      <c r="B2935" s="105" t="n"/>
      <c r="C2935" s="54" t="n"/>
      <c r="D2935" s="54" t="n"/>
      <c r="E2935" s="54" t="n"/>
      <c r="F2935" s="54" t="n"/>
      <c r="G2935" s="65" t="n"/>
      <c r="H2935" s="54" t="n"/>
      <c r="I2935" s="106">
        <f>IF($C2935="","",IFERROR(INDEX(Sens_Types,MATCH($C2935,Liste_Types,0)),""))</f>
        <v/>
      </c>
      <c r="J2935" s="107">
        <f>IF($I2935="▲ ENTRÉE",$U2935,"")</f>
        <v/>
      </c>
      <c r="K2935" s="108">
        <f>IF($I2935="▼ SORTIE",$U2935,"")</f>
        <v/>
      </c>
      <c r="L2935" s="109">
        <f>$L2934+N($J2935)-N($K2935)</f>
        <v/>
      </c>
      <c r="M2935" s="110" t="n"/>
      <c r="N2935" s="54" t="n"/>
      <c r="O2935" s="54" t="n"/>
      <c r="P2935" s="54" t="n"/>
      <c r="Q2935" s="110" t="n"/>
      <c r="R2935" s="110" t="n"/>
      <c r="S2935" s="54" t="n"/>
      <c r="T2935" s="111">
        <f>IF($G2935="","",IFERROR(INDEX(Taux_Devises,MATCH(IF($M2935="",Devise_Base,$M2935),Codes_Devises,0)),1))</f>
        <v/>
      </c>
      <c r="U2935" s="112">
        <f>IF($G2935="","",ROUND($G2935*$T2935,2))</f>
        <v/>
      </c>
      <c r="V2935" s="113">
        <f>IF($B2935="","",MONTH($B2935))</f>
        <v/>
      </c>
      <c r="W2935" s="113">
        <f>IF($B2935="","",YEAR($B2935))</f>
        <v/>
      </c>
    </row>
    <row r="2936">
      <c r="B2936" s="105" t="n"/>
      <c r="C2936" s="54" t="n"/>
      <c r="D2936" s="54" t="n"/>
      <c r="E2936" s="54" t="n"/>
      <c r="F2936" s="54" t="n"/>
      <c r="G2936" s="65" t="n"/>
      <c r="H2936" s="54" t="n"/>
      <c r="I2936" s="106">
        <f>IF($C2936="","",IFERROR(INDEX(Sens_Types,MATCH($C2936,Liste_Types,0)),""))</f>
        <v/>
      </c>
      <c r="J2936" s="107">
        <f>IF($I2936="▲ ENTRÉE",$U2936,"")</f>
        <v/>
      </c>
      <c r="K2936" s="108">
        <f>IF($I2936="▼ SORTIE",$U2936,"")</f>
        <v/>
      </c>
      <c r="L2936" s="109">
        <f>$L2935+N($J2936)-N($K2936)</f>
        <v/>
      </c>
      <c r="M2936" s="110" t="n"/>
      <c r="N2936" s="54" t="n"/>
      <c r="O2936" s="54" t="n"/>
      <c r="P2936" s="54" t="n"/>
      <c r="Q2936" s="110" t="n"/>
      <c r="R2936" s="110" t="n"/>
      <c r="S2936" s="54" t="n"/>
      <c r="T2936" s="111">
        <f>IF($G2936="","",IFERROR(INDEX(Taux_Devises,MATCH(IF($M2936="",Devise_Base,$M2936),Codes_Devises,0)),1))</f>
        <v/>
      </c>
      <c r="U2936" s="112">
        <f>IF($G2936="","",ROUND($G2936*$T2936,2))</f>
        <v/>
      </c>
      <c r="V2936" s="113">
        <f>IF($B2936="","",MONTH($B2936))</f>
        <v/>
      </c>
      <c r="W2936" s="113">
        <f>IF($B2936="","",YEAR($B2936))</f>
        <v/>
      </c>
    </row>
    <row r="2937">
      <c r="B2937" s="105" t="n"/>
      <c r="C2937" s="54" t="n"/>
      <c r="D2937" s="54" t="n"/>
      <c r="E2937" s="54" t="n"/>
      <c r="F2937" s="54" t="n"/>
      <c r="G2937" s="65" t="n"/>
      <c r="H2937" s="54" t="n"/>
      <c r="I2937" s="106">
        <f>IF($C2937="","",IFERROR(INDEX(Sens_Types,MATCH($C2937,Liste_Types,0)),""))</f>
        <v/>
      </c>
      <c r="J2937" s="107">
        <f>IF($I2937="▲ ENTRÉE",$U2937,"")</f>
        <v/>
      </c>
      <c r="K2937" s="108">
        <f>IF($I2937="▼ SORTIE",$U2937,"")</f>
        <v/>
      </c>
      <c r="L2937" s="109">
        <f>$L2936+N($J2937)-N($K2937)</f>
        <v/>
      </c>
      <c r="M2937" s="110" t="n"/>
      <c r="N2937" s="54" t="n"/>
      <c r="O2937" s="54" t="n"/>
      <c r="P2937" s="54" t="n"/>
      <c r="Q2937" s="110" t="n"/>
      <c r="R2937" s="110" t="n"/>
      <c r="S2937" s="54" t="n"/>
      <c r="T2937" s="111">
        <f>IF($G2937="","",IFERROR(INDEX(Taux_Devises,MATCH(IF($M2937="",Devise_Base,$M2937),Codes_Devises,0)),1))</f>
        <v/>
      </c>
      <c r="U2937" s="112">
        <f>IF($G2937="","",ROUND($G2937*$T2937,2))</f>
        <v/>
      </c>
      <c r="V2937" s="113">
        <f>IF($B2937="","",MONTH($B2937))</f>
        <v/>
      </c>
      <c r="W2937" s="113">
        <f>IF($B2937="","",YEAR($B2937))</f>
        <v/>
      </c>
    </row>
    <row r="2938">
      <c r="B2938" s="105" t="n"/>
      <c r="C2938" s="54" t="n"/>
      <c r="D2938" s="54" t="n"/>
      <c r="E2938" s="54" t="n"/>
      <c r="F2938" s="54" t="n"/>
      <c r="G2938" s="65" t="n"/>
      <c r="H2938" s="54" t="n"/>
      <c r="I2938" s="106">
        <f>IF($C2938="","",IFERROR(INDEX(Sens_Types,MATCH($C2938,Liste_Types,0)),""))</f>
        <v/>
      </c>
      <c r="J2938" s="107">
        <f>IF($I2938="▲ ENTRÉE",$U2938,"")</f>
        <v/>
      </c>
      <c r="K2938" s="108">
        <f>IF($I2938="▼ SORTIE",$U2938,"")</f>
        <v/>
      </c>
      <c r="L2938" s="109">
        <f>$L2937+N($J2938)-N($K2938)</f>
        <v/>
      </c>
      <c r="M2938" s="110" t="n"/>
      <c r="N2938" s="54" t="n"/>
      <c r="O2938" s="54" t="n"/>
      <c r="P2938" s="54" t="n"/>
      <c r="Q2938" s="110" t="n"/>
      <c r="R2938" s="110" t="n"/>
      <c r="S2938" s="54" t="n"/>
      <c r="T2938" s="111">
        <f>IF($G2938="","",IFERROR(INDEX(Taux_Devises,MATCH(IF($M2938="",Devise_Base,$M2938),Codes_Devises,0)),1))</f>
        <v/>
      </c>
      <c r="U2938" s="112">
        <f>IF($G2938="","",ROUND($G2938*$T2938,2))</f>
        <v/>
      </c>
      <c r="V2938" s="113">
        <f>IF($B2938="","",MONTH($B2938))</f>
        <v/>
      </c>
      <c r="W2938" s="113">
        <f>IF($B2938="","",YEAR($B2938))</f>
        <v/>
      </c>
    </row>
    <row r="2939">
      <c r="B2939" s="105" t="n"/>
      <c r="C2939" s="54" t="n"/>
      <c r="D2939" s="54" t="n"/>
      <c r="E2939" s="54" t="n"/>
      <c r="F2939" s="54" t="n"/>
      <c r="G2939" s="65" t="n"/>
      <c r="H2939" s="54" t="n"/>
      <c r="I2939" s="106">
        <f>IF($C2939="","",IFERROR(INDEX(Sens_Types,MATCH($C2939,Liste_Types,0)),""))</f>
        <v/>
      </c>
      <c r="J2939" s="107">
        <f>IF($I2939="▲ ENTRÉE",$U2939,"")</f>
        <v/>
      </c>
      <c r="K2939" s="108">
        <f>IF($I2939="▼ SORTIE",$U2939,"")</f>
        <v/>
      </c>
      <c r="L2939" s="109">
        <f>$L2938+N($J2939)-N($K2939)</f>
        <v/>
      </c>
      <c r="M2939" s="110" t="n"/>
      <c r="N2939" s="54" t="n"/>
      <c r="O2939" s="54" t="n"/>
      <c r="P2939" s="54" t="n"/>
      <c r="Q2939" s="110" t="n"/>
      <c r="R2939" s="110" t="n"/>
      <c r="S2939" s="54" t="n"/>
      <c r="T2939" s="111">
        <f>IF($G2939="","",IFERROR(INDEX(Taux_Devises,MATCH(IF($M2939="",Devise_Base,$M2939),Codes_Devises,0)),1))</f>
        <v/>
      </c>
      <c r="U2939" s="112">
        <f>IF($G2939="","",ROUND($G2939*$T2939,2))</f>
        <v/>
      </c>
      <c r="V2939" s="113">
        <f>IF($B2939="","",MONTH($B2939))</f>
        <v/>
      </c>
      <c r="W2939" s="113">
        <f>IF($B2939="","",YEAR($B2939))</f>
        <v/>
      </c>
    </row>
    <row r="2940">
      <c r="B2940" s="105" t="n"/>
      <c r="C2940" s="54" t="n"/>
      <c r="D2940" s="54" t="n"/>
      <c r="E2940" s="54" t="n"/>
      <c r="F2940" s="54" t="n"/>
      <c r="G2940" s="65" t="n"/>
      <c r="H2940" s="54" t="n"/>
      <c r="I2940" s="106">
        <f>IF($C2940="","",IFERROR(INDEX(Sens_Types,MATCH($C2940,Liste_Types,0)),""))</f>
        <v/>
      </c>
      <c r="J2940" s="107">
        <f>IF($I2940="▲ ENTRÉE",$U2940,"")</f>
        <v/>
      </c>
      <c r="K2940" s="108">
        <f>IF($I2940="▼ SORTIE",$U2940,"")</f>
        <v/>
      </c>
      <c r="L2940" s="109">
        <f>$L2939+N($J2940)-N($K2940)</f>
        <v/>
      </c>
      <c r="M2940" s="110" t="n"/>
      <c r="N2940" s="54" t="n"/>
      <c r="O2940" s="54" t="n"/>
      <c r="P2940" s="54" t="n"/>
      <c r="Q2940" s="110" t="n"/>
      <c r="R2940" s="110" t="n"/>
      <c r="S2940" s="54" t="n"/>
      <c r="T2940" s="111">
        <f>IF($G2940="","",IFERROR(INDEX(Taux_Devises,MATCH(IF($M2940="",Devise_Base,$M2940),Codes_Devises,0)),1))</f>
        <v/>
      </c>
      <c r="U2940" s="112">
        <f>IF($G2940="","",ROUND($G2940*$T2940,2))</f>
        <v/>
      </c>
      <c r="V2940" s="113">
        <f>IF($B2940="","",MONTH($B2940))</f>
        <v/>
      </c>
      <c r="W2940" s="113">
        <f>IF($B2940="","",YEAR($B2940))</f>
        <v/>
      </c>
    </row>
    <row r="2941">
      <c r="B2941" s="105" t="n"/>
      <c r="C2941" s="54" t="n"/>
      <c r="D2941" s="54" t="n"/>
      <c r="E2941" s="54" t="n"/>
      <c r="F2941" s="54" t="n"/>
      <c r="G2941" s="65" t="n"/>
      <c r="H2941" s="54" t="n"/>
      <c r="I2941" s="106">
        <f>IF($C2941="","",IFERROR(INDEX(Sens_Types,MATCH($C2941,Liste_Types,0)),""))</f>
        <v/>
      </c>
      <c r="J2941" s="107">
        <f>IF($I2941="▲ ENTRÉE",$U2941,"")</f>
        <v/>
      </c>
      <c r="K2941" s="108">
        <f>IF($I2941="▼ SORTIE",$U2941,"")</f>
        <v/>
      </c>
      <c r="L2941" s="109">
        <f>$L2940+N($J2941)-N($K2941)</f>
        <v/>
      </c>
      <c r="M2941" s="110" t="n"/>
      <c r="N2941" s="54" t="n"/>
      <c r="O2941" s="54" t="n"/>
      <c r="P2941" s="54" t="n"/>
      <c r="Q2941" s="110" t="n"/>
      <c r="R2941" s="110" t="n"/>
      <c r="S2941" s="54" t="n"/>
      <c r="T2941" s="111">
        <f>IF($G2941="","",IFERROR(INDEX(Taux_Devises,MATCH(IF($M2941="",Devise_Base,$M2941),Codes_Devises,0)),1))</f>
        <v/>
      </c>
      <c r="U2941" s="112">
        <f>IF($G2941="","",ROUND($G2941*$T2941,2))</f>
        <v/>
      </c>
      <c r="V2941" s="113">
        <f>IF($B2941="","",MONTH($B2941))</f>
        <v/>
      </c>
      <c r="W2941" s="113">
        <f>IF($B2941="","",YEAR($B2941))</f>
        <v/>
      </c>
    </row>
    <row r="2942">
      <c r="B2942" s="105" t="n"/>
      <c r="C2942" s="54" t="n"/>
      <c r="D2942" s="54" t="n"/>
      <c r="E2942" s="54" t="n"/>
      <c r="F2942" s="54" t="n"/>
      <c r="G2942" s="65" t="n"/>
      <c r="H2942" s="54" t="n"/>
      <c r="I2942" s="106">
        <f>IF($C2942="","",IFERROR(INDEX(Sens_Types,MATCH($C2942,Liste_Types,0)),""))</f>
        <v/>
      </c>
      <c r="J2942" s="107">
        <f>IF($I2942="▲ ENTRÉE",$U2942,"")</f>
        <v/>
      </c>
      <c r="K2942" s="108">
        <f>IF($I2942="▼ SORTIE",$U2942,"")</f>
        <v/>
      </c>
      <c r="L2942" s="109">
        <f>$L2941+N($J2942)-N($K2942)</f>
        <v/>
      </c>
      <c r="M2942" s="110" t="n"/>
      <c r="N2942" s="54" t="n"/>
      <c r="O2942" s="54" t="n"/>
      <c r="P2942" s="54" t="n"/>
      <c r="Q2942" s="110" t="n"/>
      <c r="R2942" s="110" t="n"/>
      <c r="S2942" s="54" t="n"/>
      <c r="T2942" s="111">
        <f>IF($G2942="","",IFERROR(INDEX(Taux_Devises,MATCH(IF($M2942="",Devise_Base,$M2942),Codes_Devises,0)),1))</f>
        <v/>
      </c>
      <c r="U2942" s="112">
        <f>IF($G2942="","",ROUND($G2942*$T2942,2))</f>
        <v/>
      </c>
      <c r="V2942" s="113">
        <f>IF($B2942="","",MONTH($B2942))</f>
        <v/>
      </c>
      <c r="W2942" s="113">
        <f>IF($B2942="","",YEAR($B2942))</f>
        <v/>
      </c>
    </row>
    <row r="2943">
      <c r="B2943" s="105" t="n"/>
      <c r="C2943" s="54" t="n"/>
      <c r="D2943" s="54" t="n"/>
      <c r="E2943" s="54" t="n"/>
      <c r="F2943" s="54" t="n"/>
      <c r="G2943" s="65" t="n"/>
      <c r="H2943" s="54" t="n"/>
      <c r="I2943" s="106">
        <f>IF($C2943="","",IFERROR(INDEX(Sens_Types,MATCH($C2943,Liste_Types,0)),""))</f>
        <v/>
      </c>
      <c r="J2943" s="107">
        <f>IF($I2943="▲ ENTRÉE",$U2943,"")</f>
        <v/>
      </c>
      <c r="K2943" s="108">
        <f>IF($I2943="▼ SORTIE",$U2943,"")</f>
        <v/>
      </c>
      <c r="L2943" s="109">
        <f>$L2942+N($J2943)-N($K2943)</f>
        <v/>
      </c>
      <c r="M2943" s="110" t="n"/>
      <c r="N2943" s="54" t="n"/>
      <c r="O2943" s="54" t="n"/>
      <c r="P2943" s="54" t="n"/>
      <c r="Q2943" s="110" t="n"/>
      <c r="R2943" s="110" t="n"/>
      <c r="S2943" s="54" t="n"/>
      <c r="T2943" s="111">
        <f>IF($G2943="","",IFERROR(INDEX(Taux_Devises,MATCH(IF($M2943="",Devise_Base,$M2943),Codes_Devises,0)),1))</f>
        <v/>
      </c>
      <c r="U2943" s="112">
        <f>IF($G2943="","",ROUND($G2943*$T2943,2))</f>
        <v/>
      </c>
      <c r="V2943" s="113">
        <f>IF($B2943="","",MONTH($B2943))</f>
        <v/>
      </c>
      <c r="W2943" s="113">
        <f>IF($B2943="","",YEAR($B2943))</f>
        <v/>
      </c>
    </row>
    <row r="2944">
      <c r="B2944" s="105" t="n"/>
      <c r="C2944" s="54" t="n"/>
      <c r="D2944" s="54" t="n"/>
      <c r="E2944" s="54" t="n"/>
      <c r="F2944" s="54" t="n"/>
      <c r="G2944" s="65" t="n"/>
      <c r="H2944" s="54" t="n"/>
      <c r="I2944" s="106">
        <f>IF($C2944="","",IFERROR(INDEX(Sens_Types,MATCH($C2944,Liste_Types,0)),""))</f>
        <v/>
      </c>
      <c r="J2944" s="107">
        <f>IF($I2944="▲ ENTRÉE",$U2944,"")</f>
        <v/>
      </c>
      <c r="K2944" s="108">
        <f>IF($I2944="▼ SORTIE",$U2944,"")</f>
        <v/>
      </c>
      <c r="L2944" s="109">
        <f>$L2943+N($J2944)-N($K2944)</f>
        <v/>
      </c>
      <c r="M2944" s="110" t="n"/>
      <c r="N2944" s="54" t="n"/>
      <c r="O2944" s="54" t="n"/>
      <c r="P2944" s="54" t="n"/>
      <c r="Q2944" s="110" t="n"/>
      <c r="R2944" s="110" t="n"/>
      <c r="S2944" s="54" t="n"/>
      <c r="T2944" s="111">
        <f>IF($G2944="","",IFERROR(INDEX(Taux_Devises,MATCH(IF($M2944="",Devise_Base,$M2944),Codes_Devises,0)),1))</f>
        <v/>
      </c>
      <c r="U2944" s="112">
        <f>IF($G2944="","",ROUND($G2944*$T2944,2))</f>
        <v/>
      </c>
      <c r="V2944" s="113">
        <f>IF($B2944="","",MONTH($B2944))</f>
        <v/>
      </c>
      <c r="W2944" s="113">
        <f>IF($B2944="","",YEAR($B2944))</f>
        <v/>
      </c>
    </row>
    <row r="2945">
      <c r="B2945" s="105" t="n"/>
      <c r="C2945" s="54" t="n"/>
      <c r="D2945" s="54" t="n"/>
      <c r="E2945" s="54" t="n"/>
      <c r="F2945" s="54" t="n"/>
      <c r="G2945" s="65" t="n"/>
      <c r="H2945" s="54" t="n"/>
      <c r="I2945" s="106">
        <f>IF($C2945="","",IFERROR(INDEX(Sens_Types,MATCH($C2945,Liste_Types,0)),""))</f>
        <v/>
      </c>
      <c r="J2945" s="107">
        <f>IF($I2945="▲ ENTRÉE",$U2945,"")</f>
        <v/>
      </c>
      <c r="K2945" s="108">
        <f>IF($I2945="▼ SORTIE",$U2945,"")</f>
        <v/>
      </c>
      <c r="L2945" s="109">
        <f>$L2944+N($J2945)-N($K2945)</f>
        <v/>
      </c>
      <c r="M2945" s="110" t="n"/>
      <c r="N2945" s="54" t="n"/>
      <c r="O2945" s="54" t="n"/>
      <c r="P2945" s="54" t="n"/>
      <c r="Q2945" s="110" t="n"/>
      <c r="R2945" s="110" t="n"/>
      <c r="S2945" s="54" t="n"/>
      <c r="T2945" s="111">
        <f>IF($G2945="","",IFERROR(INDEX(Taux_Devises,MATCH(IF($M2945="",Devise_Base,$M2945),Codes_Devises,0)),1))</f>
        <v/>
      </c>
      <c r="U2945" s="112">
        <f>IF($G2945="","",ROUND($G2945*$T2945,2))</f>
        <v/>
      </c>
      <c r="V2945" s="113">
        <f>IF($B2945="","",MONTH($B2945))</f>
        <v/>
      </c>
      <c r="W2945" s="113">
        <f>IF($B2945="","",YEAR($B2945))</f>
        <v/>
      </c>
    </row>
    <row r="2946">
      <c r="B2946" s="105" t="n"/>
      <c r="C2946" s="54" t="n"/>
      <c r="D2946" s="54" t="n"/>
      <c r="E2946" s="54" t="n"/>
      <c r="F2946" s="54" t="n"/>
      <c r="G2946" s="65" t="n"/>
      <c r="H2946" s="54" t="n"/>
      <c r="I2946" s="106">
        <f>IF($C2946="","",IFERROR(INDEX(Sens_Types,MATCH($C2946,Liste_Types,0)),""))</f>
        <v/>
      </c>
      <c r="J2946" s="107">
        <f>IF($I2946="▲ ENTRÉE",$U2946,"")</f>
        <v/>
      </c>
      <c r="K2946" s="108">
        <f>IF($I2946="▼ SORTIE",$U2946,"")</f>
        <v/>
      </c>
      <c r="L2946" s="109">
        <f>$L2945+N($J2946)-N($K2946)</f>
        <v/>
      </c>
      <c r="M2946" s="110" t="n"/>
      <c r="N2946" s="54" t="n"/>
      <c r="O2946" s="54" t="n"/>
      <c r="P2946" s="54" t="n"/>
      <c r="Q2946" s="110" t="n"/>
      <c r="R2946" s="110" t="n"/>
      <c r="S2946" s="54" t="n"/>
      <c r="T2946" s="111">
        <f>IF($G2946="","",IFERROR(INDEX(Taux_Devises,MATCH(IF($M2946="",Devise_Base,$M2946),Codes_Devises,0)),1))</f>
        <v/>
      </c>
      <c r="U2946" s="112">
        <f>IF($G2946="","",ROUND($G2946*$T2946,2))</f>
        <v/>
      </c>
      <c r="V2946" s="113">
        <f>IF($B2946="","",MONTH($B2946))</f>
        <v/>
      </c>
      <c r="W2946" s="113">
        <f>IF($B2946="","",YEAR($B2946))</f>
        <v/>
      </c>
    </row>
    <row r="2947">
      <c r="B2947" s="105" t="n"/>
      <c r="C2947" s="54" t="n"/>
      <c r="D2947" s="54" t="n"/>
      <c r="E2947" s="54" t="n"/>
      <c r="F2947" s="54" t="n"/>
      <c r="G2947" s="65" t="n"/>
      <c r="H2947" s="54" t="n"/>
      <c r="I2947" s="106">
        <f>IF($C2947="","",IFERROR(INDEX(Sens_Types,MATCH($C2947,Liste_Types,0)),""))</f>
        <v/>
      </c>
      <c r="J2947" s="107">
        <f>IF($I2947="▲ ENTRÉE",$U2947,"")</f>
        <v/>
      </c>
      <c r="K2947" s="108">
        <f>IF($I2947="▼ SORTIE",$U2947,"")</f>
        <v/>
      </c>
      <c r="L2947" s="109">
        <f>$L2946+N($J2947)-N($K2947)</f>
        <v/>
      </c>
      <c r="M2947" s="110" t="n"/>
      <c r="N2947" s="54" t="n"/>
      <c r="O2947" s="54" t="n"/>
      <c r="P2947" s="54" t="n"/>
      <c r="Q2947" s="110" t="n"/>
      <c r="R2947" s="110" t="n"/>
      <c r="S2947" s="54" t="n"/>
      <c r="T2947" s="111">
        <f>IF($G2947="","",IFERROR(INDEX(Taux_Devises,MATCH(IF($M2947="",Devise_Base,$M2947),Codes_Devises,0)),1))</f>
        <v/>
      </c>
      <c r="U2947" s="112">
        <f>IF($G2947="","",ROUND($G2947*$T2947,2))</f>
        <v/>
      </c>
      <c r="V2947" s="113">
        <f>IF($B2947="","",MONTH($B2947))</f>
        <v/>
      </c>
      <c r="W2947" s="113">
        <f>IF($B2947="","",YEAR($B2947))</f>
        <v/>
      </c>
    </row>
    <row r="2948">
      <c r="B2948" s="105" t="n"/>
      <c r="C2948" s="54" t="n"/>
      <c r="D2948" s="54" t="n"/>
      <c r="E2948" s="54" t="n"/>
      <c r="F2948" s="54" t="n"/>
      <c r="G2948" s="65" t="n"/>
      <c r="H2948" s="54" t="n"/>
      <c r="I2948" s="106">
        <f>IF($C2948="","",IFERROR(INDEX(Sens_Types,MATCH($C2948,Liste_Types,0)),""))</f>
        <v/>
      </c>
      <c r="J2948" s="107">
        <f>IF($I2948="▲ ENTRÉE",$U2948,"")</f>
        <v/>
      </c>
      <c r="K2948" s="108">
        <f>IF($I2948="▼ SORTIE",$U2948,"")</f>
        <v/>
      </c>
      <c r="L2948" s="109">
        <f>$L2947+N($J2948)-N($K2948)</f>
        <v/>
      </c>
      <c r="M2948" s="110" t="n"/>
      <c r="N2948" s="54" t="n"/>
      <c r="O2948" s="54" t="n"/>
      <c r="P2948" s="54" t="n"/>
      <c r="Q2948" s="110" t="n"/>
      <c r="R2948" s="110" t="n"/>
      <c r="S2948" s="54" t="n"/>
      <c r="T2948" s="111">
        <f>IF($G2948="","",IFERROR(INDEX(Taux_Devises,MATCH(IF($M2948="",Devise_Base,$M2948),Codes_Devises,0)),1))</f>
        <v/>
      </c>
      <c r="U2948" s="112">
        <f>IF($G2948="","",ROUND($G2948*$T2948,2))</f>
        <v/>
      </c>
      <c r="V2948" s="113">
        <f>IF($B2948="","",MONTH($B2948))</f>
        <v/>
      </c>
      <c r="W2948" s="113">
        <f>IF($B2948="","",YEAR($B2948))</f>
        <v/>
      </c>
    </row>
    <row r="2949">
      <c r="B2949" s="105" t="n"/>
      <c r="C2949" s="54" t="n"/>
      <c r="D2949" s="54" t="n"/>
      <c r="E2949" s="54" t="n"/>
      <c r="F2949" s="54" t="n"/>
      <c r="G2949" s="65" t="n"/>
      <c r="H2949" s="54" t="n"/>
      <c r="I2949" s="106">
        <f>IF($C2949="","",IFERROR(INDEX(Sens_Types,MATCH($C2949,Liste_Types,0)),""))</f>
        <v/>
      </c>
      <c r="J2949" s="107">
        <f>IF($I2949="▲ ENTRÉE",$U2949,"")</f>
        <v/>
      </c>
      <c r="K2949" s="108">
        <f>IF($I2949="▼ SORTIE",$U2949,"")</f>
        <v/>
      </c>
      <c r="L2949" s="109">
        <f>$L2948+N($J2949)-N($K2949)</f>
        <v/>
      </c>
      <c r="M2949" s="110" t="n"/>
      <c r="N2949" s="54" t="n"/>
      <c r="O2949" s="54" t="n"/>
      <c r="P2949" s="54" t="n"/>
      <c r="Q2949" s="110" t="n"/>
      <c r="R2949" s="110" t="n"/>
      <c r="S2949" s="54" t="n"/>
      <c r="T2949" s="111">
        <f>IF($G2949="","",IFERROR(INDEX(Taux_Devises,MATCH(IF($M2949="",Devise_Base,$M2949),Codes_Devises,0)),1))</f>
        <v/>
      </c>
      <c r="U2949" s="112">
        <f>IF($G2949="","",ROUND($G2949*$T2949,2))</f>
        <v/>
      </c>
      <c r="V2949" s="113">
        <f>IF($B2949="","",MONTH($B2949))</f>
        <v/>
      </c>
      <c r="W2949" s="113">
        <f>IF($B2949="","",YEAR($B2949))</f>
        <v/>
      </c>
    </row>
    <row r="2950">
      <c r="B2950" s="105" t="n"/>
      <c r="C2950" s="54" t="n"/>
      <c r="D2950" s="54" t="n"/>
      <c r="E2950" s="54" t="n"/>
      <c r="F2950" s="54" t="n"/>
      <c r="G2950" s="65" t="n"/>
      <c r="H2950" s="54" t="n"/>
      <c r="I2950" s="106">
        <f>IF($C2950="","",IFERROR(INDEX(Sens_Types,MATCH($C2950,Liste_Types,0)),""))</f>
        <v/>
      </c>
      <c r="J2950" s="107">
        <f>IF($I2950="▲ ENTRÉE",$U2950,"")</f>
        <v/>
      </c>
      <c r="K2950" s="108">
        <f>IF($I2950="▼ SORTIE",$U2950,"")</f>
        <v/>
      </c>
      <c r="L2950" s="109">
        <f>$L2949+N($J2950)-N($K2950)</f>
        <v/>
      </c>
      <c r="M2950" s="110" t="n"/>
      <c r="N2950" s="54" t="n"/>
      <c r="O2950" s="54" t="n"/>
      <c r="P2950" s="54" t="n"/>
      <c r="Q2950" s="110" t="n"/>
      <c r="R2950" s="110" t="n"/>
      <c r="S2950" s="54" t="n"/>
      <c r="T2950" s="111">
        <f>IF($G2950="","",IFERROR(INDEX(Taux_Devises,MATCH(IF($M2950="",Devise_Base,$M2950),Codes_Devises,0)),1))</f>
        <v/>
      </c>
      <c r="U2950" s="112">
        <f>IF($G2950="","",ROUND($G2950*$T2950,2))</f>
        <v/>
      </c>
      <c r="V2950" s="113">
        <f>IF($B2950="","",MONTH($B2950))</f>
        <v/>
      </c>
      <c r="W2950" s="113">
        <f>IF($B2950="","",YEAR($B2950))</f>
        <v/>
      </c>
    </row>
    <row r="2951">
      <c r="B2951" s="105" t="n"/>
      <c r="C2951" s="54" t="n"/>
      <c r="D2951" s="54" t="n"/>
      <c r="E2951" s="54" t="n"/>
      <c r="F2951" s="54" t="n"/>
      <c r="G2951" s="65" t="n"/>
      <c r="H2951" s="54" t="n"/>
      <c r="I2951" s="106">
        <f>IF($C2951="","",IFERROR(INDEX(Sens_Types,MATCH($C2951,Liste_Types,0)),""))</f>
        <v/>
      </c>
      <c r="J2951" s="107">
        <f>IF($I2951="▲ ENTRÉE",$U2951,"")</f>
        <v/>
      </c>
      <c r="K2951" s="108">
        <f>IF($I2951="▼ SORTIE",$U2951,"")</f>
        <v/>
      </c>
      <c r="L2951" s="109">
        <f>$L2950+N($J2951)-N($K2951)</f>
        <v/>
      </c>
      <c r="M2951" s="110" t="n"/>
      <c r="N2951" s="54" t="n"/>
      <c r="O2951" s="54" t="n"/>
      <c r="P2951" s="54" t="n"/>
      <c r="Q2951" s="110" t="n"/>
      <c r="R2951" s="110" t="n"/>
      <c r="S2951" s="54" t="n"/>
      <c r="T2951" s="111">
        <f>IF($G2951="","",IFERROR(INDEX(Taux_Devises,MATCH(IF($M2951="",Devise_Base,$M2951),Codes_Devises,0)),1))</f>
        <v/>
      </c>
      <c r="U2951" s="112">
        <f>IF($G2951="","",ROUND($G2951*$T2951,2))</f>
        <v/>
      </c>
      <c r="V2951" s="113">
        <f>IF($B2951="","",MONTH($B2951))</f>
        <v/>
      </c>
      <c r="W2951" s="113">
        <f>IF($B2951="","",YEAR($B2951))</f>
        <v/>
      </c>
    </row>
    <row r="2952">
      <c r="B2952" s="105" t="n"/>
      <c r="C2952" s="54" t="n"/>
      <c r="D2952" s="54" t="n"/>
      <c r="E2952" s="54" t="n"/>
      <c r="F2952" s="54" t="n"/>
      <c r="G2952" s="65" t="n"/>
      <c r="H2952" s="54" t="n"/>
      <c r="I2952" s="106">
        <f>IF($C2952="","",IFERROR(INDEX(Sens_Types,MATCH($C2952,Liste_Types,0)),""))</f>
        <v/>
      </c>
      <c r="J2952" s="107">
        <f>IF($I2952="▲ ENTRÉE",$U2952,"")</f>
        <v/>
      </c>
      <c r="K2952" s="108">
        <f>IF($I2952="▼ SORTIE",$U2952,"")</f>
        <v/>
      </c>
      <c r="L2952" s="109">
        <f>$L2951+N($J2952)-N($K2952)</f>
        <v/>
      </c>
      <c r="M2952" s="110" t="n"/>
      <c r="N2952" s="54" t="n"/>
      <c r="O2952" s="54" t="n"/>
      <c r="P2952" s="54" t="n"/>
      <c r="Q2952" s="110" t="n"/>
      <c r="R2952" s="110" t="n"/>
      <c r="S2952" s="54" t="n"/>
      <c r="T2952" s="111">
        <f>IF($G2952="","",IFERROR(INDEX(Taux_Devises,MATCH(IF($M2952="",Devise_Base,$M2952),Codes_Devises,0)),1))</f>
        <v/>
      </c>
      <c r="U2952" s="112">
        <f>IF($G2952="","",ROUND($G2952*$T2952,2))</f>
        <v/>
      </c>
      <c r="V2952" s="113">
        <f>IF($B2952="","",MONTH($B2952))</f>
        <v/>
      </c>
      <c r="W2952" s="113">
        <f>IF($B2952="","",YEAR($B2952))</f>
        <v/>
      </c>
    </row>
    <row r="2953">
      <c r="B2953" s="105" t="n"/>
      <c r="C2953" s="54" t="n"/>
      <c r="D2953" s="54" t="n"/>
      <c r="E2953" s="54" t="n"/>
      <c r="F2953" s="54" t="n"/>
      <c r="G2953" s="65" t="n"/>
      <c r="H2953" s="54" t="n"/>
      <c r="I2953" s="106">
        <f>IF($C2953="","",IFERROR(INDEX(Sens_Types,MATCH($C2953,Liste_Types,0)),""))</f>
        <v/>
      </c>
      <c r="J2953" s="107">
        <f>IF($I2953="▲ ENTRÉE",$U2953,"")</f>
        <v/>
      </c>
      <c r="K2953" s="108">
        <f>IF($I2953="▼ SORTIE",$U2953,"")</f>
        <v/>
      </c>
      <c r="L2953" s="109">
        <f>$L2952+N($J2953)-N($K2953)</f>
        <v/>
      </c>
      <c r="M2953" s="110" t="n"/>
      <c r="N2953" s="54" t="n"/>
      <c r="O2953" s="54" t="n"/>
      <c r="P2953" s="54" t="n"/>
      <c r="Q2953" s="110" t="n"/>
      <c r="R2953" s="110" t="n"/>
      <c r="S2953" s="54" t="n"/>
      <c r="T2953" s="111">
        <f>IF($G2953="","",IFERROR(INDEX(Taux_Devises,MATCH(IF($M2953="",Devise_Base,$M2953),Codes_Devises,0)),1))</f>
        <v/>
      </c>
      <c r="U2953" s="112">
        <f>IF($G2953="","",ROUND($G2953*$T2953,2))</f>
        <v/>
      </c>
      <c r="V2953" s="113">
        <f>IF($B2953="","",MONTH($B2953))</f>
        <v/>
      </c>
      <c r="W2953" s="113">
        <f>IF($B2953="","",YEAR($B2953))</f>
        <v/>
      </c>
    </row>
    <row r="2954">
      <c r="B2954" s="105" t="n"/>
      <c r="C2954" s="54" t="n"/>
      <c r="D2954" s="54" t="n"/>
      <c r="E2954" s="54" t="n"/>
      <c r="F2954" s="54" t="n"/>
      <c r="G2954" s="65" t="n"/>
      <c r="H2954" s="54" t="n"/>
      <c r="I2954" s="106">
        <f>IF($C2954="","",IFERROR(INDEX(Sens_Types,MATCH($C2954,Liste_Types,0)),""))</f>
        <v/>
      </c>
      <c r="J2954" s="107">
        <f>IF($I2954="▲ ENTRÉE",$U2954,"")</f>
        <v/>
      </c>
      <c r="K2954" s="108">
        <f>IF($I2954="▼ SORTIE",$U2954,"")</f>
        <v/>
      </c>
      <c r="L2954" s="109">
        <f>$L2953+N($J2954)-N($K2954)</f>
        <v/>
      </c>
      <c r="M2954" s="110" t="n"/>
      <c r="N2954" s="54" t="n"/>
      <c r="O2954" s="54" t="n"/>
      <c r="P2954" s="54" t="n"/>
      <c r="Q2954" s="110" t="n"/>
      <c r="R2954" s="110" t="n"/>
      <c r="S2954" s="54" t="n"/>
      <c r="T2954" s="111">
        <f>IF($G2954="","",IFERROR(INDEX(Taux_Devises,MATCH(IF($M2954="",Devise_Base,$M2954),Codes_Devises,0)),1))</f>
        <v/>
      </c>
      <c r="U2954" s="112">
        <f>IF($G2954="","",ROUND($G2954*$T2954,2))</f>
        <v/>
      </c>
      <c r="V2954" s="113">
        <f>IF($B2954="","",MONTH($B2954))</f>
        <v/>
      </c>
      <c r="W2954" s="113">
        <f>IF($B2954="","",YEAR($B2954))</f>
        <v/>
      </c>
    </row>
    <row r="2955">
      <c r="B2955" s="105" t="n"/>
      <c r="C2955" s="54" t="n"/>
      <c r="D2955" s="54" t="n"/>
      <c r="E2955" s="54" t="n"/>
      <c r="F2955" s="54" t="n"/>
      <c r="G2955" s="65" t="n"/>
      <c r="H2955" s="54" t="n"/>
      <c r="I2955" s="106">
        <f>IF($C2955="","",IFERROR(INDEX(Sens_Types,MATCH($C2955,Liste_Types,0)),""))</f>
        <v/>
      </c>
      <c r="J2955" s="107">
        <f>IF($I2955="▲ ENTRÉE",$U2955,"")</f>
        <v/>
      </c>
      <c r="K2955" s="108">
        <f>IF($I2955="▼ SORTIE",$U2955,"")</f>
        <v/>
      </c>
      <c r="L2955" s="109">
        <f>$L2954+N($J2955)-N($K2955)</f>
        <v/>
      </c>
      <c r="M2955" s="110" t="n"/>
      <c r="N2955" s="54" t="n"/>
      <c r="O2955" s="54" t="n"/>
      <c r="P2955" s="54" t="n"/>
      <c r="Q2955" s="110" t="n"/>
      <c r="R2955" s="110" t="n"/>
      <c r="S2955" s="54" t="n"/>
      <c r="T2955" s="111">
        <f>IF($G2955="","",IFERROR(INDEX(Taux_Devises,MATCH(IF($M2955="",Devise_Base,$M2955),Codes_Devises,0)),1))</f>
        <v/>
      </c>
      <c r="U2955" s="112">
        <f>IF($G2955="","",ROUND($G2955*$T2955,2))</f>
        <v/>
      </c>
      <c r="V2955" s="113">
        <f>IF($B2955="","",MONTH($B2955))</f>
        <v/>
      </c>
      <c r="W2955" s="113">
        <f>IF($B2955="","",YEAR($B2955))</f>
        <v/>
      </c>
    </row>
    <row r="2956">
      <c r="B2956" s="105" t="n"/>
      <c r="C2956" s="54" t="n"/>
      <c r="D2956" s="54" t="n"/>
      <c r="E2956" s="54" t="n"/>
      <c r="F2956" s="54" t="n"/>
      <c r="G2956" s="65" t="n"/>
      <c r="H2956" s="54" t="n"/>
      <c r="I2956" s="106">
        <f>IF($C2956="","",IFERROR(INDEX(Sens_Types,MATCH($C2956,Liste_Types,0)),""))</f>
        <v/>
      </c>
      <c r="J2956" s="107">
        <f>IF($I2956="▲ ENTRÉE",$U2956,"")</f>
        <v/>
      </c>
      <c r="K2956" s="108">
        <f>IF($I2956="▼ SORTIE",$U2956,"")</f>
        <v/>
      </c>
      <c r="L2956" s="109">
        <f>$L2955+N($J2956)-N($K2956)</f>
        <v/>
      </c>
      <c r="M2956" s="110" t="n"/>
      <c r="N2956" s="54" t="n"/>
      <c r="O2956" s="54" t="n"/>
      <c r="P2956" s="54" t="n"/>
      <c r="Q2956" s="110" t="n"/>
      <c r="R2956" s="110" t="n"/>
      <c r="S2956" s="54" t="n"/>
      <c r="T2956" s="111">
        <f>IF($G2956="","",IFERROR(INDEX(Taux_Devises,MATCH(IF($M2956="",Devise_Base,$M2956),Codes_Devises,0)),1))</f>
        <v/>
      </c>
      <c r="U2956" s="112">
        <f>IF($G2956="","",ROUND($G2956*$T2956,2))</f>
        <v/>
      </c>
      <c r="V2956" s="113">
        <f>IF($B2956="","",MONTH($B2956))</f>
        <v/>
      </c>
      <c r="W2956" s="113">
        <f>IF($B2956="","",YEAR($B2956))</f>
        <v/>
      </c>
    </row>
    <row r="2957">
      <c r="B2957" s="105" t="n"/>
      <c r="C2957" s="54" t="n"/>
      <c r="D2957" s="54" t="n"/>
      <c r="E2957" s="54" t="n"/>
      <c r="F2957" s="54" t="n"/>
      <c r="G2957" s="65" t="n"/>
      <c r="H2957" s="54" t="n"/>
      <c r="I2957" s="106">
        <f>IF($C2957="","",IFERROR(INDEX(Sens_Types,MATCH($C2957,Liste_Types,0)),""))</f>
        <v/>
      </c>
      <c r="J2957" s="107">
        <f>IF($I2957="▲ ENTRÉE",$U2957,"")</f>
        <v/>
      </c>
      <c r="K2957" s="108">
        <f>IF($I2957="▼ SORTIE",$U2957,"")</f>
        <v/>
      </c>
      <c r="L2957" s="109">
        <f>$L2956+N($J2957)-N($K2957)</f>
        <v/>
      </c>
      <c r="M2957" s="110" t="n"/>
      <c r="N2957" s="54" t="n"/>
      <c r="O2957" s="54" t="n"/>
      <c r="P2957" s="54" t="n"/>
      <c r="Q2957" s="110" t="n"/>
      <c r="R2957" s="110" t="n"/>
      <c r="S2957" s="54" t="n"/>
      <c r="T2957" s="111">
        <f>IF($G2957="","",IFERROR(INDEX(Taux_Devises,MATCH(IF($M2957="",Devise_Base,$M2957),Codes_Devises,0)),1))</f>
        <v/>
      </c>
      <c r="U2957" s="112">
        <f>IF($G2957="","",ROUND($G2957*$T2957,2))</f>
        <v/>
      </c>
      <c r="V2957" s="113">
        <f>IF($B2957="","",MONTH($B2957))</f>
        <v/>
      </c>
      <c r="W2957" s="113">
        <f>IF($B2957="","",YEAR($B2957))</f>
        <v/>
      </c>
    </row>
    <row r="2958">
      <c r="B2958" s="105" t="n"/>
      <c r="C2958" s="54" t="n"/>
      <c r="D2958" s="54" t="n"/>
      <c r="E2958" s="54" t="n"/>
      <c r="F2958" s="54" t="n"/>
      <c r="G2958" s="65" t="n"/>
      <c r="H2958" s="54" t="n"/>
      <c r="I2958" s="106">
        <f>IF($C2958="","",IFERROR(INDEX(Sens_Types,MATCH($C2958,Liste_Types,0)),""))</f>
        <v/>
      </c>
      <c r="J2958" s="107">
        <f>IF($I2958="▲ ENTRÉE",$U2958,"")</f>
        <v/>
      </c>
      <c r="K2958" s="108">
        <f>IF($I2958="▼ SORTIE",$U2958,"")</f>
        <v/>
      </c>
      <c r="L2958" s="109">
        <f>$L2957+N($J2958)-N($K2958)</f>
        <v/>
      </c>
      <c r="M2958" s="110" t="n"/>
      <c r="N2958" s="54" t="n"/>
      <c r="O2958" s="54" t="n"/>
      <c r="P2958" s="54" t="n"/>
      <c r="Q2958" s="110" t="n"/>
      <c r="R2958" s="110" t="n"/>
      <c r="S2958" s="54" t="n"/>
      <c r="T2958" s="111">
        <f>IF($G2958="","",IFERROR(INDEX(Taux_Devises,MATCH(IF($M2958="",Devise_Base,$M2958),Codes_Devises,0)),1))</f>
        <v/>
      </c>
      <c r="U2958" s="112">
        <f>IF($G2958="","",ROUND($G2958*$T2958,2))</f>
        <v/>
      </c>
      <c r="V2958" s="113">
        <f>IF($B2958="","",MONTH($B2958))</f>
        <v/>
      </c>
      <c r="W2958" s="113">
        <f>IF($B2958="","",YEAR($B2958))</f>
        <v/>
      </c>
    </row>
    <row r="2959">
      <c r="B2959" s="105" t="n"/>
      <c r="C2959" s="54" t="n"/>
      <c r="D2959" s="54" t="n"/>
      <c r="E2959" s="54" t="n"/>
      <c r="F2959" s="54" t="n"/>
      <c r="G2959" s="65" t="n"/>
      <c r="H2959" s="54" t="n"/>
      <c r="I2959" s="106">
        <f>IF($C2959="","",IFERROR(INDEX(Sens_Types,MATCH($C2959,Liste_Types,0)),""))</f>
        <v/>
      </c>
      <c r="J2959" s="107">
        <f>IF($I2959="▲ ENTRÉE",$U2959,"")</f>
        <v/>
      </c>
      <c r="K2959" s="108">
        <f>IF($I2959="▼ SORTIE",$U2959,"")</f>
        <v/>
      </c>
      <c r="L2959" s="109">
        <f>$L2958+N($J2959)-N($K2959)</f>
        <v/>
      </c>
      <c r="M2959" s="110" t="n"/>
      <c r="N2959" s="54" t="n"/>
      <c r="O2959" s="54" t="n"/>
      <c r="P2959" s="54" t="n"/>
      <c r="Q2959" s="110" t="n"/>
      <c r="R2959" s="110" t="n"/>
      <c r="S2959" s="54" t="n"/>
      <c r="T2959" s="111">
        <f>IF($G2959="","",IFERROR(INDEX(Taux_Devises,MATCH(IF($M2959="",Devise_Base,$M2959),Codes_Devises,0)),1))</f>
        <v/>
      </c>
      <c r="U2959" s="112">
        <f>IF($G2959="","",ROUND($G2959*$T2959,2))</f>
        <v/>
      </c>
      <c r="V2959" s="113">
        <f>IF($B2959="","",MONTH($B2959))</f>
        <v/>
      </c>
      <c r="W2959" s="113">
        <f>IF($B2959="","",YEAR($B2959))</f>
        <v/>
      </c>
    </row>
    <row r="2960">
      <c r="B2960" s="105" t="n"/>
      <c r="C2960" s="54" t="n"/>
      <c r="D2960" s="54" t="n"/>
      <c r="E2960" s="54" t="n"/>
      <c r="F2960" s="54" t="n"/>
      <c r="G2960" s="65" t="n"/>
      <c r="H2960" s="54" t="n"/>
      <c r="I2960" s="106">
        <f>IF($C2960="","",IFERROR(INDEX(Sens_Types,MATCH($C2960,Liste_Types,0)),""))</f>
        <v/>
      </c>
      <c r="J2960" s="107">
        <f>IF($I2960="▲ ENTRÉE",$U2960,"")</f>
        <v/>
      </c>
      <c r="K2960" s="108">
        <f>IF($I2960="▼ SORTIE",$U2960,"")</f>
        <v/>
      </c>
      <c r="L2960" s="109">
        <f>$L2959+N($J2960)-N($K2960)</f>
        <v/>
      </c>
      <c r="M2960" s="110" t="n"/>
      <c r="N2960" s="54" t="n"/>
      <c r="O2960" s="54" t="n"/>
      <c r="P2960" s="54" t="n"/>
      <c r="Q2960" s="110" t="n"/>
      <c r="R2960" s="110" t="n"/>
      <c r="S2960" s="54" t="n"/>
      <c r="T2960" s="111">
        <f>IF($G2960="","",IFERROR(INDEX(Taux_Devises,MATCH(IF($M2960="",Devise_Base,$M2960),Codes_Devises,0)),1))</f>
        <v/>
      </c>
      <c r="U2960" s="112">
        <f>IF($G2960="","",ROUND($G2960*$T2960,2))</f>
        <v/>
      </c>
      <c r="V2960" s="113">
        <f>IF($B2960="","",MONTH($B2960))</f>
        <v/>
      </c>
      <c r="W2960" s="113">
        <f>IF($B2960="","",YEAR($B2960))</f>
        <v/>
      </c>
    </row>
    <row r="2961">
      <c r="B2961" s="105" t="n"/>
      <c r="C2961" s="54" t="n"/>
      <c r="D2961" s="54" t="n"/>
      <c r="E2961" s="54" t="n"/>
      <c r="F2961" s="54" t="n"/>
      <c r="G2961" s="65" t="n"/>
      <c r="H2961" s="54" t="n"/>
      <c r="I2961" s="106">
        <f>IF($C2961="","",IFERROR(INDEX(Sens_Types,MATCH($C2961,Liste_Types,0)),""))</f>
        <v/>
      </c>
      <c r="J2961" s="107">
        <f>IF($I2961="▲ ENTRÉE",$U2961,"")</f>
        <v/>
      </c>
      <c r="K2961" s="108">
        <f>IF($I2961="▼ SORTIE",$U2961,"")</f>
        <v/>
      </c>
      <c r="L2961" s="109">
        <f>$L2960+N($J2961)-N($K2961)</f>
        <v/>
      </c>
      <c r="M2961" s="110" t="n"/>
      <c r="N2961" s="54" t="n"/>
      <c r="O2961" s="54" t="n"/>
      <c r="P2961" s="54" t="n"/>
      <c r="Q2961" s="110" t="n"/>
      <c r="R2961" s="110" t="n"/>
      <c r="S2961" s="54" t="n"/>
      <c r="T2961" s="111">
        <f>IF($G2961="","",IFERROR(INDEX(Taux_Devises,MATCH(IF($M2961="",Devise_Base,$M2961),Codes_Devises,0)),1))</f>
        <v/>
      </c>
      <c r="U2961" s="112">
        <f>IF($G2961="","",ROUND($G2961*$T2961,2))</f>
        <v/>
      </c>
      <c r="V2961" s="113">
        <f>IF($B2961="","",MONTH($B2961))</f>
        <v/>
      </c>
      <c r="W2961" s="113">
        <f>IF($B2961="","",YEAR($B2961))</f>
        <v/>
      </c>
    </row>
    <row r="2962">
      <c r="B2962" s="105" t="n"/>
      <c r="C2962" s="54" t="n"/>
      <c r="D2962" s="54" t="n"/>
      <c r="E2962" s="54" t="n"/>
      <c r="F2962" s="54" t="n"/>
      <c r="G2962" s="65" t="n"/>
      <c r="H2962" s="54" t="n"/>
      <c r="I2962" s="106">
        <f>IF($C2962="","",IFERROR(INDEX(Sens_Types,MATCH($C2962,Liste_Types,0)),""))</f>
        <v/>
      </c>
      <c r="J2962" s="107">
        <f>IF($I2962="▲ ENTRÉE",$U2962,"")</f>
        <v/>
      </c>
      <c r="K2962" s="108">
        <f>IF($I2962="▼ SORTIE",$U2962,"")</f>
        <v/>
      </c>
      <c r="L2962" s="109">
        <f>$L2961+N($J2962)-N($K2962)</f>
        <v/>
      </c>
      <c r="M2962" s="110" t="n"/>
      <c r="N2962" s="54" t="n"/>
      <c r="O2962" s="54" t="n"/>
      <c r="P2962" s="54" t="n"/>
      <c r="Q2962" s="110" t="n"/>
      <c r="R2962" s="110" t="n"/>
      <c r="S2962" s="54" t="n"/>
      <c r="T2962" s="111">
        <f>IF($G2962="","",IFERROR(INDEX(Taux_Devises,MATCH(IF($M2962="",Devise_Base,$M2962),Codes_Devises,0)),1))</f>
        <v/>
      </c>
      <c r="U2962" s="112">
        <f>IF($G2962="","",ROUND($G2962*$T2962,2))</f>
        <v/>
      </c>
      <c r="V2962" s="113">
        <f>IF($B2962="","",MONTH($B2962))</f>
        <v/>
      </c>
      <c r="W2962" s="113">
        <f>IF($B2962="","",YEAR($B2962))</f>
        <v/>
      </c>
    </row>
    <row r="2963">
      <c r="B2963" s="105" t="n"/>
      <c r="C2963" s="54" t="n"/>
      <c r="D2963" s="54" t="n"/>
      <c r="E2963" s="54" t="n"/>
      <c r="F2963" s="54" t="n"/>
      <c r="G2963" s="65" t="n"/>
      <c r="H2963" s="54" t="n"/>
      <c r="I2963" s="106">
        <f>IF($C2963="","",IFERROR(INDEX(Sens_Types,MATCH($C2963,Liste_Types,0)),""))</f>
        <v/>
      </c>
      <c r="J2963" s="107">
        <f>IF($I2963="▲ ENTRÉE",$U2963,"")</f>
        <v/>
      </c>
      <c r="K2963" s="108">
        <f>IF($I2963="▼ SORTIE",$U2963,"")</f>
        <v/>
      </c>
      <c r="L2963" s="109">
        <f>$L2962+N($J2963)-N($K2963)</f>
        <v/>
      </c>
      <c r="M2963" s="110" t="n"/>
      <c r="N2963" s="54" t="n"/>
      <c r="O2963" s="54" t="n"/>
      <c r="P2963" s="54" t="n"/>
      <c r="Q2963" s="110" t="n"/>
      <c r="R2963" s="110" t="n"/>
      <c r="S2963" s="54" t="n"/>
      <c r="T2963" s="111">
        <f>IF($G2963="","",IFERROR(INDEX(Taux_Devises,MATCH(IF($M2963="",Devise_Base,$M2963),Codes_Devises,0)),1))</f>
        <v/>
      </c>
      <c r="U2963" s="112">
        <f>IF($G2963="","",ROUND($G2963*$T2963,2))</f>
        <v/>
      </c>
      <c r="V2963" s="113">
        <f>IF($B2963="","",MONTH($B2963))</f>
        <v/>
      </c>
      <c r="W2963" s="113">
        <f>IF($B2963="","",YEAR($B2963))</f>
        <v/>
      </c>
    </row>
    <row r="2964">
      <c r="B2964" s="105" t="n"/>
      <c r="C2964" s="54" t="n"/>
      <c r="D2964" s="54" t="n"/>
      <c r="E2964" s="54" t="n"/>
      <c r="F2964" s="54" t="n"/>
      <c r="G2964" s="65" t="n"/>
      <c r="H2964" s="54" t="n"/>
      <c r="I2964" s="106">
        <f>IF($C2964="","",IFERROR(INDEX(Sens_Types,MATCH($C2964,Liste_Types,0)),""))</f>
        <v/>
      </c>
      <c r="J2964" s="107">
        <f>IF($I2964="▲ ENTRÉE",$U2964,"")</f>
        <v/>
      </c>
      <c r="K2964" s="108">
        <f>IF($I2964="▼ SORTIE",$U2964,"")</f>
        <v/>
      </c>
      <c r="L2964" s="109">
        <f>$L2963+N($J2964)-N($K2964)</f>
        <v/>
      </c>
      <c r="M2964" s="110" t="n"/>
      <c r="N2964" s="54" t="n"/>
      <c r="O2964" s="54" t="n"/>
      <c r="P2964" s="54" t="n"/>
      <c r="Q2964" s="110" t="n"/>
      <c r="R2964" s="110" t="n"/>
      <c r="S2964" s="54" t="n"/>
      <c r="T2964" s="111">
        <f>IF($G2964="","",IFERROR(INDEX(Taux_Devises,MATCH(IF($M2964="",Devise_Base,$M2964),Codes_Devises,0)),1))</f>
        <v/>
      </c>
      <c r="U2964" s="112">
        <f>IF($G2964="","",ROUND($G2964*$T2964,2))</f>
        <v/>
      </c>
      <c r="V2964" s="113">
        <f>IF($B2964="","",MONTH($B2964))</f>
        <v/>
      </c>
      <c r="W2964" s="113">
        <f>IF($B2964="","",YEAR($B2964))</f>
        <v/>
      </c>
    </row>
    <row r="2965">
      <c r="B2965" s="105" t="n"/>
      <c r="C2965" s="54" t="n"/>
      <c r="D2965" s="54" t="n"/>
      <c r="E2965" s="54" t="n"/>
      <c r="F2965" s="54" t="n"/>
      <c r="G2965" s="65" t="n"/>
      <c r="H2965" s="54" t="n"/>
      <c r="I2965" s="106">
        <f>IF($C2965="","",IFERROR(INDEX(Sens_Types,MATCH($C2965,Liste_Types,0)),""))</f>
        <v/>
      </c>
      <c r="J2965" s="107">
        <f>IF($I2965="▲ ENTRÉE",$U2965,"")</f>
        <v/>
      </c>
      <c r="K2965" s="108">
        <f>IF($I2965="▼ SORTIE",$U2965,"")</f>
        <v/>
      </c>
      <c r="L2965" s="109">
        <f>$L2964+N($J2965)-N($K2965)</f>
        <v/>
      </c>
      <c r="M2965" s="110" t="n"/>
      <c r="N2965" s="54" t="n"/>
      <c r="O2965" s="54" t="n"/>
      <c r="P2965" s="54" t="n"/>
      <c r="Q2965" s="110" t="n"/>
      <c r="R2965" s="110" t="n"/>
      <c r="S2965" s="54" t="n"/>
      <c r="T2965" s="111">
        <f>IF($G2965="","",IFERROR(INDEX(Taux_Devises,MATCH(IF($M2965="",Devise_Base,$M2965),Codes_Devises,0)),1))</f>
        <v/>
      </c>
      <c r="U2965" s="112">
        <f>IF($G2965="","",ROUND($G2965*$T2965,2))</f>
        <v/>
      </c>
      <c r="V2965" s="113">
        <f>IF($B2965="","",MONTH($B2965))</f>
        <v/>
      </c>
      <c r="W2965" s="113">
        <f>IF($B2965="","",YEAR($B2965))</f>
        <v/>
      </c>
    </row>
    <row r="2966">
      <c r="B2966" s="105" t="n"/>
      <c r="C2966" s="54" t="n"/>
      <c r="D2966" s="54" t="n"/>
      <c r="E2966" s="54" t="n"/>
      <c r="F2966" s="54" t="n"/>
      <c r="G2966" s="65" t="n"/>
      <c r="H2966" s="54" t="n"/>
      <c r="I2966" s="106">
        <f>IF($C2966="","",IFERROR(INDEX(Sens_Types,MATCH($C2966,Liste_Types,0)),""))</f>
        <v/>
      </c>
      <c r="J2966" s="107">
        <f>IF($I2966="▲ ENTRÉE",$U2966,"")</f>
        <v/>
      </c>
      <c r="K2966" s="108">
        <f>IF($I2966="▼ SORTIE",$U2966,"")</f>
        <v/>
      </c>
      <c r="L2966" s="109">
        <f>$L2965+N($J2966)-N($K2966)</f>
        <v/>
      </c>
      <c r="M2966" s="110" t="n"/>
      <c r="N2966" s="54" t="n"/>
      <c r="O2966" s="54" t="n"/>
      <c r="P2966" s="54" t="n"/>
      <c r="Q2966" s="110" t="n"/>
      <c r="R2966" s="110" t="n"/>
      <c r="S2966" s="54" t="n"/>
      <c r="T2966" s="111">
        <f>IF($G2966="","",IFERROR(INDEX(Taux_Devises,MATCH(IF($M2966="",Devise_Base,$M2966),Codes_Devises,0)),1))</f>
        <v/>
      </c>
      <c r="U2966" s="112">
        <f>IF($G2966="","",ROUND($G2966*$T2966,2))</f>
        <v/>
      </c>
      <c r="V2966" s="113">
        <f>IF($B2966="","",MONTH($B2966))</f>
        <v/>
      </c>
      <c r="W2966" s="113">
        <f>IF($B2966="","",YEAR($B2966))</f>
        <v/>
      </c>
    </row>
    <row r="2967">
      <c r="B2967" s="105" t="n"/>
      <c r="C2967" s="54" t="n"/>
      <c r="D2967" s="54" t="n"/>
      <c r="E2967" s="54" t="n"/>
      <c r="F2967" s="54" t="n"/>
      <c r="G2967" s="65" t="n"/>
      <c r="H2967" s="54" t="n"/>
      <c r="I2967" s="106">
        <f>IF($C2967="","",IFERROR(INDEX(Sens_Types,MATCH($C2967,Liste_Types,0)),""))</f>
        <v/>
      </c>
      <c r="J2967" s="107">
        <f>IF($I2967="▲ ENTRÉE",$U2967,"")</f>
        <v/>
      </c>
      <c r="K2967" s="108">
        <f>IF($I2967="▼ SORTIE",$U2967,"")</f>
        <v/>
      </c>
      <c r="L2967" s="109">
        <f>$L2966+N($J2967)-N($K2967)</f>
        <v/>
      </c>
      <c r="M2967" s="110" t="n"/>
      <c r="N2967" s="54" t="n"/>
      <c r="O2967" s="54" t="n"/>
      <c r="P2967" s="54" t="n"/>
      <c r="Q2967" s="110" t="n"/>
      <c r="R2967" s="110" t="n"/>
      <c r="S2967" s="54" t="n"/>
      <c r="T2967" s="111">
        <f>IF($G2967="","",IFERROR(INDEX(Taux_Devises,MATCH(IF($M2967="",Devise_Base,$M2967),Codes_Devises,0)),1))</f>
        <v/>
      </c>
      <c r="U2967" s="112">
        <f>IF($G2967="","",ROUND($G2967*$T2967,2))</f>
        <v/>
      </c>
      <c r="V2967" s="113">
        <f>IF($B2967="","",MONTH($B2967))</f>
        <v/>
      </c>
      <c r="W2967" s="113">
        <f>IF($B2967="","",YEAR($B2967))</f>
        <v/>
      </c>
    </row>
    <row r="2968">
      <c r="B2968" s="105" t="n"/>
      <c r="C2968" s="54" t="n"/>
      <c r="D2968" s="54" t="n"/>
      <c r="E2968" s="54" t="n"/>
      <c r="F2968" s="54" t="n"/>
      <c r="G2968" s="65" t="n"/>
      <c r="H2968" s="54" t="n"/>
      <c r="I2968" s="106">
        <f>IF($C2968="","",IFERROR(INDEX(Sens_Types,MATCH($C2968,Liste_Types,0)),""))</f>
        <v/>
      </c>
      <c r="J2968" s="107">
        <f>IF($I2968="▲ ENTRÉE",$U2968,"")</f>
        <v/>
      </c>
      <c r="K2968" s="108">
        <f>IF($I2968="▼ SORTIE",$U2968,"")</f>
        <v/>
      </c>
      <c r="L2968" s="109">
        <f>$L2967+N($J2968)-N($K2968)</f>
        <v/>
      </c>
      <c r="M2968" s="110" t="n"/>
      <c r="N2968" s="54" t="n"/>
      <c r="O2968" s="54" t="n"/>
      <c r="P2968" s="54" t="n"/>
      <c r="Q2968" s="110" t="n"/>
      <c r="R2968" s="110" t="n"/>
      <c r="S2968" s="54" t="n"/>
      <c r="T2968" s="111">
        <f>IF($G2968="","",IFERROR(INDEX(Taux_Devises,MATCH(IF($M2968="",Devise_Base,$M2968),Codes_Devises,0)),1))</f>
        <v/>
      </c>
      <c r="U2968" s="112">
        <f>IF($G2968="","",ROUND($G2968*$T2968,2))</f>
        <v/>
      </c>
      <c r="V2968" s="113">
        <f>IF($B2968="","",MONTH($B2968))</f>
        <v/>
      </c>
      <c r="W2968" s="113">
        <f>IF($B2968="","",YEAR($B2968))</f>
        <v/>
      </c>
    </row>
    <row r="2969">
      <c r="B2969" s="105" t="n"/>
      <c r="C2969" s="54" t="n"/>
      <c r="D2969" s="54" t="n"/>
      <c r="E2969" s="54" t="n"/>
      <c r="F2969" s="54" t="n"/>
      <c r="G2969" s="65" t="n"/>
      <c r="H2969" s="54" t="n"/>
      <c r="I2969" s="106">
        <f>IF($C2969="","",IFERROR(INDEX(Sens_Types,MATCH($C2969,Liste_Types,0)),""))</f>
        <v/>
      </c>
      <c r="J2969" s="107">
        <f>IF($I2969="▲ ENTRÉE",$U2969,"")</f>
        <v/>
      </c>
      <c r="K2969" s="108">
        <f>IF($I2969="▼ SORTIE",$U2969,"")</f>
        <v/>
      </c>
      <c r="L2969" s="109">
        <f>$L2968+N($J2969)-N($K2969)</f>
        <v/>
      </c>
      <c r="M2969" s="110" t="n"/>
      <c r="N2969" s="54" t="n"/>
      <c r="O2969" s="54" t="n"/>
      <c r="P2969" s="54" t="n"/>
      <c r="Q2969" s="110" t="n"/>
      <c r="R2969" s="110" t="n"/>
      <c r="S2969" s="54" t="n"/>
      <c r="T2969" s="111">
        <f>IF($G2969="","",IFERROR(INDEX(Taux_Devises,MATCH(IF($M2969="",Devise_Base,$M2969),Codes_Devises,0)),1))</f>
        <v/>
      </c>
      <c r="U2969" s="112">
        <f>IF($G2969="","",ROUND($G2969*$T2969,2))</f>
        <v/>
      </c>
      <c r="V2969" s="113">
        <f>IF($B2969="","",MONTH($B2969))</f>
        <v/>
      </c>
      <c r="W2969" s="113">
        <f>IF($B2969="","",YEAR($B2969))</f>
        <v/>
      </c>
    </row>
    <row r="2970">
      <c r="B2970" s="105" t="n"/>
      <c r="C2970" s="54" t="n"/>
      <c r="D2970" s="54" t="n"/>
      <c r="E2970" s="54" t="n"/>
      <c r="F2970" s="54" t="n"/>
      <c r="G2970" s="65" t="n"/>
      <c r="H2970" s="54" t="n"/>
      <c r="I2970" s="106">
        <f>IF($C2970="","",IFERROR(INDEX(Sens_Types,MATCH($C2970,Liste_Types,0)),""))</f>
        <v/>
      </c>
      <c r="J2970" s="107">
        <f>IF($I2970="▲ ENTRÉE",$U2970,"")</f>
        <v/>
      </c>
      <c r="K2970" s="108">
        <f>IF($I2970="▼ SORTIE",$U2970,"")</f>
        <v/>
      </c>
      <c r="L2970" s="109">
        <f>$L2969+N($J2970)-N($K2970)</f>
        <v/>
      </c>
      <c r="M2970" s="110" t="n"/>
      <c r="N2970" s="54" t="n"/>
      <c r="O2970" s="54" t="n"/>
      <c r="P2970" s="54" t="n"/>
      <c r="Q2970" s="110" t="n"/>
      <c r="R2970" s="110" t="n"/>
      <c r="S2970" s="54" t="n"/>
      <c r="T2970" s="111">
        <f>IF($G2970="","",IFERROR(INDEX(Taux_Devises,MATCH(IF($M2970="",Devise_Base,$M2970),Codes_Devises,0)),1))</f>
        <v/>
      </c>
      <c r="U2970" s="112">
        <f>IF($G2970="","",ROUND($G2970*$T2970,2))</f>
        <v/>
      </c>
      <c r="V2970" s="113">
        <f>IF($B2970="","",MONTH($B2970))</f>
        <v/>
      </c>
      <c r="W2970" s="113">
        <f>IF($B2970="","",YEAR($B2970))</f>
        <v/>
      </c>
    </row>
    <row r="2971">
      <c r="B2971" s="105" t="n"/>
      <c r="C2971" s="54" t="n"/>
      <c r="D2971" s="54" t="n"/>
      <c r="E2971" s="54" t="n"/>
      <c r="F2971" s="54" t="n"/>
      <c r="G2971" s="65" t="n"/>
      <c r="H2971" s="54" t="n"/>
      <c r="I2971" s="106">
        <f>IF($C2971="","",IFERROR(INDEX(Sens_Types,MATCH($C2971,Liste_Types,0)),""))</f>
        <v/>
      </c>
      <c r="J2971" s="107">
        <f>IF($I2971="▲ ENTRÉE",$U2971,"")</f>
        <v/>
      </c>
      <c r="K2971" s="108">
        <f>IF($I2971="▼ SORTIE",$U2971,"")</f>
        <v/>
      </c>
      <c r="L2971" s="109">
        <f>$L2970+N($J2971)-N($K2971)</f>
        <v/>
      </c>
      <c r="M2971" s="110" t="n"/>
      <c r="N2971" s="54" t="n"/>
      <c r="O2971" s="54" t="n"/>
      <c r="P2971" s="54" t="n"/>
      <c r="Q2971" s="110" t="n"/>
      <c r="R2971" s="110" t="n"/>
      <c r="S2971" s="54" t="n"/>
      <c r="T2971" s="111">
        <f>IF($G2971="","",IFERROR(INDEX(Taux_Devises,MATCH(IF($M2971="",Devise_Base,$M2971),Codes_Devises,0)),1))</f>
        <v/>
      </c>
      <c r="U2971" s="112">
        <f>IF($G2971="","",ROUND($G2971*$T2971,2))</f>
        <v/>
      </c>
      <c r="V2971" s="113">
        <f>IF($B2971="","",MONTH($B2971))</f>
        <v/>
      </c>
      <c r="W2971" s="113">
        <f>IF($B2971="","",YEAR($B2971))</f>
        <v/>
      </c>
    </row>
    <row r="2972">
      <c r="B2972" s="105" t="n"/>
      <c r="C2972" s="54" t="n"/>
      <c r="D2972" s="54" t="n"/>
      <c r="E2972" s="54" t="n"/>
      <c r="F2972" s="54" t="n"/>
      <c r="G2972" s="65" t="n"/>
      <c r="H2972" s="54" t="n"/>
      <c r="I2972" s="106">
        <f>IF($C2972="","",IFERROR(INDEX(Sens_Types,MATCH($C2972,Liste_Types,0)),""))</f>
        <v/>
      </c>
      <c r="J2972" s="107">
        <f>IF($I2972="▲ ENTRÉE",$U2972,"")</f>
        <v/>
      </c>
      <c r="K2972" s="108">
        <f>IF($I2972="▼ SORTIE",$U2972,"")</f>
        <v/>
      </c>
      <c r="L2972" s="109">
        <f>$L2971+N($J2972)-N($K2972)</f>
        <v/>
      </c>
      <c r="M2972" s="110" t="n"/>
      <c r="N2972" s="54" t="n"/>
      <c r="O2972" s="54" t="n"/>
      <c r="P2972" s="54" t="n"/>
      <c r="Q2972" s="110" t="n"/>
      <c r="R2972" s="110" t="n"/>
      <c r="S2972" s="54" t="n"/>
      <c r="T2972" s="111">
        <f>IF($G2972="","",IFERROR(INDEX(Taux_Devises,MATCH(IF($M2972="",Devise_Base,$M2972),Codes_Devises,0)),1))</f>
        <v/>
      </c>
      <c r="U2972" s="112">
        <f>IF($G2972="","",ROUND($G2972*$T2972,2))</f>
        <v/>
      </c>
      <c r="V2972" s="113">
        <f>IF($B2972="","",MONTH($B2972))</f>
        <v/>
      </c>
      <c r="W2972" s="113">
        <f>IF($B2972="","",YEAR($B2972))</f>
        <v/>
      </c>
    </row>
    <row r="2973">
      <c r="B2973" s="105" t="n"/>
      <c r="C2973" s="54" t="n"/>
      <c r="D2973" s="54" t="n"/>
      <c r="E2973" s="54" t="n"/>
      <c r="F2973" s="54" t="n"/>
      <c r="G2973" s="65" t="n"/>
      <c r="H2973" s="54" t="n"/>
      <c r="I2973" s="106">
        <f>IF($C2973="","",IFERROR(INDEX(Sens_Types,MATCH($C2973,Liste_Types,0)),""))</f>
        <v/>
      </c>
      <c r="J2973" s="107">
        <f>IF($I2973="▲ ENTRÉE",$U2973,"")</f>
        <v/>
      </c>
      <c r="K2973" s="108">
        <f>IF($I2973="▼ SORTIE",$U2973,"")</f>
        <v/>
      </c>
      <c r="L2973" s="109">
        <f>$L2972+N($J2973)-N($K2973)</f>
        <v/>
      </c>
      <c r="M2973" s="110" t="n"/>
      <c r="N2973" s="54" t="n"/>
      <c r="O2973" s="54" t="n"/>
      <c r="P2973" s="54" t="n"/>
      <c r="Q2973" s="110" t="n"/>
      <c r="R2973" s="110" t="n"/>
      <c r="S2973" s="54" t="n"/>
      <c r="T2973" s="111">
        <f>IF($G2973="","",IFERROR(INDEX(Taux_Devises,MATCH(IF($M2973="",Devise_Base,$M2973),Codes_Devises,0)),1))</f>
        <v/>
      </c>
      <c r="U2973" s="112">
        <f>IF($G2973="","",ROUND($G2973*$T2973,2))</f>
        <v/>
      </c>
      <c r="V2973" s="113">
        <f>IF($B2973="","",MONTH($B2973))</f>
        <v/>
      </c>
      <c r="W2973" s="113">
        <f>IF($B2973="","",YEAR($B2973))</f>
        <v/>
      </c>
    </row>
    <row r="2974">
      <c r="B2974" s="105" t="n"/>
      <c r="C2974" s="54" t="n"/>
      <c r="D2974" s="54" t="n"/>
      <c r="E2974" s="54" t="n"/>
      <c r="F2974" s="54" t="n"/>
      <c r="G2974" s="65" t="n"/>
      <c r="H2974" s="54" t="n"/>
      <c r="I2974" s="106">
        <f>IF($C2974="","",IFERROR(INDEX(Sens_Types,MATCH($C2974,Liste_Types,0)),""))</f>
        <v/>
      </c>
      <c r="J2974" s="107">
        <f>IF($I2974="▲ ENTRÉE",$U2974,"")</f>
        <v/>
      </c>
      <c r="K2974" s="108">
        <f>IF($I2974="▼ SORTIE",$U2974,"")</f>
        <v/>
      </c>
      <c r="L2974" s="109">
        <f>$L2973+N($J2974)-N($K2974)</f>
        <v/>
      </c>
      <c r="M2974" s="110" t="n"/>
      <c r="N2974" s="54" t="n"/>
      <c r="O2974" s="54" t="n"/>
      <c r="P2974" s="54" t="n"/>
      <c r="Q2974" s="110" t="n"/>
      <c r="R2974" s="110" t="n"/>
      <c r="S2974" s="54" t="n"/>
      <c r="T2974" s="111">
        <f>IF($G2974="","",IFERROR(INDEX(Taux_Devises,MATCH(IF($M2974="",Devise_Base,$M2974),Codes_Devises,0)),1))</f>
        <v/>
      </c>
      <c r="U2974" s="112">
        <f>IF($G2974="","",ROUND($G2974*$T2974,2))</f>
        <v/>
      </c>
      <c r="V2974" s="113">
        <f>IF($B2974="","",MONTH($B2974))</f>
        <v/>
      </c>
      <c r="W2974" s="113">
        <f>IF($B2974="","",YEAR($B2974))</f>
        <v/>
      </c>
    </row>
    <row r="2975">
      <c r="B2975" s="105" t="n"/>
      <c r="C2975" s="54" t="n"/>
      <c r="D2975" s="54" t="n"/>
      <c r="E2975" s="54" t="n"/>
      <c r="F2975" s="54" t="n"/>
      <c r="G2975" s="65" t="n"/>
      <c r="H2975" s="54" t="n"/>
      <c r="I2975" s="106">
        <f>IF($C2975="","",IFERROR(INDEX(Sens_Types,MATCH($C2975,Liste_Types,0)),""))</f>
        <v/>
      </c>
      <c r="J2975" s="107">
        <f>IF($I2975="▲ ENTRÉE",$U2975,"")</f>
        <v/>
      </c>
      <c r="K2975" s="108">
        <f>IF($I2975="▼ SORTIE",$U2975,"")</f>
        <v/>
      </c>
      <c r="L2975" s="109">
        <f>$L2974+N($J2975)-N($K2975)</f>
        <v/>
      </c>
      <c r="M2975" s="110" t="n"/>
      <c r="N2975" s="54" t="n"/>
      <c r="O2975" s="54" t="n"/>
      <c r="P2975" s="54" t="n"/>
      <c r="Q2975" s="110" t="n"/>
      <c r="R2975" s="110" t="n"/>
      <c r="S2975" s="54" t="n"/>
      <c r="T2975" s="111">
        <f>IF($G2975="","",IFERROR(INDEX(Taux_Devises,MATCH(IF($M2975="",Devise_Base,$M2975),Codes_Devises,0)),1))</f>
        <v/>
      </c>
      <c r="U2975" s="112">
        <f>IF($G2975="","",ROUND($G2975*$T2975,2))</f>
        <v/>
      </c>
      <c r="V2975" s="113">
        <f>IF($B2975="","",MONTH($B2975))</f>
        <v/>
      </c>
      <c r="W2975" s="113">
        <f>IF($B2975="","",YEAR($B2975))</f>
        <v/>
      </c>
    </row>
    <row r="2976">
      <c r="B2976" s="105" t="n"/>
      <c r="C2976" s="54" t="n"/>
      <c r="D2976" s="54" t="n"/>
      <c r="E2976" s="54" t="n"/>
      <c r="F2976" s="54" t="n"/>
      <c r="G2976" s="65" t="n"/>
      <c r="H2976" s="54" t="n"/>
      <c r="I2976" s="106">
        <f>IF($C2976="","",IFERROR(INDEX(Sens_Types,MATCH($C2976,Liste_Types,0)),""))</f>
        <v/>
      </c>
      <c r="J2976" s="107">
        <f>IF($I2976="▲ ENTRÉE",$U2976,"")</f>
        <v/>
      </c>
      <c r="K2976" s="108">
        <f>IF($I2976="▼ SORTIE",$U2976,"")</f>
        <v/>
      </c>
      <c r="L2976" s="109">
        <f>$L2975+N($J2976)-N($K2976)</f>
        <v/>
      </c>
      <c r="M2976" s="110" t="n"/>
      <c r="N2976" s="54" t="n"/>
      <c r="O2976" s="54" t="n"/>
      <c r="P2976" s="54" t="n"/>
      <c r="Q2976" s="110" t="n"/>
      <c r="R2976" s="110" t="n"/>
      <c r="S2976" s="54" t="n"/>
      <c r="T2976" s="111">
        <f>IF($G2976="","",IFERROR(INDEX(Taux_Devises,MATCH(IF($M2976="",Devise_Base,$M2976),Codes_Devises,0)),1))</f>
        <v/>
      </c>
      <c r="U2976" s="112">
        <f>IF($G2976="","",ROUND($G2976*$T2976,2))</f>
        <v/>
      </c>
      <c r="V2976" s="113">
        <f>IF($B2976="","",MONTH($B2976))</f>
        <v/>
      </c>
      <c r="W2976" s="113">
        <f>IF($B2976="","",YEAR($B2976))</f>
        <v/>
      </c>
    </row>
    <row r="2977">
      <c r="B2977" s="105" t="n"/>
      <c r="C2977" s="54" t="n"/>
      <c r="D2977" s="54" t="n"/>
      <c r="E2977" s="54" t="n"/>
      <c r="F2977" s="54" t="n"/>
      <c r="G2977" s="65" t="n"/>
      <c r="H2977" s="54" t="n"/>
      <c r="I2977" s="106">
        <f>IF($C2977="","",IFERROR(INDEX(Sens_Types,MATCH($C2977,Liste_Types,0)),""))</f>
        <v/>
      </c>
      <c r="J2977" s="107">
        <f>IF($I2977="▲ ENTRÉE",$U2977,"")</f>
        <v/>
      </c>
      <c r="K2977" s="108">
        <f>IF($I2977="▼ SORTIE",$U2977,"")</f>
        <v/>
      </c>
      <c r="L2977" s="109">
        <f>$L2976+N($J2977)-N($K2977)</f>
        <v/>
      </c>
      <c r="M2977" s="110" t="n"/>
      <c r="N2977" s="54" t="n"/>
      <c r="O2977" s="54" t="n"/>
      <c r="P2977" s="54" t="n"/>
      <c r="Q2977" s="110" t="n"/>
      <c r="R2977" s="110" t="n"/>
      <c r="S2977" s="54" t="n"/>
      <c r="T2977" s="111">
        <f>IF($G2977="","",IFERROR(INDEX(Taux_Devises,MATCH(IF($M2977="",Devise_Base,$M2977),Codes_Devises,0)),1))</f>
        <v/>
      </c>
      <c r="U2977" s="112">
        <f>IF($G2977="","",ROUND($G2977*$T2977,2))</f>
        <v/>
      </c>
      <c r="V2977" s="113">
        <f>IF($B2977="","",MONTH($B2977))</f>
        <v/>
      </c>
      <c r="W2977" s="113">
        <f>IF($B2977="","",YEAR($B2977))</f>
        <v/>
      </c>
    </row>
    <row r="2978">
      <c r="B2978" s="105" t="n"/>
      <c r="C2978" s="54" t="n"/>
      <c r="D2978" s="54" t="n"/>
      <c r="E2978" s="54" t="n"/>
      <c r="F2978" s="54" t="n"/>
      <c r="G2978" s="65" t="n"/>
      <c r="H2978" s="54" t="n"/>
      <c r="I2978" s="106">
        <f>IF($C2978="","",IFERROR(INDEX(Sens_Types,MATCH($C2978,Liste_Types,0)),""))</f>
        <v/>
      </c>
      <c r="J2978" s="107">
        <f>IF($I2978="▲ ENTRÉE",$U2978,"")</f>
        <v/>
      </c>
      <c r="K2978" s="108">
        <f>IF($I2978="▼ SORTIE",$U2978,"")</f>
        <v/>
      </c>
      <c r="L2978" s="109">
        <f>$L2977+N($J2978)-N($K2978)</f>
        <v/>
      </c>
      <c r="M2978" s="110" t="n"/>
      <c r="N2978" s="54" t="n"/>
      <c r="O2978" s="54" t="n"/>
      <c r="P2978" s="54" t="n"/>
      <c r="Q2978" s="110" t="n"/>
      <c r="R2978" s="110" t="n"/>
      <c r="S2978" s="54" t="n"/>
      <c r="T2978" s="111">
        <f>IF($G2978="","",IFERROR(INDEX(Taux_Devises,MATCH(IF($M2978="",Devise_Base,$M2978),Codes_Devises,0)),1))</f>
        <v/>
      </c>
      <c r="U2978" s="112">
        <f>IF($G2978="","",ROUND($G2978*$T2978,2))</f>
        <v/>
      </c>
      <c r="V2978" s="113">
        <f>IF($B2978="","",MONTH($B2978))</f>
        <v/>
      </c>
      <c r="W2978" s="113">
        <f>IF($B2978="","",YEAR($B2978))</f>
        <v/>
      </c>
    </row>
    <row r="2979">
      <c r="B2979" s="105" t="n"/>
      <c r="C2979" s="54" t="n"/>
      <c r="D2979" s="54" t="n"/>
      <c r="E2979" s="54" t="n"/>
      <c r="F2979" s="54" t="n"/>
      <c r="G2979" s="65" t="n"/>
      <c r="H2979" s="54" t="n"/>
      <c r="I2979" s="106">
        <f>IF($C2979="","",IFERROR(INDEX(Sens_Types,MATCH($C2979,Liste_Types,0)),""))</f>
        <v/>
      </c>
      <c r="J2979" s="107">
        <f>IF($I2979="▲ ENTRÉE",$U2979,"")</f>
        <v/>
      </c>
      <c r="K2979" s="108">
        <f>IF($I2979="▼ SORTIE",$U2979,"")</f>
        <v/>
      </c>
      <c r="L2979" s="109">
        <f>$L2978+N($J2979)-N($K2979)</f>
        <v/>
      </c>
      <c r="M2979" s="110" t="n"/>
      <c r="N2979" s="54" t="n"/>
      <c r="O2979" s="54" t="n"/>
      <c r="P2979" s="54" t="n"/>
      <c r="Q2979" s="110" t="n"/>
      <c r="R2979" s="110" t="n"/>
      <c r="S2979" s="54" t="n"/>
      <c r="T2979" s="111">
        <f>IF($G2979="","",IFERROR(INDEX(Taux_Devises,MATCH(IF($M2979="",Devise_Base,$M2979),Codes_Devises,0)),1))</f>
        <v/>
      </c>
      <c r="U2979" s="112">
        <f>IF($G2979="","",ROUND($G2979*$T2979,2))</f>
        <v/>
      </c>
      <c r="V2979" s="113">
        <f>IF($B2979="","",MONTH($B2979))</f>
        <v/>
      </c>
      <c r="W2979" s="113">
        <f>IF($B2979="","",YEAR($B2979))</f>
        <v/>
      </c>
    </row>
    <row r="2980">
      <c r="B2980" s="105" t="n"/>
      <c r="C2980" s="54" t="n"/>
      <c r="D2980" s="54" t="n"/>
      <c r="E2980" s="54" t="n"/>
      <c r="F2980" s="54" t="n"/>
      <c r="G2980" s="65" t="n"/>
      <c r="H2980" s="54" t="n"/>
      <c r="I2980" s="106">
        <f>IF($C2980="","",IFERROR(INDEX(Sens_Types,MATCH($C2980,Liste_Types,0)),""))</f>
        <v/>
      </c>
      <c r="J2980" s="107">
        <f>IF($I2980="▲ ENTRÉE",$U2980,"")</f>
        <v/>
      </c>
      <c r="K2980" s="108">
        <f>IF($I2980="▼ SORTIE",$U2980,"")</f>
        <v/>
      </c>
      <c r="L2980" s="109">
        <f>$L2979+N($J2980)-N($K2980)</f>
        <v/>
      </c>
      <c r="M2980" s="110" t="n"/>
      <c r="N2980" s="54" t="n"/>
      <c r="O2980" s="54" t="n"/>
      <c r="P2980" s="54" t="n"/>
      <c r="Q2980" s="110" t="n"/>
      <c r="R2980" s="110" t="n"/>
      <c r="S2980" s="54" t="n"/>
      <c r="T2980" s="111">
        <f>IF($G2980="","",IFERROR(INDEX(Taux_Devises,MATCH(IF($M2980="",Devise_Base,$M2980),Codes_Devises,0)),1))</f>
        <v/>
      </c>
      <c r="U2980" s="112">
        <f>IF($G2980="","",ROUND($G2980*$T2980,2))</f>
        <v/>
      </c>
      <c r="V2980" s="113">
        <f>IF($B2980="","",MONTH($B2980))</f>
        <v/>
      </c>
      <c r="W2980" s="113">
        <f>IF($B2980="","",YEAR($B2980))</f>
        <v/>
      </c>
    </row>
    <row r="2981">
      <c r="B2981" s="105" t="n"/>
      <c r="C2981" s="54" t="n"/>
      <c r="D2981" s="54" t="n"/>
      <c r="E2981" s="54" t="n"/>
      <c r="F2981" s="54" t="n"/>
      <c r="G2981" s="65" t="n"/>
      <c r="H2981" s="54" t="n"/>
      <c r="I2981" s="106">
        <f>IF($C2981="","",IFERROR(INDEX(Sens_Types,MATCH($C2981,Liste_Types,0)),""))</f>
        <v/>
      </c>
      <c r="J2981" s="107">
        <f>IF($I2981="▲ ENTRÉE",$U2981,"")</f>
        <v/>
      </c>
      <c r="K2981" s="108">
        <f>IF($I2981="▼ SORTIE",$U2981,"")</f>
        <v/>
      </c>
      <c r="L2981" s="109">
        <f>$L2980+N($J2981)-N($K2981)</f>
        <v/>
      </c>
      <c r="M2981" s="110" t="n"/>
      <c r="N2981" s="54" t="n"/>
      <c r="O2981" s="54" t="n"/>
      <c r="P2981" s="54" t="n"/>
      <c r="Q2981" s="110" t="n"/>
      <c r="R2981" s="110" t="n"/>
      <c r="S2981" s="54" t="n"/>
      <c r="T2981" s="111">
        <f>IF($G2981="","",IFERROR(INDEX(Taux_Devises,MATCH(IF($M2981="",Devise_Base,$M2981),Codes_Devises,0)),1))</f>
        <v/>
      </c>
      <c r="U2981" s="112">
        <f>IF($G2981="","",ROUND($G2981*$T2981,2))</f>
        <v/>
      </c>
      <c r="V2981" s="113">
        <f>IF($B2981="","",MONTH($B2981))</f>
        <v/>
      </c>
      <c r="W2981" s="113">
        <f>IF($B2981="","",YEAR($B2981))</f>
        <v/>
      </c>
    </row>
    <row r="2982">
      <c r="B2982" s="105" t="n"/>
      <c r="C2982" s="54" t="n"/>
      <c r="D2982" s="54" t="n"/>
      <c r="E2982" s="54" t="n"/>
      <c r="F2982" s="54" t="n"/>
      <c r="G2982" s="65" t="n"/>
      <c r="H2982" s="54" t="n"/>
      <c r="I2982" s="106">
        <f>IF($C2982="","",IFERROR(INDEX(Sens_Types,MATCH($C2982,Liste_Types,0)),""))</f>
        <v/>
      </c>
      <c r="J2982" s="107">
        <f>IF($I2982="▲ ENTRÉE",$U2982,"")</f>
        <v/>
      </c>
      <c r="K2982" s="108">
        <f>IF($I2982="▼ SORTIE",$U2982,"")</f>
        <v/>
      </c>
      <c r="L2982" s="109">
        <f>$L2981+N($J2982)-N($K2982)</f>
        <v/>
      </c>
      <c r="M2982" s="110" t="n"/>
      <c r="N2982" s="54" t="n"/>
      <c r="O2982" s="54" t="n"/>
      <c r="P2982" s="54" t="n"/>
      <c r="Q2982" s="110" t="n"/>
      <c r="R2982" s="110" t="n"/>
      <c r="S2982" s="54" t="n"/>
      <c r="T2982" s="111">
        <f>IF($G2982="","",IFERROR(INDEX(Taux_Devises,MATCH(IF($M2982="",Devise_Base,$M2982),Codes_Devises,0)),1))</f>
        <v/>
      </c>
      <c r="U2982" s="112">
        <f>IF($G2982="","",ROUND($G2982*$T2982,2))</f>
        <v/>
      </c>
      <c r="V2982" s="113">
        <f>IF($B2982="","",MONTH($B2982))</f>
        <v/>
      </c>
      <c r="W2982" s="113">
        <f>IF($B2982="","",YEAR($B2982))</f>
        <v/>
      </c>
    </row>
    <row r="2983">
      <c r="B2983" s="105" t="n"/>
      <c r="C2983" s="54" t="n"/>
      <c r="D2983" s="54" t="n"/>
      <c r="E2983" s="54" t="n"/>
      <c r="F2983" s="54" t="n"/>
      <c r="G2983" s="65" t="n"/>
      <c r="H2983" s="54" t="n"/>
      <c r="I2983" s="106">
        <f>IF($C2983="","",IFERROR(INDEX(Sens_Types,MATCH($C2983,Liste_Types,0)),""))</f>
        <v/>
      </c>
      <c r="J2983" s="107">
        <f>IF($I2983="▲ ENTRÉE",$U2983,"")</f>
        <v/>
      </c>
      <c r="K2983" s="108">
        <f>IF($I2983="▼ SORTIE",$U2983,"")</f>
        <v/>
      </c>
      <c r="L2983" s="109">
        <f>$L2982+N($J2983)-N($K2983)</f>
        <v/>
      </c>
      <c r="M2983" s="110" t="n"/>
      <c r="N2983" s="54" t="n"/>
      <c r="O2983" s="54" t="n"/>
      <c r="P2983" s="54" t="n"/>
      <c r="Q2983" s="110" t="n"/>
      <c r="R2983" s="110" t="n"/>
      <c r="S2983" s="54" t="n"/>
      <c r="T2983" s="111">
        <f>IF($G2983="","",IFERROR(INDEX(Taux_Devises,MATCH(IF($M2983="",Devise_Base,$M2983),Codes_Devises,0)),1))</f>
        <v/>
      </c>
      <c r="U2983" s="112">
        <f>IF($G2983="","",ROUND($G2983*$T2983,2))</f>
        <v/>
      </c>
      <c r="V2983" s="113">
        <f>IF($B2983="","",MONTH($B2983))</f>
        <v/>
      </c>
      <c r="W2983" s="113">
        <f>IF($B2983="","",YEAR($B2983))</f>
        <v/>
      </c>
    </row>
    <row r="2984">
      <c r="B2984" s="105" t="n"/>
      <c r="C2984" s="54" t="n"/>
      <c r="D2984" s="54" t="n"/>
      <c r="E2984" s="54" t="n"/>
      <c r="F2984" s="54" t="n"/>
      <c r="G2984" s="65" t="n"/>
      <c r="H2984" s="54" t="n"/>
      <c r="I2984" s="106">
        <f>IF($C2984="","",IFERROR(INDEX(Sens_Types,MATCH($C2984,Liste_Types,0)),""))</f>
        <v/>
      </c>
      <c r="J2984" s="107">
        <f>IF($I2984="▲ ENTRÉE",$U2984,"")</f>
        <v/>
      </c>
      <c r="K2984" s="108">
        <f>IF($I2984="▼ SORTIE",$U2984,"")</f>
        <v/>
      </c>
      <c r="L2984" s="109">
        <f>$L2983+N($J2984)-N($K2984)</f>
        <v/>
      </c>
      <c r="M2984" s="110" t="n"/>
      <c r="N2984" s="54" t="n"/>
      <c r="O2984" s="54" t="n"/>
      <c r="P2984" s="54" t="n"/>
      <c r="Q2984" s="110" t="n"/>
      <c r="R2984" s="110" t="n"/>
      <c r="S2984" s="54" t="n"/>
      <c r="T2984" s="111">
        <f>IF($G2984="","",IFERROR(INDEX(Taux_Devises,MATCH(IF($M2984="",Devise_Base,$M2984),Codes_Devises,0)),1))</f>
        <v/>
      </c>
      <c r="U2984" s="112">
        <f>IF($G2984="","",ROUND($G2984*$T2984,2))</f>
        <v/>
      </c>
      <c r="V2984" s="113">
        <f>IF($B2984="","",MONTH($B2984))</f>
        <v/>
      </c>
      <c r="W2984" s="113">
        <f>IF($B2984="","",YEAR($B2984))</f>
        <v/>
      </c>
    </row>
    <row r="2985">
      <c r="B2985" s="105" t="n"/>
      <c r="C2985" s="54" t="n"/>
      <c r="D2985" s="54" t="n"/>
      <c r="E2985" s="54" t="n"/>
      <c r="F2985" s="54" t="n"/>
      <c r="G2985" s="65" t="n"/>
      <c r="H2985" s="54" t="n"/>
      <c r="I2985" s="106">
        <f>IF($C2985="","",IFERROR(INDEX(Sens_Types,MATCH($C2985,Liste_Types,0)),""))</f>
        <v/>
      </c>
      <c r="J2985" s="107">
        <f>IF($I2985="▲ ENTRÉE",$U2985,"")</f>
        <v/>
      </c>
      <c r="K2985" s="108">
        <f>IF($I2985="▼ SORTIE",$U2985,"")</f>
        <v/>
      </c>
      <c r="L2985" s="109">
        <f>$L2984+N($J2985)-N($K2985)</f>
        <v/>
      </c>
      <c r="M2985" s="110" t="n"/>
      <c r="N2985" s="54" t="n"/>
      <c r="O2985" s="54" t="n"/>
      <c r="P2985" s="54" t="n"/>
      <c r="Q2985" s="110" t="n"/>
      <c r="R2985" s="110" t="n"/>
      <c r="S2985" s="54" t="n"/>
      <c r="T2985" s="111">
        <f>IF($G2985="","",IFERROR(INDEX(Taux_Devises,MATCH(IF($M2985="",Devise_Base,$M2985),Codes_Devises,0)),1))</f>
        <v/>
      </c>
      <c r="U2985" s="112">
        <f>IF($G2985="","",ROUND($G2985*$T2985,2))</f>
        <v/>
      </c>
      <c r="V2985" s="113">
        <f>IF($B2985="","",MONTH($B2985))</f>
        <v/>
      </c>
      <c r="W2985" s="113">
        <f>IF($B2985="","",YEAR($B2985))</f>
        <v/>
      </c>
    </row>
    <row r="2986">
      <c r="B2986" s="105" t="n"/>
      <c r="C2986" s="54" t="n"/>
      <c r="D2986" s="54" t="n"/>
      <c r="E2986" s="54" t="n"/>
      <c r="F2986" s="54" t="n"/>
      <c r="G2986" s="65" t="n"/>
      <c r="H2986" s="54" t="n"/>
      <c r="I2986" s="106">
        <f>IF($C2986="","",IFERROR(INDEX(Sens_Types,MATCH($C2986,Liste_Types,0)),""))</f>
        <v/>
      </c>
      <c r="J2986" s="107">
        <f>IF($I2986="▲ ENTRÉE",$U2986,"")</f>
        <v/>
      </c>
      <c r="K2986" s="108">
        <f>IF($I2986="▼ SORTIE",$U2986,"")</f>
        <v/>
      </c>
      <c r="L2986" s="109">
        <f>$L2985+N($J2986)-N($K2986)</f>
        <v/>
      </c>
      <c r="M2986" s="110" t="n"/>
      <c r="N2986" s="54" t="n"/>
      <c r="O2986" s="54" t="n"/>
      <c r="P2986" s="54" t="n"/>
      <c r="Q2986" s="110" t="n"/>
      <c r="R2986" s="110" t="n"/>
      <c r="S2986" s="54" t="n"/>
      <c r="T2986" s="111">
        <f>IF($G2986="","",IFERROR(INDEX(Taux_Devises,MATCH(IF($M2986="",Devise_Base,$M2986),Codes_Devises,0)),1))</f>
        <v/>
      </c>
      <c r="U2986" s="112">
        <f>IF($G2986="","",ROUND($G2986*$T2986,2))</f>
        <v/>
      </c>
      <c r="V2986" s="113">
        <f>IF($B2986="","",MONTH($B2986))</f>
        <v/>
      </c>
      <c r="W2986" s="113">
        <f>IF($B2986="","",YEAR($B2986))</f>
        <v/>
      </c>
    </row>
    <row r="2987">
      <c r="B2987" s="105" t="n"/>
      <c r="C2987" s="54" t="n"/>
      <c r="D2987" s="54" t="n"/>
      <c r="E2987" s="54" t="n"/>
      <c r="F2987" s="54" t="n"/>
      <c r="G2987" s="65" t="n"/>
      <c r="H2987" s="54" t="n"/>
      <c r="I2987" s="106">
        <f>IF($C2987="","",IFERROR(INDEX(Sens_Types,MATCH($C2987,Liste_Types,0)),""))</f>
        <v/>
      </c>
      <c r="J2987" s="107">
        <f>IF($I2987="▲ ENTRÉE",$U2987,"")</f>
        <v/>
      </c>
      <c r="K2987" s="108">
        <f>IF($I2987="▼ SORTIE",$U2987,"")</f>
        <v/>
      </c>
      <c r="L2987" s="109">
        <f>$L2986+N($J2987)-N($K2987)</f>
        <v/>
      </c>
      <c r="M2987" s="110" t="n"/>
      <c r="N2987" s="54" t="n"/>
      <c r="O2987" s="54" t="n"/>
      <c r="P2987" s="54" t="n"/>
      <c r="Q2987" s="110" t="n"/>
      <c r="R2987" s="110" t="n"/>
      <c r="S2987" s="54" t="n"/>
      <c r="T2987" s="111">
        <f>IF($G2987="","",IFERROR(INDEX(Taux_Devises,MATCH(IF($M2987="",Devise_Base,$M2987),Codes_Devises,0)),1))</f>
        <v/>
      </c>
      <c r="U2987" s="112">
        <f>IF($G2987="","",ROUND($G2987*$T2987,2))</f>
        <v/>
      </c>
      <c r="V2987" s="113">
        <f>IF($B2987="","",MONTH($B2987))</f>
        <v/>
      </c>
      <c r="W2987" s="113">
        <f>IF($B2987="","",YEAR($B2987))</f>
        <v/>
      </c>
    </row>
    <row r="2988">
      <c r="B2988" s="105" t="n"/>
      <c r="C2988" s="54" t="n"/>
      <c r="D2988" s="54" t="n"/>
      <c r="E2988" s="54" t="n"/>
      <c r="F2988" s="54" t="n"/>
      <c r="G2988" s="65" t="n"/>
      <c r="H2988" s="54" t="n"/>
      <c r="I2988" s="106">
        <f>IF($C2988="","",IFERROR(INDEX(Sens_Types,MATCH($C2988,Liste_Types,0)),""))</f>
        <v/>
      </c>
      <c r="J2988" s="107">
        <f>IF($I2988="▲ ENTRÉE",$U2988,"")</f>
        <v/>
      </c>
      <c r="K2988" s="108">
        <f>IF($I2988="▼ SORTIE",$U2988,"")</f>
        <v/>
      </c>
      <c r="L2988" s="109">
        <f>$L2987+N($J2988)-N($K2988)</f>
        <v/>
      </c>
      <c r="M2988" s="110" t="n"/>
      <c r="N2988" s="54" t="n"/>
      <c r="O2988" s="54" t="n"/>
      <c r="P2988" s="54" t="n"/>
      <c r="Q2988" s="110" t="n"/>
      <c r="R2988" s="110" t="n"/>
      <c r="S2988" s="54" t="n"/>
      <c r="T2988" s="111">
        <f>IF($G2988="","",IFERROR(INDEX(Taux_Devises,MATCH(IF($M2988="",Devise_Base,$M2988),Codes_Devises,0)),1))</f>
        <v/>
      </c>
      <c r="U2988" s="112">
        <f>IF($G2988="","",ROUND($G2988*$T2988,2))</f>
        <v/>
      </c>
      <c r="V2988" s="113">
        <f>IF($B2988="","",MONTH($B2988))</f>
        <v/>
      </c>
      <c r="W2988" s="113">
        <f>IF($B2988="","",YEAR($B2988))</f>
        <v/>
      </c>
    </row>
    <row r="2989">
      <c r="B2989" s="105" t="n"/>
      <c r="C2989" s="54" t="n"/>
      <c r="D2989" s="54" t="n"/>
      <c r="E2989" s="54" t="n"/>
      <c r="F2989" s="54" t="n"/>
      <c r="G2989" s="65" t="n"/>
      <c r="H2989" s="54" t="n"/>
      <c r="I2989" s="106">
        <f>IF($C2989="","",IFERROR(INDEX(Sens_Types,MATCH($C2989,Liste_Types,0)),""))</f>
        <v/>
      </c>
      <c r="J2989" s="107">
        <f>IF($I2989="▲ ENTRÉE",$U2989,"")</f>
        <v/>
      </c>
      <c r="K2989" s="108">
        <f>IF($I2989="▼ SORTIE",$U2989,"")</f>
        <v/>
      </c>
      <c r="L2989" s="109">
        <f>$L2988+N($J2989)-N($K2989)</f>
        <v/>
      </c>
      <c r="M2989" s="110" t="n"/>
      <c r="N2989" s="54" t="n"/>
      <c r="O2989" s="54" t="n"/>
      <c r="P2989" s="54" t="n"/>
      <c r="Q2989" s="110" t="n"/>
      <c r="R2989" s="110" t="n"/>
      <c r="S2989" s="54" t="n"/>
      <c r="T2989" s="111">
        <f>IF($G2989="","",IFERROR(INDEX(Taux_Devises,MATCH(IF($M2989="",Devise_Base,$M2989),Codes_Devises,0)),1))</f>
        <v/>
      </c>
      <c r="U2989" s="112">
        <f>IF($G2989="","",ROUND($G2989*$T2989,2))</f>
        <v/>
      </c>
      <c r="V2989" s="113">
        <f>IF($B2989="","",MONTH($B2989))</f>
        <v/>
      </c>
      <c r="W2989" s="113">
        <f>IF($B2989="","",YEAR($B2989))</f>
        <v/>
      </c>
    </row>
    <row r="2990">
      <c r="B2990" s="105" t="n"/>
      <c r="C2990" s="54" t="n"/>
      <c r="D2990" s="54" t="n"/>
      <c r="E2990" s="54" t="n"/>
      <c r="F2990" s="54" t="n"/>
      <c r="G2990" s="65" t="n"/>
      <c r="H2990" s="54" t="n"/>
      <c r="I2990" s="106">
        <f>IF($C2990="","",IFERROR(INDEX(Sens_Types,MATCH($C2990,Liste_Types,0)),""))</f>
        <v/>
      </c>
      <c r="J2990" s="107">
        <f>IF($I2990="▲ ENTRÉE",$U2990,"")</f>
        <v/>
      </c>
      <c r="K2990" s="108">
        <f>IF($I2990="▼ SORTIE",$U2990,"")</f>
        <v/>
      </c>
      <c r="L2990" s="109">
        <f>$L2989+N($J2990)-N($K2990)</f>
        <v/>
      </c>
      <c r="M2990" s="110" t="n"/>
      <c r="N2990" s="54" t="n"/>
      <c r="O2990" s="54" t="n"/>
      <c r="P2990" s="54" t="n"/>
      <c r="Q2990" s="110" t="n"/>
      <c r="R2990" s="110" t="n"/>
      <c r="S2990" s="54" t="n"/>
      <c r="T2990" s="111">
        <f>IF($G2990="","",IFERROR(INDEX(Taux_Devises,MATCH(IF($M2990="",Devise_Base,$M2990),Codes_Devises,0)),1))</f>
        <v/>
      </c>
      <c r="U2990" s="112">
        <f>IF($G2990="","",ROUND($G2990*$T2990,2))</f>
        <v/>
      </c>
      <c r="V2990" s="113">
        <f>IF($B2990="","",MONTH($B2990))</f>
        <v/>
      </c>
      <c r="W2990" s="113">
        <f>IF($B2990="","",YEAR($B2990))</f>
        <v/>
      </c>
    </row>
    <row r="2991">
      <c r="B2991" s="105" t="n"/>
      <c r="C2991" s="54" t="n"/>
      <c r="D2991" s="54" t="n"/>
      <c r="E2991" s="54" t="n"/>
      <c r="F2991" s="54" t="n"/>
      <c r="G2991" s="65" t="n"/>
      <c r="H2991" s="54" t="n"/>
      <c r="I2991" s="106">
        <f>IF($C2991="","",IFERROR(INDEX(Sens_Types,MATCH($C2991,Liste_Types,0)),""))</f>
        <v/>
      </c>
      <c r="J2991" s="107">
        <f>IF($I2991="▲ ENTRÉE",$U2991,"")</f>
        <v/>
      </c>
      <c r="K2991" s="108">
        <f>IF($I2991="▼ SORTIE",$U2991,"")</f>
        <v/>
      </c>
      <c r="L2991" s="109">
        <f>$L2990+N($J2991)-N($K2991)</f>
        <v/>
      </c>
      <c r="M2991" s="110" t="n"/>
      <c r="N2991" s="54" t="n"/>
      <c r="O2991" s="54" t="n"/>
      <c r="P2991" s="54" t="n"/>
      <c r="Q2991" s="110" t="n"/>
      <c r="R2991" s="110" t="n"/>
      <c r="S2991" s="54" t="n"/>
      <c r="T2991" s="111">
        <f>IF($G2991="","",IFERROR(INDEX(Taux_Devises,MATCH(IF($M2991="",Devise_Base,$M2991),Codes_Devises,0)),1))</f>
        <v/>
      </c>
      <c r="U2991" s="112">
        <f>IF($G2991="","",ROUND($G2991*$T2991,2))</f>
        <v/>
      </c>
      <c r="V2991" s="113">
        <f>IF($B2991="","",MONTH($B2991))</f>
        <v/>
      </c>
      <c r="W2991" s="113">
        <f>IF($B2991="","",YEAR($B2991))</f>
        <v/>
      </c>
    </row>
    <row r="2992">
      <c r="B2992" s="105" t="n"/>
      <c r="C2992" s="54" t="n"/>
      <c r="D2992" s="54" t="n"/>
      <c r="E2992" s="54" t="n"/>
      <c r="F2992" s="54" t="n"/>
      <c r="G2992" s="65" t="n"/>
      <c r="H2992" s="54" t="n"/>
      <c r="I2992" s="106">
        <f>IF($C2992="","",IFERROR(INDEX(Sens_Types,MATCH($C2992,Liste_Types,0)),""))</f>
        <v/>
      </c>
      <c r="J2992" s="107">
        <f>IF($I2992="▲ ENTRÉE",$U2992,"")</f>
        <v/>
      </c>
      <c r="K2992" s="108">
        <f>IF($I2992="▼ SORTIE",$U2992,"")</f>
        <v/>
      </c>
      <c r="L2992" s="109">
        <f>$L2991+N($J2992)-N($K2992)</f>
        <v/>
      </c>
      <c r="M2992" s="110" t="n"/>
      <c r="N2992" s="54" t="n"/>
      <c r="O2992" s="54" t="n"/>
      <c r="P2992" s="54" t="n"/>
      <c r="Q2992" s="110" t="n"/>
      <c r="R2992" s="110" t="n"/>
      <c r="S2992" s="54" t="n"/>
      <c r="T2992" s="111">
        <f>IF($G2992="","",IFERROR(INDEX(Taux_Devises,MATCH(IF($M2992="",Devise_Base,$M2992),Codes_Devises,0)),1))</f>
        <v/>
      </c>
      <c r="U2992" s="112">
        <f>IF($G2992="","",ROUND($G2992*$T2992,2))</f>
        <v/>
      </c>
      <c r="V2992" s="113">
        <f>IF($B2992="","",MONTH($B2992))</f>
        <v/>
      </c>
      <c r="W2992" s="113">
        <f>IF($B2992="","",YEAR($B2992))</f>
        <v/>
      </c>
    </row>
    <row r="2993">
      <c r="B2993" s="105" t="n"/>
      <c r="C2993" s="54" t="n"/>
      <c r="D2993" s="54" t="n"/>
      <c r="E2993" s="54" t="n"/>
      <c r="F2993" s="54" t="n"/>
      <c r="G2993" s="65" t="n"/>
      <c r="H2993" s="54" t="n"/>
      <c r="I2993" s="106">
        <f>IF($C2993="","",IFERROR(INDEX(Sens_Types,MATCH($C2993,Liste_Types,0)),""))</f>
        <v/>
      </c>
      <c r="J2993" s="107">
        <f>IF($I2993="▲ ENTRÉE",$U2993,"")</f>
        <v/>
      </c>
      <c r="K2993" s="108">
        <f>IF($I2993="▼ SORTIE",$U2993,"")</f>
        <v/>
      </c>
      <c r="L2993" s="109">
        <f>$L2992+N($J2993)-N($K2993)</f>
        <v/>
      </c>
      <c r="M2993" s="110" t="n"/>
      <c r="N2993" s="54" t="n"/>
      <c r="O2993" s="54" t="n"/>
      <c r="P2993" s="54" t="n"/>
      <c r="Q2993" s="110" t="n"/>
      <c r="R2993" s="110" t="n"/>
      <c r="S2993" s="54" t="n"/>
      <c r="T2993" s="111">
        <f>IF($G2993="","",IFERROR(INDEX(Taux_Devises,MATCH(IF($M2993="",Devise_Base,$M2993),Codes_Devises,0)),1))</f>
        <v/>
      </c>
      <c r="U2993" s="112">
        <f>IF($G2993="","",ROUND($G2993*$T2993,2))</f>
        <v/>
      </c>
      <c r="V2993" s="113">
        <f>IF($B2993="","",MONTH($B2993))</f>
        <v/>
      </c>
      <c r="W2993" s="113">
        <f>IF($B2993="","",YEAR($B2993))</f>
        <v/>
      </c>
    </row>
    <row r="2994">
      <c r="B2994" s="105" t="n"/>
      <c r="C2994" s="54" t="n"/>
      <c r="D2994" s="54" t="n"/>
      <c r="E2994" s="54" t="n"/>
      <c r="F2994" s="54" t="n"/>
      <c r="G2994" s="65" t="n"/>
      <c r="H2994" s="54" t="n"/>
      <c r="I2994" s="106">
        <f>IF($C2994="","",IFERROR(INDEX(Sens_Types,MATCH($C2994,Liste_Types,0)),""))</f>
        <v/>
      </c>
      <c r="J2994" s="107">
        <f>IF($I2994="▲ ENTRÉE",$U2994,"")</f>
        <v/>
      </c>
      <c r="K2994" s="108">
        <f>IF($I2994="▼ SORTIE",$U2994,"")</f>
        <v/>
      </c>
      <c r="L2994" s="109">
        <f>$L2993+N($J2994)-N($K2994)</f>
        <v/>
      </c>
      <c r="M2994" s="110" t="n"/>
      <c r="N2994" s="54" t="n"/>
      <c r="O2994" s="54" t="n"/>
      <c r="P2994" s="54" t="n"/>
      <c r="Q2994" s="110" t="n"/>
      <c r="R2994" s="110" t="n"/>
      <c r="S2994" s="54" t="n"/>
      <c r="T2994" s="111">
        <f>IF($G2994="","",IFERROR(INDEX(Taux_Devises,MATCH(IF($M2994="",Devise_Base,$M2994),Codes_Devises,0)),1))</f>
        <v/>
      </c>
      <c r="U2994" s="112">
        <f>IF($G2994="","",ROUND($G2994*$T2994,2))</f>
        <v/>
      </c>
      <c r="V2994" s="113">
        <f>IF($B2994="","",MONTH($B2994))</f>
        <v/>
      </c>
      <c r="W2994" s="113">
        <f>IF($B2994="","",YEAR($B2994))</f>
        <v/>
      </c>
    </row>
    <row r="2995">
      <c r="B2995" s="105" t="n"/>
      <c r="C2995" s="54" t="n"/>
      <c r="D2995" s="54" t="n"/>
      <c r="E2995" s="54" t="n"/>
      <c r="F2995" s="54" t="n"/>
      <c r="G2995" s="65" t="n"/>
      <c r="H2995" s="54" t="n"/>
      <c r="I2995" s="106">
        <f>IF($C2995="","",IFERROR(INDEX(Sens_Types,MATCH($C2995,Liste_Types,0)),""))</f>
        <v/>
      </c>
      <c r="J2995" s="107">
        <f>IF($I2995="▲ ENTRÉE",$U2995,"")</f>
        <v/>
      </c>
      <c r="K2995" s="108">
        <f>IF($I2995="▼ SORTIE",$U2995,"")</f>
        <v/>
      </c>
      <c r="L2995" s="109">
        <f>$L2994+N($J2995)-N($K2995)</f>
        <v/>
      </c>
      <c r="M2995" s="110" t="n"/>
      <c r="N2995" s="54" t="n"/>
      <c r="O2995" s="54" t="n"/>
      <c r="P2995" s="54" t="n"/>
      <c r="Q2995" s="110" t="n"/>
      <c r="R2995" s="110" t="n"/>
      <c r="S2995" s="54" t="n"/>
      <c r="T2995" s="111">
        <f>IF($G2995="","",IFERROR(INDEX(Taux_Devises,MATCH(IF($M2995="",Devise_Base,$M2995),Codes_Devises,0)),1))</f>
        <v/>
      </c>
      <c r="U2995" s="112">
        <f>IF($G2995="","",ROUND($G2995*$T2995,2))</f>
        <v/>
      </c>
      <c r="V2995" s="113">
        <f>IF($B2995="","",MONTH($B2995))</f>
        <v/>
      </c>
      <c r="W2995" s="113">
        <f>IF($B2995="","",YEAR($B2995))</f>
        <v/>
      </c>
    </row>
    <row r="2996">
      <c r="B2996" s="105" t="n"/>
      <c r="C2996" s="54" t="n"/>
      <c r="D2996" s="54" t="n"/>
      <c r="E2996" s="54" t="n"/>
      <c r="F2996" s="54" t="n"/>
      <c r="G2996" s="65" t="n"/>
      <c r="H2996" s="54" t="n"/>
      <c r="I2996" s="106">
        <f>IF($C2996="","",IFERROR(INDEX(Sens_Types,MATCH($C2996,Liste_Types,0)),""))</f>
        <v/>
      </c>
      <c r="J2996" s="107">
        <f>IF($I2996="▲ ENTRÉE",$U2996,"")</f>
        <v/>
      </c>
      <c r="K2996" s="108">
        <f>IF($I2996="▼ SORTIE",$U2996,"")</f>
        <v/>
      </c>
      <c r="L2996" s="109">
        <f>$L2995+N($J2996)-N($K2996)</f>
        <v/>
      </c>
      <c r="M2996" s="110" t="n"/>
      <c r="N2996" s="54" t="n"/>
      <c r="O2996" s="54" t="n"/>
      <c r="P2996" s="54" t="n"/>
      <c r="Q2996" s="110" t="n"/>
      <c r="R2996" s="110" t="n"/>
      <c r="S2996" s="54" t="n"/>
      <c r="T2996" s="111">
        <f>IF($G2996="","",IFERROR(INDEX(Taux_Devises,MATCH(IF($M2996="",Devise_Base,$M2996),Codes_Devises,0)),1))</f>
        <v/>
      </c>
      <c r="U2996" s="112">
        <f>IF($G2996="","",ROUND($G2996*$T2996,2))</f>
        <v/>
      </c>
      <c r="V2996" s="113">
        <f>IF($B2996="","",MONTH($B2996))</f>
        <v/>
      </c>
      <c r="W2996" s="113">
        <f>IF($B2996="","",YEAR($B2996))</f>
        <v/>
      </c>
    </row>
    <row r="2997">
      <c r="B2997" s="105" t="n"/>
      <c r="C2997" s="54" t="n"/>
      <c r="D2997" s="54" t="n"/>
      <c r="E2997" s="54" t="n"/>
      <c r="F2997" s="54" t="n"/>
      <c r="G2997" s="65" t="n"/>
      <c r="H2997" s="54" t="n"/>
      <c r="I2997" s="106">
        <f>IF($C2997="","",IFERROR(INDEX(Sens_Types,MATCH($C2997,Liste_Types,0)),""))</f>
        <v/>
      </c>
      <c r="J2997" s="107">
        <f>IF($I2997="▲ ENTRÉE",$U2997,"")</f>
        <v/>
      </c>
      <c r="K2997" s="108">
        <f>IF($I2997="▼ SORTIE",$U2997,"")</f>
        <v/>
      </c>
      <c r="L2997" s="109">
        <f>$L2996+N($J2997)-N($K2997)</f>
        <v/>
      </c>
      <c r="M2997" s="110" t="n"/>
      <c r="N2997" s="54" t="n"/>
      <c r="O2997" s="54" t="n"/>
      <c r="P2997" s="54" t="n"/>
      <c r="Q2997" s="110" t="n"/>
      <c r="R2997" s="110" t="n"/>
      <c r="S2997" s="54" t="n"/>
      <c r="T2997" s="111">
        <f>IF($G2997="","",IFERROR(INDEX(Taux_Devises,MATCH(IF($M2997="",Devise_Base,$M2997),Codes_Devises,0)),1))</f>
        <v/>
      </c>
      <c r="U2997" s="112">
        <f>IF($G2997="","",ROUND($G2997*$T2997,2))</f>
        <v/>
      </c>
      <c r="V2997" s="113">
        <f>IF($B2997="","",MONTH($B2997))</f>
        <v/>
      </c>
      <c r="W2997" s="113">
        <f>IF($B2997="","",YEAR($B2997))</f>
        <v/>
      </c>
    </row>
    <row r="2998">
      <c r="B2998" s="105" t="n"/>
      <c r="C2998" s="54" t="n"/>
      <c r="D2998" s="54" t="n"/>
      <c r="E2998" s="54" t="n"/>
      <c r="F2998" s="54" t="n"/>
      <c r="G2998" s="65" t="n"/>
      <c r="H2998" s="54" t="n"/>
      <c r="I2998" s="106">
        <f>IF($C2998="","",IFERROR(INDEX(Sens_Types,MATCH($C2998,Liste_Types,0)),""))</f>
        <v/>
      </c>
      <c r="J2998" s="107">
        <f>IF($I2998="▲ ENTRÉE",$U2998,"")</f>
        <v/>
      </c>
      <c r="K2998" s="108">
        <f>IF($I2998="▼ SORTIE",$U2998,"")</f>
        <v/>
      </c>
      <c r="L2998" s="109">
        <f>$L2997+N($J2998)-N($K2998)</f>
        <v/>
      </c>
      <c r="M2998" s="110" t="n"/>
      <c r="N2998" s="54" t="n"/>
      <c r="O2998" s="54" t="n"/>
      <c r="P2998" s="54" t="n"/>
      <c r="Q2998" s="110" t="n"/>
      <c r="R2998" s="110" t="n"/>
      <c r="S2998" s="54" t="n"/>
      <c r="T2998" s="111">
        <f>IF($G2998="","",IFERROR(INDEX(Taux_Devises,MATCH(IF($M2998="",Devise_Base,$M2998),Codes_Devises,0)),1))</f>
        <v/>
      </c>
      <c r="U2998" s="112">
        <f>IF($G2998="","",ROUND($G2998*$T2998,2))</f>
        <v/>
      </c>
      <c r="V2998" s="113">
        <f>IF($B2998="","",MONTH($B2998))</f>
        <v/>
      </c>
      <c r="W2998" s="113">
        <f>IF($B2998="","",YEAR($B2998))</f>
        <v/>
      </c>
    </row>
    <row r="2999">
      <c r="B2999" s="105" t="n"/>
      <c r="C2999" s="54" t="n"/>
      <c r="D2999" s="54" t="n"/>
      <c r="E2999" s="54" t="n"/>
      <c r="F2999" s="54" t="n"/>
      <c r="G2999" s="65" t="n"/>
      <c r="H2999" s="54" t="n"/>
      <c r="I2999" s="106">
        <f>IF($C2999="","",IFERROR(INDEX(Sens_Types,MATCH($C2999,Liste_Types,0)),""))</f>
        <v/>
      </c>
      <c r="J2999" s="107">
        <f>IF($I2999="▲ ENTRÉE",$U2999,"")</f>
        <v/>
      </c>
      <c r="K2999" s="108">
        <f>IF($I2999="▼ SORTIE",$U2999,"")</f>
        <v/>
      </c>
      <c r="L2999" s="109">
        <f>$L2998+N($J2999)-N($K2999)</f>
        <v/>
      </c>
      <c r="M2999" s="110" t="n"/>
      <c r="N2999" s="54" t="n"/>
      <c r="O2999" s="54" t="n"/>
      <c r="P2999" s="54" t="n"/>
      <c r="Q2999" s="110" t="n"/>
      <c r="R2999" s="110" t="n"/>
      <c r="S2999" s="54" t="n"/>
      <c r="T2999" s="111">
        <f>IF($G2999="","",IFERROR(INDEX(Taux_Devises,MATCH(IF($M2999="",Devise_Base,$M2999),Codes_Devises,0)),1))</f>
        <v/>
      </c>
      <c r="U2999" s="112">
        <f>IF($G2999="","",ROUND($G2999*$T2999,2))</f>
        <v/>
      </c>
      <c r="V2999" s="113">
        <f>IF($B2999="","",MONTH($B2999))</f>
        <v/>
      </c>
      <c r="W2999" s="113">
        <f>IF($B2999="","",YEAR($B2999))</f>
        <v/>
      </c>
    </row>
    <row r="3000">
      <c r="B3000" s="105" t="n"/>
      <c r="C3000" s="54" t="n"/>
      <c r="D3000" s="54" t="n"/>
      <c r="E3000" s="54" t="n"/>
      <c r="F3000" s="54" t="n"/>
      <c r="G3000" s="65" t="n"/>
      <c r="H3000" s="54" t="n"/>
      <c r="I3000" s="106">
        <f>IF($C3000="","",IFERROR(INDEX(Sens_Types,MATCH($C3000,Liste_Types,0)),""))</f>
        <v/>
      </c>
      <c r="J3000" s="107">
        <f>IF($I3000="▲ ENTRÉE",$U3000,"")</f>
        <v/>
      </c>
      <c r="K3000" s="108">
        <f>IF($I3000="▼ SORTIE",$U3000,"")</f>
        <v/>
      </c>
      <c r="L3000" s="109">
        <f>$L2999+N($J3000)-N($K3000)</f>
        <v/>
      </c>
      <c r="M3000" s="110" t="n"/>
      <c r="N3000" s="54" t="n"/>
      <c r="O3000" s="54" t="n"/>
      <c r="P3000" s="54" t="n"/>
      <c r="Q3000" s="110" t="n"/>
      <c r="R3000" s="110" t="n"/>
      <c r="S3000" s="54" t="n"/>
      <c r="T3000" s="111">
        <f>IF($G3000="","",IFERROR(INDEX(Taux_Devises,MATCH(IF($M3000="",Devise_Base,$M3000),Codes_Devises,0)),1))</f>
        <v/>
      </c>
      <c r="U3000" s="112">
        <f>IF($G3000="","",ROUND($G3000*$T3000,2))</f>
        <v/>
      </c>
      <c r="V3000" s="113">
        <f>IF($B3000="","",MONTH($B3000))</f>
        <v/>
      </c>
      <c r="W3000" s="113">
        <f>IF($B3000="","",YEAR($B3000))</f>
        <v/>
      </c>
    </row>
    <row r="3001">
      <c r="B3001" s="105" t="n"/>
      <c r="C3001" s="54" t="n"/>
      <c r="D3001" s="54" t="n"/>
      <c r="E3001" s="54" t="n"/>
      <c r="F3001" s="54" t="n"/>
      <c r="G3001" s="65" t="n"/>
      <c r="H3001" s="54" t="n"/>
      <c r="I3001" s="106">
        <f>IF($C3001="","",IFERROR(INDEX(Sens_Types,MATCH($C3001,Liste_Types,0)),""))</f>
        <v/>
      </c>
      <c r="J3001" s="107">
        <f>IF($I3001="▲ ENTRÉE",$U3001,"")</f>
        <v/>
      </c>
      <c r="K3001" s="108">
        <f>IF($I3001="▼ SORTIE",$U3001,"")</f>
        <v/>
      </c>
      <c r="L3001" s="109">
        <f>$L3000+N($J3001)-N($K3001)</f>
        <v/>
      </c>
      <c r="M3001" s="110" t="n"/>
      <c r="N3001" s="54" t="n"/>
      <c r="O3001" s="54" t="n"/>
      <c r="P3001" s="54" t="n"/>
      <c r="Q3001" s="110" t="n"/>
      <c r="R3001" s="110" t="n"/>
      <c r="S3001" s="54" t="n"/>
      <c r="T3001" s="111">
        <f>IF($G3001="","",IFERROR(INDEX(Taux_Devises,MATCH(IF($M3001="",Devise_Base,$M3001),Codes_Devises,0)),1))</f>
        <v/>
      </c>
      <c r="U3001" s="112">
        <f>IF($G3001="","",ROUND($G3001*$T3001,2))</f>
        <v/>
      </c>
      <c r="V3001" s="113">
        <f>IF($B3001="","",MONTH($B3001))</f>
        <v/>
      </c>
      <c r="W3001" s="113">
        <f>IF($B3001="","",YEAR($B3001))</f>
        <v/>
      </c>
    </row>
    <row r="3002">
      <c r="B3002" s="105" t="n"/>
      <c r="C3002" s="54" t="n"/>
      <c r="D3002" s="54" t="n"/>
      <c r="E3002" s="54" t="n"/>
      <c r="F3002" s="54" t="n"/>
      <c r="G3002" s="65" t="n"/>
      <c r="H3002" s="54" t="n"/>
      <c r="I3002" s="106">
        <f>IF($C3002="","",IFERROR(INDEX(Sens_Types,MATCH($C3002,Liste_Types,0)),""))</f>
        <v/>
      </c>
      <c r="J3002" s="107">
        <f>IF($I3002="▲ ENTRÉE",$U3002,"")</f>
        <v/>
      </c>
      <c r="K3002" s="108">
        <f>IF($I3002="▼ SORTIE",$U3002,"")</f>
        <v/>
      </c>
      <c r="L3002" s="109">
        <f>$L3001+N($J3002)-N($K3002)</f>
        <v/>
      </c>
      <c r="M3002" s="110" t="n"/>
      <c r="N3002" s="54" t="n"/>
      <c r="O3002" s="54" t="n"/>
      <c r="P3002" s="54" t="n"/>
      <c r="Q3002" s="110" t="n"/>
      <c r="R3002" s="110" t="n"/>
      <c r="S3002" s="54" t="n"/>
      <c r="T3002" s="111">
        <f>IF($G3002="","",IFERROR(INDEX(Taux_Devises,MATCH(IF($M3002="",Devise_Base,$M3002),Codes_Devises,0)),1))</f>
        <v/>
      </c>
      <c r="U3002" s="112">
        <f>IF($G3002="","",ROUND($G3002*$T3002,2))</f>
        <v/>
      </c>
      <c r="V3002" s="113">
        <f>IF($B3002="","",MONTH($B3002))</f>
        <v/>
      </c>
      <c r="W3002" s="113">
        <f>IF($B3002="","",YEAR($B3002))</f>
        <v/>
      </c>
    </row>
    <row r="3003">
      <c r="B3003" s="105" t="n"/>
      <c r="C3003" s="54" t="n"/>
      <c r="D3003" s="54" t="n"/>
      <c r="E3003" s="54" t="n"/>
      <c r="F3003" s="54" t="n"/>
      <c r="G3003" s="65" t="n"/>
      <c r="H3003" s="54" t="n"/>
      <c r="I3003" s="106">
        <f>IF($C3003="","",IFERROR(INDEX(Sens_Types,MATCH($C3003,Liste_Types,0)),""))</f>
        <v/>
      </c>
      <c r="J3003" s="107">
        <f>IF($I3003="▲ ENTRÉE",$U3003,"")</f>
        <v/>
      </c>
      <c r="K3003" s="108">
        <f>IF($I3003="▼ SORTIE",$U3003,"")</f>
        <v/>
      </c>
      <c r="L3003" s="109">
        <f>$L3002+N($J3003)-N($K3003)</f>
        <v/>
      </c>
      <c r="M3003" s="110" t="n"/>
      <c r="N3003" s="54" t="n"/>
      <c r="O3003" s="54" t="n"/>
      <c r="P3003" s="54" t="n"/>
      <c r="Q3003" s="110" t="n"/>
      <c r="R3003" s="110" t="n"/>
      <c r="S3003" s="54" t="n"/>
      <c r="T3003" s="111">
        <f>IF($G3003="","",IFERROR(INDEX(Taux_Devises,MATCH(IF($M3003="",Devise_Base,$M3003),Codes_Devises,0)),1))</f>
        <v/>
      </c>
      <c r="U3003" s="112">
        <f>IF($G3003="","",ROUND($G3003*$T3003,2))</f>
        <v/>
      </c>
      <c r="V3003" s="113">
        <f>IF($B3003="","",MONTH($B3003))</f>
        <v/>
      </c>
      <c r="W3003" s="113">
        <f>IF($B3003="","",YEAR($B3003))</f>
        <v/>
      </c>
    </row>
    <row r="3004">
      <c r="B3004" s="105" t="n"/>
      <c r="C3004" s="54" t="n"/>
      <c r="D3004" s="54" t="n"/>
      <c r="E3004" s="54" t="n"/>
      <c r="F3004" s="54" t="n"/>
      <c r="G3004" s="65" t="n"/>
      <c r="H3004" s="54" t="n"/>
      <c r="I3004" s="106">
        <f>IF($C3004="","",IFERROR(INDEX(Sens_Types,MATCH($C3004,Liste_Types,0)),""))</f>
        <v/>
      </c>
      <c r="J3004" s="107">
        <f>IF($I3004="▲ ENTRÉE",$U3004,"")</f>
        <v/>
      </c>
      <c r="K3004" s="108">
        <f>IF($I3004="▼ SORTIE",$U3004,"")</f>
        <v/>
      </c>
      <c r="L3004" s="109">
        <f>$L3003+N($J3004)-N($K3004)</f>
        <v/>
      </c>
      <c r="M3004" s="110" t="n"/>
      <c r="N3004" s="54" t="n"/>
      <c r="O3004" s="54" t="n"/>
      <c r="P3004" s="54" t="n"/>
      <c r="Q3004" s="110" t="n"/>
      <c r="R3004" s="110" t="n"/>
      <c r="S3004" s="54" t="n"/>
      <c r="T3004" s="111">
        <f>IF($G3004="","",IFERROR(INDEX(Taux_Devises,MATCH(IF($M3004="",Devise_Base,$M3004),Codes_Devises,0)),1))</f>
        <v/>
      </c>
      <c r="U3004" s="112">
        <f>IF($G3004="","",ROUND($G3004*$T3004,2))</f>
        <v/>
      </c>
      <c r="V3004" s="113">
        <f>IF($B3004="","",MONTH($B3004))</f>
        <v/>
      </c>
      <c r="W3004" s="113">
        <f>IF($B3004="","",YEAR($B3004))</f>
        <v/>
      </c>
    </row>
    <row r="3005">
      <c r="B3005" s="105" t="n"/>
      <c r="C3005" s="54" t="n"/>
      <c r="D3005" s="54" t="n"/>
      <c r="E3005" s="54" t="n"/>
      <c r="F3005" s="54" t="n"/>
      <c r="G3005" s="65" t="n"/>
      <c r="H3005" s="54" t="n"/>
      <c r="I3005" s="106">
        <f>IF($C3005="","",IFERROR(INDEX(Sens_Types,MATCH($C3005,Liste_Types,0)),""))</f>
        <v/>
      </c>
      <c r="J3005" s="107">
        <f>IF($I3005="▲ ENTRÉE",$U3005,"")</f>
        <v/>
      </c>
      <c r="K3005" s="108">
        <f>IF($I3005="▼ SORTIE",$U3005,"")</f>
        <v/>
      </c>
      <c r="L3005" s="109">
        <f>$L3004+N($J3005)-N($K3005)</f>
        <v/>
      </c>
      <c r="M3005" s="110" t="n"/>
      <c r="N3005" s="54" t="n"/>
      <c r="O3005" s="54" t="n"/>
      <c r="P3005" s="54" t="n"/>
      <c r="Q3005" s="110" t="n"/>
      <c r="R3005" s="110" t="n"/>
      <c r="S3005" s="54" t="n"/>
      <c r="T3005" s="111">
        <f>IF($G3005="","",IFERROR(INDEX(Taux_Devises,MATCH(IF($M3005="",Devise_Base,$M3005),Codes_Devises,0)),1))</f>
        <v/>
      </c>
      <c r="U3005" s="112">
        <f>IF($G3005="","",ROUND($G3005*$T3005,2))</f>
        <v/>
      </c>
      <c r="V3005" s="113">
        <f>IF($B3005="","",MONTH($B3005))</f>
        <v/>
      </c>
      <c r="W3005" s="113">
        <f>IF($B3005="","",YEAR($B3005))</f>
        <v/>
      </c>
    </row>
    <row r="3006">
      <c r="B3006" s="105" t="n"/>
      <c r="C3006" s="54" t="n"/>
      <c r="D3006" s="54" t="n"/>
      <c r="E3006" s="54" t="n"/>
      <c r="F3006" s="54" t="n"/>
      <c r="G3006" s="65" t="n"/>
      <c r="H3006" s="54" t="n"/>
      <c r="I3006" s="106">
        <f>IF($C3006="","",IFERROR(INDEX(Sens_Types,MATCH($C3006,Liste_Types,0)),""))</f>
        <v/>
      </c>
      <c r="J3006" s="107">
        <f>IF($I3006="▲ ENTRÉE",$U3006,"")</f>
        <v/>
      </c>
      <c r="K3006" s="108">
        <f>IF($I3006="▼ SORTIE",$U3006,"")</f>
        <v/>
      </c>
      <c r="L3006" s="109">
        <f>$L3005+N($J3006)-N($K3006)</f>
        <v/>
      </c>
      <c r="M3006" s="110" t="n"/>
      <c r="N3006" s="54" t="n"/>
      <c r="O3006" s="54" t="n"/>
      <c r="P3006" s="54" t="n"/>
      <c r="Q3006" s="110" t="n"/>
      <c r="R3006" s="110" t="n"/>
      <c r="S3006" s="54" t="n"/>
      <c r="T3006" s="111">
        <f>IF($G3006="","",IFERROR(INDEX(Taux_Devises,MATCH(IF($M3006="",Devise_Base,$M3006),Codes_Devises,0)),1))</f>
        <v/>
      </c>
      <c r="U3006" s="112">
        <f>IF($G3006="","",ROUND($G3006*$T3006,2))</f>
        <v/>
      </c>
      <c r="V3006" s="113">
        <f>IF($B3006="","",MONTH($B3006))</f>
        <v/>
      </c>
      <c r="W3006" s="113">
        <f>IF($B3006="","",YEAR($B3006))</f>
        <v/>
      </c>
    </row>
    <row r="3007">
      <c r="B3007" s="105" t="n"/>
      <c r="C3007" s="54" t="n"/>
      <c r="D3007" s="54" t="n"/>
      <c r="E3007" s="54" t="n"/>
      <c r="F3007" s="54" t="n"/>
      <c r="G3007" s="65" t="n"/>
      <c r="H3007" s="54" t="n"/>
      <c r="I3007" s="106">
        <f>IF($C3007="","",IFERROR(INDEX(Sens_Types,MATCH($C3007,Liste_Types,0)),""))</f>
        <v/>
      </c>
      <c r="J3007" s="107">
        <f>IF($I3007="▲ ENTRÉE",$U3007,"")</f>
        <v/>
      </c>
      <c r="K3007" s="108">
        <f>IF($I3007="▼ SORTIE",$U3007,"")</f>
        <v/>
      </c>
      <c r="L3007" s="109">
        <f>$L3006+N($J3007)-N($K3007)</f>
        <v/>
      </c>
      <c r="M3007" s="110" t="n"/>
      <c r="N3007" s="54" t="n"/>
      <c r="O3007" s="54" t="n"/>
      <c r="P3007" s="54" t="n"/>
      <c r="Q3007" s="110" t="n"/>
      <c r="R3007" s="110" t="n"/>
      <c r="S3007" s="54" t="n"/>
      <c r="T3007" s="111">
        <f>IF($G3007="","",IFERROR(INDEX(Taux_Devises,MATCH(IF($M3007="",Devise_Base,$M3007),Codes_Devises,0)),1))</f>
        <v/>
      </c>
      <c r="U3007" s="112">
        <f>IF($G3007="","",ROUND($G3007*$T3007,2))</f>
        <v/>
      </c>
      <c r="V3007" s="113">
        <f>IF($B3007="","",MONTH($B3007))</f>
        <v/>
      </c>
      <c r="W3007" s="113">
        <f>IF($B3007="","",YEAR($B3007))</f>
        <v/>
      </c>
    </row>
    <row r="3008">
      <c r="B3008" s="105" t="n"/>
      <c r="C3008" s="54" t="n"/>
      <c r="D3008" s="54" t="n"/>
      <c r="E3008" s="54" t="n"/>
      <c r="F3008" s="54" t="n"/>
      <c r="G3008" s="65" t="n"/>
      <c r="H3008" s="54" t="n"/>
      <c r="I3008" s="106">
        <f>IF($C3008="","",IFERROR(INDEX(Sens_Types,MATCH($C3008,Liste_Types,0)),""))</f>
        <v/>
      </c>
      <c r="J3008" s="107">
        <f>IF($I3008="▲ ENTRÉE",$U3008,"")</f>
        <v/>
      </c>
      <c r="K3008" s="108">
        <f>IF($I3008="▼ SORTIE",$U3008,"")</f>
        <v/>
      </c>
      <c r="L3008" s="109">
        <f>$L3007+N($J3008)-N($K3008)</f>
        <v/>
      </c>
      <c r="M3008" s="110" t="n"/>
      <c r="N3008" s="54" t="n"/>
      <c r="O3008" s="54" t="n"/>
      <c r="P3008" s="54" t="n"/>
      <c r="Q3008" s="110" t="n"/>
      <c r="R3008" s="110" t="n"/>
      <c r="S3008" s="54" t="n"/>
      <c r="T3008" s="111">
        <f>IF($G3008="","",IFERROR(INDEX(Taux_Devises,MATCH(IF($M3008="",Devise_Base,$M3008),Codes_Devises,0)),1))</f>
        <v/>
      </c>
      <c r="U3008" s="112">
        <f>IF($G3008="","",ROUND($G3008*$T3008,2))</f>
        <v/>
      </c>
      <c r="V3008" s="113">
        <f>IF($B3008="","",MONTH($B3008))</f>
        <v/>
      </c>
      <c r="W3008" s="113">
        <f>IF($B3008="","",YEAR($B3008))</f>
        <v/>
      </c>
    </row>
    <row r="3009">
      <c r="B3009" s="105" t="n"/>
      <c r="C3009" s="54" t="n"/>
      <c r="D3009" s="54" t="n"/>
      <c r="E3009" s="54" t="n"/>
      <c r="F3009" s="54" t="n"/>
      <c r="G3009" s="65" t="n"/>
      <c r="H3009" s="54" t="n"/>
      <c r="I3009" s="106">
        <f>IF($C3009="","",IFERROR(INDEX(Sens_Types,MATCH($C3009,Liste_Types,0)),""))</f>
        <v/>
      </c>
      <c r="J3009" s="107">
        <f>IF($I3009="▲ ENTRÉE",$U3009,"")</f>
        <v/>
      </c>
      <c r="K3009" s="108">
        <f>IF($I3009="▼ SORTIE",$U3009,"")</f>
        <v/>
      </c>
      <c r="L3009" s="109">
        <f>$L3008+N($J3009)-N($K3009)</f>
        <v/>
      </c>
      <c r="M3009" s="110" t="n"/>
      <c r="N3009" s="54" t="n"/>
      <c r="O3009" s="54" t="n"/>
      <c r="P3009" s="54" t="n"/>
      <c r="Q3009" s="110" t="n"/>
      <c r="R3009" s="110" t="n"/>
      <c r="S3009" s="54" t="n"/>
      <c r="T3009" s="111">
        <f>IF($G3009="","",IFERROR(INDEX(Taux_Devises,MATCH(IF($M3009="",Devise_Base,$M3009),Codes_Devises,0)),1))</f>
        <v/>
      </c>
      <c r="U3009" s="112">
        <f>IF($G3009="","",ROUND($G3009*$T3009,2))</f>
        <v/>
      </c>
      <c r="V3009" s="113">
        <f>IF($B3009="","",MONTH($B3009))</f>
        <v/>
      </c>
      <c r="W3009" s="113">
        <f>IF($B3009="","",YEAR($B3009))</f>
        <v/>
      </c>
    </row>
    <row r="3010">
      <c r="B3010" s="105" t="n"/>
      <c r="C3010" s="54" t="n"/>
      <c r="D3010" s="54" t="n"/>
      <c r="E3010" s="54" t="n"/>
      <c r="F3010" s="54" t="n"/>
      <c r="G3010" s="65" t="n"/>
      <c r="H3010" s="54" t="n"/>
      <c r="I3010" s="106">
        <f>IF($C3010="","",IFERROR(INDEX(Sens_Types,MATCH($C3010,Liste_Types,0)),""))</f>
        <v/>
      </c>
      <c r="J3010" s="107">
        <f>IF($I3010="▲ ENTRÉE",$U3010,"")</f>
        <v/>
      </c>
      <c r="K3010" s="108">
        <f>IF($I3010="▼ SORTIE",$U3010,"")</f>
        <v/>
      </c>
      <c r="L3010" s="109">
        <f>$L3009+N($J3010)-N($K3010)</f>
        <v/>
      </c>
      <c r="M3010" s="110" t="n"/>
      <c r="N3010" s="54" t="n"/>
      <c r="O3010" s="54" t="n"/>
      <c r="P3010" s="54" t="n"/>
      <c r="Q3010" s="110" t="n"/>
      <c r="R3010" s="110" t="n"/>
      <c r="S3010" s="54" t="n"/>
      <c r="T3010" s="111">
        <f>IF($G3010="","",IFERROR(INDEX(Taux_Devises,MATCH(IF($M3010="",Devise_Base,$M3010),Codes_Devises,0)),1))</f>
        <v/>
      </c>
      <c r="U3010" s="112">
        <f>IF($G3010="","",ROUND($G3010*$T3010,2))</f>
        <v/>
      </c>
      <c r="V3010" s="113">
        <f>IF($B3010="","",MONTH($B3010))</f>
        <v/>
      </c>
      <c r="W3010" s="113">
        <f>IF($B3010="","",YEAR($B3010))</f>
        <v/>
      </c>
    </row>
    <row r="3011">
      <c r="B3011" s="105" t="n"/>
      <c r="C3011" s="54" t="n"/>
      <c r="D3011" s="54" t="n"/>
      <c r="E3011" s="54" t="n"/>
      <c r="F3011" s="54" t="n"/>
      <c r="G3011" s="65" t="n"/>
      <c r="H3011" s="54" t="n"/>
      <c r="I3011" s="106">
        <f>IF($C3011="","",IFERROR(INDEX(Sens_Types,MATCH($C3011,Liste_Types,0)),""))</f>
        <v/>
      </c>
      <c r="J3011" s="107">
        <f>IF($I3011="▲ ENTRÉE",$U3011,"")</f>
        <v/>
      </c>
      <c r="K3011" s="108">
        <f>IF($I3011="▼ SORTIE",$U3011,"")</f>
        <v/>
      </c>
      <c r="L3011" s="109">
        <f>$L3010+N($J3011)-N($K3011)</f>
        <v/>
      </c>
      <c r="M3011" s="110" t="n"/>
      <c r="N3011" s="54" t="n"/>
      <c r="O3011" s="54" t="n"/>
      <c r="P3011" s="54" t="n"/>
      <c r="Q3011" s="110" t="n"/>
      <c r="R3011" s="110" t="n"/>
      <c r="S3011" s="54" t="n"/>
      <c r="T3011" s="111">
        <f>IF($G3011="","",IFERROR(INDEX(Taux_Devises,MATCH(IF($M3011="",Devise_Base,$M3011),Codes_Devises,0)),1))</f>
        <v/>
      </c>
      <c r="U3011" s="112">
        <f>IF($G3011="","",ROUND($G3011*$T3011,2))</f>
        <v/>
      </c>
      <c r="V3011" s="113">
        <f>IF($B3011="","",MONTH($B3011))</f>
        <v/>
      </c>
      <c r="W3011" s="113">
        <f>IF($B3011="","",YEAR($B3011))</f>
        <v/>
      </c>
    </row>
    <row r="3012">
      <c r="B3012" s="105" t="n"/>
      <c r="C3012" s="54" t="n"/>
      <c r="D3012" s="54" t="n"/>
      <c r="E3012" s="54" t="n"/>
      <c r="F3012" s="54" t="n"/>
      <c r="G3012" s="65" t="n"/>
      <c r="H3012" s="54" t="n"/>
      <c r="I3012" s="106">
        <f>IF($C3012="","",IFERROR(INDEX(Sens_Types,MATCH($C3012,Liste_Types,0)),""))</f>
        <v/>
      </c>
      <c r="J3012" s="107">
        <f>IF($I3012="▲ ENTRÉE",$U3012,"")</f>
        <v/>
      </c>
      <c r="K3012" s="108">
        <f>IF($I3012="▼ SORTIE",$U3012,"")</f>
        <v/>
      </c>
      <c r="L3012" s="109">
        <f>$L3011+N($J3012)-N($K3012)</f>
        <v/>
      </c>
      <c r="M3012" s="110" t="n"/>
      <c r="N3012" s="54" t="n"/>
      <c r="O3012" s="54" t="n"/>
      <c r="P3012" s="54" t="n"/>
      <c r="Q3012" s="110" t="n"/>
      <c r="R3012" s="110" t="n"/>
      <c r="S3012" s="54" t="n"/>
      <c r="T3012" s="111">
        <f>IF($G3012="","",IFERROR(INDEX(Taux_Devises,MATCH(IF($M3012="",Devise_Base,$M3012),Codes_Devises,0)),1))</f>
        <v/>
      </c>
      <c r="U3012" s="112">
        <f>IF($G3012="","",ROUND($G3012*$T3012,2))</f>
        <v/>
      </c>
      <c r="V3012" s="113">
        <f>IF($B3012="","",MONTH($B3012))</f>
        <v/>
      </c>
      <c r="W3012" s="113">
        <f>IF($B3012="","",YEAR($B3012))</f>
        <v/>
      </c>
    </row>
  </sheetData>
  <sheetProtection selectLockedCells="0" selectUnlockedCells="0" sheet="1" objects="1" insertRows="1" insertHyperlinks="1" autoFilter="0" scenarios="1" formatColumns="0" deleteColumns="1" insertColumns="1" pivotTables="1" deleteRows="1" formatCells="0" formatRows="0" sort="0" password="8708"/>
  <autoFilter ref="B12:W3012"/>
  <mergeCells count="31">
    <mergeCell ref="B8:D8"/>
    <mergeCell ref="E9:G9"/>
    <mergeCell ref="N8:P8"/>
    <mergeCell ref="H7:J7"/>
    <mergeCell ref="K8:M8"/>
    <mergeCell ref="B5:W5"/>
    <mergeCell ref="Q9:S9"/>
    <mergeCell ref="B9:D9"/>
    <mergeCell ref="N9:P9"/>
    <mergeCell ref="H3:J3"/>
    <mergeCell ref="E7:G7"/>
    <mergeCell ref="K7:M7"/>
    <mergeCell ref="I11:L11"/>
    <mergeCell ref="H8:J8"/>
    <mergeCell ref="E3:G3"/>
    <mergeCell ref="K3:M3"/>
    <mergeCell ref="Q7:S7"/>
    <mergeCell ref="B7:D7"/>
    <mergeCell ref="B11:H11"/>
    <mergeCell ref="M11:S11"/>
    <mergeCell ref="Q3:S3"/>
    <mergeCell ref="B2:W2"/>
    <mergeCell ref="N7:P7"/>
    <mergeCell ref="B3:D3"/>
    <mergeCell ref="K9:M9"/>
    <mergeCell ref="B1:W1"/>
    <mergeCell ref="E8:G8"/>
    <mergeCell ref="H9:J9"/>
    <mergeCell ref="T11:W11"/>
    <mergeCell ref="Q8:S8"/>
    <mergeCell ref="N3:P3"/>
  </mergeCells>
  <conditionalFormatting sqref="E8:G8">
    <cfRule type="expression" priority="1" dxfId="168" stopIfTrue="1">
      <formula>Devise_Base="XOF"</formula>
    </cfRule>
    <cfRule type="expression" priority="2" dxfId="169" stopIfTrue="1">
      <formula>Devise_Base="XAF"</formula>
    </cfRule>
    <cfRule type="expression" priority="3" dxfId="170" stopIfTrue="1">
      <formula>Devise_Base="EUR"</formula>
    </cfRule>
    <cfRule type="expression" priority="4" dxfId="171" stopIfTrue="1">
      <formula>Devise_Base="USD"</formula>
    </cfRule>
    <cfRule type="expression" priority="5" dxfId="172" stopIfTrue="1">
      <formula>Devise_Base="GBP"</formula>
    </cfRule>
    <cfRule type="expression" priority="6" dxfId="173" stopIfTrue="1">
      <formula>Devise_Base="CAD"</formula>
    </cfRule>
    <cfRule type="expression" priority="7" dxfId="174" stopIfTrue="1">
      <formula>Devise_Base="CHF"</formula>
    </cfRule>
    <cfRule type="expression" priority="8" dxfId="175" stopIfTrue="1">
      <formula>Devise_Base="MAD"</formula>
    </cfRule>
    <cfRule type="expression" priority="9" dxfId="176" stopIfTrue="1">
      <formula>Devise_Base="NGN"</formula>
    </cfRule>
    <cfRule type="expression" priority="10" dxfId="177" stopIfTrue="1">
      <formula>Devise_Base="GHS"</formula>
    </cfRule>
    <cfRule type="expression" priority="11" dxfId="178" stopIfTrue="1">
      <formula>Devise_Base="CDF"</formula>
    </cfRule>
    <cfRule type="expression" priority="12" dxfId="179" stopIfTrue="1">
      <formula>Devise_Base="ZAR"</formula>
    </cfRule>
    <cfRule type="expression" priority="13" dxfId="180" stopIfTrue="1">
      <formula>Devise_Base="AED"</formula>
    </cfRule>
    <cfRule type="expression" priority="14" dxfId="181" stopIfTrue="1">
      <formula>Devise_Base="MRU"</formula>
    </cfRule>
    <cfRule type="expression" priority="15" dxfId="182" stopIfTrue="1">
      <formula>Devise_Base="GNF"</formula>
    </cfRule>
  </conditionalFormatting>
  <conditionalFormatting sqref="H8:J8">
    <cfRule type="expression" priority="16" dxfId="183" stopIfTrue="1">
      <formula>Devise_Base="XOF"</formula>
    </cfRule>
    <cfRule type="expression" priority="17" dxfId="184" stopIfTrue="1">
      <formula>Devise_Base="XAF"</formula>
    </cfRule>
    <cfRule type="expression" priority="18" dxfId="185" stopIfTrue="1">
      <formula>Devise_Base="EUR"</formula>
    </cfRule>
    <cfRule type="expression" priority="19" dxfId="186" stopIfTrue="1">
      <formula>Devise_Base="USD"</formula>
    </cfRule>
    <cfRule type="expression" priority="20" dxfId="187" stopIfTrue="1">
      <formula>Devise_Base="GBP"</formula>
    </cfRule>
    <cfRule type="expression" priority="21" dxfId="188" stopIfTrue="1">
      <formula>Devise_Base="CAD"</formula>
    </cfRule>
    <cfRule type="expression" priority="22" dxfId="189" stopIfTrue="1">
      <formula>Devise_Base="CHF"</formula>
    </cfRule>
    <cfRule type="expression" priority="23" dxfId="190" stopIfTrue="1">
      <formula>Devise_Base="MAD"</formula>
    </cfRule>
    <cfRule type="expression" priority="24" dxfId="191" stopIfTrue="1">
      <formula>Devise_Base="NGN"</formula>
    </cfRule>
    <cfRule type="expression" priority="25" dxfId="192" stopIfTrue="1">
      <formula>Devise_Base="GHS"</formula>
    </cfRule>
    <cfRule type="expression" priority="26" dxfId="193" stopIfTrue="1">
      <formula>Devise_Base="CDF"</formula>
    </cfRule>
    <cfRule type="expression" priority="27" dxfId="194" stopIfTrue="1">
      <formula>Devise_Base="ZAR"</formula>
    </cfRule>
    <cfRule type="expression" priority="28" dxfId="195" stopIfTrue="1">
      <formula>Devise_Base="AED"</formula>
    </cfRule>
    <cfRule type="expression" priority="29" dxfId="196" stopIfTrue="1">
      <formula>Devise_Base="MRU"</formula>
    </cfRule>
    <cfRule type="expression" priority="30" dxfId="197" stopIfTrue="1">
      <formula>Devise_Base="GNF"</formula>
    </cfRule>
  </conditionalFormatting>
  <conditionalFormatting sqref="K8:M8">
    <cfRule type="expression" priority="31" dxfId="198" stopIfTrue="1">
      <formula>Devise_Base="XOF"</formula>
    </cfRule>
    <cfRule type="expression" priority="32" dxfId="199" stopIfTrue="1">
      <formula>Devise_Base="XAF"</formula>
    </cfRule>
    <cfRule type="expression" priority="33" dxfId="200" stopIfTrue="1">
      <formula>Devise_Base="EUR"</formula>
    </cfRule>
    <cfRule type="expression" priority="34" dxfId="201" stopIfTrue="1">
      <formula>Devise_Base="USD"</formula>
    </cfRule>
    <cfRule type="expression" priority="35" dxfId="202" stopIfTrue="1">
      <formula>Devise_Base="GBP"</formula>
    </cfRule>
    <cfRule type="expression" priority="36" dxfId="203" stopIfTrue="1">
      <formula>Devise_Base="CAD"</formula>
    </cfRule>
    <cfRule type="expression" priority="37" dxfId="204" stopIfTrue="1">
      <formula>Devise_Base="CHF"</formula>
    </cfRule>
    <cfRule type="expression" priority="38" dxfId="205" stopIfTrue="1">
      <formula>Devise_Base="MAD"</formula>
    </cfRule>
    <cfRule type="expression" priority="39" dxfId="206" stopIfTrue="1">
      <formula>Devise_Base="NGN"</formula>
    </cfRule>
    <cfRule type="expression" priority="40" dxfId="207" stopIfTrue="1">
      <formula>Devise_Base="GHS"</formula>
    </cfRule>
    <cfRule type="expression" priority="41" dxfId="208" stopIfTrue="1">
      <formula>Devise_Base="CDF"</formula>
    </cfRule>
    <cfRule type="expression" priority="42" dxfId="209" stopIfTrue="1">
      <formula>Devise_Base="ZAR"</formula>
    </cfRule>
    <cfRule type="expression" priority="43" dxfId="210" stopIfTrue="1">
      <formula>Devise_Base="AED"</formula>
    </cfRule>
    <cfRule type="expression" priority="44" dxfId="211" stopIfTrue="1">
      <formula>Devise_Base="MRU"</formula>
    </cfRule>
    <cfRule type="expression" priority="45" dxfId="212" stopIfTrue="1">
      <formula>Devise_Base="GNF"</formula>
    </cfRule>
  </conditionalFormatting>
  <conditionalFormatting sqref="N8:P8">
    <cfRule type="expression" priority="46" dxfId="213" stopIfTrue="1">
      <formula>Devise_Base="XOF"</formula>
    </cfRule>
    <cfRule type="expression" priority="47" dxfId="214" stopIfTrue="1">
      <formula>Devise_Base="XAF"</formula>
    </cfRule>
    <cfRule type="expression" priority="48" dxfId="215" stopIfTrue="1">
      <formula>Devise_Base="EUR"</formula>
    </cfRule>
    <cfRule type="expression" priority="49" dxfId="216" stopIfTrue="1">
      <formula>Devise_Base="USD"</formula>
    </cfRule>
    <cfRule type="expression" priority="50" dxfId="217" stopIfTrue="1">
      <formula>Devise_Base="GBP"</formula>
    </cfRule>
    <cfRule type="expression" priority="51" dxfId="218" stopIfTrue="1">
      <formula>Devise_Base="CAD"</formula>
    </cfRule>
    <cfRule type="expression" priority="52" dxfId="219" stopIfTrue="1">
      <formula>Devise_Base="CHF"</formula>
    </cfRule>
    <cfRule type="expression" priority="53" dxfId="220" stopIfTrue="1">
      <formula>Devise_Base="MAD"</formula>
    </cfRule>
    <cfRule type="expression" priority="54" dxfId="221" stopIfTrue="1">
      <formula>Devise_Base="NGN"</formula>
    </cfRule>
    <cfRule type="expression" priority="55" dxfId="222" stopIfTrue="1">
      <formula>Devise_Base="GHS"</formula>
    </cfRule>
    <cfRule type="expression" priority="56" dxfId="223" stopIfTrue="1">
      <formula>Devise_Base="CDF"</formula>
    </cfRule>
    <cfRule type="expression" priority="57" dxfId="224" stopIfTrue="1">
      <formula>Devise_Base="ZAR"</formula>
    </cfRule>
    <cfRule type="expression" priority="58" dxfId="225" stopIfTrue="1">
      <formula>Devise_Base="AED"</formula>
    </cfRule>
    <cfRule type="expression" priority="59" dxfId="226" stopIfTrue="1">
      <formula>Devise_Base="MRU"</formula>
    </cfRule>
    <cfRule type="expression" priority="60" dxfId="227" stopIfTrue="1">
      <formula>Devise_Base="GNF"</formula>
    </cfRule>
  </conditionalFormatting>
  <conditionalFormatting sqref="Q8:S8">
    <cfRule type="expression" priority="61" dxfId="228" stopIfTrue="1">
      <formula>Devise_Base="XOF"</formula>
    </cfRule>
    <cfRule type="expression" priority="62" dxfId="229" stopIfTrue="1">
      <formula>Devise_Base="XAF"</formula>
    </cfRule>
    <cfRule type="expression" priority="63" dxfId="230" stopIfTrue="1">
      <formula>Devise_Base="EUR"</formula>
    </cfRule>
    <cfRule type="expression" priority="64" dxfId="231" stopIfTrue="1">
      <formula>Devise_Base="USD"</formula>
    </cfRule>
    <cfRule type="expression" priority="65" dxfId="232" stopIfTrue="1">
      <formula>Devise_Base="GBP"</formula>
    </cfRule>
    <cfRule type="expression" priority="66" dxfId="233" stopIfTrue="1">
      <formula>Devise_Base="CAD"</formula>
    </cfRule>
    <cfRule type="expression" priority="67" dxfId="234" stopIfTrue="1">
      <formula>Devise_Base="CHF"</formula>
    </cfRule>
    <cfRule type="expression" priority="68" dxfId="235" stopIfTrue="1">
      <formula>Devise_Base="MAD"</formula>
    </cfRule>
    <cfRule type="expression" priority="69" dxfId="236" stopIfTrue="1">
      <formula>Devise_Base="NGN"</formula>
    </cfRule>
    <cfRule type="expression" priority="70" dxfId="237" stopIfTrue="1">
      <formula>Devise_Base="GHS"</formula>
    </cfRule>
    <cfRule type="expression" priority="71" dxfId="238" stopIfTrue="1">
      <formula>Devise_Base="CDF"</formula>
    </cfRule>
    <cfRule type="expression" priority="72" dxfId="239" stopIfTrue="1">
      <formula>Devise_Base="ZAR"</formula>
    </cfRule>
    <cfRule type="expression" priority="73" dxfId="240" stopIfTrue="1">
      <formula>Devise_Base="AED"</formula>
    </cfRule>
    <cfRule type="expression" priority="74" dxfId="241" stopIfTrue="1">
      <formula>Devise_Base="MRU"</formula>
    </cfRule>
    <cfRule type="expression" priority="75" dxfId="242" stopIfTrue="1">
      <formula>Devise_Base="GNF"</formula>
    </cfRule>
  </conditionalFormatting>
  <conditionalFormatting sqref="B13:W3012">
    <cfRule type="expression" priority="76" dxfId="75" stopIfTrue="0">
      <formula>MOD(ROW()-13,2)=1</formula>
    </cfRule>
    <cfRule type="expression" priority="122" dxfId="243" stopIfTrue="0">
      <formula>$I13="▲ ENTRÉE"</formula>
    </cfRule>
    <cfRule type="expression" priority="123" dxfId="244" stopIfTrue="0">
      <formula>$Q13="Prévu"</formula>
    </cfRule>
    <cfRule type="expression" priority="124" dxfId="245" stopIfTrue="0">
      <formula>$Q13="En attente"</formula>
    </cfRule>
    <cfRule type="expression" priority="125" dxfId="246" stopIfTrue="0">
      <formula>$Q13="Annulé"</formula>
    </cfRule>
  </conditionalFormatting>
  <conditionalFormatting sqref="G13:G3012">
    <cfRule type="expression" priority="77" dxfId="247" stopIfTrue="1">
      <formula>Devise_Base="XOF"</formula>
    </cfRule>
    <cfRule type="expression" priority="78" dxfId="248" stopIfTrue="1">
      <formula>Devise_Base="XAF"</formula>
    </cfRule>
    <cfRule type="expression" priority="79" dxfId="249" stopIfTrue="1">
      <formula>Devise_Base="EUR"</formula>
    </cfRule>
    <cfRule type="expression" priority="80" dxfId="250" stopIfTrue="1">
      <formula>Devise_Base="USD"</formula>
    </cfRule>
    <cfRule type="expression" priority="81" dxfId="251" stopIfTrue="1">
      <formula>Devise_Base="GBP"</formula>
    </cfRule>
    <cfRule type="expression" priority="82" dxfId="252" stopIfTrue="1">
      <formula>Devise_Base="CAD"</formula>
    </cfRule>
    <cfRule type="expression" priority="83" dxfId="253" stopIfTrue="1">
      <formula>Devise_Base="CHF"</formula>
    </cfRule>
    <cfRule type="expression" priority="84" dxfId="254" stopIfTrue="1">
      <formula>Devise_Base="MAD"</formula>
    </cfRule>
    <cfRule type="expression" priority="85" dxfId="255" stopIfTrue="1">
      <formula>Devise_Base="NGN"</formula>
    </cfRule>
    <cfRule type="expression" priority="86" dxfId="256" stopIfTrue="1">
      <formula>Devise_Base="GHS"</formula>
    </cfRule>
    <cfRule type="expression" priority="87" dxfId="257" stopIfTrue="1">
      <formula>Devise_Base="CDF"</formula>
    </cfRule>
    <cfRule type="expression" priority="88" dxfId="258" stopIfTrue="1">
      <formula>Devise_Base="ZAR"</formula>
    </cfRule>
    <cfRule type="expression" priority="89" dxfId="259" stopIfTrue="1">
      <formula>Devise_Base="AED"</formula>
    </cfRule>
    <cfRule type="expression" priority="90" dxfId="260" stopIfTrue="1">
      <formula>Devise_Base="MRU"</formula>
    </cfRule>
    <cfRule type="expression" priority="91" dxfId="261" stopIfTrue="1">
      <formula>Devise_Base="GNF"</formula>
    </cfRule>
    <cfRule type="expression" priority="129" dxfId="262" stopIfTrue="0">
      <formula>AND($B13&lt;&gt;"",$G13="")</formula>
    </cfRule>
  </conditionalFormatting>
  <conditionalFormatting sqref="J13:L3012">
    <cfRule type="expression" priority="92" dxfId="263" stopIfTrue="1">
      <formula>Devise_Base="XOF"</formula>
    </cfRule>
    <cfRule type="expression" priority="93" dxfId="264" stopIfTrue="1">
      <formula>Devise_Base="XAF"</formula>
    </cfRule>
    <cfRule type="expression" priority="94" dxfId="265" stopIfTrue="1">
      <formula>Devise_Base="EUR"</formula>
    </cfRule>
    <cfRule type="expression" priority="95" dxfId="266" stopIfTrue="1">
      <formula>Devise_Base="USD"</formula>
    </cfRule>
    <cfRule type="expression" priority="96" dxfId="267" stopIfTrue="1">
      <formula>Devise_Base="GBP"</formula>
    </cfRule>
    <cfRule type="expression" priority="97" dxfId="268" stopIfTrue="1">
      <formula>Devise_Base="CAD"</formula>
    </cfRule>
    <cfRule type="expression" priority="98" dxfId="269" stopIfTrue="1">
      <formula>Devise_Base="CHF"</formula>
    </cfRule>
    <cfRule type="expression" priority="99" dxfId="270" stopIfTrue="1">
      <formula>Devise_Base="MAD"</formula>
    </cfRule>
    <cfRule type="expression" priority="100" dxfId="271" stopIfTrue="1">
      <formula>Devise_Base="NGN"</formula>
    </cfRule>
    <cfRule type="expression" priority="101" dxfId="272" stopIfTrue="1">
      <formula>Devise_Base="GHS"</formula>
    </cfRule>
    <cfRule type="expression" priority="102" dxfId="273" stopIfTrue="1">
      <formula>Devise_Base="CDF"</formula>
    </cfRule>
    <cfRule type="expression" priority="103" dxfId="274" stopIfTrue="1">
      <formula>Devise_Base="ZAR"</formula>
    </cfRule>
    <cfRule type="expression" priority="104" dxfId="275" stopIfTrue="1">
      <formula>Devise_Base="AED"</formula>
    </cfRule>
    <cfRule type="expression" priority="105" dxfId="276" stopIfTrue="1">
      <formula>Devise_Base="MRU"</formula>
    </cfRule>
    <cfRule type="expression" priority="106" dxfId="277" stopIfTrue="1">
      <formula>Devise_Base="GNF"</formula>
    </cfRule>
  </conditionalFormatting>
  <conditionalFormatting sqref="U13:U3012">
    <cfRule type="expression" priority="107" dxfId="278" stopIfTrue="1">
      <formula>Devise_Base="XOF"</formula>
    </cfRule>
    <cfRule type="expression" priority="108" dxfId="279" stopIfTrue="1">
      <formula>Devise_Base="XAF"</formula>
    </cfRule>
    <cfRule type="expression" priority="109" dxfId="280" stopIfTrue="1">
      <formula>Devise_Base="EUR"</formula>
    </cfRule>
    <cfRule type="expression" priority="110" dxfId="281" stopIfTrue="1">
      <formula>Devise_Base="USD"</formula>
    </cfRule>
    <cfRule type="expression" priority="111" dxfId="282" stopIfTrue="1">
      <formula>Devise_Base="GBP"</formula>
    </cfRule>
    <cfRule type="expression" priority="112" dxfId="283" stopIfTrue="1">
      <formula>Devise_Base="CAD"</formula>
    </cfRule>
    <cfRule type="expression" priority="113" dxfId="284" stopIfTrue="1">
      <formula>Devise_Base="CHF"</formula>
    </cfRule>
    <cfRule type="expression" priority="114" dxfId="285" stopIfTrue="1">
      <formula>Devise_Base="MAD"</formula>
    </cfRule>
    <cfRule type="expression" priority="115" dxfId="286" stopIfTrue="1">
      <formula>Devise_Base="NGN"</formula>
    </cfRule>
    <cfRule type="expression" priority="116" dxfId="287" stopIfTrue="1">
      <formula>Devise_Base="GHS"</formula>
    </cfRule>
    <cfRule type="expression" priority="117" dxfId="288" stopIfTrue="1">
      <formula>Devise_Base="CDF"</formula>
    </cfRule>
    <cfRule type="expression" priority="118" dxfId="289" stopIfTrue="1">
      <formula>Devise_Base="ZAR"</formula>
    </cfRule>
    <cfRule type="expression" priority="119" dxfId="290" stopIfTrue="1">
      <formula>Devise_Base="AED"</formula>
    </cfRule>
    <cfRule type="expression" priority="120" dxfId="291" stopIfTrue="1">
      <formula>Devise_Base="MRU"</formula>
    </cfRule>
    <cfRule type="expression" priority="121" dxfId="292" stopIfTrue="1">
      <formula>Devise_Base="GNF"</formula>
    </cfRule>
  </conditionalFormatting>
  <conditionalFormatting sqref="L13:L3012">
    <cfRule type="expression" priority="126" dxfId="293" stopIfTrue="1">
      <formula>$B13=""</formula>
    </cfRule>
    <cfRule type="expression" priority="127" dxfId="77" stopIfTrue="0">
      <formula>AND($B13&lt;&gt;"",$L13&lt;0)</formula>
    </cfRule>
  </conditionalFormatting>
  <conditionalFormatting sqref="C13:C3012">
    <cfRule type="expression" priority="128" dxfId="262" stopIfTrue="0">
      <formula>AND($B13&lt;&gt;"",$C13="")</formula>
    </cfRule>
  </conditionalFormatting>
  <dataValidations count="12">
    <dataValidation sqref="C13:C3012" showDropDown="0" showInputMessage="0" showErrorMessage="0" allowBlank="1" type="list">
      <formula1>Liste_Types</formula1>
    </dataValidation>
    <dataValidation sqref="D13:D3012" showDropDown="0" showInputMessage="0" showErrorMessage="0" allowBlank="1" type="list">
      <formula1>Liste_Modules</formula1>
    </dataValidation>
    <dataValidation sqref="E13:E3012" showDropDown="0" showInputMessage="0" showErrorMessage="0" allowBlank="1" type="list">
      <formula1>INDIRECT("Cat_"&amp;IFERROR(MATCH($D13,Liste_Modules,0),1))</formula1>
    </dataValidation>
    <dataValidation sqref="H13:H3012" showDropDown="0" showInputMessage="0" showErrorMessage="0" allowBlank="1" type="list">
      <formula1>Liste_Comptes</formula1>
    </dataValidation>
    <dataValidation sqref="M13:M3012" showDropDown="0" showInputMessage="0" showErrorMessage="0" allowBlank="1" type="list">
      <formula1>Codes_Devises</formula1>
    </dataValidation>
    <dataValidation sqref="N13:N3012" showDropDown="0" showInputMessage="0" showErrorMessage="0" allowBlank="1" type="list">
      <formula1>Liste_Moyens</formula1>
    </dataValidation>
    <dataValidation sqref="O13:O3012" showDropDown="0" showInputMessage="0" showErrorMessage="0" allowBlank="1" type="list">
      <formula1>Liste_Projets</formula1>
    </dataValidation>
    <dataValidation sqref="P13:P3012" showDropDown="0" showInputMessage="0" showErrorMessage="0" allowBlank="1" type="list">
      <formula1>Liste_Natures</formula1>
    </dataValidation>
    <dataValidation sqref="Q13:Q3012" showDropDown="0" showInputMessage="0" showErrorMessage="0" allowBlank="1" type="list">
      <formula1>Liste_Statuts</formula1>
    </dataValidation>
    <dataValidation sqref="R13:R3012" showDropDown="0" showInputMessage="0" showErrorMessage="0" allowBlank="1" type="list">
      <formula1>Liste_OuiNon</formula1>
    </dataValidation>
    <dataValidation sqref="B13:B3012" showDropDown="0" showInputMessage="0" showErrorMessage="1" allowBlank="1" errorTitle="Date invalide" error="Saisissez une date au format jj/mm/aaaa." type="date" operator="between">
      <formula1>DATE(2000,1,1)</formula1>
      <formula2>DATE(2100,12,31)</formula2>
    </dataValidation>
    <dataValidation sqref="G13:G3012" showDropDown="0" showInputMessage="0" showErrorMessage="1" allowBlank="1" errorTitle="Montant invalide" error="Saisissez un montant POSITIF. C'est la colonne « Type d'opération » qui indique si l'argent entre ou sort." type="decimal" operator="greaterThanOrEqual">
      <formula1>0</formula1>
    </dataValidation>
  </dataValidations>
  <hyperlinks>
    <hyperlink ref="B3" location="'Accueil'!A1"/>
    <hyperlink ref="E3" location="'Paramètres'!A1"/>
    <hyperlink ref="H3" location="'Estimation Annuelle'!A1"/>
    <hyperlink ref="N3" location="'Tableau de Bord'!A1"/>
    <hyperlink ref="Q3" location="'Budget 12 Mois'!A1"/>
  </hyperlinks>
  <pageMargins left="0.75" right="0.75" top="1" bottom="1" header="0.5" footer="0.5"/>
</worksheet>
</file>

<file path=xl/worksheets/sheet5.xml><?xml version="1.0" encoding="utf-8"?>
<worksheet xmlns="http://schemas.openxmlformats.org/spreadsheetml/2006/main">
  <sheetPr>
    <tabColor rgb="001A3557"/>
    <outlinePr summaryBelow="1" summaryRight="1"/>
    <pageSetUpPr/>
  </sheetPr>
  <dimension ref="A1:P78"/>
  <sheetViews>
    <sheetView showGridLines="0" zoomScale="85" workbookViewId="0">
      <pane ySplit="5" topLeftCell="A6" activePane="bottomLeft" state="frozen"/>
      <selection pane="bottomLeft" activeCell="A1" sqref="A1"/>
    </sheetView>
  </sheetViews>
  <sheetFormatPr baseColWidth="8" defaultRowHeight="15"/>
  <cols>
    <col width="2" customWidth="1" min="1" max="1"/>
    <col width="5" customWidth="1" min="2" max="2"/>
    <col width="22" customWidth="1" min="3" max="3"/>
    <col width="14" customWidth="1" min="4" max="4"/>
    <col width="14" customWidth="1" min="5" max="5"/>
    <col width="14" customWidth="1" min="6" max="6"/>
    <col width="14" customWidth="1" min="7" max="7"/>
    <col width="8" customWidth="1" min="8" max="8"/>
    <col width="14" customWidth="1" min="9" max="9"/>
    <col width="5" customWidth="1" min="10" max="10"/>
    <col width="24" customWidth="1" min="11" max="11"/>
    <col width="14" customWidth="1" min="12" max="12"/>
    <col width="14" customWidth="1" min="13" max="13"/>
    <col width="14" customWidth="1" min="14" max="14"/>
    <col width="14" customWidth="1" min="15" max="15"/>
    <col width="14" customWidth="1" min="16" max="16"/>
  </cols>
  <sheetData>
    <row r="1" ht="52" customHeight="1">
      <c r="B1" s="46" t="inlineStr">
        <is>
          <t>TABLEAU DE BORD MENSUEL</t>
        </is>
      </c>
      <c r="C1" s="47" t="n"/>
      <c r="D1" s="47" t="n"/>
      <c r="E1" s="47" t="n"/>
      <c r="F1" s="47" t="n"/>
      <c r="G1" s="47" t="n"/>
      <c r="H1" s="47" t="n"/>
      <c r="I1" s="47" t="n"/>
      <c r="J1" s="47" t="n"/>
      <c r="K1" s="47" t="n"/>
      <c r="L1" s="47" t="n"/>
      <c r="M1" s="47" t="n"/>
      <c r="N1" s="47" t="n"/>
      <c r="O1" s="47" t="n"/>
      <c r="P1" s="47" t="n"/>
    </row>
    <row r="2" ht="20" customHeight="1">
      <c r="B2" s="114">
        <f>"Suivi de "&amp;Nom_Foyer&amp;"  •  "&amp;Mois_Suivi&amp;" "&amp;Annee_Travail&amp;"  •  périmètre : "&amp;Perimetre&amp;"  •  montants en "&amp;Devise_Base</f>
        <v/>
      </c>
      <c r="C2" s="7" t="n"/>
      <c r="D2" s="7" t="n"/>
      <c r="E2" s="7" t="n"/>
      <c r="F2" s="7" t="n"/>
      <c r="G2" s="7" t="n"/>
      <c r="H2" s="7" t="n"/>
      <c r="I2" s="7" t="n"/>
      <c r="J2" s="7" t="n"/>
      <c r="K2" s="7" t="n"/>
      <c r="L2" s="7" t="n"/>
      <c r="M2" s="7" t="n"/>
      <c r="N2" s="7" t="n"/>
      <c r="O2" s="7" t="n"/>
      <c r="P2" s="7" t="n"/>
    </row>
    <row r="3" ht="20" customHeight="1">
      <c r="B3" s="49" t="inlineStr">
        <is>
          <t>⌂  ACCUEIL</t>
        </is>
      </c>
      <c r="C3" s="42" t="n"/>
      <c r="D3" s="49" t="inlineStr">
        <is>
          <t>①  MES INFOS</t>
        </is>
      </c>
      <c r="E3" s="42" t="n"/>
      <c r="F3" s="49" t="inlineStr">
        <is>
          <t>②  ESTIMATION</t>
        </is>
      </c>
      <c r="G3" s="42" t="n"/>
      <c r="H3" s="49" t="inlineStr">
        <is>
          <t>③  BUDGET SMART</t>
        </is>
      </c>
      <c r="I3" s="42" t="n"/>
      <c r="J3" s="50" t="inlineStr">
        <is>
          <t>TABLEAU DE BORD</t>
        </is>
      </c>
      <c r="K3" s="51" t="n"/>
      <c r="L3" s="49" t="inlineStr">
        <is>
          <t>BUDGET 12 MOIS</t>
        </is>
      </c>
      <c r="M3" s="42" t="n"/>
    </row>
    <row r="4" ht="24" customHeight="1">
      <c r="B4" s="115" t="inlineStr">
        <is>
          <t>PÉRIODE ANALYSÉE</t>
        </is>
      </c>
      <c r="C4" s="7" t="n"/>
      <c r="D4" s="116" t="n">
        <v>2026</v>
      </c>
      <c r="E4" s="117" t="inlineStr">
        <is>
          <t>◄ année</t>
        </is>
      </c>
      <c r="F4" s="117" t="inlineStr">
        <is>
          <t>mois ►</t>
        </is>
      </c>
      <c r="G4" s="110" t="inlineStr">
        <is>
          <t>Janvier</t>
        </is>
      </c>
      <c r="H4" s="118">
        <f>IFERROR(MATCH($G$4,Liste_Mois,0),1)</f>
        <v/>
      </c>
      <c r="I4" s="119">
        <f>"Mise à jour au "&amp;RIGHT("0"&amp;DAY(TODAY()),2)&amp;"/"&amp;RIGHT("0"&amp;MONTH(TODAY()),2)&amp;"/"&amp;YEAR(TODAY())&amp;"   •   "&amp;COUNT(J_Date)&amp;" écritures enregistrées   •   Devise : "&amp;Devise_Base&amp;" ("&amp;Symbole_Base&amp;")"</f>
        <v/>
      </c>
    </row>
    <row r="5"/>
    <row r="6" ht="18" customHeight="1">
      <c r="B6" s="31" t="inlineStr">
        <is>
          <t>REVENUS DU MOIS</t>
        </is>
      </c>
      <c r="C6" s="74" t="n"/>
      <c r="D6" s="32" t="n"/>
      <c r="E6" s="29" t="inlineStr">
        <is>
          <t>DÉPENSES DU MOIS</t>
        </is>
      </c>
      <c r="F6" s="75" t="n"/>
      <c r="G6" s="30" t="n"/>
      <c r="H6" s="76" t="inlineStr">
        <is>
          <t>ÉPARGNE + INVESTI.</t>
        </is>
      </c>
      <c r="I6" s="77" t="n"/>
      <c r="J6" s="78" t="n"/>
      <c r="K6" s="27" t="inlineStr">
        <is>
          <t>SOLDE DU MOIS</t>
        </is>
      </c>
      <c r="L6" s="79" t="n"/>
      <c r="M6" s="28" t="n"/>
      <c r="N6" s="120" t="inlineStr">
        <is>
          <t>TAUX D'ÉPARGNE</t>
        </is>
      </c>
      <c r="O6" s="121" t="n"/>
      <c r="P6" s="122" t="n"/>
    </row>
    <row r="7" ht="30" customHeight="1">
      <c r="B7" s="36">
        <f>INDEX(Calculs!$D$6:$O$17,Mois_Num,1)</f>
        <v/>
      </c>
      <c r="C7" s="83" t="n"/>
      <c r="D7" s="34" t="n"/>
      <c r="E7" s="35">
        <f>INDEX(Calculs!$D$6:$O$17,Mois_Num,2)</f>
        <v/>
      </c>
      <c r="F7" s="83" t="n"/>
      <c r="G7" s="34" t="n"/>
      <c r="H7" s="84">
        <f>INDEX(Calculs!$D$6:$O$17,Mois_Num,3)+INDEX(Calculs!$D$6:$O$17,Mois_Num,4)</f>
        <v/>
      </c>
      <c r="I7" s="83" t="n"/>
      <c r="J7" s="34" t="n"/>
      <c r="K7" s="33">
        <f>INDEX(Calculs!$D$6:$O$17,Mois_Num,7)</f>
        <v/>
      </c>
      <c r="L7" s="83" t="n"/>
      <c r="M7" s="34" t="n"/>
      <c r="N7" s="123">
        <f>INDEX(Calculs!$D$6:$O$17,Mois_Num,9)</f>
        <v/>
      </c>
      <c r="O7" s="83" t="n"/>
      <c r="P7" s="34" t="n"/>
    </row>
    <row r="8" ht="16" customHeight="1">
      <c r="B8" s="98">
        <f>"Prévu : "&amp;FIXED(INDEX(Calculs!$D$6:$O$17,Mois_Num,12),0)</f>
        <v/>
      </c>
      <c r="C8" s="86" t="n"/>
      <c r="D8" s="38" t="n"/>
      <c r="E8" s="98">
        <f>"Budget : "&amp;FIXED(INDEX(Calculs!$D$6:$O$17,Mois_Num,10),0)</f>
        <v/>
      </c>
      <c r="F8" s="86" t="n"/>
      <c r="G8" s="38" t="n"/>
      <c r="H8" s="98">
        <f>"Objectif : "&amp;FIXED(Taux_Cible*INDEX(Calculs!$D$6:$O$17,Mois_Num,1),0)</f>
        <v/>
      </c>
      <c r="I8" s="86" t="n"/>
      <c r="J8" s="38" t="n"/>
      <c r="K8" s="98">
        <f>IF(INDEX(Calculs!$D$6:$O$17,Mois_Num,7)&gt;=0,"Excédent","Déficit à couvrir")</f>
        <v/>
      </c>
      <c r="L8" s="86" t="n"/>
      <c r="M8" s="38" t="n"/>
      <c r="N8" s="98">
        <f>"Cible : "&amp;ROUND(Taux_Cible*100,0)&amp;" %"</f>
        <v/>
      </c>
      <c r="O8" s="86" t="n"/>
      <c r="P8" s="38" t="n"/>
    </row>
    <row r="9"/>
    <row r="10" ht="18" customHeight="1">
      <c r="B10" s="80" t="inlineStr">
        <is>
          <t>BUDGET CONSOMMÉ</t>
        </is>
      </c>
      <c r="C10" s="81" t="n"/>
      <c r="D10" s="82" t="n"/>
      <c r="E10" s="93" t="inlineStr">
        <is>
          <t>TRÉSORERIE CUMULÉE</t>
        </is>
      </c>
      <c r="F10" s="94" t="n"/>
      <c r="G10" s="95" t="n"/>
      <c r="H10" s="27" t="inlineStr">
        <is>
          <t>CHARGES FIXES DU MOIS</t>
        </is>
      </c>
      <c r="I10" s="79" t="n"/>
      <c r="J10" s="28" t="n"/>
      <c r="K10" s="124" t="inlineStr">
        <is>
          <t>RESTE À VIVRE</t>
        </is>
      </c>
      <c r="L10" s="125" t="n"/>
      <c r="M10" s="126" t="n"/>
      <c r="N10" s="76" t="inlineStr">
        <is>
          <t>DÉPENSE MOYENNE / JOUR</t>
        </is>
      </c>
      <c r="O10" s="77" t="n"/>
      <c r="P10" s="78" t="n"/>
    </row>
    <row r="11" ht="30" customHeight="1">
      <c r="B11" s="85">
        <f>IFERROR(INDEX(Calculs!$D$6:$O$17,Mois_Num,2)/INDEX(Calculs!$D$6:$O$17,Mois_Num,10),0)</f>
        <v/>
      </c>
      <c r="C11" s="83" t="n"/>
      <c r="D11" s="34" t="n"/>
      <c r="E11" s="127">
        <f>INDEX(Calculs!$D$6:$O$17,Mois_Num,8)</f>
        <v/>
      </c>
      <c r="F11" s="83" t="n"/>
      <c r="G11" s="34" t="n"/>
      <c r="H11" s="33">
        <f>SUMIFS(J_Montant,J_Annee,Annee_Travail,J_Mois,Mois_Num,J_Nature,"Fixe",J_Type,"&lt;&gt;Revenu",J_Type,"&lt;&gt;Transfert",J_Module,Perimetre_Filtre,J_Statut,"&lt;&gt;Annulé",J_Statut,"&lt;&gt;Prévu")</f>
        <v/>
      </c>
      <c r="I11" s="83" t="n"/>
      <c r="J11" s="34" t="n"/>
      <c r="K11" s="128">
        <f>INDEX(Calculs!$D$6:$O$17,Mois_Num,1)-SUMIFS(J_Montant,J_Annee,Annee_Travail,J_Mois,Mois_Num,J_Nature,"Fixe",J_Type,"&lt;&gt;Revenu",J_Type,"&lt;&gt;Transfert",J_Module,Perimetre_Filtre,J_Statut,"&lt;&gt;Annulé",J_Statut,"&lt;&gt;Prévu")</f>
        <v/>
      </c>
      <c r="L11" s="83" t="n"/>
      <c r="M11" s="34" t="n"/>
      <c r="N11" s="84">
        <f>IFERROR(INDEX(Calculs!$D$6:$O$17,Mois_Num,2)/DAY(EOMONTH(DATE(Annee_Travail,Mois_Num,1),0)),0)</f>
        <v/>
      </c>
      <c r="O11" s="83" t="n"/>
      <c r="P11" s="34" t="n"/>
    </row>
    <row r="12" ht="16" customHeight="1">
      <c r="B12" s="98">
        <f>"Écart : "&amp;FIXED(INDEX(Calculs!$D$6:$O$17,Mois_Num,11),0)</f>
        <v/>
      </c>
      <c r="C12" s="86" t="n"/>
      <c r="D12" s="38" t="n"/>
      <c r="E12" s="98">
        <f>"Dont comptes : "&amp;FIXED(Paramètres!$H$61,0)</f>
        <v/>
      </c>
      <c r="F12" s="86" t="n"/>
      <c r="G12" s="38" t="n"/>
      <c r="H12" s="37" t="inlineStr">
        <is>
          <t>Loyer, abonnements, mensualités</t>
        </is>
      </c>
      <c r="I12" s="86" t="n"/>
      <c r="J12" s="38" t="n"/>
      <c r="K12" s="37" t="inlineStr">
        <is>
          <t>Revenus – charges fixes</t>
        </is>
      </c>
      <c r="L12" s="86" t="n"/>
      <c r="M12" s="38" t="n"/>
      <c r="N12" s="37" t="inlineStr">
        <is>
          <t>Sur le mois sélectionné</t>
        </is>
      </c>
      <c r="O12" s="86" t="n"/>
      <c r="P12" s="38" t="n"/>
    </row>
    <row r="13"/>
    <row r="14" ht="24" customHeight="1">
      <c r="B14" s="6" t="inlineStr">
        <is>
          <t>RÉPARTITION DU MOIS SÉLECTIONNÉ</t>
        </is>
      </c>
      <c r="C14" s="7" t="n"/>
      <c r="D14" s="7" t="n"/>
      <c r="E14" s="7" t="n"/>
      <c r="F14" s="7" t="n"/>
      <c r="G14" s="7" t="n"/>
      <c r="H14" s="7" t="n"/>
      <c r="I14" s="7" t="n"/>
      <c r="J14" s="7" t="n"/>
      <c r="K14" s="7" t="n"/>
      <c r="L14" s="7" t="n"/>
      <c r="M14" s="7" t="n"/>
      <c r="N14" s="7" t="n"/>
      <c r="O14" s="7" t="n"/>
      <c r="P14" s="7" t="n"/>
    </row>
    <row r="15" ht="30" customHeight="1">
      <c r="K15" s="63" t="inlineStr">
        <is>
          <t>Top 10 des dépenses du mois</t>
        </is>
      </c>
      <c r="L15" s="129" t="n"/>
      <c r="M15" s="63" t="inlineStr">
        <is>
          <t>Montant</t>
        </is>
      </c>
      <c r="N15" s="129" t="n"/>
      <c r="O15" s="63" t="inlineStr">
        <is>
          <t>Part</t>
        </is>
      </c>
      <c r="P15" s="129" t="n"/>
    </row>
    <row r="16">
      <c r="K16" s="130">
        <f>IF(Calculs!$C$183="","—",Calculs!$C$183)</f>
        <v/>
      </c>
      <c r="L16" s="131" t="n"/>
      <c r="M16" s="67">
        <f>Calculs!$D$183</f>
        <v/>
      </c>
      <c r="N16" s="131" t="n"/>
      <c r="O16" s="132">
        <f>Calculs!$E$183</f>
        <v/>
      </c>
      <c r="P16" s="131" t="n"/>
    </row>
    <row r="17">
      <c r="K17" s="130">
        <f>IF(Calculs!$C$184="","—",Calculs!$C$184)</f>
        <v/>
      </c>
      <c r="L17" s="131" t="n"/>
      <c r="M17" s="67">
        <f>Calculs!$D$184</f>
        <v/>
      </c>
      <c r="N17" s="131" t="n"/>
      <c r="O17" s="132">
        <f>Calculs!$E$184</f>
        <v/>
      </c>
      <c r="P17" s="131" t="n"/>
    </row>
    <row r="18">
      <c r="K18" s="130">
        <f>IF(Calculs!$C$185="","—",Calculs!$C$185)</f>
        <v/>
      </c>
      <c r="L18" s="131" t="n"/>
      <c r="M18" s="67">
        <f>Calculs!$D$185</f>
        <v/>
      </c>
      <c r="N18" s="131" t="n"/>
      <c r="O18" s="132">
        <f>Calculs!$E$185</f>
        <v/>
      </c>
      <c r="P18" s="131" t="n"/>
    </row>
    <row r="19">
      <c r="K19" s="130">
        <f>IF(Calculs!$C$186="","—",Calculs!$C$186)</f>
        <v/>
      </c>
      <c r="L19" s="131" t="n"/>
      <c r="M19" s="67">
        <f>Calculs!$D$186</f>
        <v/>
      </c>
      <c r="N19" s="131" t="n"/>
      <c r="O19" s="132">
        <f>Calculs!$E$186</f>
        <v/>
      </c>
      <c r="P19" s="131" t="n"/>
    </row>
    <row r="20">
      <c r="K20" s="130">
        <f>IF(Calculs!$C$187="","—",Calculs!$C$187)</f>
        <v/>
      </c>
      <c r="L20" s="131" t="n"/>
      <c r="M20" s="67">
        <f>Calculs!$D$187</f>
        <v/>
      </c>
      <c r="N20" s="131" t="n"/>
      <c r="O20" s="132">
        <f>Calculs!$E$187</f>
        <v/>
      </c>
      <c r="P20" s="131" t="n"/>
    </row>
    <row r="21">
      <c r="K21" s="130">
        <f>IF(Calculs!$C$188="","—",Calculs!$C$188)</f>
        <v/>
      </c>
      <c r="L21" s="131" t="n"/>
      <c r="M21" s="67">
        <f>Calculs!$D$188</f>
        <v/>
      </c>
      <c r="N21" s="131" t="n"/>
      <c r="O21" s="132">
        <f>Calculs!$E$188</f>
        <v/>
      </c>
      <c r="P21" s="131" t="n"/>
    </row>
    <row r="22">
      <c r="K22" s="130">
        <f>IF(Calculs!$C$189="","—",Calculs!$C$189)</f>
        <v/>
      </c>
      <c r="L22" s="131" t="n"/>
      <c r="M22" s="67">
        <f>Calculs!$D$189</f>
        <v/>
      </c>
      <c r="N22" s="131" t="n"/>
      <c r="O22" s="132">
        <f>Calculs!$E$189</f>
        <v/>
      </c>
      <c r="P22" s="131" t="n"/>
    </row>
    <row r="23">
      <c r="K23" s="130">
        <f>IF(Calculs!$C$190="","—",Calculs!$C$190)</f>
        <v/>
      </c>
      <c r="L23" s="131" t="n"/>
      <c r="M23" s="67">
        <f>Calculs!$D$190</f>
        <v/>
      </c>
      <c r="N23" s="131" t="n"/>
      <c r="O23" s="132">
        <f>Calculs!$E$190</f>
        <v/>
      </c>
      <c r="P23" s="131" t="n"/>
    </row>
    <row r="24">
      <c r="K24" s="130">
        <f>IF(Calculs!$C$191="","—",Calculs!$C$191)</f>
        <v/>
      </c>
      <c r="L24" s="131" t="n"/>
      <c r="M24" s="67">
        <f>Calculs!$D$191</f>
        <v/>
      </c>
      <c r="N24" s="131" t="n"/>
      <c r="O24" s="132">
        <f>Calculs!$E$191</f>
        <v/>
      </c>
      <c r="P24" s="131" t="n"/>
    </row>
    <row r="25">
      <c r="K25" s="130">
        <f>IF(Calculs!$C$192="","—",Calculs!$C$192)</f>
        <v/>
      </c>
      <c r="L25" s="131" t="n"/>
      <c r="M25" s="67">
        <f>Calculs!$D$192</f>
        <v/>
      </c>
      <c r="N25" s="131" t="n"/>
      <c r="O25" s="132">
        <f>Calculs!$E$192</f>
        <v/>
      </c>
      <c r="P25" s="131" t="n"/>
    </row>
    <row r="26"/>
    <row r="27"/>
    <row r="28" ht="24" customHeight="1">
      <c r="B28" s="6" t="inlineStr">
        <is>
          <t>PRÉVU vs RÉALISÉ — MOIS SÉLECTIONNÉ</t>
        </is>
      </c>
      <c r="C28" s="7" t="n"/>
      <c r="D28" s="7" t="n"/>
      <c r="E28" s="7" t="n"/>
      <c r="F28" s="7" t="n"/>
      <c r="G28" s="7" t="n"/>
      <c r="H28" s="7" t="n"/>
      <c r="I28" s="7" t="n"/>
      <c r="J28" s="7" t="n"/>
      <c r="K28" s="7" t="n"/>
      <c r="L28" s="7" t="n"/>
      <c r="M28" s="7" t="n"/>
      <c r="N28" s="7" t="n"/>
      <c r="O28" s="7" t="n"/>
      <c r="P28" s="7" t="n"/>
    </row>
    <row r="29" ht="30" customHeight="1">
      <c r="B29" s="63" t="inlineStr"/>
      <c r="C29" s="63" t="inlineStr">
        <is>
          <t>Module</t>
        </is>
      </c>
      <c r="D29" s="63" t="inlineStr">
        <is>
          <t>Prévu</t>
        </is>
      </c>
      <c r="E29" s="63" t="inlineStr">
        <is>
          <t>Réalisé</t>
        </is>
      </c>
      <c r="F29" s="63" t="inlineStr">
        <is>
          <t>Écart</t>
        </is>
      </c>
      <c r="G29" s="63" t="inlineStr">
        <is>
          <t>% consommé</t>
        </is>
      </c>
      <c r="H29" s="63" t="inlineStr">
        <is>
          <t>Statut</t>
        </is>
      </c>
    </row>
    <row r="30">
      <c r="B30" s="131" t="n"/>
      <c r="C30" s="131" t="inlineStr">
        <is>
          <t>Général</t>
        </is>
      </c>
      <c r="D30" s="66">
        <f>Calculs!$C$301</f>
        <v/>
      </c>
      <c r="E30" s="66">
        <f>Calculs!$D$301</f>
        <v/>
      </c>
      <c r="F30" s="66">
        <f>Calculs!$E$301</f>
        <v/>
      </c>
      <c r="G30" s="132">
        <f>IFERROR($E30/$D30,0)</f>
        <v/>
      </c>
      <c r="H30" s="133">
        <f>IF($D30=0,"Non budgété",IF($G30&gt;1,"⚠ Dépassement",IF($G30&gt;Seuil_Alerte,"Vigilance","✓ Sous contrôle")))</f>
        <v/>
      </c>
    </row>
    <row r="31">
      <c r="B31" s="131" t="n"/>
      <c r="C31" s="131" t="inlineStr">
        <is>
          <t>Mariage</t>
        </is>
      </c>
      <c r="D31" s="66">
        <f>Calculs!$C$302</f>
        <v/>
      </c>
      <c r="E31" s="66">
        <f>Calculs!$D$302</f>
        <v/>
      </c>
      <c r="F31" s="66">
        <f>Calculs!$E$302</f>
        <v/>
      </c>
      <c r="G31" s="132">
        <f>IFERROR($E31/$D31,0)</f>
        <v/>
      </c>
      <c r="H31" s="133">
        <f>IF($D31=0,"Non budgété",IF($G31&gt;1,"⚠ Dépassement",IF($G31&gt;Seuil_Alerte,"Vigilance","✓ Sous contrôle")))</f>
        <v/>
      </c>
    </row>
    <row r="32">
      <c r="B32" s="131" t="n"/>
      <c r="C32" s="131" t="inlineStr">
        <is>
          <t>Immobilier</t>
        </is>
      </c>
      <c r="D32" s="66">
        <f>Calculs!$C$303</f>
        <v/>
      </c>
      <c r="E32" s="66">
        <f>Calculs!$D$303</f>
        <v/>
      </c>
      <c r="F32" s="66">
        <f>Calculs!$E$303</f>
        <v/>
      </c>
      <c r="G32" s="132">
        <f>IFERROR($E32/$D32,0)</f>
        <v/>
      </c>
      <c r="H32" s="133">
        <f>IF($D32=0,"Non budgété",IF($G32&gt;1,"⚠ Dépassement",IF($G32&gt;Seuil_Alerte,"Vigilance","✓ Sous contrôle")))</f>
        <v/>
      </c>
    </row>
    <row r="33">
      <c r="B33" s="131" t="n"/>
      <c r="C33" s="131" t="inlineStr">
        <is>
          <t>Business</t>
        </is>
      </c>
      <c r="D33" s="66">
        <f>Calculs!$C$304</f>
        <v/>
      </c>
      <c r="E33" s="66">
        <f>Calculs!$D$304</f>
        <v/>
      </c>
      <c r="F33" s="66">
        <f>Calculs!$E$304</f>
        <v/>
      </c>
      <c r="G33" s="132">
        <f>IFERROR($E33/$D33,0)</f>
        <v/>
      </c>
      <c r="H33" s="133">
        <f>IF($D33=0,"Non budgété",IF($G33&gt;1,"⚠ Dépassement",IF($G33&gt;Seuil_Alerte,"Vigilance","✓ Sous contrôle")))</f>
        <v/>
      </c>
    </row>
    <row r="34">
      <c r="B34" s="134" t="n"/>
      <c r="C34" s="134" t="inlineStr">
        <is>
          <t>TOTAL</t>
        </is>
      </c>
      <c r="D34" s="135">
        <f>SUM(D30:D33)</f>
        <v/>
      </c>
      <c r="E34" s="135">
        <f>SUM(E30:E33)</f>
        <v/>
      </c>
      <c r="F34" s="135">
        <f>SUM(F30:F33)</f>
        <v/>
      </c>
      <c r="G34" s="136">
        <f>IFERROR(E34/D34,0)</f>
        <v/>
      </c>
      <c r="H34" s="134" t="n"/>
    </row>
    <row r="35"/>
    <row r="36"/>
    <row r="37"/>
    <row r="38" ht="24" customHeight="1">
      <c r="B38" s="6" t="inlineStr">
        <is>
          <t>DÎME DU MOIS</t>
        </is>
      </c>
      <c r="C38" s="7" t="n"/>
      <c r="D38" s="7" t="n"/>
      <c r="E38" s="7" t="n"/>
      <c r="F38" s="7" t="n"/>
      <c r="G38" s="7" t="n"/>
      <c r="H38" s="7" t="n"/>
    </row>
    <row r="39">
      <c r="C39" s="137" t="inlineStr">
        <is>
          <t>Revenus soumis à la dîme</t>
        </is>
      </c>
      <c r="D39" s="138" t="n"/>
      <c r="E39" s="138" t="n"/>
      <c r="F39" s="139">
        <f>INDEX(Calculs!$C$308:$C$319,Mois_Num)</f>
        <v/>
      </c>
      <c r="G39" s="138" t="n"/>
    </row>
    <row r="40">
      <c r="C40" s="137" t="inlineStr">
        <is>
          <t>Dîme due</t>
        </is>
      </c>
      <c r="D40" s="138" t="n"/>
      <c r="E40" s="138" t="n"/>
      <c r="F40" s="140">
        <f>INDEX(Calculs!$D$308:$D$319,Mois_Num)</f>
        <v/>
      </c>
      <c r="G40" s="138" t="n"/>
    </row>
    <row r="41">
      <c r="C41" s="137" t="inlineStr">
        <is>
          <t>Déjà versée</t>
        </is>
      </c>
      <c r="D41" s="138" t="n"/>
      <c r="E41" s="138" t="n"/>
      <c r="F41" s="139">
        <f>INDEX(Calculs!$E$308:$E$319,Mois_Num)</f>
        <v/>
      </c>
      <c r="G41" s="138" t="n"/>
    </row>
    <row r="42">
      <c r="C42" s="141" t="inlineStr">
        <is>
          <t>Reste à verser</t>
        </is>
      </c>
      <c r="D42" s="138" t="n"/>
      <c r="E42" s="138" t="n"/>
      <c r="F42" s="142">
        <f>INDEX(Calculs!$F$308:$F$319,Mois_Num)</f>
        <v/>
      </c>
      <c r="G42" s="138" t="n"/>
    </row>
    <row r="43">
      <c r="C43" s="143">
        <f>IF(Dime_Active&lt;&gt;"Oui","Dîme désactivée dans Paramètres.",IF($F$40=0,"Aucun revenu soumis ce mois-ci.",IF($F$42&lt;=0,"✓ Dîme du mois entièrement versée.","Il reste "&amp;FIXED($F$42,0)&amp;" "&amp;Symbole_Base&amp;" à verser.")))</f>
        <v/>
      </c>
      <c r="D43" s="138" t="n"/>
      <c r="E43" s="138" t="n"/>
      <c r="F43" s="138" t="n"/>
      <c r="G43" s="138" t="n"/>
    </row>
    <row r="44"/>
    <row r="45"/>
    <row r="46" ht="24" customHeight="1">
      <c r="B46" s="6" t="inlineStr">
        <is>
          <t>ALERTES &amp; SIGNAUX AUTOMATIQUES</t>
        </is>
      </c>
      <c r="C46" s="7" t="n"/>
      <c r="D46" s="7" t="n"/>
      <c r="E46" s="7" t="n"/>
      <c r="F46" s="7" t="n"/>
      <c r="G46" s="7" t="n"/>
      <c r="H46" s="7" t="n"/>
      <c r="I46" s="7" t="n"/>
      <c r="J46" s="7" t="n"/>
      <c r="K46" s="7" t="n"/>
      <c r="L46" s="7" t="n"/>
      <c r="M46" s="7" t="n"/>
      <c r="N46" s="7" t="n"/>
      <c r="O46" s="7" t="n"/>
      <c r="P46" s="7" t="n"/>
    </row>
    <row r="47" ht="20" customHeight="1">
      <c r="B47" s="144">
        <f>IF(INDEX(Calculs!$D$6:$O$17,Mois_Num,7)&lt;0,"🔴 Le mois est déficitaire de "&amp;FIXED(ABS(INDEX(Calculs!$D$6:$O$17,Mois_Num,7)),0)&amp;" "&amp;Symbole_Base&amp;". Réduisez les postes variables ou puisez dans vos réserves.","🟢 Le mois est excédentaire.")</f>
        <v/>
      </c>
      <c r="C47" s="40" t="n"/>
      <c r="D47" s="40" t="n"/>
      <c r="E47" s="40" t="n"/>
      <c r="F47" s="40" t="n"/>
      <c r="G47" s="40" t="n"/>
      <c r="H47" s="40" t="n"/>
      <c r="I47" s="40" t="n"/>
      <c r="J47" s="40" t="n"/>
      <c r="K47" s="40" t="n"/>
      <c r="L47" s="40" t="n"/>
      <c r="M47" s="40" t="n"/>
      <c r="N47" s="40" t="n"/>
      <c r="O47" s="40" t="n"/>
      <c r="P47" s="40" t="n"/>
    </row>
    <row r="48" ht="20" customHeight="1">
      <c r="B48" s="144">
        <f>IF(INDEX(Calculs!$D$6:$O$17,Mois_Num,9)&lt;Taux_Cible,"🟠 Taux d'épargne de "&amp;ROUND(INDEX(Calculs!$D$6:$O$17,Mois_Num,9)*100,1)&amp;" %"&amp;" contre "&amp;ROUND(Taux_Cible*100,0)&amp;" %"&amp;" visé.","🟢 Objectif d'épargne atteint.")</f>
        <v/>
      </c>
      <c r="C48" s="40" t="n"/>
      <c r="D48" s="40" t="n"/>
      <c r="E48" s="40" t="n"/>
      <c r="F48" s="40" t="n"/>
      <c r="G48" s="40" t="n"/>
      <c r="H48" s="40" t="n"/>
      <c r="I48" s="40" t="n"/>
      <c r="J48" s="40" t="n"/>
      <c r="K48" s="40" t="n"/>
      <c r="L48" s="40" t="n"/>
      <c r="M48" s="40" t="n"/>
      <c r="N48" s="40" t="n"/>
      <c r="O48" s="40" t="n"/>
      <c r="P48" s="40" t="n"/>
    </row>
    <row r="49" ht="20" customHeight="1">
      <c r="B49" s="144">
        <f>IF(AND(INDEX(Calculs!$D$6:$O$17,Mois_Num,10)&gt;0,INDEX(Calculs!$D$6:$O$17,Mois_Num,2)&gt;INDEX(Calculs!$D$6:$O$17,Mois_Num,10)),"🔴 Budget de dépenses dépassé de "&amp;FIXED(INDEX(Calculs!$D$6:$O$17,Mois_Num,2)-INDEX(Calculs!$D$6:$O$17,Mois_Num,10),0)&amp;" "&amp;Symbole_Base&amp;".",IF(INDEX(Calculs!$D$6:$O$17,Mois_Num,10)=0,"⚪ Aucun budget saisi pour ce mois dans le Estimation annuelle.","🟢 Dépenses contenues dans le budget."))</f>
        <v/>
      </c>
      <c r="C49" s="40" t="n"/>
      <c r="D49" s="40" t="n"/>
      <c r="E49" s="40" t="n"/>
      <c r="F49" s="40" t="n"/>
      <c r="G49" s="40" t="n"/>
      <c r="H49" s="40" t="n"/>
      <c r="I49" s="40" t="n"/>
      <c r="J49" s="40" t="n"/>
      <c r="K49" s="40" t="n"/>
      <c r="L49" s="40" t="n"/>
      <c r="M49" s="40" t="n"/>
      <c r="N49" s="40" t="n"/>
      <c r="O49" s="40" t="n"/>
      <c r="P49" s="40" t="n"/>
    </row>
    <row r="50" ht="20" customHeight="1">
      <c r="B50" s="144">
        <f>IF(COUNTIFS(Récurrents!$J$8:$J$57,"Oui",Récurrents!$H$8:$H$57,"&lt;"&amp;TODAY())&gt;0,"🔴 "&amp;COUNTIFS(Récurrents!$J$8:$J$57,"Oui",Récurrents!$H$8:$H$57,"&lt;"&amp;TODAY())&amp;" échéance(s) récurrente(s) en retard.","🟢 Aucune échéance récurrente en retard.")</f>
        <v/>
      </c>
      <c r="C50" s="40" t="n"/>
      <c r="D50" s="40" t="n"/>
      <c r="E50" s="40" t="n"/>
      <c r="F50" s="40" t="n"/>
      <c r="G50" s="40" t="n"/>
      <c r="H50" s="40" t="n"/>
      <c r="I50" s="40" t="n"/>
      <c r="J50" s="40" t="n"/>
      <c r="K50" s="40" t="n"/>
      <c r="L50" s="40" t="n"/>
      <c r="M50" s="40" t="n"/>
      <c r="N50" s="40" t="n"/>
      <c r="O50" s="40" t="n"/>
      <c r="P50" s="40" t="n"/>
    </row>
    <row r="51" ht="20" customHeight="1">
      <c r="B51" s="144">
        <f>IF(SUMIFS(J_Montant,J_Annee,Annee_Travail,J_Statut,"Prévu")&gt;0,"🟠 "&amp;FIXED(SUMIFS(J_Montant,J_Annee,Annee_Travail,J_Statut,"Prévu"),0)&amp;" "&amp;Symbole_Base&amp;" d'engagements prévus non encore décaissés.","🟢 Aucun engagement en attente.")</f>
        <v/>
      </c>
      <c r="C51" s="40" t="n"/>
      <c r="D51" s="40" t="n"/>
      <c r="E51" s="40" t="n"/>
      <c r="F51" s="40" t="n"/>
      <c r="G51" s="40" t="n"/>
      <c r="H51" s="40" t="n"/>
      <c r="I51" s="40" t="n"/>
      <c r="J51" s="40" t="n"/>
      <c r="K51" s="40" t="n"/>
      <c r="L51" s="40" t="n"/>
      <c r="M51" s="40" t="n"/>
      <c r="N51" s="40" t="n"/>
      <c r="O51" s="40" t="n"/>
      <c r="P51" s="40" t="n"/>
    </row>
    <row r="52" ht="20" customHeight="1">
      <c r="B52" s="144">
        <f>IF(Paramètres!$H$61&lt;0,"🔴 Trésorerie de vos comptes négative.",IF(Paramètres!$H$61&lt;INDEX(Calculs!$D$6:$O$17,Mois_Num,2),"🟠 Votre trésorerie couvre moins d'un mois de dépenses.","🟢 Trésorerie confortable."))</f>
        <v/>
      </c>
      <c r="C52" s="40" t="n"/>
      <c r="D52" s="40" t="n"/>
      <c r="E52" s="40" t="n"/>
      <c r="F52" s="40" t="n"/>
      <c r="G52" s="40" t="n"/>
      <c r="H52" s="40" t="n"/>
      <c r="I52" s="40" t="n"/>
      <c r="J52" s="40" t="n"/>
      <c r="K52" s="40" t="n"/>
      <c r="L52" s="40" t="n"/>
      <c r="M52" s="40" t="n"/>
      <c r="N52" s="40" t="n"/>
      <c r="O52" s="40" t="n"/>
      <c r="P52" s="40" t="n"/>
    </row>
    <row r="53" ht="20" customHeight="1">
      <c r="B53" s="144">
        <f>IF(Dime_Active&lt;&gt;"Oui","⚪ Dîme désactivée.",IF(INDEX(Calculs!$F$308:$F$319,Mois_Num)&gt;0,"🟠 Dîme : il reste "&amp;FIXED(INDEX(Calculs!$F$308:$F$319,Mois_Num),0)&amp;" "&amp;Symbole_Base&amp;" à verser ce mois-ci.","🟢 Dîme du mois à jour."))</f>
        <v/>
      </c>
      <c r="C53" s="40" t="n"/>
      <c r="D53" s="40" t="n"/>
      <c r="E53" s="40" t="n"/>
      <c r="F53" s="40" t="n"/>
      <c r="G53" s="40" t="n"/>
      <c r="H53" s="40" t="n"/>
      <c r="I53" s="40" t="n"/>
      <c r="J53" s="40" t="n"/>
      <c r="K53" s="40" t="n"/>
      <c r="L53" s="40" t="n"/>
      <c r="M53" s="40" t="n"/>
      <c r="N53" s="40" t="n"/>
      <c r="O53" s="40" t="n"/>
      <c r="P53" s="40" t="n"/>
    </row>
    <row r="54" ht="20" customHeight="1">
      <c r="B54" s="144">
        <f>IF(COUNT(J_Date)=0,"⚪ Commencez par saisir vos premières opérations dans le Journal.","🟢 "&amp;COUNT(J_Date)&amp;" opérations enregistrées depuis le début.")</f>
        <v/>
      </c>
      <c r="C54" s="40" t="n"/>
      <c r="D54" s="40" t="n"/>
      <c r="E54" s="40" t="n"/>
      <c r="F54" s="40" t="n"/>
      <c r="G54" s="40" t="n"/>
      <c r="H54" s="40" t="n"/>
      <c r="I54" s="40" t="n"/>
      <c r="J54" s="40" t="n"/>
      <c r="K54" s="40" t="n"/>
      <c r="L54" s="40" t="n"/>
      <c r="M54" s="40" t="n"/>
      <c r="N54" s="40" t="n"/>
      <c r="O54" s="40" t="n"/>
      <c r="P54" s="40" t="n"/>
    </row>
    <row r="55"/>
    <row r="56" ht="26" customHeight="1">
      <c r="B56" s="41" t="inlineStr">
        <is>
          <t>Changez l'année ou le mois en haut de cette feuille : tous les indicateurs, graphiques et alertes se recalculent instantanément à partir du Journal.</t>
        </is>
      </c>
      <c r="C56" s="42" t="n"/>
      <c r="D56" s="42" t="n"/>
      <c r="E56" s="42" t="n"/>
      <c r="F56" s="42" t="n"/>
      <c r="G56" s="42" t="n"/>
      <c r="H56" s="42" t="n"/>
      <c r="I56" s="42" t="n"/>
      <c r="J56" s="42" t="n"/>
      <c r="K56" s="42" t="n"/>
      <c r="L56" s="42" t="n"/>
      <c r="M56" s="42" t="n"/>
      <c r="N56" s="42" t="n"/>
      <c r="O56" s="42" t="n"/>
      <c r="P56" s="42" t="n"/>
    </row>
    <row r="57"/>
    <row r="58"/>
    <row r="59"/>
    <row r="60"/>
    <row r="61"/>
    <row r="62"/>
    <row r="63"/>
    <row r="64"/>
    <row r="65"/>
    <row r="66"/>
    <row r="67"/>
    <row r="68"/>
    <row r="69"/>
    <row r="70"/>
    <row r="71"/>
    <row r="72"/>
    <row r="73"/>
    <row r="74"/>
    <row r="75"/>
    <row r="76"/>
    <row r="77"/>
    <row r="78" ht="24" customHeight="1">
      <c r="B78" s="6" t="inlineStr">
        <is>
          <t>GRAPHIQUES</t>
        </is>
      </c>
      <c r="C78" s="7" t="n"/>
      <c r="D78" s="7" t="n"/>
      <c r="E78" s="7" t="n"/>
      <c r="F78" s="7" t="n"/>
      <c r="G78" s="7" t="n"/>
      <c r="H78" s="7" t="n"/>
      <c r="I78" s="7" t="n"/>
      <c r="J78" s="7" t="n"/>
      <c r="K78" s="7" t="n"/>
      <c r="L78" s="7" t="n"/>
      <c r="M78" s="7" t="n"/>
      <c r="N78" s="7" t="n"/>
      <c r="O78" s="7" t="n"/>
      <c r="P78" s="7" t="n"/>
    </row>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sheetData>
  <sheetProtection selectLockedCells="0" selectUnlockedCells="0" sheet="1" objects="1" insertRows="1" insertHyperlinks="1" autoFilter="0" scenarios="1" formatColumns="0" deleteColumns="1" insertColumns="1" pivotTables="1" deleteRows="1" formatCells="0" formatRows="0" sort="0" password="8708"/>
  <mergeCells count="96">
    <mergeCell ref="B11:D11"/>
    <mergeCell ref="K24:L24"/>
    <mergeCell ref="C40:E40"/>
    <mergeCell ref="O15:P15"/>
    <mergeCell ref="H11:J11"/>
    <mergeCell ref="L3:M3"/>
    <mergeCell ref="E7:G7"/>
    <mergeCell ref="B6:D6"/>
    <mergeCell ref="M16:N16"/>
    <mergeCell ref="O16:P16"/>
    <mergeCell ref="M25:N25"/>
    <mergeCell ref="O25:P25"/>
    <mergeCell ref="K10:M10"/>
    <mergeCell ref="M18:N18"/>
    <mergeCell ref="M17:N17"/>
    <mergeCell ref="C42:E42"/>
    <mergeCell ref="O17:P17"/>
    <mergeCell ref="I4:P4"/>
    <mergeCell ref="B47:P47"/>
    <mergeCell ref="B46:P46"/>
    <mergeCell ref="M19:N19"/>
    <mergeCell ref="K11:M11"/>
    <mergeCell ref="B48:P48"/>
    <mergeCell ref="B3:C3"/>
    <mergeCell ref="B8:D8"/>
    <mergeCell ref="K15:L15"/>
    <mergeCell ref="B14:P14"/>
    <mergeCell ref="B1:P1"/>
    <mergeCell ref="N8:P8"/>
    <mergeCell ref="K12:M12"/>
    <mergeCell ref="H7:J7"/>
    <mergeCell ref="E6:G6"/>
    <mergeCell ref="K21:L21"/>
    <mergeCell ref="B10:D10"/>
    <mergeCell ref="B78:P78"/>
    <mergeCell ref="K8:M8"/>
    <mergeCell ref="N10:P10"/>
    <mergeCell ref="C39:E39"/>
    <mergeCell ref="F42:G42"/>
    <mergeCell ref="B49:P49"/>
    <mergeCell ref="K7:M7"/>
    <mergeCell ref="M21:N21"/>
    <mergeCell ref="B51:P51"/>
    <mergeCell ref="O21:P21"/>
    <mergeCell ref="B50:P50"/>
    <mergeCell ref="K17:L17"/>
    <mergeCell ref="H3:I3"/>
    <mergeCell ref="J3:K3"/>
    <mergeCell ref="M24:N24"/>
    <mergeCell ref="F39:G39"/>
    <mergeCell ref="E8:G8"/>
    <mergeCell ref="K19:L19"/>
    <mergeCell ref="N12:P12"/>
    <mergeCell ref="H6:J6"/>
    <mergeCell ref="K16:L16"/>
    <mergeCell ref="E10:G10"/>
    <mergeCell ref="K25:L25"/>
    <mergeCell ref="O19:P19"/>
    <mergeCell ref="E11:G11"/>
    <mergeCell ref="O20:P20"/>
    <mergeCell ref="O22:P22"/>
    <mergeCell ref="M15:N15"/>
    <mergeCell ref="H8:J8"/>
    <mergeCell ref="E12:G12"/>
    <mergeCell ref="K23:L23"/>
    <mergeCell ref="D3:E3"/>
    <mergeCell ref="N11:P11"/>
    <mergeCell ref="H10:J10"/>
    <mergeCell ref="M23:N23"/>
    <mergeCell ref="O23:P23"/>
    <mergeCell ref="B12:D12"/>
    <mergeCell ref="K18:L18"/>
    <mergeCell ref="B4:C4"/>
    <mergeCell ref="B52:P52"/>
    <mergeCell ref="B2:P2"/>
    <mergeCell ref="C41:E41"/>
    <mergeCell ref="O24:P24"/>
    <mergeCell ref="O18:P18"/>
    <mergeCell ref="F40:G40"/>
    <mergeCell ref="B53:P53"/>
    <mergeCell ref="F3:G3"/>
    <mergeCell ref="K20:L20"/>
    <mergeCell ref="M20:N20"/>
    <mergeCell ref="B28:P28"/>
    <mergeCell ref="H12:J12"/>
    <mergeCell ref="K22:L22"/>
    <mergeCell ref="F41:G41"/>
    <mergeCell ref="M22:N22"/>
    <mergeCell ref="N6:P6"/>
    <mergeCell ref="C43:G43"/>
    <mergeCell ref="K6:M6"/>
    <mergeCell ref="B7:D7"/>
    <mergeCell ref="N7:P7"/>
    <mergeCell ref="B54:P54"/>
    <mergeCell ref="B38:H38"/>
    <mergeCell ref="B56:P56"/>
  </mergeCells>
  <conditionalFormatting sqref="B7:D7">
    <cfRule type="expression" priority="1" dxfId="294" stopIfTrue="1">
      <formula>Devise_Base="XOF"</formula>
    </cfRule>
    <cfRule type="expression" priority="2" dxfId="295" stopIfTrue="1">
      <formula>Devise_Base="XAF"</formula>
    </cfRule>
    <cfRule type="expression" priority="3" dxfId="296" stopIfTrue="1">
      <formula>Devise_Base="EUR"</formula>
    </cfRule>
    <cfRule type="expression" priority="4" dxfId="297" stopIfTrue="1">
      <formula>Devise_Base="USD"</formula>
    </cfRule>
    <cfRule type="expression" priority="5" dxfId="298" stopIfTrue="1">
      <formula>Devise_Base="GBP"</formula>
    </cfRule>
    <cfRule type="expression" priority="6" dxfId="299" stopIfTrue="1">
      <formula>Devise_Base="CAD"</formula>
    </cfRule>
    <cfRule type="expression" priority="7" dxfId="300" stopIfTrue="1">
      <formula>Devise_Base="CHF"</formula>
    </cfRule>
    <cfRule type="expression" priority="8" dxfId="301" stopIfTrue="1">
      <formula>Devise_Base="MAD"</formula>
    </cfRule>
    <cfRule type="expression" priority="9" dxfId="302" stopIfTrue="1">
      <formula>Devise_Base="NGN"</formula>
    </cfRule>
    <cfRule type="expression" priority="10" dxfId="303" stopIfTrue="1">
      <formula>Devise_Base="GHS"</formula>
    </cfRule>
    <cfRule type="expression" priority="11" dxfId="304" stopIfTrue="1">
      <formula>Devise_Base="CDF"</formula>
    </cfRule>
    <cfRule type="expression" priority="12" dxfId="305" stopIfTrue="1">
      <formula>Devise_Base="ZAR"</formula>
    </cfRule>
    <cfRule type="expression" priority="13" dxfId="306" stopIfTrue="1">
      <formula>Devise_Base="AED"</formula>
    </cfRule>
    <cfRule type="expression" priority="14" dxfId="307" stopIfTrue="1">
      <formula>Devise_Base="MRU"</formula>
    </cfRule>
    <cfRule type="expression" priority="15" dxfId="308" stopIfTrue="1">
      <formula>Devise_Base="GNF"</formula>
    </cfRule>
  </conditionalFormatting>
  <conditionalFormatting sqref="E7:G7">
    <cfRule type="expression" priority="16" dxfId="309" stopIfTrue="1">
      <formula>Devise_Base="XOF"</formula>
    </cfRule>
    <cfRule type="expression" priority="17" dxfId="310" stopIfTrue="1">
      <formula>Devise_Base="XAF"</formula>
    </cfRule>
    <cfRule type="expression" priority="18" dxfId="311" stopIfTrue="1">
      <formula>Devise_Base="EUR"</formula>
    </cfRule>
    <cfRule type="expression" priority="19" dxfId="312" stopIfTrue="1">
      <formula>Devise_Base="USD"</formula>
    </cfRule>
    <cfRule type="expression" priority="20" dxfId="313" stopIfTrue="1">
      <formula>Devise_Base="GBP"</formula>
    </cfRule>
    <cfRule type="expression" priority="21" dxfId="314" stopIfTrue="1">
      <formula>Devise_Base="CAD"</formula>
    </cfRule>
    <cfRule type="expression" priority="22" dxfId="315" stopIfTrue="1">
      <formula>Devise_Base="CHF"</formula>
    </cfRule>
    <cfRule type="expression" priority="23" dxfId="316" stopIfTrue="1">
      <formula>Devise_Base="MAD"</formula>
    </cfRule>
    <cfRule type="expression" priority="24" dxfId="317" stopIfTrue="1">
      <formula>Devise_Base="NGN"</formula>
    </cfRule>
    <cfRule type="expression" priority="25" dxfId="318" stopIfTrue="1">
      <formula>Devise_Base="GHS"</formula>
    </cfRule>
    <cfRule type="expression" priority="26" dxfId="319" stopIfTrue="1">
      <formula>Devise_Base="CDF"</formula>
    </cfRule>
    <cfRule type="expression" priority="27" dxfId="320" stopIfTrue="1">
      <formula>Devise_Base="ZAR"</formula>
    </cfRule>
    <cfRule type="expression" priority="28" dxfId="321" stopIfTrue="1">
      <formula>Devise_Base="AED"</formula>
    </cfRule>
    <cfRule type="expression" priority="29" dxfId="322" stopIfTrue="1">
      <formula>Devise_Base="MRU"</formula>
    </cfRule>
    <cfRule type="expression" priority="30" dxfId="323" stopIfTrue="1">
      <formula>Devise_Base="GNF"</formula>
    </cfRule>
  </conditionalFormatting>
  <conditionalFormatting sqref="H7:J7">
    <cfRule type="expression" priority="31" dxfId="324" stopIfTrue="1">
      <formula>Devise_Base="XOF"</formula>
    </cfRule>
    <cfRule type="expression" priority="32" dxfId="325" stopIfTrue="1">
      <formula>Devise_Base="XAF"</formula>
    </cfRule>
    <cfRule type="expression" priority="33" dxfId="326" stopIfTrue="1">
      <formula>Devise_Base="EUR"</formula>
    </cfRule>
    <cfRule type="expression" priority="34" dxfId="327" stopIfTrue="1">
      <formula>Devise_Base="USD"</formula>
    </cfRule>
    <cfRule type="expression" priority="35" dxfId="328" stopIfTrue="1">
      <formula>Devise_Base="GBP"</formula>
    </cfRule>
    <cfRule type="expression" priority="36" dxfId="329" stopIfTrue="1">
      <formula>Devise_Base="CAD"</formula>
    </cfRule>
    <cfRule type="expression" priority="37" dxfId="330" stopIfTrue="1">
      <formula>Devise_Base="CHF"</formula>
    </cfRule>
    <cfRule type="expression" priority="38" dxfId="331" stopIfTrue="1">
      <formula>Devise_Base="MAD"</formula>
    </cfRule>
    <cfRule type="expression" priority="39" dxfId="332" stopIfTrue="1">
      <formula>Devise_Base="NGN"</formula>
    </cfRule>
    <cfRule type="expression" priority="40" dxfId="333" stopIfTrue="1">
      <formula>Devise_Base="GHS"</formula>
    </cfRule>
    <cfRule type="expression" priority="41" dxfId="334" stopIfTrue="1">
      <formula>Devise_Base="CDF"</formula>
    </cfRule>
    <cfRule type="expression" priority="42" dxfId="335" stopIfTrue="1">
      <formula>Devise_Base="ZAR"</formula>
    </cfRule>
    <cfRule type="expression" priority="43" dxfId="336" stopIfTrue="1">
      <formula>Devise_Base="AED"</formula>
    </cfRule>
    <cfRule type="expression" priority="44" dxfId="337" stopIfTrue="1">
      <formula>Devise_Base="MRU"</formula>
    </cfRule>
    <cfRule type="expression" priority="45" dxfId="338" stopIfTrue="1">
      <formula>Devise_Base="GNF"</formula>
    </cfRule>
  </conditionalFormatting>
  <conditionalFormatting sqref="K7:M7">
    <cfRule type="expression" priority="46" dxfId="339" stopIfTrue="1">
      <formula>Devise_Base="XOF"</formula>
    </cfRule>
    <cfRule type="expression" priority="47" dxfId="340" stopIfTrue="1">
      <formula>Devise_Base="XAF"</formula>
    </cfRule>
    <cfRule type="expression" priority="48" dxfId="341" stopIfTrue="1">
      <formula>Devise_Base="EUR"</formula>
    </cfRule>
    <cfRule type="expression" priority="49" dxfId="342" stopIfTrue="1">
      <formula>Devise_Base="USD"</formula>
    </cfRule>
    <cfRule type="expression" priority="50" dxfId="343" stopIfTrue="1">
      <formula>Devise_Base="GBP"</formula>
    </cfRule>
    <cfRule type="expression" priority="51" dxfId="344" stopIfTrue="1">
      <formula>Devise_Base="CAD"</formula>
    </cfRule>
    <cfRule type="expression" priority="52" dxfId="345" stopIfTrue="1">
      <formula>Devise_Base="CHF"</formula>
    </cfRule>
    <cfRule type="expression" priority="53" dxfId="346" stopIfTrue="1">
      <formula>Devise_Base="MAD"</formula>
    </cfRule>
    <cfRule type="expression" priority="54" dxfId="347" stopIfTrue="1">
      <formula>Devise_Base="NGN"</formula>
    </cfRule>
    <cfRule type="expression" priority="55" dxfId="348" stopIfTrue="1">
      <formula>Devise_Base="GHS"</formula>
    </cfRule>
    <cfRule type="expression" priority="56" dxfId="349" stopIfTrue="1">
      <formula>Devise_Base="CDF"</formula>
    </cfRule>
    <cfRule type="expression" priority="57" dxfId="350" stopIfTrue="1">
      <formula>Devise_Base="ZAR"</formula>
    </cfRule>
    <cfRule type="expression" priority="58" dxfId="351" stopIfTrue="1">
      <formula>Devise_Base="AED"</formula>
    </cfRule>
    <cfRule type="expression" priority="59" dxfId="352" stopIfTrue="1">
      <formula>Devise_Base="MRU"</formula>
    </cfRule>
    <cfRule type="expression" priority="60" dxfId="353" stopIfTrue="1">
      <formula>Devise_Base="GNF"</formula>
    </cfRule>
  </conditionalFormatting>
  <conditionalFormatting sqref="E11:G11">
    <cfRule type="expression" priority="61" dxfId="354" stopIfTrue="1">
      <formula>Devise_Base="XOF"</formula>
    </cfRule>
    <cfRule type="expression" priority="62" dxfId="355" stopIfTrue="1">
      <formula>Devise_Base="XAF"</formula>
    </cfRule>
    <cfRule type="expression" priority="63" dxfId="356" stopIfTrue="1">
      <formula>Devise_Base="EUR"</formula>
    </cfRule>
    <cfRule type="expression" priority="64" dxfId="357" stopIfTrue="1">
      <formula>Devise_Base="USD"</formula>
    </cfRule>
    <cfRule type="expression" priority="65" dxfId="358" stopIfTrue="1">
      <formula>Devise_Base="GBP"</formula>
    </cfRule>
    <cfRule type="expression" priority="66" dxfId="359" stopIfTrue="1">
      <formula>Devise_Base="CAD"</formula>
    </cfRule>
    <cfRule type="expression" priority="67" dxfId="360" stopIfTrue="1">
      <formula>Devise_Base="CHF"</formula>
    </cfRule>
    <cfRule type="expression" priority="68" dxfId="361" stopIfTrue="1">
      <formula>Devise_Base="MAD"</formula>
    </cfRule>
    <cfRule type="expression" priority="69" dxfId="362" stopIfTrue="1">
      <formula>Devise_Base="NGN"</formula>
    </cfRule>
    <cfRule type="expression" priority="70" dxfId="363" stopIfTrue="1">
      <formula>Devise_Base="GHS"</formula>
    </cfRule>
    <cfRule type="expression" priority="71" dxfId="364" stopIfTrue="1">
      <formula>Devise_Base="CDF"</formula>
    </cfRule>
    <cfRule type="expression" priority="72" dxfId="365" stopIfTrue="1">
      <formula>Devise_Base="ZAR"</formula>
    </cfRule>
    <cfRule type="expression" priority="73" dxfId="366" stopIfTrue="1">
      <formula>Devise_Base="AED"</formula>
    </cfRule>
    <cfRule type="expression" priority="74" dxfId="367" stopIfTrue="1">
      <formula>Devise_Base="MRU"</formula>
    </cfRule>
    <cfRule type="expression" priority="75" dxfId="368" stopIfTrue="1">
      <formula>Devise_Base="GNF"</formula>
    </cfRule>
  </conditionalFormatting>
  <conditionalFormatting sqref="H11:J11">
    <cfRule type="expression" priority="76" dxfId="369" stopIfTrue="1">
      <formula>Devise_Base="XOF"</formula>
    </cfRule>
    <cfRule type="expression" priority="77" dxfId="370" stopIfTrue="1">
      <formula>Devise_Base="XAF"</formula>
    </cfRule>
    <cfRule type="expression" priority="78" dxfId="371" stopIfTrue="1">
      <formula>Devise_Base="EUR"</formula>
    </cfRule>
    <cfRule type="expression" priority="79" dxfId="372" stopIfTrue="1">
      <formula>Devise_Base="USD"</formula>
    </cfRule>
    <cfRule type="expression" priority="80" dxfId="373" stopIfTrue="1">
      <formula>Devise_Base="GBP"</formula>
    </cfRule>
    <cfRule type="expression" priority="81" dxfId="374" stopIfTrue="1">
      <formula>Devise_Base="CAD"</formula>
    </cfRule>
    <cfRule type="expression" priority="82" dxfId="375" stopIfTrue="1">
      <formula>Devise_Base="CHF"</formula>
    </cfRule>
    <cfRule type="expression" priority="83" dxfId="376" stopIfTrue="1">
      <formula>Devise_Base="MAD"</formula>
    </cfRule>
    <cfRule type="expression" priority="84" dxfId="377" stopIfTrue="1">
      <formula>Devise_Base="NGN"</formula>
    </cfRule>
    <cfRule type="expression" priority="85" dxfId="378" stopIfTrue="1">
      <formula>Devise_Base="GHS"</formula>
    </cfRule>
    <cfRule type="expression" priority="86" dxfId="379" stopIfTrue="1">
      <formula>Devise_Base="CDF"</formula>
    </cfRule>
    <cfRule type="expression" priority="87" dxfId="380" stopIfTrue="1">
      <formula>Devise_Base="ZAR"</formula>
    </cfRule>
    <cfRule type="expression" priority="88" dxfId="381" stopIfTrue="1">
      <formula>Devise_Base="AED"</formula>
    </cfRule>
    <cfRule type="expression" priority="89" dxfId="382" stopIfTrue="1">
      <formula>Devise_Base="MRU"</formula>
    </cfRule>
    <cfRule type="expression" priority="90" dxfId="383" stopIfTrue="1">
      <formula>Devise_Base="GNF"</formula>
    </cfRule>
  </conditionalFormatting>
  <conditionalFormatting sqref="K11:M11">
    <cfRule type="expression" priority="91" dxfId="384" stopIfTrue="1">
      <formula>Devise_Base="XOF"</formula>
    </cfRule>
    <cfRule type="expression" priority="92" dxfId="385" stopIfTrue="1">
      <formula>Devise_Base="XAF"</formula>
    </cfRule>
    <cfRule type="expression" priority="93" dxfId="386" stopIfTrue="1">
      <formula>Devise_Base="EUR"</formula>
    </cfRule>
    <cfRule type="expression" priority="94" dxfId="387" stopIfTrue="1">
      <formula>Devise_Base="USD"</formula>
    </cfRule>
    <cfRule type="expression" priority="95" dxfId="388" stopIfTrue="1">
      <formula>Devise_Base="GBP"</formula>
    </cfRule>
    <cfRule type="expression" priority="96" dxfId="389" stopIfTrue="1">
      <formula>Devise_Base="CAD"</formula>
    </cfRule>
    <cfRule type="expression" priority="97" dxfId="390" stopIfTrue="1">
      <formula>Devise_Base="CHF"</formula>
    </cfRule>
    <cfRule type="expression" priority="98" dxfId="391" stopIfTrue="1">
      <formula>Devise_Base="MAD"</formula>
    </cfRule>
    <cfRule type="expression" priority="99" dxfId="392" stopIfTrue="1">
      <formula>Devise_Base="NGN"</formula>
    </cfRule>
    <cfRule type="expression" priority="100" dxfId="393" stopIfTrue="1">
      <formula>Devise_Base="GHS"</formula>
    </cfRule>
    <cfRule type="expression" priority="101" dxfId="394" stopIfTrue="1">
      <formula>Devise_Base="CDF"</formula>
    </cfRule>
    <cfRule type="expression" priority="102" dxfId="395" stopIfTrue="1">
      <formula>Devise_Base="ZAR"</formula>
    </cfRule>
    <cfRule type="expression" priority="103" dxfId="396" stopIfTrue="1">
      <formula>Devise_Base="AED"</formula>
    </cfRule>
    <cfRule type="expression" priority="104" dxfId="397" stopIfTrue="1">
      <formula>Devise_Base="MRU"</formula>
    </cfRule>
    <cfRule type="expression" priority="105" dxfId="398" stopIfTrue="1">
      <formula>Devise_Base="GNF"</formula>
    </cfRule>
  </conditionalFormatting>
  <conditionalFormatting sqref="N11:P11">
    <cfRule type="expression" priority="106" dxfId="399" stopIfTrue="1">
      <formula>Devise_Base="XOF"</formula>
    </cfRule>
    <cfRule type="expression" priority="107" dxfId="400" stopIfTrue="1">
      <formula>Devise_Base="XAF"</formula>
    </cfRule>
    <cfRule type="expression" priority="108" dxfId="401" stopIfTrue="1">
      <formula>Devise_Base="EUR"</formula>
    </cfRule>
    <cfRule type="expression" priority="109" dxfId="402" stopIfTrue="1">
      <formula>Devise_Base="USD"</formula>
    </cfRule>
    <cfRule type="expression" priority="110" dxfId="403" stopIfTrue="1">
      <formula>Devise_Base="GBP"</formula>
    </cfRule>
    <cfRule type="expression" priority="111" dxfId="404" stopIfTrue="1">
      <formula>Devise_Base="CAD"</formula>
    </cfRule>
    <cfRule type="expression" priority="112" dxfId="405" stopIfTrue="1">
      <formula>Devise_Base="CHF"</formula>
    </cfRule>
    <cfRule type="expression" priority="113" dxfId="406" stopIfTrue="1">
      <formula>Devise_Base="MAD"</formula>
    </cfRule>
    <cfRule type="expression" priority="114" dxfId="407" stopIfTrue="1">
      <formula>Devise_Base="NGN"</formula>
    </cfRule>
    <cfRule type="expression" priority="115" dxfId="408" stopIfTrue="1">
      <formula>Devise_Base="GHS"</formula>
    </cfRule>
    <cfRule type="expression" priority="116" dxfId="409" stopIfTrue="1">
      <formula>Devise_Base="CDF"</formula>
    </cfRule>
    <cfRule type="expression" priority="117" dxfId="410" stopIfTrue="1">
      <formula>Devise_Base="ZAR"</formula>
    </cfRule>
    <cfRule type="expression" priority="118" dxfId="411" stopIfTrue="1">
      <formula>Devise_Base="AED"</formula>
    </cfRule>
    <cfRule type="expression" priority="119" dxfId="412" stopIfTrue="1">
      <formula>Devise_Base="MRU"</formula>
    </cfRule>
    <cfRule type="expression" priority="120" dxfId="413" stopIfTrue="1">
      <formula>Devise_Base="GNF"</formula>
    </cfRule>
  </conditionalFormatting>
  <conditionalFormatting sqref="K16:P25">
    <cfRule type="expression" priority="121" dxfId="75" stopIfTrue="0">
      <formula>MOD(ROW()-16,2)=1</formula>
    </cfRule>
  </conditionalFormatting>
  <conditionalFormatting sqref="O16:P25">
    <cfRule type="dataBar" priority="122">
      <dataBar showValue="1">
        <cfvo type="num" val="0"/>
        <cfvo type="num" val="1"/>
        <color rgb="00E07B22"/>
      </dataBar>
    </cfRule>
  </conditionalFormatting>
  <conditionalFormatting sqref="M16:N25">
    <cfRule type="expression" priority="123" dxfId="414" stopIfTrue="1">
      <formula>Devise_Base="XOF"</formula>
    </cfRule>
    <cfRule type="expression" priority="124" dxfId="415" stopIfTrue="1">
      <formula>Devise_Base="XAF"</formula>
    </cfRule>
    <cfRule type="expression" priority="125" dxfId="416" stopIfTrue="1">
      <formula>Devise_Base="EUR"</formula>
    </cfRule>
    <cfRule type="expression" priority="126" dxfId="417" stopIfTrue="1">
      <formula>Devise_Base="USD"</formula>
    </cfRule>
    <cfRule type="expression" priority="127" dxfId="418" stopIfTrue="1">
      <formula>Devise_Base="GBP"</formula>
    </cfRule>
    <cfRule type="expression" priority="128" dxfId="419" stopIfTrue="1">
      <formula>Devise_Base="CAD"</formula>
    </cfRule>
    <cfRule type="expression" priority="129" dxfId="420" stopIfTrue="1">
      <formula>Devise_Base="CHF"</formula>
    </cfRule>
    <cfRule type="expression" priority="130" dxfId="421" stopIfTrue="1">
      <formula>Devise_Base="MAD"</formula>
    </cfRule>
    <cfRule type="expression" priority="131" dxfId="422" stopIfTrue="1">
      <formula>Devise_Base="NGN"</formula>
    </cfRule>
    <cfRule type="expression" priority="132" dxfId="423" stopIfTrue="1">
      <formula>Devise_Base="GHS"</formula>
    </cfRule>
    <cfRule type="expression" priority="133" dxfId="424" stopIfTrue="1">
      <formula>Devise_Base="CDF"</formula>
    </cfRule>
    <cfRule type="expression" priority="134" dxfId="425" stopIfTrue="1">
      <formula>Devise_Base="ZAR"</formula>
    </cfRule>
    <cfRule type="expression" priority="135" dxfId="426" stopIfTrue="1">
      <formula>Devise_Base="AED"</formula>
    </cfRule>
    <cfRule type="expression" priority="136" dxfId="427" stopIfTrue="1">
      <formula>Devise_Base="MRU"</formula>
    </cfRule>
    <cfRule type="expression" priority="137" dxfId="428" stopIfTrue="1">
      <formula>Devise_Base="GNF"</formula>
    </cfRule>
  </conditionalFormatting>
  <conditionalFormatting sqref="F30:F33">
    <cfRule type="cellIs" priority="138" operator="greaterThan" dxfId="76">
      <formula>0</formula>
    </cfRule>
    <cfRule type="cellIs" priority="139" operator="lessThan" dxfId="77">
      <formula>0</formula>
    </cfRule>
  </conditionalFormatting>
  <conditionalFormatting sqref="D30:F34">
    <cfRule type="expression" priority="140" dxfId="429" stopIfTrue="1">
      <formula>Devise_Base="XOF"</formula>
    </cfRule>
    <cfRule type="expression" priority="141" dxfId="430" stopIfTrue="1">
      <formula>Devise_Base="XAF"</formula>
    </cfRule>
    <cfRule type="expression" priority="142" dxfId="431" stopIfTrue="1">
      <formula>Devise_Base="EUR"</formula>
    </cfRule>
    <cfRule type="expression" priority="143" dxfId="432" stopIfTrue="1">
      <formula>Devise_Base="USD"</formula>
    </cfRule>
    <cfRule type="expression" priority="144" dxfId="433" stopIfTrue="1">
      <formula>Devise_Base="GBP"</formula>
    </cfRule>
    <cfRule type="expression" priority="145" dxfId="434" stopIfTrue="1">
      <formula>Devise_Base="CAD"</formula>
    </cfRule>
    <cfRule type="expression" priority="146" dxfId="435" stopIfTrue="1">
      <formula>Devise_Base="CHF"</formula>
    </cfRule>
    <cfRule type="expression" priority="147" dxfId="436" stopIfTrue="1">
      <formula>Devise_Base="MAD"</formula>
    </cfRule>
    <cfRule type="expression" priority="148" dxfId="437" stopIfTrue="1">
      <formula>Devise_Base="NGN"</formula>
    </cfRule>
    <cfRule type="expression" priority="149" dxfId="438" stopIfTrue="1">
      <formula>Devise_Base="GHS"</formula>
    </cfRule>
    <cfRule type="expression" priority="150" dxfId="439" stopIfTrue="1">
      <formula>Devise_Base="CDF"</formula>
    </cfRule>
    <cfRule type="expression" priority="151" dxfId="440" stopIfTrue="1">
      <formula>Devise_Base="ZAR"</formula>
    </cfRule>
    <cfRule type="expression" priority="152" dxfId="441" stopIfTrue="1">
      <formula>Devise_Base="AED"</formula>
    </cfRule>
    <cfRule type="expression" priority="153" dxfId="442" stopIfTrue="1">
      <formula>Devise_Base="MRU"</formula>
    </cfRule>
    <cfRule type="expression" priority="154" dxfId="443" stopIfTrue="1">
      <formula>Devise_Base="GNF"</formula>
    </cfRule>
  </conditionalFormatting>
  <conditionalFormatting sqref="F39:G42">
    <cfRule type="expression" priority="155" dxfId="444" stopIfTrue="1">
      <formula>Devise_Base="XOF"</formula>
    </cfRule>
    <cfRule type="expression" priority="156" dxfId="445" stopIfTrue="1">
      <formula>Devise_Base="XAF"</formula>
    </cfRule>
    <cfRule type="expression" priority="157" dxfId="446" stopIfTrue="1">
      <formula>Devise_Base="EUR"</formula>
    </cfRule>
    <cfRule type="expression" priority="158" dxfId="447" stopIfTrue="1">
      <formula>Devise_Base="USD"</formula>
    </cfRule>
    <cfRule type="expression" priority="159" dxfId="448" stopIfTrue="1">
      <formula>Devise_Base="GBP"</formula>
    </cfRule>
    <cfRule type="expression" priority="160" dxfId="449" stopIfTrue="1">
      <formula>Devise_Base="CAD"</formula>
    </cfRule>
    <cfRule type="expression" priority="161" dxfId="450" stopIfTrue="1">
      <formula>Devise_Base="CHF"</formula>
    </cfRule>
    <cfRule type="expression" priority="162" dxfId="451" stopIfTrue="1">
      <formula>Devise_Base="MAD"</formula>
    </cfRule>
    <cfRule type="expression" priority="163" dxfId="452" stopIfTrue="1">
      <formula>Devise_Base="NGN"</formula>
    </cfRule>
    <cfRule type="expression" priority="164" dxfId="453" stopIfTrue="1">
      <formula>Devise_Base="GHS"</formula>
    </cfRule>
    <cfRule type="expression" priority="165" dxfId="454" stopIfTrue="1">
      <formula>Devise_Base="CDF"</formula>
    </cfRule>
    <cfRule type="expression" priority="166" dxfId="455" stopIfTrue="1">
      <formula>Devise_Base="ZAR"</formula>
    </cfRule>
    <cfRule type="expression" priority="167" dxfId="456" stopIfTrue="1">
      <formula>Devise_Base="AED"</formula>
    </cfRule>
    <cfRule type="expression" priority="168" dxfId="457" stopIfTrue="1">
      <formula>Devise_Base="MRU"</formula>
    </cfRule>
    <cfRule type="expression" priority="169" dxfId="458" stopIfTrue="1">
      <formula>Devise_Base="GNF"</formula>
    </cfRule>
  </conditionalFormatting>
  <conditionalFormatting sqref="B47:P54">
    <cfRule type="expression" priority="170" dxfId="459" stopIfTrue="0">
      <formula>ISNUMBER(SEARCH("🔴",$B47))</formula>
    </cfRule>
    <cfRule type="expression" priority="171" dxfId="460" stopIfTrue="0">
      <formula>ISNUMBER(SEARCH("🟠",$B47))</formula>
    </cfRule>
    <cfRule type="expression" priority="172" dxfId="461" stopIfTrue="0">
      <formula>ISNUMBER(SEARCH("🟢",$B47))</formula>
    </cfRule>
  </conditionalFormatting>
  <dataValidations count="2">
    <dataValidation sqref="D4" showDropDown="0" showInputMessage="0" showErrorMessage="0" allowBlank="0" type="whole" operator="between">
      <formula1>2000</formula1>
      <formula2>2100</formula2>
    </dataValidation>
    <dataValidation sqref="G4" showDropDown="0" showInputMessage="0" showErrorMessage="0" allowBlank="0" type="list">
      <formula1>Liste_Mois</formula1>
    </dataValidation>
  </dataValidations>
  <hyperlinks>
    <hyperlink ref="B3" location="'Accueil'!A1"/>
    <hyperlink ref="D3" location="'Paramètres'!A1"/>
    <hyperlink ref="F3" location="'Estimation Annuelle'!A1"/>
    <hyperlink ref="H3" location="'Journal'!A1"/>
    <hyperlink ref="L3" location="'Budget 12 Mois'!A1"/>
  </hyperlink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B8860B"/>
    <outlinePr summaryBelow="1" summaryRight="1"/>
    <pageSetUpPr/>
  </sheetPr>
  <dimension ref="A1:AE136"/>
  <sheetViews>
    <sheetView showGridLines="0" zoomScale="70" workbookViewId="0">
      <pane xSplit="3" ySplit="9" topLeftCell="D10" activePane="bottomRight" state="frozen"/>
      <selection pane="topRight"/>
      <selection pane="bottomLeft"/>
      <selection pane="bottomRight" activeCell="A1" sqref="A1"/>
    </sheetView>
  </sheetViews>
  <sheetFormatPr baseColWidth="8" defaultRowHeight="15"/>
  <cols>
    <col width="2" customWidth="1" min="1" max="1"/>
    <col width="4" customWidth="1" min="2" max="2"/>
    <col width="4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5" customWidth="1" min="28" max="28"/>
    <col width="15" customWidth="1" min="29" max="29"/>
    <col width="15" customWidth="1" min="30" max="30"/>
    <col width="12" customWidth="1" min="31" max="31"/>
  </cols>
  <sheetData>
    <row r="1" ht="52" customHeight="1">
      <c r="B1" s="46" t="inlineStr">
        <is>
          <t>BUDGET 12 MOIS — ENTRÉES &amp; SORTIES</t>
        </is>
      </c>
      <c r="C1" s="47" t="n"/>
      <c r="D1" s="47" t="n"/>
      <c r="E1" s="47" t="n"/>
      <c r="F1" s="47" t="n"/>
      <c r="G1" s="47" t="n"/>
      <c r="H1" s="47" t="n"/>
      <c r="I1" s="47" t="n"/>
      <c r="J1" s="47" t="n"/>
      <c r="K1" s="47" t="n"/>
      <c r="L1" s="47" t="n"/>
      <c r="M1" s="47" t="n"/>
      <c r="N1" s="47" t="n"/>
      <c r="O1" s="47" t="n"/>
      <c r="P1" s="47" t="n"/>
      <c r="Q1" s="47" t="n"/>
      <c r="R1" s="47" t="n"/>
      <c r="S1" s="47" t="n"/>
      <c r="T1" s="47" t="n"/>
      <c r="U1" s="47" t="n"/>
      <c r="V1" s="47" t="n"/>
      <c r="W1" s="47" t="n"/>
      <c r="X1" s="47" t="n"/>
      <c r="Y1" s="47" t="n"/>
      <c r="Z1" s="47" t="n"/>
      <c r="AA1" s="47" t="n"/>
      <c r="AB1" s="47" t="n"/>
      <c r="AC1" s="47" t="n"/>
      <c r="AD1" s="47" t="n"/>
      <c r="AE1" s="47" t="n"/>
    </row>
    <row r="2" ht="20" customHeight="1">
      <c r="B2" s="114">
        <f>"Année "&amp;Annee_Travail&amp;"  •  "&amp;Nom_Foyer&amp;"  •  Prévu issu du Estimation annuelle, Réel issu du Journal  •  montants en "&amp;Devise_Base</f>
        <v/>
      </c>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c r="AB2" s="7" t="n"/>
      <c r="AC2" s="7" t="n"/>
      <c r="AD2" s="7" t="n"/>
      <c r="AE2" s="7" t="n"/>
    </row>
    <row r="3" ht="20" customHeight="1">
      <c r="B3" s="49" t="inlineStr">
        <is>
          <t>⌂  ACCUEIL</t>
        </is>
      </c>
      <c r="C3" s="42" t="n"/>
      <c r="D3" s="42" t="n"/>
      <c r="E3" s="42" t="n"/>
      <c r="F3" s="42" t="n"/>
      <c r="G3" s="49" t="inlineStr">
        <is>
          <t>①  MES INFOS</t>
        </is>
      </c>
      <c r="H3" s="42" t="n"/>
      <c r="I3" s="42" t="n"/>
      <c r="J3" s="42" t="n"/>
      <c r="K3" s="42" t="n"/>
      <c r="L3" s="49" t="inlineStr">
        <is>
          <t>②  ESTIMATION</t>
        </is>
      </c>
      <c r="M3" s="42" t="n"/>
      <c r="N3" s="42" t="n"/>
      <c r="O3" s="42" t="n"/>
      <c r="P3" s="42" t="n"/>
      <c r="Q3" s="49" t="inlineStr">
        <is>
          <t>③  BUDGET SMART</t>
        </is>
      </c>
      <c r="R3" s="42" t="n"/>
      <c r="S3" s="42" t="n"/>
      <c r="T3" s="42" t="n"/>
      <c r="U3" s="42" t="n"/>
      <c r="V3" s="49" t="inlineStr">
        <is>
          <t>TABLEAU DE BORD</t>
        </is>
      </c>
      <c r="W3" s="42" t="n"/>
      <c r="X3" s="42" t="n"/>
      <c r="Y3" s="42" t="n"/>
      <c r="Z3" s="42" t="n"/>
      <c r="AA3" s="50" t="inlineStr">
        <is>
          <t>BUDGET 12 MOIS</t>
        </is>
      </c>
      <c r="AB3" s="51" t="n"/>
      <c r="AC3" s="51" t="n"/>
      <c r="AD3" s="51" t="n"/>
      <c r="AE3" s="51" t="n"/>
    </row>
    <row r="4" ht="6" customHeight="1"/>
    <row r="5" ht="30" customHeight="1">
      <c r="B5" s="41" t="inlineStr">
        <is>
          <t>Cette feuille ne se remplit pas à la main. Colonne « Prévu » = ce que vous avez inscrit dans le Estimation annuelle. Colonne « Réel » = ce que vous avez enregistré dans le Journal. Changez l'année en haut du Tableau de bord.</t>
        </is>
      </c>
      <c r="C5" s="42" t="n"/>
      <c r="D5" s="42" t="n"/>
      <c r="E5" s="42" t="n"/>
      <c r="F5" s="42" t="n"/>
      <c r="G5" s="42" t="n"/>
      <c r="H5" s="42" t="n"/>
      <c r="I5" s="42" t="n"/>
      <c r="J5" s="42" t="n"/>
      <c r="K5" s="42" t="n"/>
      <c r="L5" s="42" t="n"/>
      <c r="M5" s="42" t="n"/>
      <c r="N5" s="42" t="n"/>
      <c r="O5" s="42" t="n"/>
      <c r="P5" s="42" t="n"/>
      <c r="Q5" s="42" t="n"/>
      <c r="R5" s="42" t="n"/>
      <c r="S5" s="42" t="n"/>
      <c r="T5" s="42" t="n"/>
      <c r="U5" s="42" t="n"/>
      <c r="V5" s="42" t="n"/>
      <c r="W5" s="42" t="n"/>
      <c r="X5" s="42" t="n"/>
      <c r="Y5" s="42" t="n"/>
      <c r="Z5" s="42" t="n"/>
      <c r="AA5" s="42" t="n"/>
      <c r="AB5" s="42" t="n"/>
      <c r="AC5" s="42" t="n"/>
      <c r="AD5" s="42" t="n"/>
      <c r="AE5" s="42" t="n"/>
    </row>
    <row r="6"/>
    <row r="7"/>
    <row r="8" ht="22" customHeight="1">
      <c r="B8" s="145" t="inlineStr">
        <is>
          <t>POSTE</t>
        </is>
      </c>
      <c r="C8" s="47" t="n"/>
      <c r="D8" s="146" t="inlineStr">
        <is>
          <t>Janvier</t>
        </is>
      </c>
      <c r="E8" s="47" t="n"/>
      <c r="F8" s="147" t="inlineStr">
        <is>
          <t>Février</t>
        </is>
      </c>
      <c r="G8" s="7" t="n"/>
      <c r="H8" s="146" t="inlineStr">
        <is>
          <t>Mars</t>
        </is>
      </c>
      <c r="I8" s="47" t="n"/>
      <c r="J8" s="147" t="inlineStr">
        <is>
          <t>Avril</t>
        </is>
      </c>
      <c r="K8" s="7" t="n"/>
      <c r="L8" s="146" t="inlineStr">
        <is>
          <t>Mai</t>
        </is>
      </c>
      <c r="M8" s="47" t="n"/>
      <c r="N8" s="147" t="inlineStr">
        <is>
          <t>Juin</t>
        </is>
      </c>
      <c r="O8" s="7" t="n"/>
      <c r="P8" s="146" t="inlineStr">
        <is>
          <t>Juillet</t>
        </is>
      </c>
      <c r="Q8" s="47" t="n"/>
      <c r="R8" s="147" t="inlineStr">
        <is>
          <t>Août</t>
        </is>
      </c>
      <c r="S8" s="7" t="n"/>
      <c r="T8" s="146" t="inlineStr">
        <is>
          <t>Septembre</t>
        </is>
      </c>
      <c r="U8" s="47" t="n"/>
      <c r="V8" s="147" t="inlineStr">
        <is>
          <t>Octobre</t>
        </is>
      </c>
      <c r="W8" s="7" t="n"/>
      <c r="X8" s="146" t="inlineStr">
        <is>
          <t>Novembre</t>
        </is>
      </c>
      <c r="Y8" s="47" t="n"/>
      <c r="Z8" s="147" t="inlineStr">
        <is>
          <t>Décembre</t>
        </is>
      </c>
      <c r="AA8" s="7" t="n"/>
      <c r="AB8" s="148" t="inlineStr">
        <is>
          <t>TOTAL DE L'ANNÉE</t>
        </is>
      </c>
      <c r="AC8" s="3" t="n"/>
      <c r="AD8" s="3" t="n"/>
      <c r="AE8" s="3" t="n"/>
    </row>
    <row r="9" ht="22" customHeight="1">
      <c r="B9" s="47" t="n"/>
      <c r="C9" s="47" t="n"/>
      <c r="D9" s="149" t="inlineStr">
        <is>
          <t>Prévu</t>
        </is>
      </c>
      <c r="E9" s="149" t="inlineStr">
        <is>
          <t>Réel</t>
        </is>
      </c>
      <c r="F9" s="149" t="inlineStr">
        <is>
          <t>Prévu</t>
        </is>
      </c>
      <c r="G9" s="149" t="inlineStr">
        <is>
          <t>Réel</t>
        </is>
      </c>
      <c r="H9" s="149" t="inlineStr">
        <is>
          <t>Prévu</t>
        </is>
      </c>
      <c r="I9" s="149" t="inlineStr">
        <is>
          <t>Réel</t>
        </is>
      </c>
      <c r="J9" s="149" t="inlineStr">
        <is>
          <t>Prévu</t>
        </is>
      </c>
      <c r="K9" s="149" t="inlineStr">
        <is>
          <t>Réel</t>
        </is>
      </c>
      <c r="L9" s="149" t="inlineStr">
        <is>
          <t>Prévu</t>
        </is>
      </c>
      <c r="M9" s="149" t="inlineStr">
        <is>
          <t>Réel</t>
        </is>
      </c>
      <c r="N9" s="149" t="inlineStr">
        <is>
          <t>Prévu</t>
        </is>
      </c>
      <c r="O9" s="149" t="inlineStr">
        <is>
          <t>Réel</t>
        </is>
      </c>
      <c r="P9" s="149" t="inlineStr">
        <is>
          <t>Prévu</t>
        </is>
      </c>
      <c r="Q9" s="149" t="inlineStr">
        <is>
          <t>Réel</t>
        </is>
      </c>
      <c r="R9" s="149" t="inlineStr">
        <is>
          <t>Prévu</t>
        </is>
      </c>
      <c r="S9" s="149" t="inlineStr">
        <is>
          <t>Réel</t>
        </is>
      </c>
      <c r="T9" s="149" t="inlineStr">
        <is>
          <t>Prévu</t>
        </is>
      </c>
      <c r="U9" s="149" t="inlineStr">
        <is>
          <t>Réel</t>
        </is>
      </c>
      <c r="V9" s="149" t="inlineStr">
        <is>
          <t>Prévu</t>
        </is>
      </c>
      <c r="W9" s="149" t="inlineStr">
        <is>
          <t>Réel</t>
        </is>
      </c>
      <c r="X9" s="149" t="inlineStr">
        <is>
          <t>Prévu</t>
        </is>
      </c>
      <c r="Y9" s="149" t="inlineStr">
        <is>
          <t>Réel</t>
        </is>
      </c>
      <c r="Z9" s="149" t="inlineStr">
        <is>
          <t>Prévu</t>
        </is>
      </c>
      <c r="AA9" s="149" t="inlineStr">
        <is>
          <t>Réel</t>
        </is>
      </c>
      <c r="AB9" s="150" t="inlineStr">
        <is>
          <t>Prévu</t>
        </is>
      </c>
      <c r="AC9" s="150" t="inlineStr">
        <is>
          <t>Réel</t>
        </is>
      </c>
      <c r="AD9" s="150" t="inlineStr">
        <is>
          <t>Écart</t>
        </is>
      </c>
      <c r="AE9" s="150" t="inlineStr">
        <is>
          <t>% consommé</t>
        </is>
      </c>
    </row>
    <row r="10" ht="24" customHeight="1">
      <c r="B10" s="151" t="inlineStr">
        <is>
          <t>A ▸ ENTRÉES — REVENUS</t>
        </is>
      </c>
      <c r="C10" s="152" t="n"/>
      <c r="D10" s="153" t="n"/>
      <c r="E10" s="153" t="n"/>
      <c r="F10" s="153" t="n"/>
      <c r="G10" s="153" t="n"/>
      <c r="H10" s="153" t="n"/>
      <c r="I10" s="153" t="n"/>
      <c r="J10" s="153" t="n"/>
      <c r="K10" s="153" t="n"/>
      <c r="L10" s="153" t="n"/>
      <c r="M10" s="153" t="n"/>
      <c r="N10" s="153" t="n"/>
      <c r="O10" s="153" t="n"/>
      <c r="P10" s="153" t="n"/>
      <c r="Q10" s="153" t="n"/>
      <c r="R10" s="153" t="n"/>
      <c r="S10" s="153" t="n"/>
      <c r="T10" s="153" t="n"/>
      <c r="U10" s="153" t="n"/>
      <c r="V10" s="153" t="n"/>
      <c r="W10" s="153" t="n"/>
      <c r="X10" s="153" t="n"/>
      <c r="Y10" s="153" t="n"/>
      <c r="Z10" s="153" t="n"/>
      <c r="AA10" s="153" t="n"/>
      <c r="AB10" s="154" t="n"/>
      <c r="AC10" s="154" t="n"/>
      <c r="AD10" s="155" t="n"/>
      <c r="AE10" s="155" t="n"/>
    </row>
    <row r="11">
      <c r="B11" s="156" t="n">
        <v>1</v>
      </c>
      <c r="C11" s="157" t="inlineStr">
        <is>
          <t>Salaire</t>
        </is>
      </c>
      <c r="D11" s="158">
        <f>IF($C11="",0,SUMIFS(P_M1,P_Annee,Annee_Travail,P_Cat,$C11,P_Type,"Revenu"))</f>
        <v/>
      </c>
      <c r="E11" s="159">
        <f>IF($C11="",0,SUMIFS(J_Montant,J_Annee,Annee_Travail,J_Mois,1,J_Cat,$C11,J_Type,"Revenu",J_Statut,"&lt;&gt;Annulé",J_Statut,"&lt;&gt;Prévu"))</f>
        <v/>
      </c>
      <c r="F11" s="158">
        <f>IF($C11="",0,SUMIFS(P_M2,P_Annee,Annee_Travail,P_Cat,$C11,P_Type,"Revenu"))</f>
        <v/>
      </c>
      <c r="G11" s="159">
        <f>IF($C11="",0,SUMIFS(J_Montant,J_Annee,Annee_Travail,J_Mois,2,J_Cat,$C11,J_Type,"Revenu",J_Statut,"&lt;&gt;Annulé",J_Statut,"&lt;&gt;Prévu"))</f>
        <v/>
      </c>
      <c r="H11" s="158">
        <f>IF($C11="",0,SUMIFS(P_M3,P_Annee,Annee_Travail,P_Cat,$C11,P_Type,"Revenu"))</f>
        <v/>
      </c>
      <c r="I11" s="159">
        <f>IF($C11="",0,SUMIFS(J_Montant,J_Annee,Annee_Travail,J_Mois,3,J_Cat,$C11,J_Type,"Revenu",J_Statut,"&lt;&gt;Annulé",J_Statut,"&lt;&gt;Prévu"))</f>
        <v/>
      </c>
      <c r="J11" s="158">
        <f>IF($C11="",0,SUMIFS(P_M4,P_Annee,Annee_Travail,P_Cat,$C11,P_Type,"Revenu"))</f>
        <v/>
      </c>
      <c r="K11" s="159">
        <f>IF($C11="",0,SUMIFS(J_Montant,J_Annee,Annee_Travail,J_Mois,4,J_Cat,$C11,J_Type,"Revenu",J_Statut,"&lt;&gt;Annulé",J_Statut,"&lt;&gt;Prévu"))</f>
        <v/>
      </c>
      <c r="L11" s="158">
        <f>IF($C11="",0,SUMIFS(P_M5,P_Annee,Annee_Travail,P_Cat,$C11,P_Type,"Revenu"))</f>
        <v/>
      </c>
      <c r="M11" s="159">
        <f>IF($C11="",0,SUMIFS(J_Montant,J_Annee,Annee_Travail,J_Mois,5,J_Cat,$C11,J_Type,"Revenu",J_Statut,"&lt;&gt;Annulé",J_Statut,"&lt;&gt;Prévu"))</f>
        <v/>
      </c>
      <c r="N11" s="158">
        <f>IF($C11="",0,SUMIFS(P_M6,P_Annee,Annee_Travail,P_Cat,$C11,P_Type,"Revenu"))</f>
        <v/>
      </c>
      <c r="O11" s="159">
        <f>IF($C11="",0,SUMIFS(J_Montant,J_Annee,Annee_Travail,J_Mois,6,J_Cat,$C11,J_Type,"Revenu",J_Statut,"&lt;&gt;Annulé",J_Statut,"&lt;&gt;Prévu"))</f>
        <v/>
      </c>
      <c r="P11" s="158">
        <f>IF($C11="",0,SUMIFS(P_M7,P_Annee,Annee_Travail,P_Cat,$C11,P_Type,"Revenu"))</f>
        <v/>
      </c>
      <c r="Q11" s="159">
        <f>IF($C11="",0,SUMIFS(J_Montant,J_Annee,Annee_Travail,J_Mois,7,J_Cat,$C11,J_Type,"Revenu",J_Statut,"&lt;&gt;Annulé",J_Statut,"&lt;&gt;Prévu"))</f>
        <v/>
      </c>
      <c r="R11" s="158">
        <f>IF($C11="",0,SUMIFS(P_M8,P_Annee,Annee_Travail,P_Cat,$C11,P_Type,"Revenu"))</f>
        <v/>
      </c>
      <c r="S11" s="159">
        <f>IF($C11="",0,SUMIFS(J_Montant,J_Annee,Annee_Travail,J_Mois,8,J_Cat,$C11,J_Type,"Revenu",J_Statut,"&lt;&gt;Annulé",J_Statut,"&lt;&gt;Prévu"))</f>
        <v/>
      </c>
      <c r="T11" s="158">
        <f>IF($C11="",0,SUMIFS(P_M9,P_Annee,Annee_Travail,P_Cat,$C11,P_Type,"Revenu"))</f>
        <v/>
      </c>
      <c r="U11" s="159">
        <f>IF($C11="",0,SUMIFS(J_Montant,J_Annee,Annee_Travail,J_Mois,9,J_Cat,$C11,J_Type,"Revenu",J_Statut,"&lt;&gt;Annulé",J_Statut,"&lt;&gt;Prévu"))</f>
        <v/>
      </c>
      <c r="V11" s="158">
        <f>IF($C11="",0,SUMIFS(P_M10,P_Annee,Annee_Travail,P_Cat,$C11,P_Type,"Revenu"))</f>
        <v/>
      </c>
      <c r="W11" s="159">
        <f>IF($C11="",0,SUMIFS(J_Montant,J_Annee,Annee_Travail,J_Mois,10,J_Cat,$C11,J_Type,"Revenu",J_Statut,"&lt;&gt;Annulé",J_Statut,"&lt;&gt;Prévu"))</f>
        <v/>
      </c>
      <c r="X11" s="158">
        <f>IF($C11="",0,SUMIFS(P_M11,P_Annee,Annee_Travail,P_Cat,$C11,P_Type,"Revenu"))</f>
        <v/>
      </c>
      <c r="Y11" s="159">
        <f>IF($C11="",0,SUMIFS(J_Montant,J_Annee,Annee_Travail,J_Mois,11,J_Cat,$C11,J_Type,"Revenu",J_Statut,"&lt;&gt;Annulé",J_Statut,"&lt;&gt;Prévu"))</f>
        <v/>
      </c>
      <c r="Z11" s="158">
        <f>IF($C11="",0,SUMIFS(P_M12,P_Annee,Annee_Travail,P_Cat,$C11,P_Type,"Revenu"))</f>
        <v/>
      </c>
      <c r="AA11" s="159">
        <f>IF($C11="",0,SUMIFS(J_Montant,J_Annee,Annee_Travail,J_Mois,12,J_Cat,$C11,J_Type,"Revenu",J_Statut,"&lt;&gt;Annulé",J_Statut,"&lt;&gt;Prévu"))</f>
        <v/>
      </c>
      <c r="AB11" s="160">
        <f>D11+F11+H11+J11+L11+N11+P11+R11+T11+V11+X11+Z11</f>
        <v/>
      </c>
      <c r="AC11" s="160">
        <f>E11+G11+I11+K11+M11+O11+Q11+S11+U11+W11+Y11+AA11</f>
        <v/>
      </c>
      <c r="AD11" s="161">
        <f>$AC11-$AB11</f>
        <v/>
      </c>
      <c r="AE11" s="162">
        <f>IFERROR($AC11/$AB11,0)</f>
        <v/>
      </c>
    </row>
    <row r="12">
      <c r="B12" s="156" t="n">
        <v>2</v>
      </c>
      <c r="C12" s="157" t="inlineStr">
        <is>
          <t>Prime / 13e mois</t>
        </is>
      </c>
      <c r="D12" s="158">
        <f>IF($C12="",0,SUMIFS(P_M1,P_Annee,Annee_Travail,P_Cat,$C12,P_Type,"Revenu"))</f>
        <v/>
      </c>
      <c r="E12" s="159">
        <f>IF($C12="",0,SUMIFS(J_Montant,J_Annee,Annee_Travail,J_Mois,1,J_Cat,$C12,J_Type,"Revenu",J_Statut,"&lt;&gt;Annulé",J_Statut,"&lt;&gt;Prévu"))</f>
        <v/>
      </c>
      <c r="F12" s="158">
        <f>IF($C12="",0,SUMIFS(P_M2,P_Annee,Annee_Travail,P_Cat,$C12,P_Type,"Revenu"))</f>
        <v/>
      </c>
      <c r="G12" s="159">
        <f>IF($C12="",0,SUMIFS(J_Montant,J_Annee,Annee_Travail,J_Mois,2,J_Cat,$C12,J_Type,"Revenu",J_Statut,"&lt;&gt;Annulé",J_Statut,"&lt;&gt;Prévu"))</f>
        <v/>
      </c>
      <c r="H12" s="158">
        <f>IF($C12="",0,SUMIFS(P_M3,P_Annee,Annee_Travail,P_Cat,$C12,P_Type,"Revenu"))</f>
        <v/>
      </c>
      <c r="I12" s="159">
        <f>IF($C12="",0,SUMIFS(J_Montant,J_Annee,Annee_Travail,J_Mois,3,J_Cat,$C12,J_Type,"Revenu",J_Statut,"&lt;&gt;Annulé",J_Statut,"&lt;&gt;Prévu"))</f>
        <v/>
      </c>
      <c r="J12" s="158">
        <f>IF($C12="",0,SUMIFS(P_M4,P_Annee,Annee_Travail,P_Cat,$C12,P_Type,"Revenu"))</f>
        <v/>
      </c>
      <c r="K12" s="159">
        <f>IF($C12="",0,SUMIFS(J_Montant,J_Annee,Annee_Travail,J_Mois,4,J_Cat,$C12,J_Type,"Revenu",J_Statut,"&lt;&gt;Annulé",J_Statut,"&lt;&gt;Prévu"))</f>
        <v/>
      </c>
      <c r="L12" s="158">
        <f>IF($C12="",0,SUMIFS(P_M5,P_Annee,Annee_Travail,P_Cat,$C12,P_Type,"Revenu"))</f>
        <v/>
      </c>
      <c r="M12" s="159">
        <f>IF($C12="",0,SUMIFS(J_Montant,J_Annee,Annee_Travail,J_Mois,5,J_Cat,$C12,J_Type,"Revenu",J_Statut,"&lt;&gt;Annulé",J_Statut,"&lt;&gt;Prévu"))</f>
        <v/>
      </c>
      <c r="N12" s="158">
        <f>IF($C12="",0,SUMIFS(P_M6,P_Annee,Annee_Travail,P_Cat,$C12,P_Type,"Revenu"))</f>
        <v/>
      </c>
      <c r="O12" s="159">
        <f>IF($C12="",0,SUMIFS(J_Montant,J_Annee,Annee_Travail,J_Mois,6,J_Cat,$C12,J_Type,"Revenu",J_Statut,"&lt;&gt;Annulé",J_Statut,"&lt;&gt;Prévu"))</f>
        <v/>
      </c>
      <c r="P12" s="158">
        <f>IF($C12="",0,SUMIFS(P_M7,P_Annee,Annee_Travail,P_Cat,$C12,P_Type,"Revenu"))</f>
        <v/>
      </c>
      <c r="Q12" s="159">
        <f>IF($C12="",0,SUMIFS(J_Montant,J_Annee,Annee_Travail,J_Mois,7,J_Cat,$C12,J_Type,"Revenu",J_Statut,"&lt;&gt;Annulé",J_Statut,"&lt;&gt;Prévu"))</f>
        <v/>
      </c>
      <c r="R12" s="158">
        <f>IF($C12="",0,SUMIFS(P_M8,P_Annee,Annee_Travail,P_Cat,$C12,P_Type,"Revenu"))</f>
        <v/>
      </c>
      <c r="S12" s="159">
        <f>IF($C12="",0,SUMIFS(J_Montant,J_Annee,Annee_Travail,J_Mois,8,J_Cat,$C12,J_Type,"Revenu",J_Statut,"&lt;&gt;Annulé",J_Statut,"&lt;&gt;Prévu"))</f>
        <v/>
      </c>
      <c r="T12" s="158">
        <f>IF($C12="",0,SUMIFS(P_M9,P_Annee,Annee_Travail,P_Cat,$C12,P_Type,"Revenu"))</f>
        <v/>
      </c>
      <c r="U12" s="159">
        <f>IF($C12="",0,SUMIFS(J_Montant,J_Annee,Annee_Travail,J_Mois,9,J_Cat,$C12,J_Type,"Revenu",J_Statut,"&lt;&gt;Annulé",J_Statut,"&lt;&gt;Prévu"))</f>
        <v/>
      </c>
      <c r="V12" s="158">
        <f>IF($C12="",0,SUMIFS(P_M10,P_Annee,Annee_Travail,P_Cat,$C12,P_Type,"Revenu"))</f>
        <v/>
      </c>
      <c r="W12" s="159">
        <f>IF($C12="",0,SUMIFS(J_Montant,J_Annee,Annee_Travail,J_Mois,10,J_Cat,$C12,J_Type,"Revenu",J_Statut,"&lt;&gt;Annulé",J_Statut,"&lt;&gt;Prévu"))</f>
        <v/>
      </c>
      <c r="X12" s="158">
        <f>IF($C12="",0,SUMIFS(P_M11,P_Annee,Annee_Travail,P_Cat,$C12,P_Type,"Revenu"))</f>
        <v/>
      </c>
      <c r="Y12" s="159">
        <f>IF($C12="",0,SUMIFS(J_Montant,J_Annee,Annee_Travail,J_Mois,11,J_Cat,$C12,J_Type,"Revenu",J_Statut,"&lt;&gt;Annulé",J_Statut,"&lt;&gt;Prévu"))</f>
        <v/>
      </c>
      <c r="Z12" s="158">
        <f>IF($C12="",0,SUMIFS(P_M12,P_Annee,Annee_Travail,P_Cat,$C12,P_Type,"Revenu"))</f>
        <v/>
      </c>
      <c r="AA12" s="159">
        <f>IF($C12="",0,SUMIFS(J_Montant,J_Annee,Annee_Travail,J_Mois,12,J_Cat,$C12,J_Type,"Revenu",J_Statut,"&lt;&gt;Annulé",J_Statut,"&lt;&gt;Prévu"))</f>
        <v/>
      </c>
      <c r="AB12" s="160">
        <f>D12+F12+H12+J12+L12+N12+P12+R12+T12+V12+X12+Z12</f>
        <v/>
      </c>
      <c r="AC12" s="160">
        <f>E12+G12+I12+K12+M12+O12+Q12+S12+U12+W12+Y12+AA12</f>
        <v/>
      </c>
      <c r="AD12" s="161">
        <f>$AC12-$AB12</f>
        <v/>
      </c>
      <c r="AE12" s="162">
        <f>IFERROR($AC12/$AB12,0)</f>
        <v/>
      </c>
    </row>
    <row r="13">
      <c r="B13" s="156" t="n">
        <v>3</v>
      </c>
      <c r="C13" s="157" t="inlineStr">
        <is>
          <t>Freelance / Consulting</t>
        </is>
      </c>
      <c r="D13" s="158">
        <f>IF($C13="",0,SUMIFS(P_M1,P_Annee,Annee_Travail,P_Cat,$C13,P_Type,"Revenu"))</f>
        <v/>
      </c>
      <c r="E13" s="159">
        <f>IF($C13="",0,SUMIFS(J_Montant,J_Annee,Annee_Travail,J_Mois,1,J_Cat,$C13,J_Type,"Revenu",J_Statut,"&lt;&gt;Annulé",J_Statut,"&lt;&gt;Prévu"))</f>
        <v/>
      </c>
      <c r="F13" s="158">
        <f>IF($C13="",0,SUMIFS(P_M2,P_Annee,Annee_Travail,P_Cat,$C13,P_Type,"Revenu"))</f>
        <v/>
      </c>
      <c r="G13" s="159">
        <f>IF($C13="",0,SUMIFS(J_Montant,J_Annee,Annee_Travail,J_Mois,2,J_Cat,$C13,J_Type,"Revenu",J_Statut,"&lt;&gt;Annulé",J_Statut,"&lt;&gt;Prévu"))</f>
        <v/>
      </c>
      <c r="H13" s="158">
        <f>IF($C13="",0,SUMIFS(P_M3,P_Annee,Annee_Travail,P_Cat,$C13,P_Type,"Revenu"))</f>
        <v/>
      </c>
      <c r="I13" s="159">
        <f>IF($C13="",0,SUMIFS(J_Montant,J_Annee,Annee_Travail,J_Mois,3,J_Cat,$C13,J_Type,"Revenu",J_Statut,"&lt;&gt;Annulé",J_Statut,"&lt;&gt;Prévu"))</f>
        <v/>
      </c>
      <c r="J13" s="158">
        <f>IF($C13="",0,SUMIFS(P_M4,P_Annee,Annee_Travail,P_Cat,$C13,P_Type,"Revenu"))</f>
        <v/>
      </c>
      <c r="K13" s="159">
        <f>IF($C13="",0,SUMIFS(J_Montant,J_Annee,Annee_Travail,J_Mois,4,J_Cat,$C13,J_Type,"Revenu",J_Statut,"&lt;&gt;Annulé",J_Statut,"&lt;&gt;Prévu"))</f>
        <v/>
      </c>
      <c r="L13" s="158">
        <f>IF($C13="",0,SUMIFS(P_M5,P_Annee,Annee_Travail,P_Cat,$C13,P_Type,"Revenu"))</f>
        <v/>
      </c>
      <c r="M13" s="159">
        <f>IF($C13="",0,SUMIFS(J_Montant,J_Annee,Annee_Travail,J_Mois,5,J_Cat,$C13,J_Type,"Revenu",J_Statut,"&lt;&gt;Annulé",J_Statut,"&lt;&gt;Prévu"))</f>
        <v/>
      </c>
      <c r="N13" s="158">
        <f>IF($C13="",0,SUMIFS(P_M6,P_Annee,Annee_Travail,P_Cat,$C13,P_Type,"Revenu"))</f>
        <v/>
      </c>
      <c r="O13" s="159">
        <f>IF($C13="",0,SUMIFS(J_Montant,J_Annee,Annee_Travail,J_Mois,6,J_Cat,$C13,J_Type,"Revenu",J_Statut,"&lt;&gt;Annulé",J_Statut,"&lt;&gt;Prévu"))</f>
        <v/>
      </c>
      <c r="P13" s="158">
        <f>IF($C13="",0,SUMIFS(P_M7,P_Annee,Annee_Travail,P_Cat,$C13,P_Type,"Revenu"))</f>
        <v/>
      </c>
      <c r="Q13" s="159">
        <f>IF($C13="",0,SUMIFS(J_Montant,J_Annee,Annee_Travail,J_Mois,7,J_Cat,$C13,J_Type,"Revenu",J_Statut,"&lt;&gt;Annulé",J_Statut,"&lt;&gt;Prévu"))</f>
        <v/>
      </c>
      <c r="R13" s="158">
        <f>IF($C13="",0,SUMIFS(P_M8,P_Annee,Annee_Travail,P_Cat,$C13,P_Type,"Revenu"))</f>
        <v/>
      </c>
      <c r="S13" s="159">
        <f>IF($C13="",0,SUMIFS(J_Montant,J_Annee,Annee_Travail,J_Mois,8,J_Cat,$C13,J_Type,"Revenu",J_Statut,"&lt;&gt;Annulé",J_Statut,"&lt;&gt;Prévu"))</f>
        <v/>
      </c>
      <c r="T13" s="158">
        <f>IF($C13="",0,SUMIFS(P_M9,P_Annee,Annee_Travail,P_Cat,$C13,P_Type,"Revenu"))</f>
        <v/>
      </c>
      <c r="U13" s="159">
        <f>IF($C13="",0,SUMIFS(J_Montant,J_Annee,Annee_Travail,J_Mois,9,J_Cat,$C13,J_Type,"Revenu",J_Statut,"&lt;&gt;Annulé",J_Statut,"&lt;&gt;Prévu"))</f>
        <v/>
      </c>
      <c r="V13" s="158">
        <f>IF($C13="",0,SUMIFS(P_M10,P_Annee,Annee_Travail,P_Cat,$C13,P_Type,"Revenu"))</f>
        <v/>
      </c>
      <c r="W13" s="159">
        <f>IF($C13="",0,SUMIFS(J_Montant,J_Annee,Annee_Travail,J_Mois,10,J_Cat,$C13,J_Type,"Revenu",J_Statut,"&lt;&gt;Annulé",J_Statut,"&lt;&gt;Prévu"))</f>
        <v/>
      </c>
      <c r="X13" s="158">
        <f>IF($C13="",0,SUMIFS(P_M11,P_Annee,Annee_Travail,P_Cat,$C13,P_Type,"Revenu"))</f>
        <v/>
      </c>
      <c r="Y13" s="159">
        <f>IF($C13="",0,SUMIFS(J_Montant,J_Annee,Annee_Travail,J_Mois,11,J_Cat,$C13,J_Type,"Revenu",J_Statut,"&lt;&gt;Annulé",J_Statut,"&lt;&gt;Prévu"))</f>
        <v/>
      </c>
      <c r="Z13" s="158">
        <f>IF($C13="",0,SUMIFS(P_M12,P_Annee,Annee_Travail,P_Cat,$C13,P_Type,"Revenu"))</f>
        <v/>
      </c>
      <c r="AA13" s="159">
        <f>IF($C13="",0,SUMIFS(J_Montant,J_Annee,Annee_Travail,J_Mois,12,J_Cat,$C13,J_Type,"Revenu",J_Statut,"&lt;&gt;Annulé",J_Statut,"&lt;&gt;Prévu"))</f>
        <v/>
      </c>
      <c r="AB13" s="160">
        <f>D13+F13+H13+J13+L13+N13+P13+R13+T13+V13+X13+Z13</f>
        <v/>
      </c>
      <c r="AC13" s="160">
        <f>E13+G13+I13+K13+M13+O13+Q13+S13+U13+W13+Y13+AA13</f>
        <v/>
      </c>
      <c r="AD13" s="161">
        <f>$AC13-$AB13</f>
        <v/>
      </c>
      <c r="AE13" s="162">
        <f>IFERROR($AC13/$AB13,0)</f>
        <v/>
      </c>
    </row>
    <row r="14">
      <c r="B14" s="156" t="n">
        <v>4</v>
      </c>
      <c r="C14" s="157" t="inlineStr">
        <is>
          <t>Commerce / Ventes</t>
        </is>
      </c>
      <c r="D14" s="158">
        <f>IF($C14="",0,SUMIFS(P_M1,P_Annee,Annee_Travail,P_Cat,$C14,P_Type,"Revenu"))</f>
        <v/>
      </c>
      <c r="E14" s="159">
        <f>IF($C14="",0,SUMIFS(J_Montant,J_Annee,Annee_Travail,J_Mois,1,J_Cat,$C14,J_Type,"Revenu",J_Statut,"&lt;&gt;Annulé",J_Statut,"&lt;&gt;Prévu"))</f>
        <v/>
      </c>
      <c r="F14" s="158">
        <f>IF($C14="",0,SUMIFS(P_M2,P_Annee,Annee_Travail,P_Cat,$C14,P_Type,"Revenu"))</f>
        <v/>
      </c>
      <c r="G14" s="159">
        <f>IF($C14="",0,SUMIFS(J_Montant,J_Annee,Annee_Travail,J_Mois,2,J_Cat,$C14,J_Type,"Revenu",J_Statut,"&lt;&gt;Annulé",J_Statut,"&lt;&gt;Prévu"))</f>
        <v/>
      </c>
      <c r="H14" s="158">
        <f>IF($C14="",0,SUMIFS(P_M3,P_Annee,Annee_Travail,P_Cat,$C14,P_Type,"Revenu"))</f>
        <v/>
      </c>
      <c r="I14" s="159">
        <f>IF($C14="",0,SUMIFS(J_Montant,J_Annee,Annee_Travail,J_Mois,3,J_Cat,$C14,J_Type,"Revenu",J_Statut,"&lt;&gt;Annulé",J_Statut,"&lt;&gt;Prévu"))</f>
        <v/>
      </c>
      <c r="J14" s="158">
        <f>IF($C14="",0,SUMIFS(P_M4,P_Annee,Annee_Travail,P_Cat,$C14,P_Type,"Revenu"))</f>
        <v/>
      </c>
      <c r="K14" s="159">
        <f>IF($C14="",0,SUMIFS(J_Montant,J_Annee,Annee_Travail,J_Mois,4,J_Cat,$C14,J_Type,"Revenu",J_Statut,"&lt;&gt;Annulé",J_Statut,"&lt;&gt;Prévu"))</f>
        <v/>
      </c>
      <c r="L14" s="158">
        <f>IF($C14="",0,SUMIFS(P_M5,P_Annee,Annee_Travail,P_Cat,$C14,P_Type,"Revenu"))</f>
        <v/>
      </c>
      <c r="M14" s="159">
        <f>IF($C14="",0,SUMIFS(J_Montant,J_Annee,Annee_Travail,J_Mois,5,J_Cat,$C14,J_Type,"Revenu",J_Statut,"&lt;&gt;Annulé",J_Statut,"&lt;&gt;Prévu"))</f>
        <v/>
      </c>
      <c r="N14" s="158">
        <f>IF($C14="",0,SUMIFS(P_M6,P_Annee,Annee_Travail,P_Cat,$C14,P_Type,"Revenu"))</f>
        <v/>
      </c>
      <c r="O14" s="159">
        <f>IF($C14="",0,SUMIFS(J_Montant,J_Annee,Annee_Travail,J_Mois,6,J_Cat,$C14,J_Type,"Revenu",J_Statut,"&lt;&gt;Annulé",J_Statut,"&lt;&gt;Prévu"))</f>
        <v/>
      </c>
      <c r="P14" s="158">
        <f>IF($C14="",0,SUMIFS(P_M7,P_Annee,Annee_Travail,P_Cat,$C14,P_Type,"Revenu"))</f>
        <v/>
      </c>
      <c r="Q14" s="159">
        <f>IF($C14="",0,SUMIFS(J_Montant,J_Annee,Annee_Travail,J_Mois,7,J_Cat,$C14,J_Type,"Revenu",J_Statut,"&lt;&gt;Annulé",J_Statut,"&lt;&gt;Prévu"))</f>
        <v/>
      </c>
      <c r="R14" s="158">
        <f>IF($C14="",0,SUMIFS(P_M8,P_Annee,Annee_Travail,P_Cat,$C14,P_Type,"Revenu"))</f>
        <v/>
      </c>
      <c r="S14" s="159">
        <f>IF($C14="",0,SUMIFS(J_Montant,J_Annee,Annee_Travail,J_Mois,8,J_Cat,$C14,J_Type,"Revenu",J_Statut,"&lt;&gt;Annulé",J_Statut,"&lt;&gt;Prévu"))</f>
        <v/>
      </c>
      <c r="T14" s="158">
        <f>IF($C14="",0,SUMIFS(P_M9,P_Annee,Annee_Travail,P_Cat,$C14,P_Type,"Revenu"))</f>
        <v/>
      </c>
      <c r="U14" s="159">
        <f>IF($C14="",0,SUMIFS(J_Montant,J_Annee,Annee_Travail,J_Mois,9,J_Cat,$C14,J_Type,"Revenu",J_Statut,"&lt;&gt;Annulé",J_Statut,"&lt;&gt;Prévu"))</f>
        <v/>
      </c>
      <c r="V14" s="158">
        <f>IF($C14="",0,SUMIFS(P_M10,P_Annee,Annee_Travail,P_Cat,$C14,P_Type,"Revenu"))</f>
        <v/>
      </c>
      <c r="W14" s="159">
        <f>IF($C14="",0,SUMIFS(J_Montant,J_Annee,Annee_Travail,J_Mois,10,J_Cat,$C14,J_Type,"Revenu",J_Statut,"&lt;&gt;Annulé",J_Statut,"&lt;&gt;Prévu"))</f>
        <v/>
      </c>
      <c r="X14" s="158">
        <f>IF($C14="",0,SUMIFS(P_M11,P_Annee,Annee_Travail,P_Cat,$C14,P_Type,"Revenu"))</f>
        <v/>
      </c>
      <c r="Y14" s="159">
        <f>IF($C14="",0,SUMIFS(J_Montant,J_Annee,Annee_Travail,J_Mois,11,J_Cat,$C14,J_Type,"Revenu",J_Statut,"&lt;&gt;Annulé",J_Statut,"&lt;&gt;Prévu"))</f>
        <v/>
      </c>
      <c r="Z14" s="158">
        <f>IF($C14="",0,SUMIFS(P_M12,P_Annee,Annee_Travail,P_Cat,$C14,P_Type,"Revenu"))</f>
        <v/>
      </c>
      <c r="AA14" s="159">
        <f>IF($C14="",0,SUMIFS(J_Montant,J_Annee,Annee_Travail,J_Mois,12,J_Cat,$C14,J_Type,"Revenu",J_Statut,"&lt;&gt;Annulé",J_Statut,"&lt;&gt;Prévu"))</f>
        <v/>
      </c>
      <c r="AB14" s="160">
        <f>D14+F14+H14+J14+L14+N14+P14+R14+T14+V14+X14+Z14</f>
        <v/>
      </c>
      <c r="AC14" s="160">
        <f>E14+G14+I14+K14+M14+O14+Q14+S14+U14+W14+Y14+AA14</f>
        <v/>
      </c>
      <c r="AD14" s="161">
        <f>$AC14-$AB14</f>
        <v/>
      </c>
      <c r="AE14" s="162">
        <f>IFERROR($AC14/$AB14,0)</f>
        <v/>
      </c>
    </row>
    <row r="15">
      <c r="B15" s="156" t="n">
        <v>5</v>
      </c>
      <c r="C15" s="157" t="inlineStr">
        <is>
          <t>Loyers perçus</t>
        </is>
      </c>
      <c r="D15" s="158">
        <f>IF($C15="",0,SUMIFS(P_M1,P_Annee,Annee_Travail,P_Cat,$C15,P_Type,"Revenu"))</f>
        <v/>
      </c>
      <c r="E15" s="159">
        <f>IF($C15="",0,SUMIFS(J_Montant,J_Annee,Annee_Travail,J_Mois,1,J_Cat,$C15,J_Type,"Revenu",J_Statut,"&lt;&gt;Annulé",J_Statut,"&lt;&gt;Prévu"))</f>
        <v/>
      </c>
      <c r="F15" s="158">
        <f>IF($C15="",0,SUMIFS(P_M2,P_Annee,Annee_Travail,P_Cat,$C15,P_Type,"Revenu"))</f>
        <v/>
      </c>
      <c r="G15" s="159">
        <f>IF($C15="",0,SUMIFS(J_Montant,J_Annee,Annee_Travail,J_Mois,2,J_Cat,$C15,J_Type,"Revenu",J_Statut,"&lt;&gt;Annulé",J_Statut,"&lt;&gt;Prévu"))</f>
        <v/>
      </c>
      <c r="H15" s="158">
        <f>IF($C15="",0,SUMIFS(P_M3,P_Annee,Annee_Travail,P_Cat,$C15,P_Type,"Revenu"))</f>
        <v/>
      </c>
      <c r="I15" s="159">
        <f>IF($C15="",0,SUMIFS(J_Montant,J_Annee,Annee_Travail,J_Mois,3,J_Cat,$C15,J_Type,"Revenu",J_Statut,"&lt;&gt;Annulé",J_Statut,"&lt;&gt;Prévu"))</f>
        <v/>
      </c>
      <c r="J15" s="158">
        <f>IF($C15="",0,SUMIFS(P_M4,P_Annee,Annee_Travail,P_Cat,$C15,P_Type,"Revenu"))</f>
        <v/>
      </c>
      <c r="K15" s="159">
        <f>IF($C15="",0,SUMIFS(J_Montant,J_Annee,Annee_Travail,J_Mois,4,J_Cat,$C15,J_Type,"Revenu",J_Statut,"&lt;&gt;Annulé",J_Statut,"&lt;&gt;Prévu"))</f>
        <v/>
      </c>
      <c r="L15" s="158">
        <f>IF($C15="",0,SUMIFS(P_M5,P_Annee,Annee_Travail,P_Cat,$C15,P_Type,"Revenu"))</f>
        <v/>
      </c>
      <c r="M15" s="159">
        <f>IF($C15="",0,SUMIFS(J_Montant,J_Annee,Annee_Travail,J_Mois,5,J_Cat,$C15,J_Type,"Revenu",J_Statut,"&lt;&gt;Annulé",J_Statut,"&lt;&gt;Prévu"))</f>
        <v/>
      </c>
      <c r="N15" s="158">
        <f>IF($C15="",0,SUMIFS(P_M6,P_Annee,Annee_Travail,P_Cat,$C15,P_Type,"Revenu"))</f>
        <v/>
      </c>
      <c r="O15" s="159">
        <f>IF($C15="",0,SUMIFS(J_Montant,J_Annee,Annee_Travail,J_Mois,6,J_Cat,$C15,J_Type,"Revenu",J_Statut,"&lt;&gt;Annulé",J_Statut,"&lt;&gt;Prévu"))</f>
        <v/>
      </c>
      <c r="P15" s="158">
        <f>IF($C15="",0,SUMIFS(P_M7,P_Annee,Annee_Travail,P_Cat,$C15,P_Type,"Revenu"))</f>
        <v/>
      </c>
      <c r="Q15" s="159">
        <f>IF($C15="",0,SUMIFS(J_Montant,J_Annee,Annee_Travail,J_Mois,7,J_Cat,$C15,J_Type,"Revenu",J_Statut,"&lt;&gt;Annulé",J_Statut,"&lt;&gt;Prévu"))</f>
        <v/>
      </c>
      <c r="R15" s="158">
        <f>IF($C15="",0,SUMIFS(P_M8,P_Annee,Annee_Travail,P_Cat,$C15,P_Type,"Revenu"))</f>
        <v/>
      </c>
      <c r="S15" s="159">
        <f>IF($C15="",0,SUMIFS(J_Montant,J_Annee,Annee_Travail,J_Mois,8,J_Cat,$C15,J_Type,"Revenu",J_Statut,"&lt;&gt;Annulé",J_Statut,"&lt;&gt;Prévu"))</f>
        <v/>
      </c>
      <c r="T15" s="158">
        <f>IF($C15="",0,SUMIFS(P_M9,P_Annee,Annee_Travail,P_Cat,$C15,P_Type,"Revenu"))</f>
        <v/>
      </c>
      <c r="U15" s="159">
        <f>IF($C15="",0,SUMIFS(J_Montant,J_Annee,Annee_Travail,J_Mois,9,J_Cat,$C15,J_Type,"Revenu",J_Statut,"&lt;&gt;Annulé",J_Statut,"&lt;&gt;Prévu"))</f>
        <v/>
      </c>
      <c r="V15" s="158">
        <f>IF($C15="",0,SUMIFS(P_M10,P_Annee,Annee_Travail,P_Cat,$C15,P_Type,"Revenu"))</f>
        <v/>
      </c>
      <c r="W15" s="159">
        <f>IF($C15="",0,SUMIFS(J_Montant,J_Annee,Annee_Travail,J_Mois,10,J_Cat,$C15,J_Type,"Revenu",J_Statut,"&lt;&gt;Annulé",J_Statut,"&lt;&gt;Prévu"))</f>
        <v/>
      </c>
      <c r="X15" s="158">
        <f>IF($C15="",0,SUMIFS(P_M11,P_Annee,Annee_Travail,P_Cat,$C15,P_Type,"Revenu"))</f>
        <v/>
      </c>
      <c r="Y15" s="159">
        <f>IF($C15="",0,SUMIFS(J_Montant,J_Annee,Annee_Travail,J_Mois,11,J_Cat,$C15,J_Type,"Revenu",J_Statut,"&lt;&gt;Annulé",J_Statut,"&lt;&gt;Prévu"))</f>
        <v/>
      </c>
      <c r="Z15" s="158">
        <f>IF($C15="",0,SUMIFS(P_M12,P_Annee,Annee_Travail,P_Cat,$C15,P_Type,"Revenu"))</f>
        <v/>
      </c>
      <c r="AA15" s="159">
        <f>IF($C15="",0,SUMIFS(J_Montant,J_Annee,Annee_Travail,J_Mois,12,J_Cat,$C15,J_Type,"Revenu",J_Statut,"&lt;&gt;Annulé",J_Statut,"&lt;&gt;Prévu"))</f>
        <v/>
      </c>
      <c r="AB15" s="160">
        <f>D15+F15+H15+J15+L15+N15+P15+R15+T15+V15+X15+Z15</f>
        <v/>
      </c>
      <c r="AC15" s="160">
        <f>E15+G15+I15+K15+M15+O15+Q15+S15+U15+W15+Y15+AA15</f>
        <v/>
      </c>
      <c r="AD15" s="161">
        <f>$AC15-$AB15</f>
        <v/>
      </c>
      <c r="AE15" s="162">
        <f>IFERROR($AC15/$AB15,0)</f>
        <v/>
      </c>
    </row>
    <row r="16">
      <c r="B16" s="156" t="n">
        <v>6</v>
      </c>
      <c r="C16" s="157" t="inlineStr">
        <is>
          <t>Dividendes</t>
        </is>
      </c>
      <c r="D16" s="158">
        <f>IF($C16="",0,SUMIFS(P_M1,P_Annee,Annee_Travail,P_Cat,$C16,P_Type,"Revenu"))</f>
        <v/>
      </c>
      <c r="E16" s="159">
        <f>IF($C16="",0,SUMIFS(J_Montant,J_Annee,Annee_Travail,J_Mois,1,J_Cat,$C16,J_Type,"Revenu",J_Statut,"&lt;&gt;Annulé",J_Statut,"&lt;&gt;Prévu"))</f>
        <v/>
      </c>
      <c r="F16" s="158">
        <f>IF($C16="",0,SUMIFS(P_M2,P_Annee,Annee_Travail,P_Cat,$C16,P_Type,"Revenu"))</f>
        <v/>
      </c>
      <c r="G16" s="159">
        <f>IF($C16="",0,SUMIFS(J_Montant,J_Annee,Annee_Travail,J_Mois,2,J_Cat,$C16,J_Type,"Revenu",J_Statut,"&lt;&gt;Annulé",J_Statut,"&lt;&gt;Prévu"))</f>
        <v/>
      </c>
      <c r="H16" s="158">
        <f>IF($C16="",0,SUMIFS(P_M3,P_Annee,Annee_Travail,P_Cat,$C16,P_Type,"Revenu"))</f>
        <v/>
      </c>
      <c r="I16" s="159">
        <f>IF($C16="",0,SUMIFS(J_Montant,J_Annee,Annee_Travail,J_Mois,3,J_Cat,$C16,J_Type,"Revenu",J_Statut,"&lt;&gt;Annulé",J_Statut,"&lt;&gt;Prévu"))</f>
        <v/>
      </c>
      <c r="J16" s="158">
        <f>IF($C16="",0,SUMIFS(P_M4,P_Annee,Annee_Travail,P_Cat,$C16,P_Type,"Revenu"))</f>
        <v/>
      </c>
      <c r="K16" s="159">
        <f>IF($C16="",0,SUMIFS(J_Montant,J_Annee,Annee_Travail,J_Mois,4,J_Cat,$C16,J_Type,"Revenu",J_Statut,"&lt;&gt;Annulé",J_Statut,"&lt;&gt;Prévu"))</f>
        <v/>
      </c>
      <c r="L16" s="158">
        <f>IF($C16="",0,SUMIFS(P_M5,P_Annee,Annee_Travail,P_Cat,$C16,P_Type,"Revenu"))</f>
        <v/>
      </c>
      <c r="M16" s="159">
        <f>IF($C16="",0,SUMIFS(J_Montant,J_Annee,Annee_Travail,J_Mois,5,J_Cat,$C16,J_Type,"Revenu",J_Statut,"&lt;&gt;Annulé",J_Statut,"&lt;&gt;Prévu"))</f>
        <v/>
      </c>
      <c r="N16" s="158">
        <f>IF($C16="",0,SUMIFS(P_M6,P_Annee,Annee_Travail,P_Cat,$C16,P_Type,"Revenu"))</f>
        <v/>
      </c>
      <c r="O16" s="159">
        <f>IF($C16="",0,SUMIFS(J_Montant,J_Annee,Annee_Travail,J_Mois,6,J_Cat,$C16,J_Type,"Revenu",J_Statut,"&lt;&gt;Annulé",J_Statut,"&lt;&gt;Prévu"))</f>
        <v/>
      </c>
      <c r="P16" s="158">
        <f>IF($C16="",0,SUMIFS(P_M7,P_Annee,Annee_Travail,P_Cat,$C16,P_Type,"Revenu"))</f>
        <v/>
      </c>
      <c r="Q16" s="159">
        <f>IF($C16="",0,SUMIFS(J_Montant,J_Annee,Annee_Travail,J_Mois,7,J_Cat,$C16,J_Type,"Revenu",J_Statut,"&lt;&gt;Annulé",J_Statut,"&lt;&gt;Prévu"))</f>
        <v/>
      </c>
      <c r="R16" s="158">
        <f>IF($C16="",0,SUMIFS(P_M8,P_Annee,Annee_Travail,P_Cat,$C16,P_Type,"Revenu"))</f>
        <v/>
      </c>
      <c r="S16" s="159">
        <f>IF($C16="",0,SUMIFS(J_Montant,J_Annee,Annee_Travail,J_Mois,8,J_Cat,$C16,J_Type,"Revenu",J_Statut,"&lt;&gt;Annulé",J_Statut,"&lt;&gt;Prévu"))</f>
        <v/>
      </c>
      <c r="T16" s="158">
        <f>IF($C16="",0,SUMIFS(P_M9,P_Annee,Annee_Travail,P_Cat,$C16,P_Type,"Revenu"))</f>
        <v/>
      </c>
      <c r="U16" s="159">
        <f>IF($C16="",0,SUMIFS(J_Montant,J_Annee,Annee_Travail,J_Mois,9,J_Cat,$C16,J_Type,"Revenu",J_Statut,"&lt;&gt;Annulé",J_Statut,"&lt;&gt;Prévu"))</f>
        <v/>
      </c>
      <c r="V16" s="158">
        <f>IF($C16="",0,SUMIFS(P_M10,P_Annee,Annee_Travail,P_Cat,$C16,P_Type,"Revenu"))</f>
        <v/>
      </c>
      <c r="W16" s="159">
        <f>IF($C16="",0,SUMIFS(J_Montant,J_Annee,Annee_Travail,J_Mois,10,J_Cat,$C16,J_Type,"Revenu",J_Statut,"&lt;&gt;Annulé",J_Statut,"&lt;&gt;Prévu"))</f>
        <v/>
      </c>
      <c r="X16" s="158">
        <f>IF($C16="",0,SUMIFS(P_M11,P_Annee,Annee_Travail,P_Cat,$C16,P_Type,"Revenu"))</f>
        <v/>
      </c>
      <c r="Y16" s="159">
        <f>IF($C16="",0,SUMIFS(J_Montant,J_Annee,Annee_Travail,J_Mois,11,J_Cat,$C16,J_Type,"Revenu",J_Statut,"&lt;&gt;Annulé",J_Statut,"&lt;&gt;Prévu"))</f>
        <v/>
      </c>
      <c r="Z16" s="158">
        <f>IF($C16="",0,SUMIFS(P_M12,P_Annee,Annee_Travail,P_Cat,$C16,P_Type,"Revenu"))</f>
        <v/>
      </c>
      <c r="AA16" s="159">
        <f>IF($C16="",0,SUMIFS(J_Montant,J_Annee,Annee_Travail,J_Mois,12,J_Cat,$C16,J_Type,"Revenu",J_Statut,"&lt;&gt;Annulé",J_Statut,"&lt;&gt;Prévu"))</f>
        <v/>
      </c>
      <c r="AB16" s="160">
        <f>D16+F16+H16+J16+L16+N16+P16+R16+T16+V16+X16+Z16</f>
        <v/>
      </c>
      <c r="AC16" s="160">
        <f>E16+G16+I16+K16+M16+O16+Q16+S16+U16+W16+Y16+AA16</f>
        <v/>
      </c>
      <c r="AD16" s="161">
        <f>$AC16-$AB16</f>
        <v/>
      </c>
      <c r="AE16" s="162">
        <f>IFERROR($AC16/$AB16,0)</f>
        <v/>
      </c>
    </row>
    <row r="17">
      <c r="B17" s="156" t="n">
        <v>7</v>
      </c>
      <c r="C17" s="157" t="inlineStr">
        <is>
          <t>Intérêts perçus</t>
        </is>
      </c>
      <c r="D17" s="158">
        <f>IF($C17="",0,SUMIFS(P_M1,P_Annee,Annee_Travail,P_Cat,$C17,P_Type,"Revenu"))</f>
        <v/>
      </c>
      <c r="E17" s="159">
        <f>IF($C17="",0,SUMIFS(J_Montant,J_Annee,Annee_Travail,J_Mois,1,J_Cat,$C17,J_Type,"Revenu",J_Statut,"&lt;&gt;Annulé",J_Statut,"&lt;&gt;Prévu"))</f>
        <v/>
      </c>
      <c r="F17" s="158">
        <f>IF($C17="",0,SUMIFS(P_M2,P_Annee,Annee_Travail,P_Cat,$C17,P_Type,"Revenu"))</f>
        <v/>
      </c>
      <c r="G17" s="159">
        <f>IF($C17="",0,SUMIFS(J_Montant,J_Annee,Annee_Travail,J_Mois,2,J_Cat,$C17,J_Type,"Revenu",J_Statut,"&lt;&gt;Annulé",J_Statut,"&lt;&gt;Prévu"))</f>
        <v/>
      </c>
      <c r="H17" s="158">
        <f>IF($C17="",0,SUMIFS(P_M3,P_Annee,Annee_Travail,P_Cat,$C17,P_Type,"Revenu"))</f>
        <v/>
      </c>
      <c r="I17" s="159">
        <f>IF($C17="",0,SUMIFS(J_Montant,J_Annee,Annee_Travail,J_Mois,3,J_Cat,$C17,J_Type,"Revenu",J_Statut,"&lt;&gt;Annulé",J_Statut,"&lt;&gt;Prévu"))</f>
        <v/>
      </c>
      <c r="J17" s="158">
        <f>IF($C17="",0,SUMIFS(P_M4,P_Annee,Annee_Travail,P_Cat,$C17,P_Type,"Revenu"))</f>
        <v/>
      </c>
      <c r="K17" s="159">
        <f>IF($C17="",0,SUMIFS(J_Montant,J_Annee,Annee_Travail,J_Mois,4,J_Cat,$C17,J_Type,"Revenu",J_Statut,"&lt;&gt;Annulé",J_Statut,"&lt;&gt;Prévu"))</f>
        <v/>
      </c>
      <c r="L17" s="158">
        <f>IF($C17="",0,SUMIFS(P_M5,P_Annee,Annee_Travail,P_Cat,$C17,P_Type,"Revenu"))</f>
        <v/>
      </c>
      <c r="M17" s="159">
        <f>IF($C17="",0,SUMIFS(J_Montant,J_Annee,Annee_Travail,J_Mois,5,J_Cat,$C17,J_Type,"Revenu",J_Statut,"&lt;&gt;Annulé",J_Statut,"&lt;&gt;Prévu"))</f>
        <v/>
      </c>
      <c r="N17" s="158">
        <f>IF($C17="",0,SUMIFS(P_M6,P_Annee,Annee_Travail,P_Cat,$C17,P_Type,"Revenu"))</f>
        <v/>
      </c>
      <c r="O17" s="159">
        <f>IF($C17="",0,SUMIFS(J_Montant,J_Annee,Annee_Travail,J_Mois,6,J_Cat,$C17,J_Type,"Revenu",J_Statut,"&lt;&gt;Annulé",J_Statut,"&lt;&gt;Prévu"))</f>
        <v/>
      </c>
      <c r="P17" s="158">
        <f>IF($C17="",0,SUMIFS(P_M7,P_Annee,Annee_Travail,P_Cat,$C17,P_Type,"Revenu"))</f>
        <v/>
      </c>
      <c r="Q17" s="159">
        <f>IF($C17="",0,SUMIFS(J_Montant,J_Annee,Annee_Travail,J_Mois,7,J_Cat,$C17,J_Type,"Revenu",J_Statut,"&lt;&gt;Annulé",J_Statut,"&lt;&gt;Prévu"))</f>
        <v/>
      </c>
      <c r="R17" s="158">
        <f>IF($C17="",0,SUMIFS(P_M8,P_Annee,Annee_Travail,P_Cat,$C17,P_Type,"Revenu"))</f>
        <v/>
      </c>
      <c r="S17" s="159">
        <f>IF($C17="",0,SUMIFS(J_Montant,J_Annee,Annee_Travail,J_Mois,8,J_Cat,$C17,J_Type,"Revenu",J_Statut,"&lt;&gt;Annulé",J_Statut,"&lt;&gt;Prévu"))</f>
        <v/>
      </c>
      <c r="T17" s="158">
        <f>IF($C17="",0,SUMIFS(P_M9,P_Annee,Annee_Travail,P_Cat,$C17,P_Type,"Revenu"))</f>
        <v/>
      </c>
      <c r="U17" s="159">
        <f>IF($C17="",0,SUMIFS(J_Montant,J_Annee,Annee_Travail,J_Mois,9,J_Cat,$C17,J_Type,"Revenu",J_Statut,"&lt;&gt;Annulé",J_Statut,"&lt;&gt;Prévu"))</f>
        <v/>
      </c>
      <c r="V17" s="158">
        <f>IF($C17="",0,SUMIFS(P_M10,P_Annee,Annee_Travail,P_Cat,$C17,P_Type,"Revenu"))</f>
        <v/>
      </c>
      <c r="W17" s="159">
        <f>IF($C17="",0,SUMIFS(J_Montant,J_Annee,Annee_Travail,J_Mois,10,J_Cat,$C17,J_Type,"Revenu",J_Statut,"&lt;&gt;Annulé",J_Statut,"&lt;&gt;Prévu"))</f>
        <v/>
      </c>
      <c r="X17" s="158">
        <f>IF($C17="",0,SUMIFS(P_M11,P_Annee,Annee_Travail,P_Cat,$C17,P_Type,"Revenu"))</f>
        <v/>
      </c>
      <c r="Y17" s="159">
        <f>IF($C17="",0,SUMIFS(J_Montant,J_Annee,Annee_Travail,J_Mois,11,J_Cat,$C17,J_Type,"Revenu",J_Statut,"&lt;&gt;Annulé",J_Statut,"&lt;&gt;Prévu"))</f>
        <v/>
      </c>
      <c r="Z17" s="158">
        <f>IF($C17="",0,SUMIFS(P_M12,P_Annee,Annee_Travail,P_Cat,$C17,P_Type,"Revenu"))</f>
        <v/>
      </c>
      <c r="AA17" s="159">
        <f>IF($C17="",0,SUMIFS(J_Montant,J_Annee,Annee_Travail,J_Mois,12,J_Cat,$C17,J_Type,"Revenu",J_Statut,"&lt;&gt;Annulé",J_Statut,"&lt;&gt;Prévu"))</f>
        <v/>
      </c>
      <c r="AB17" s="160">
        <f>D17+F17+H17+J17+L17+N17+P17+R17+T17+V17+X17+Z17</f>
        <v/>
      </c>
      <c r="AC17" s="160">
        <f>E17+G17+I17+K17+M17+O17+Q17+S17+U17+W17+Y17+AA17</f>
        <v/>
      </c>
      <c r="AD17" s="161">
        <f>$AC17-$AB17</f>
        <v/>
      </c>
      <c r="AE17" s="162">
        <f>IFERROR($AC17/$AB17,0)</f>
        <v/>
      </c>
    </row>
    <row r="18">
      <c r="B18" s="156" t="n">
        <v>8</v>
      </c>
      <c r="C18" s="157" t="inlineStr">
        <is>
          <t>Aide familiale</t>
        </is>
      </c>
      <c r="D18" s="158">
        <f>IF($C18="",0,SUMIFS(P_M1,P_Annee,Annee_Travail,P_Cat,$C18,P_Type,"Revenu"))</f>
        <v/>
      </c>
      <c r="E18" s="159">
        <f>IF($C18="",0,SUMIFS(J_Montant,J_Annee,Annee_Travail,J_Mois,1,J_Cat,$C18,J_Type,"Revenu",J_Statut,"&lt;&gt;Annulé",J_Statut,"&lt;&gt;Prévu"))</f>
        <v/>
      </c>
      <c r="F18" s="158">
        <f>IF($C18="",0,SUMIFS(P_M2,P_Annee,Annee_Travail,P_Cat,$C18,P_Type,"Revenu"))</f>
        <v/>
      </c>
      <c r="G18" s="159">
        <f>IF($C18="",0,SUMIFS(J_Montant,J_Annee,Annee_Travail,J_Mois,2,J_Cat,$C18,J_Type,"Revenu",J_Statut,"&lt;&gt;Annulé",J_Statut,"&lt;&gt;Prévu"))</f>
        <v/>
      </c>
      <c r="H18" s="158">
        <f>IF($C18="",0,SUMIFS(P_M3,P_Annee,Annee_Travail,P_Cat,$C18,P_Type,"Revenu"))</f>
        <v/>
      </c>
      <c r="I18" s="159">
        <f>IF($C18="",0,SUMIFS(J_Montant,J_Annee,Annee_Travail,J_Mois,3,J_Cat,$C18,J_Type,"Revenu",J_Statut,"&lt;&gt;Annulé",J_Statut,"&lt;&gt;Prévu"))</f>
        <v/>
      </c>
      <c r="J18" s="158">
        <f>IF($C18="",0,SUMIFS(P_M4,P_Annee,Annee_Travail,P_Cat,$C18,P_Type,"Revenu"))</f>
        <v/>
      </c>
      <c r="K18" s="159">
        <f>IF($C18="",0,SUMIFS(J_Montant,J_Annee,Annee_Travail,J_Mois,4,J_Cat,$C18,J_Type,"Revenu",J_Statut,"&lt;&gt;Annulé",J_Statut,"&lt;&gt;Prévu"))</f>
        <v/>
      </c>
      <c r="L18" s="158">
        <f>IF($C18="",0,SUMIFS(P_M5,P_Annee,Annee_Travail,P_Cat,$C18,P_Type,"Revenu"))</f>
        <v/>
      </c>
      <c r="M18" s="159">
        <f>IF($C18="",0,SUMIFS(J_Montant,J_Annee,Annee_Travail,J_Mois,5,J_Cat,$C18,J_Type,"Revenu",J_Statut,"&lt;&gt;Annulé",J_Statut,"&lt;&gt;Prévu"))</f>
        <v/>
      </c>
      <c r="N18" s="158">
        <f>IF($C18="",0,SUMIFS(P_M6,P_Annee,Annee_Travail,P_Cat,$C18,P_Type,"Revenu"))</f>
        <v/>
      </c>
      <c r="O18" s="159">
        <f>IF($C18="",0,SUMIFS(J_Montant,J_Annee,Annee_Travail,J_Mois,6,J_Cat,$C18,J_Type,"Revenu",J_Statut,"&lt;&gt;Annulé",J_Statut,"&lt;&gt;Prévu"))</f>
        <v/>
      </c>
      <c r="P18" s="158">
        <f>IF($C18="",0,SUMIFS(P_M7,P_Annee,Annee_Travail,P_Cat,$C18,P_Type,"Revenu"))</f>
        <v/>
      </c>
      <c r="Q18" s="159">
        <f>IF($C18="",0,SUMIFS(J_Montant,J_Annee,Annee_Travail,J_Mois,7,J_Cat,$C18,J_Type,"Revenu",J_Statut,"&lt;&gt;Annulé",J_Statut,"&lt;&gt;Prévu"))</f>
        <v/>
      </c>
      <c r="R18" s="158">
        <f>IF($C18="",0,SUMIFS(P_M8,P_Annee,Annee_Travail,P_Cat,$C18,P_Type,"Revenu"))</f>
        <v/>
      </c>
      <c r="S18" s="159">
        <f>IF($C18="",0,SUMIFS(J_Montant,J_Annee,Annee_Travail,J_Mois,8,J_Cat,$C18,J_Type,"Revenu",J_Statut,"&lt;&gt;Annulé",J_Statut,"&lt;&gt;Prévu"))</f>
        <v/>
      </c>
      <c r="T18" s="158">
        <f>IF($C18="",0,SUMIFS(P_M9,P_Annee,Annee_Travail,P_Cat,$C18,P_Type,"Revenu"))</f>
        <v/>
      </c>
      <c r="U18" s="159">
        <f>IF($C18="",0,SUMIFS(J_Montant,J_Annee,Annee_Travail,J_Mois,9,J_Cat,$C18,J_Type,"Revenu",J_Statut,"&lt;&gt;Annulé",J_Statut,"&lt;&gt;Prévu"))</f>
        <v/>
      </c>
      <c r="V18" s="158">
        <f>IF($C18="",0,SUMIFS(P_M10,P_Annee,Annee_Travail,P_Cat,$C18,P_Type,"Revenu"))</f>
        <v/>
      </c>
      <c r="W18" s="159">
        <f>IF($C18="",0,SUMIFS(J_Montant,J_Annee,Annee_Travail,J_Mois,10,J_Cat,$C18,J_Type,"Revenu",J_Statut,"&lt;&gt;Annulé",J_Statut,"&lt;&gt;Prévu"))</f>
        <v/>
      </c>
      <c r="X18" s="158">
        <f>IF($C18="",0,SUMIFS(P_M11,P_Annee,Annee_Travail,P_Cat,$C18,P_Type,"Revenu"))</f>
        <v/>
      </c>
      <c r="Y18" s="159">
        <f>IF($C18="",0,SUMIFS(J_Montant,J_Annee,Annee_Travail,J_Mois,11,J_Cat,$C18,J_Type,"Revenu",J_Statut,"&lt;&gt;Annulé",J_Statut,"&lt;&gt;Prévu"))</f>
        <v/>
      </c>
      <c r="Z18" s="158">
        <f>IF($C18="",0,SUMIFS(P_M12,P_Annee,Annee_Travail,P_Cat,$C18,P_Type,"Revenu"))</f>
        <v/>
      </c>
      <c r="AA18" s="159">
        <f>IF($C18="",0,SUMIFS(J_Montant,J_Annee,Annee_Travail,J_Mois,12,J_Cat,$C18,J_Type,"Revenu",J_Statut,"&lt;&gt;Annulé",J_Statut,"&lt;&gt;Prévu"))</f>
        <v/>
      </c>
      <c r="AB18" s="160">
        <f>D18+F18+H18+J18+L18+N18+P18+R18+T18+V18+X18+Z18</f>
        <v/>
      </c>
      <c r="AC18" s="160">
        <f>E18+G18+I18+K18+M18+O18+Q18+S18+U18+W18+Y18+AA18</f>
        <v/>
      </c>
      <c r="AD18" s="161">
        <f>$AC18-$AB18</f>
        <v/>
      </c>
      <c r="AE18" s="162">
        <f>IFERROR($AC18/$AB18,0)</f>
        <v/>
      </c>
    </row>
    <row r="19">
      <c r="B19" s="156" t="n">
        <v>9</v>
      </c>
      <c r="C19" s="157" t="inlineStr">
        <is>
          <t>Remboursement reçu</t>
        </is>
      </c>
      <c r="D19" s="158">
        <f>IF($C19="",0,SUMIFS(P_M1,P_Annee,Annee_Travail,P_Cat,$C19,P_Type,"Revenu"))</f>
        <v/>
      </c>
      <c r="E19" s="159">
        <f>IF($C19="",0,SUMIFS(J_Montant,J_Annee,Annee_Travail,J_Mois,1,J_Cat,$C19,J_Type,"Revenu",J_Statut,"&lt;&gt;Annulé",J_Statut,"&lt;&gt;Prévu"))</f>
        <v/>
      </c>
      <c r="F19" s="158">
        <f>IF($C19="",0,SUMIFS(P_M2,P_Annee,Annee_Travail,P_Cat,$C19,P_Type,"Revenu"))</f>
        <v/>
      </c>
      <c r="G19" s="159">
        <f>IF($C19="",0,SUMIFS(J_Montant,J_Annee,Annee_Travail,J_Mois,2,J_Cat,$C19,J_Type,"Revenu",J_Statut,"&lt;&gt;Annulé",J_Statut,"&lt;&gt;Prévu"))</f>
        <v/>
      </c>
      <c r="H19" s="158">
        <f>IF($C19="",0,SUMIFS(P_M3,P_Annee,Annee_Travail,P_Cat,$C19,P_Type,"Revenu"))</f>
        <v/>
      </c>
      <c r="I19" s="159">
        <f>IF($C19="",0,SUMIFS(J_Montant,J_Annee,Annee_Travail,J_Mois,3,J_Cat,$C19,J_Type,"Revenu",J_Statut,"&lt;&gt;Annulé",J_Statut,"&lt;&gt;Prévu"))</f>
        <v/>
      </c>
      <c r="J19" s="158">
        <f>IF($C19="",0,SUMIFS(P_M4,P_Annee,Annee_Travail,P_Cat,$C19,P_Type,"Revenu"))</f>
        <v/>
      </c>
      <c r="K19" s="159">
        <f>IF($C19="",0,SUMIFS(J_Montant,J_Annee,Annee_Travail,J_Mois,4,J_Cat,$C19,J_Type,"Revenu",J_Statut,"&lt;&gt;Annulé",J_Statut,"&lt;&gt;Prévu"))</f>
        <v/>
      </c>
      <c r="L19" s="158">
        <f>IF($C19="",0,SUMIFS(P_M5,P_Annee,Annee_Travail,P_Cat,$C19,P_Type,"Revenu"))</f>
        <v/>
      </c>
      <c r="M19" s="159">
        <f>IF($C19="",0,SUMIFS(J_Montant,J_Annee,Annee_Travail,J_Mois,5,J_Cat,$C19,J_Type,"Revenu",J_Statut,"&lt;&gt;Annulé",J_Statut,"&lt;&gt;Prévu"))</f>
        <v/>
      </c>
      <c r="N19" s="158">
        <f>IF($C19="",0,SUMIFS(P_M6,P_Annee,Annee_Travail,P_Cat,$C19,P_Type,"Revenu"))</f>
        <v/>
      </c>
      <c r="O19" s="159">
        <f>IF($C19="",0,SUMIFS(J_Montant,J_Annee,Annee_Travail,J_Mois,6,J_Cat,$C19,J_Type,"Revenu",J_Statut,"&lt;&gt;Annulé",J_Statut,"&lt;&gt;Prévu"))</f>
        <v/>
      </c>
      <c r="P19" s="158">
        <f>IF($C19="",0,SUMIFS(P_M7,P_Annee,Annee_Travail,P_Cat,$C19,P_Type,"Revenu"))</f>
        <v/>
      </c>
      <c r="Q19" s="159">
        <f>IF($C19="",0,SUMIFS(J_Montant,J_Annee,Annee_Travail,J_Mois,7,J_Cat,$C19,J_Type,"Revenu",J_Statut,"&lt;&gt;Annulé",J_Statut,"&lt;&gt;Prévu"))</f>
        <v/>
      </c>
      <c r="R19" s="158">
        <f>IF($C19="",0,SUMIFS(P_M8,P_Annee,Annee_Travail,P_Cat,$C19,P_Type,"Revenu"))</f>
        <v/>
      </c>
      <c r="S19" s="159">
        <f>IF($C19="",0,SUMIFS(J_Montant,J_Annee,Annee_Travail,J_Mois,8,J_Cat,$C19,J_Type,"Revenu",J_Statut,"&lt;&gt;Annulé",J_Statut,"&lt;&gt;Prévu"))</f>
        <v/>
      </c>
      <c r="T19" s="158">
        <f>IF($C19="",0,SUMIFS(P_M9,P_Annee,Annee_Travail,P_Cat,$C19,P_Type,"Revenu"))</f>
        <v/>
      </c>
      <c r="U19" s="159">
        <f>IF($C19="",0,SUMIFS(J_Montant,J_Annee,Annee_Travail,J_Mois,9,J_Cat,$C19,J_Type,"Revenu",J_Statut,"&lt;&gt;Annulé",J_Statut,"&lt;&gt;Prévu"))</f>
        <v/>
      </c>
      <c r="V19" s="158">
        <f>IF($C19="",0,SUMIFS(P_M10,P_Annee,Annee_Travail,P_Cat,$C19,P_Type,"Revenu"))</f>
        <v/>
      </c>
      <c r="W19" s="159">
        <f>IF($C19="",0,SUMIFS(J_Montant,J_Annee,Annee_Travail,J_Mois,10,J_Cat,$C19,J_Type,"Revenu",J_Statut,"&lt;&gt;Annulé",J_Statut,"&lt;&gt;Prévu"))</f>
        <v/>
      </c>
      <c r="X19" s="158">
        <f>IF($C19="",0,SUMIFS(P_M11,P_Annee,Annee_Travail,P_Cat,$C19,P_Type,"Revenu"))</f>
        <v/>
      </c>
      <c r="Y19" s="159">
        <f>IF($C19="",0,SUMIFS(J_Montant,J_Annee,Annee_Travail,J_Mois,11,J_Cat,$C19,J_Type,"Revenu",J_Statut,"&lt;&gt;Annulé",J_Statut,"&lt;&gt;Prévu"))</f>
        <v/>
      </c>
      <c r="Z19" s="158">
        <f>IF($C19="",0,SUMIFS(P_M12,P_Annee,Annee_Travail,P_Cat,$C19,P_Type,"Revenu"))</f>
        <v/>
      </c>
      <c r="AA19" s="159">
        <f>IF($C19="",0,SUMIFS(J_Montant,J_Annee,Annee_Travail,J_Mois,12,J_Cat,$C19,J_Type,"Revenu",J_Statut,"&lt;&gt;Annulé",J_Statut,"&lt;&gt;Prévu"))</f>
        <v/>
      </c>
      <c r="AB19" s="160">
        <f>D19+F19+H19+J19+L19+N19+P19+R19+T19+V19+X19+Z19</f>
        <v/>
      </c>
      <c r="AC19" s="160">
        <f>E19+G19+I19+K19+M19+O19+Q19+S19+U19+W19+Y19+AA19</f>
        <v/>
      </c>
      <c r="AD19" s="161">
        <f>$AC19-$AB19</f>
        <v/>
      </c>
      <c r="AE19" s="162">
        <f>IFERROR($AC19/$AB19,0)</f>
        <v/>
      </c>
    </row>
    <row r="20">
      <c r="B20" s="156" t="n">
        <v>10</v>
      </c>
      <c r="C20" s="157" t="inlineStr">
        <is>
          <t>Vente d'actifs</t>
        </is>
      </c>
      <c r="D20" s="158">
        <f>IF($C20="",0,SUMIFS(P_M1,P_Annee,Annee_Travail,P_Cat,$C20,P_Type,"Revenu"))</f>
        <v/>
      </c>
      <c r="E20" s="159">
        <f>IF($C20="",0,SUMIFS(J_Montant,J_Annee,Annee_Travail,J_Mois,1,J_Cat,$C20,J_Type,"Revenu",J_Statut,"&lt;&gt;Annulé",J_Statut,"&lt;&gt;Prévu"))</f>
        <v/>
      </c>
      <c r="F20" s="158">
        <f>IF($C20="",0,SUMIFS(P_M2,P_Annee,Annee_Travail,P_Cat,$C20,P_Type,"Revenu"))</f>
        <v/>
      </c>
      <c r="G20" s="159">
        <f>IF($C20="",0,SUMIFS(J_Montant,J_Annee,Annee_Travail,J_Mois,2,J_Cat,$C20,J_Type,"Revenu",J_Statut,"&lt;&gt;Annulé",J_Statut,"&lt;&gt;Prévu"))</f>
        <v/>
      </c>
      <c r="H20" s="158">
        <f>IF($C20="",0,SUMIFS(P_M3,P_Annee,Annee_Travail,P_Cat,$C20,P_Type,"Revenu"))</f>
        <v/>
      </c>
      <c r="I20" s="159">
        <f>IF($C20="",0,SUMIFS(J_Montant,J_Annee,Annee_Travail,J_Mois,3,J_Cat,$C20,J_Type,"Revenu",J_Statut,"&lt;&gt;Annulé",J_Statut,"&lt;&gt;Prévu"))</f>
        <v/>
      </c>
      <c r="J20" s="158">
        <f>IF($C20="",0,SUMIFS(P_M4,P_Annee,Annee_Travail,P_Cat,$C20,P_Type,"Revenu"))</f>
        <v/>
      </c>
      <c r="K20" s="159">
        <f>IF($C20="",0,SUMIFS(J_Montant,J_Annee,Annee_Travail,J_Mois,4,J_Cat,$C20,J_Type,"Revenu",J_Statut,"&lt;&gt;Annulé",J_Statut,"&lt;&gt;Prévu"))</f>
        <v/>
      </c>
      <c r="L20" s="158">
        <f>IF($C20="",0,SUMIFS(P_M5,P_Annee,Annee_Travail,P_Cat,$C20,P_Type,"Revenu"))</f>
        <v/>
      </c>
      <c r="M20" s="159">
        <f>IF($C20="",0,SUMIFS(J_Montant,J_Annee,Annee_Travail,J_Mois,5,J_Cat,$C20,J_Type,"Revenu",J_Statut,"&lt;&gt;Annulé",J_Statut,"&lt;&gt;Prévu"))</f>
        <v/>
      </c>
      <c r="N20" s="158">
        <f>IF($C20="",0,SUMIFS(P_M6,P_Annee,Annee_Travail,P_Cat,$C20,P_Type,"Revenu"))</f>
        <v/>
      </c>
      <c r="O20" s="159">
        <f>IF($C20="",0,SUMIFS(J_Montant,J_Annee,Annee_Travail,J_Mois,6,J_Cat,$C20,J_Type,"Revenu",J_Statut,"&lt;&gt;Annulé",J_Statut,"&lt;&gt;Prévu"))</f>
        <v/>
      </c>
      <c r="P20" s="158">
        <f>IF($C20="",0,SUMIFS(P_M7,P_Annee,Annee_Travail,P_Cat,$C20,P_Type,"Revenu"))</f>
        <v/>
      </c>
      <c r="Q20" s="159">
        <f>IF($C20="",0,SUMIFS(J_Montant,J_Annee,Annee_Travail,J_Mois,7,J_Cat,$C20,J_Type,"Revenu",J_Statut,"&lt;&gt;Annulé",J_Statut,"&lt;&gt;Prévu"))</f>
        <v/>
      </c>
      <c r="R20" s="158">
        <f>IF($C20="",0,SUMIFS(P_M8,P_Annee,Annee_Travail,P_Cat,$C20,P_Type,"Revenu"))</f>
        <v/>
      </c>
      <c r="S20" s="159">
        <f>IF($C20="",0,SUMIFS(J_Montant,J_Annee,Annee_Travail,J_Mois,8,J_Cat,$C20,J_Type,"Revenu",J_Statut,"&lt;&gt;Annulé",J_Statut,"&lt;&gt;Prévu"))</f>
        <v/>
      </c>
      <c r="T20" s="158">
        <f>IF($C20="",0,SUMIFS(P_M9,P_Annee,Annee_Travail,P_Cat,$C20,P_Type,"Revenu"))</f>
        <v/>
      </c>
      <c r="U20" s="159">
        <f>IF($C20="",0,SUMIFS(J_Montant,J_Annee,Annee_Travail,J_Mois,9,J_Cat,$C20,J_Type,"Revenu",J_Statut,"&lt;&gt;Annulé",J_Statut,"&lt;&gt;Prévu"))</f>
        <v/>
      </c>
      <c r="V20" s="158">
        <f>IF($C20="",0,SUMIFS(P_M10,P_Annee,Annee_Travail,P_Cat,$C20,P_Type,"Revenu"))</f>
        <v/>
      </c>
      <c r="W20" s="159">
        <f>IF($C20="",0,SUMIFS(J_Montant,J_Annee,Annee_Travail,J_Mois,10,J_Cat,$C20,J_Type,"Revenu",J_Statut,"&lt;&gt;Annulé",J_Statut,"&lt;&gt;Prévu"))</f>
        <v/>
      </c>
      <c r="X20" s="158">
        <f>IF($C20="",0,SUMIFS(P_M11,P_Annee,Annee_Travail,P_Cat,$C20,P_Type,"Revenu"))</f>
        <v/>
      </c>
      <c r="Y20" s="159">
        <f>IF($C20="",0,SUMIFS(J_Montant,J_Annee,Annee_Travail,J_Mois,11,J_Cat,$C20,J_Type,"Revenu",J_Statut,"&lt;&gt;Annulé",J_Statut,"&lt;&gt;Prévu"))</f>
        <v/>
      </c>
      <c r="Z20" s="158">
        <f>IF($C20="",0,SUMIFS(P_M12,P_Annee,Annee_Travail,P_Cat,$C20,P_Type,"Revenu"))</f>
        <v/>
      </c>
      <c r="AA20" s="159">
        <f>IF($C20="",0,SUMIFS(J_Montant,J_Annee,Annee_Travail,J_Mois,12,J_Cat,$C20,J_Type,"Revenu",J_Statut,"&lt;&gt;Annulé",J_Statut,"&lt;&gt;Prévu"))</f>
        <v/>
      </c>
      <c r="AB20" s="160">
        <f>D20+F20+H20+J20+L20+N20+P20+R20+T20+V20+X20+Z20</f>
        <v/>
      </c>
      <c r="AC20" s="160">
        <f>E20+G20+I20+K20+M20+O20+Q20+S20+U20+W20+Y20+AA20</f>
        <v/>
      </c>
      <c r="AD20" s="161">
        <f>$AC20-$AB20</f>
        <v/>
      </c>
      <c r="AE20" s="162">
        <f>IFERROR($AC20/$AB20,0)</f>
        <v/>
      </c>
    </row>
    <row r="21">
      <c r="B21" s="156" t="n">
        <v>11</v>
      </c>
      <c r="C21" s="157" t="inlineStr">
        <is>
          <t>Autre revenu</t>
        </is>
      </c>
      <c r="D21" s="158">
        <f>IF($C21="",0,SUMIFS(P_M1,P_Annee,Annee_Travail,P_Cat,$C21,P_Type,"Revenu"))</f>
        <v/>
      </c>
      <c r="E21" s="159">
        <f>IF($C21="",0,SUMIFS(J_Montant,J_Annee,Annee_Travail,J_Mois,1,J_Cat,$C21,J_Type,"Revenu",J_Statut,"&lt;&gt;Annulé",J_Statut,"&lt;&gt;Prévu"))</f>
        <v/>
      </c>
      <c r="F21" s="158">
        <f>IF($C21="",0,SUMIFS(P_M2,P_Annee,Annee_Travail,P_Cat,$C21,P_Type,"Revenu"))</f>
        <v/>
      </c>
      <c r="G21" s="159">
        <f>IF($C21="",0,SUMIFS(J_Montant,J_Annee,Annee_Travail,J_Mois,2,J_Cat,$C21,J_Type,"Revenu",J_Statut,"&lt;&gt;Annulé",J_Statut,"&lt;&gt;Prévu"))</f>
        <v/>
      </c>
      <c r="H21" s="158">
        <f>IF($C21="",0,SUMIFS(P_M3,P_Annee,Annee_Travail,P_Cat,$C21,P_Type,"Revenu"))</f>
        <v/>
      </c>
      <c r="I21" s="159">
        <f>IF($C21="",0,SUMIFS(J_Montant,J_Annee,Annee_Travail,J_Mois,3,J_Cat,$C21,J_Type,"Revenu",J_Statut,"&lt;&gt;Annulé",J_Statut,"&lt;&gt;Prévu"))</f>
        <v/>
      </c>
      <c r="J21" s="158">
        <f>IF($C21="",0,SUMIFS(P_M4,P_Annee,Annee_Travail,P_Cat,$C21,P_Type,"Revenu"))</f>
        <v/>
      </c>
      <c r="K21" s="159">
        <f>IF($C21="",0,SUMIFS(J_Montant,J_Annee,Annee_Travail,J_Mois,4,J_Cat,$C21,J_Type,"Revenu",J_Statut,"&lt;&gt;Annulé",J_Statut,"&lt;&gt;Prévu"))</f>
        <v/>
      </c>
      <c r="L21" s="158">
        <f>IF($C21="",0,SUMIFS(P_M5,P_Annee,Annee_Travail,P_Cat,$C21,P_Type,"Revenu"))</f>
        <v/>
      </c>
      <c r="M21" s="159">
        <f>IF($C21="",0,SUMIFS(J_Montant,J_Annee,Annee_Travail,J_Mois,5,J_Cat,$C21,J_Type,"Revenu",J_Statut,"&lt;&gt;Annulé",J_Statut,"&lt;&gt;Prévu"))</f>
        <v/>
      </c>
      <c r="N21" s="158">
        <f>IF($C21="",0,SUMIFS(P_M6,P_Annee,Annee_Travail,P_Cat,$C21,P_Type,"Revenu"))</f>
        <v/>
      </c>
      <c r="O21" s="159">
        <f>IF($C21="",0,SUMIFS(J_Montant,J_Annee,Annee_Travail,J_Mois,6,J_Cat,$C21,J_Type,"Revenu",J_Statut,"&lt;&gt;Annulé",J_Statut,"&lt;&gt;Prévu"))</f>
        <v/>
      </c>
      <c r="P21" s="158">
        <f>IF($C21="",0,SUMIFS(P_M7,P_Annee,Annee_Travail,P_Cat,$C21,P_Type,"Revenu"))</f>
        <v/>
      </c>
      <c r="Q21" s="159">
        <f>IF($C21="",0,SUMIFS(J_Montant,J_Annee,Annee_Travail,J_Mois,7,J_Cat,$C21,J_Type,"Revenu",J_Statut,"&lt;&gt;Annulé",J_Statut,"&lt;&gt;Prévu"))</f>
        <v/>
      </c>
      <c r="R21" s="158">
        <f>IF($C21="",0,SUMIFS(P_M8,P_Annee,Annee_Travail,P_Cat,$C21,P_Type,"Revenu"))</f>
        <v/>
      </c>
      <c r="S21" s="159">
        <f>IF($C21="",0,SUMIFS(J_Montant,J_Annee,Annee_Travail,J_Mois,8,J_Cat,$C21,J_Type,"Revenu",J_Statut,"&lt;&gt;Annulé",J_Statut,"&lt;&gt;Prévu"))</f>
        <v/>
      </c>
      <c r="T21" s="158">
        <f>IF($C21="",0,SUMIFS(P_M9,P_Annee,Annee_Travail,P_Cat,$C21,P_Type,"Revenu"))</f>
        <v/>
      </c>
      <c r="U21" s="159">
        <f>IF($C21="",0,SUMIFS(J_Montant,J_Annee,Annee_Travail,J_Mois,9,J_Cat,$C21,J_Type,"Revenu",J_Statut,"&lt;&gt;Annulé",J_Statut,"&lt;&gt;Prévu"))</f>
        <v/>
      </c>
      <c r="V21" s="158">
        <f>IF($C21="",0,SUMIFS(P_M10,P_Annee,Annee_Travail,P_Cat,$C21,P_Type,"Revenu"))</f>
        <v/>
      </c>
      <c r="W21" s="159">
        <f>IF($C21="",0,SUMIFS(J_Montant,J_Annee,Annee_Travail,J_Mois,10,J_Cat,$C21,J_Type,"Revenu",J_Statut,"&lt;&gt;Annulé",J_Statut,"&lt;&gt;Prévu"))</f>
        <v/>
      </c>
      <c r="X21" s="158">
        <f>IF($C21="",0,SUMIFS(P_M11,P_Annee,Annee_Travail,P_Cat,$C21,P_Type,"Revenu"))</f>
        <v/>
      </c>
      <c r="Y21" s="159">
        <f>IF($C21="",0,SUMIFS(J_Montant,J_Annee,Annee_Travail,J_Mois,11,J_Cat,$C21,J_Type,"Revenu",J_Statut,"&lt;&gt;Annulé",J_Statut,"&lt;&gt;Prévu"))</f>
        <v/>
      </c>
      <c r="Z21" s="158">
        <f>IF($C21="",0,SUMIFS(P_M12,P_Annee,Annee_Travail,P_Cat,$C21,P_Type,"Revenu"))</f>
        <v/>
      </c>
      <c r="AA21" s="159">
        <f>IF($C21="",0,SUMIFS(J_Montant,J_Annee,Annee_Travail,J_Mois,12,J_Cat,$C21,J_Type,"Revenu",J_Statut,"&lt;&gt;Annulé",J_Statut,"&lt;&gt;Prévu"))</f>
        <v/>
      </c>
      <c r="AB21" s="160">
        <f>D21+F21+H21+J21+L21+N21+P21+R21+T21+V21+X21+Z21</f>
        <v/>
      </c>
      <c r="AC21" s="160">
        <f>E21+G21+I21+K21+M21+O21+Q21+S21+U21+W21+Y21+AA21</f>
        <v/>
      </c>
      <c r="AD21" s="161">
        <f>$AC21-$AB21</f>
        <v/>
      </c>
      <c r="AE21" s="162">
        <f>IFERROR($AC21/$AB21,0)</f>
        <v/>
      </c>
    </row>
    <row r="22">
      <c r="B22" s="156" t="n">
        <v>12</v>
      </c>
      <c r="C22" s="157" t="inlineStr">
        <is>
          <t>Chiffre d'affaires</t>
        </is>
      </c>
      <c r="D22" s="158">
        <f>IF($C22="",0,SUMIFS(P_M1,P_Annee,Annee_Travail,P_Cat,$C22,P_Type,"Revenu"))</f>
        <v/>
      </c>
      <c r="E22" s="159">
        <f>IF($C22="",0,SUMIFS(J_Montant,J_Annee,Annee_Travail,J_Mois,1,J_Cat,$C22,J_Type,"Revenu",J_Statut,"&lt;&gt;Annulé",J_Statut,"&lt;&gt;Prévu"))</f>
        <v/>
      </c>
      <c r="F22" s="158">
        <f>IF($C22="",0,SUMIFS(P_M2,P_Annee,Annee_Travail,P_Cat,$C22,P_Type,"Revenu"))</f>
        <v/>
      </c>
      <c r="G22" s="159">
        <f>IF($C22="",0,SUMIFS(J_Montant,J_Annee,Annee_Travail,J_Mois,2,J_Cat,$C22,J_Type,"Revenu",J_Statut,"&lt;&gt;Annulé",J_Statut,"&lt;&gt;Prévu"))</f>
        <v/>
      </c>
      <c r="H22" s="158">
        <f>IF($C22="",0,SUMIFS(P_M3,P_Annee,Annee_Travail,P_Cat,$C22,P_Type,"Revenu"))</f>
        <v/>
      </c>
      <c r="I22" s="159">
        <f>IF($C22="",0,SUMIFS(J_Montant,J_Annee,Annee_Travail,J_Mois,3,J_Cat,$C22,J_Type,"Revenu",J_Statut,"&lt;&gt;Annulé",J_Statut,"&lt;&gt;Prévu"))</f>
        <v/>
      </c>
      <c r="J22" s="158">
        <f>IF($C22="",0,SUMIFS(P_M4,P_Annee,Annee_Travail,P_Cat,$C22,P_Type,"Revenu"))</f>
        <v/>
      </c>
      <c r="K22" s="159">
        <f>IF($C22="",0,SUMIFS(J_Montant,J_Annee,Annee_Travail,J_Mois,4,J_Cat,$C22,J_Type,"Revenu",J_Statut,"&lt;&gt;Annulé",J_Statut,"&lt;&gt;Prévu"))</f>
        <v/>
      </c>
      <c r="L22" s="158">
        <f>IF($C22="",0,SUMIFS(P_M5,P_Annee,Annee_Travail,P_Cat,$C22,P_Type,"Revenu"))</f>
        <v/>
      </c>
      <c r="M22" s="159">
        <f>IF($C22="",0,SUMIFS(J_Montant,J_Annee,Annee_Travail,J_Mois,5,J_Cat,$C22,J_Type,"Revenu",J_Statut,"&lt;&gt;Annulé",J_Statut,"&lt;&gt;Prévu"))</f>
        <v/>
      </c>
      <c r="N22" s="158">
        <f>IF($C22="",0,SUMIFS(P_M6,P_Annee,Annee_Travail,P_Cat,$C22,P_Type,"Revenu"))</f>
        <v/>
      </c>
      <c r="O22" s="159">
        <f>IF($C22="",0,SUMIFS(J_Montant,J_Annee,Annee_Travail,J_Mois,6,J_Cat,$C22,J_Type,"Revenu",J_Statut,"&lt;&gt;Annulé",J_Statut,"&lt;&gt;Prévu"))</f>
        <v/>
      </c>
      <c r="P22" s="158">
        <f>IF($C22="",0,SUMIFS(P_M7,P_Annee,Annee_Travail,P_Cat,$C22,P_Type,"Revenu"))</f>
        <v/>
      </c>
      <c r="Q22" s="159">
        <f>IF($C22="",0,SUMIFS(J_Montant,J_Annee,Annee_Travail,J_Mois,7,J_Cat,$C22,J_Type,"Revenu",J_Statut,"&lt;&gt;Annulé",J_Statut,"&lt;&gt;Prévu"))</f>
        <v/>
      </c>
      <c r="R22" s="158">
        <f>IF($C22="",0,SUMIFS(P_M8,P_Annee,Annee_Travail,P_Cat,$C22,P_Type,"Revenu"))</f>
        <v/>
      </c>
      <c r="S22" s="159">
        <f>IF($C22="",0,SUMIFS(J_Montant,J_Annee,Annee_Travail,J_Mois,8,J_Cat,$C22,J_Type,"Revenu",J_Statut,"&lt;&gt;Annulé",J_Statut,"&lt;&gt;Prévu"))</f>
        <v/>
      </c>
      <c r="T22" s="158">
        <f>IF($C22="",0,SUMIFS(P_M9,P_Annee,Annee_Travail,P_Cat,$C22,P_Type,"Revenu"))</f>
        <v/>
      </c>
      <c r="U22" s="159">
        <f>IF($C22="",0,SUMIFS(J_Montant,J_Annee,Annee_Travail,J_Mois,9,J_Cat,$C22,J_Type,"Revenu",J_Statut,"&lt;&gt;Annulé",J_Statut,"&lt;&gt;Prévu"))</f>
        <v/>
      </c>
      <c r="V22" s="158">
        <f>IF($C22="",0,SUMIFS(P_M10,P_Annee,Annee_Travail,P_Cat,$C22,P_Type,"Revenu"))</f>
        <v/>
      </c>
      <c r="W22" s="159">
        <f>IF($C22="",0,SUMIFS(J_Montant,J_Annee,Annee_Travail,J_Mois,10,J_Cat,$C22,J_Type,"Revenu",J_Statut,"&lt;&gt;Annulé",J_Statut,"&lt;&gt;Prévu"))</f>
        <v/>
      </c>
      <c r="X22" s="158">
        <f>IF($C22="",0,SUMIFS(P_M11,P_Annee,Annee_Travail,P_Cat,$C22,P_Type,"Revenu"))</f>
        <v/>
      </c>
      <c r="Y22" s="159">
        <f>IF($C22="",0,SUMIFS(J_Montant,J_Annee,Annee_Travail,J_Mois,11,J_Cat,$C22,J_Type,"Revenu",J_Statut,"&lt;&gt;Annulé",J_Statut,"&lt;&gt;Prévu"))</f>
        <v/>
      </c>
      <c r="Z22" s="158">
        <f>IF($C22="",0,SUMIFS(P_M12,P_Annee,Annee_Travail,P_Cat,$C22,P_Type,"Revenu"))</f>
        <v/>
      </c>
      <c r="AA22" s="159">
        <f>IF($C22="",0,SUMIFS(J_Montant,J_Annee,Annee_Travail,J_Mois,12,J_Cat,$C22,J_Type,"Revenu",J_Statut,"&lt;&gt;Annulé",J_Statut,"&lt;&gt;Prévu"))</f>
        <v/>
      </c>
      <c r="AB22" s="160">
        <f>D22+F22+H22+J22+L22+N22+P22+R22+T22+V22+X22+Z22</f>
        <v/>
      </c>
      <c r="AC22" s="160">
        <f>E22+G22+I22+K22+M22+O22+Q22+S22+U22+W22+Y22+AA22</f>
        <v/>
      </c>
      <c r="AD22" s="161">
        <f>$AC22-$AB22</f>
        <v/>
      </c>
      <c r="AE22" s="162">
        <f>IFERROR($AC22/$AB22,0)</f>
        <v/>
      </c>
    </row>
    <row r="23">
      <c r="B23" s="156" t="n">
        <v>13</v>
      </c>
      <c r="C23" s="157" t="inlineStr">
        <is>
          <t>Prestation de service</t>
        </is>
      </c>
      <c r="D23" s="158">
        <f>IF($C23="",0,SUMIFS(P_M1,P_Annee,Annee_Travail,P_Cat,$C23,P_Type,"Revenu"))</f>
        <v/>
      </c>
      <c r="E23" s="159">
        <f>IF($C23="",0,SUMIFS(J_Montant,J_Annee,Annee_Travail,J_Mois,1,J_Cat,$C23,J_Type,"Revenu",J_Statut,"&lt;&gt;Annulé",J_Statut,"&lt;&gt;Prévu"))</f>
        <v/>
      </c>
      <c r="F23" s="158">
        <f>IF($C23="",0,SUMIFS(P_M2,P_Annee,Annee_Travail,P_Cat,$C23,P_Type,"Revenu"))</f>
        <v/>
      </c>
      <c r="G23" s="159">
        <f>IF($C23="",0,SUMIFS(J_Montant,J_Annee,Annee_Travail,J_Mois,2,J_Cat,$C23,J_Type,"Revenu",J_Statut,"&lt;&gt;Annulé",J_Statut,"&lt;&gt;Prévu"))</f>
        <v/>
      </c>
      <c r="H23" s="158">
        <f>IF($C23="",0,SUMIFS(P_M3,P_Annee,Annee_Travail,P_Cat,$C23,P_Type,"Revenu"))</f>
        <v/>
      </c>
      <c r="I23" s="159">
        <f>IF($C23="",0,SUMIFS(J_Montant,J_Annee,Annee_Travail,J_Mois,3,J_Cat,$C23,J_Type,"Revenu",J_Statut,"&lt;&gt;Annulé",J_Statut,"&lt;&gt;Prévu"))</f>
        <v/>
      </c>
      <c r="J23" s="158">
        <f>IF($C23="",0,SUMIFS(P_M4,P_Annee,Annee_Travail,P_Cat,$C23,P_Type,"Revenu"))</f>
        <v/>
      </c>
      <c r="K23" s="159">
        <f>IF($C23="",0,SUMIFS(J_Montant,J_Annee,Annee_Travail,J_Mois,4,J_Cat,$C23,J_Type,"Revenu",J_Statut,"&lt;&gt;Annulé",J_Statut,"&lt;&gt;Prévu"))</f>
        <v/>
      </c>
      <c r="L23" s="158">
        <f>IF($C23="",0,SUMIFS(P_M5,P_Annee,Annee_Travail,P_Cat,$C23,P_Type,"Revenu"))</f>
        <v/>
      </c>
      <c r="M23" s="159">
        <f>IF($C23="",0,SUMIFS(J_Montant,J_Annee,Annee_Travail,J_Mois,5,J_Cat,$C23,J_Type,"Revenu",J_Statut,"&lt;&gt;Annulé",J_Statut,"&lt;&gt;Prévu"))</f>
        <v/>
      </c>
      <c r="N23" s="158">
        <f>IF($C23="",0,SUMIFS(P_M6,P_Annee,Annee_Travail,P_Cat,$C23,P_Type,"Revenu"))</f>
        <v/>
      </c>
      <c r="O23" s="159">
        <f>IF($C23="",0,SUMIFS(J_Montant,J_Annee,Annee_Travail,J_Mois,6,J_Cat,$C23,J_Type,"Revenu",J_Statut,"&lt;&gt;Annulé",J_Statut,"&lt;&gt;Prévu"))</f>
        <v/>
      </c>
      <c r="P23" s="158">
        <f>IF($C23="",0,SUMIFS(P_M7,P_Annee,Annee_Travail,P_Cat,$C23,P_Type,"Revenu"))</f>
        <v/>
      </c>
      <c r="Q23" s="159">
        <f>IF($C23="",0,SUMIFS(J_Montant,J_Annee,Annee_Travail,J_Mois,7,J_Cat,$C23,J_Type,"Revenu",J_Statut,"&lt;&gt;Annulé",J_Statut,"&lt;&gt;Prévu"))</f>
        <v/>
      </c>
      <c r="R23" s="158">
        <f>IF($C23="",0,SUMIFS(P_M8,P_Annee,Annee_Travail,P_Cat,$C23,P_Type,"Revenu"))</f>
        <v/>
      </c>
      <c r="S23" s="159">
        <f>IF($C23="",0,SUMIFS(J_Montant,J_Annee,Annee_Travail,J_Mois,8,J_Cat,$C23,J_Type,"Revenu",J_Statut,"&lt;&gt;Annulé",J_Statut,"&lt;&gt;Prévu"))</f>
        <v/>
      </c>
      <c r="T23" s="158">
        <f>IF($C23="",0,SUMIFS(P_M9,P_Annee,Annee_Travail,P_Cat,$C23,P_Type,"Revenu"))</f>
        <v/>
      </c>
      <c r="U23" s="159">
        <f>IF($C23="",0,SUMIFS(J_Montant,J_Annee,Annee_Travail,J_Mois,9,J_Cat,$C23,J_Type,"Revenu",J_Statut,"&lt;&gt;Annulé",J_Statut,"&lt;&gt;Prévu"))</f>
        <v/>
      </c>
      <c r="V23" s="158">
        <f>IF($C23="",0,SUMIFS(P_M10,P_Annee,Annee_Travail,P_Cat,$C23,P_Type,"Revenu"))</f>
        <v/>
      </c>
      <c r="W23" s="159">
        <f>IF($C23="",0,SUMIFS(J_Montant,J_Annee,Annee_Travail,J_Mois,10,J_Cat,$C23,J_Type,"Revenu",J_Statut,"&lt;&gt;Annulé",J_Statut,"&lt;&gt;Prévu"))</f>
        <v/>
      </c>
      <c r="X23" s="158">
        <f>IF($C23="",0,SUMIFS(P_M11,P_Annee,Annee_Travail,P_Cat,$C23,P_Type,"Revenu"))</f>
        <v/>
      </c>
      <c r="Y23" s="159">
        <f>IF($C23="",0,SUMIFS(J_Montant,J_Annee,Annee_Travail,J_Mois,11,J_Cat,$C23,J_Type,"Revenu",J_Statut,"&lt;&gt;Annulé",J_Statut,"&lt;&gt;Prévu"))</f>
        <v/>
      </c>
      <c r="Z23" s="158">
        <f>IF($C23="",0,SUMIFS(P_M12,P_Annee,Annee_Travail,P_Cat,$C23,P_Type,"Revenu"))</f>
        <v/>
      </c>
      <c r="AA23" s="159">
        <f>IF($C23="",0,SUMIFS(J_Montant,J_Annee,Annee_Travail,J_Mois,12,J_Cat,$C23,J_Type,"Revenu",J_Statut,"&lt;&gt;Annulé",J_Statut,"&lt;&gt;Prévu"))</f>
        <v/>
      </c>
      <c r="AB23" s="160">
        <f>D23+F23+H23+J23+L23+N23+P23+R23+T23+V23+X23+Z23</f>
        <v/>
      </c>
      <c r="AC23" s="160">
        <f>E23+G23+I23+K23+M23+O23+Q23+S23+U23+W23+Y23+AA23</f>
        <v/>
      </c>
      <c r="AD23" s="161">
        <f>$AC23-$AB23</f>
        <v/>
      </c>
      <c r="AE23" s="162">
        <f>IFERROR($AC23/$AB23,0)</f>
        <v/>
      </c>
    </row>
    <row r="24">
      <c r="B24" s="156" t="n">
        <v>14</v>
      </c>
      <c r="C24" s="157" t="inlineStr">
        <is>
          <t>Vente de produits</t>
        </is>
      </c>
      <c r="D24" s="158">
        <f>IF($C24="",0,SUMIFS(P_M1,P_Annee,Annee_Travail,P_Cat,$C24,P_Type,"Revenu"))</f>
        <v/>
      </c>
      <c r="E24" s="159">
        <f>IF($C24="",0,SUMIFS(J_Montant,J_Annee,Annee_Travail,J_Mois,1,J_Cat,$C24,J_Type,"Revenu",J_Statut,"&lt;&gt;Annulé",J_Statut,"&lt;&gt;Prévu"))</f>
        <v/>
      </c>
      <c r="F24" s="158">
        <f>IF($C24="",0,SUMIFS(P_M2,P_Annee,Annee_Travail,P_Cat,$C24,P_Type,"Revenu"))</f>
        <v/>
      </c>
      <c r="G24" s="159">
        <f>IF($C24="",0,SUMIFS(J_Montant,J_Annee,Annee_Travail,J_Mois,2,J_Cat,$C24,J_Type,"Revenu",J_Statut,"&lt;&gt;Annulé",J_Statut,"&lt;&gt;Prévu"))</f>
        <v/>
      </c>
      <c r="H24" s="158">
        <f>IF($C24="",0,SUMIFS(P_M3,P_Annee,Annee_Travail,P_Cat,$C24,P_Type,"Revenu"))</f>
        <v/>
      </c>
      <c r="I24" s="159">
        <f>IF($C24="",0,SUMIFS(J_Montant,J_Annee,Annee_Travail,J_Mois,3,J_Cat,$C24,J_Type,"Revenu",J_Statut,"&lt;&gt;Annulé",J_Statut,"&lt;&gt;Prévu"))</f>
        <v/>
      </c>
      <c r="J24" s="158">
        <f>IF($C24="",0,SUMIFS(P_M4,P_Annee,Annee_Travail,P_Cat,$C24,P_Type,"Revenu"))</f>
        <v/>
      </c>
      <c r="K24" s="159">
        <f>IF($C24="",0,SUMIFS(J_Montant,J_Annee,Annee_Travail,J_Mois,4,J_Cat,$C24,J_Type,"Revenu",J_Statut,"&lt;&gt;Annulé",J_Statut,"&lt;&gt;Prévu"))</f>
        <v/>
      </c>
      <c r="L24" s="158">
        <f>IF($C24="",0,SUMIFS(P_M5,P_Annee,Annee_Travail,P_Cat,$C24,P_Type,"Revenu"))</f>
        <v/>
      </c>
      <c r="M24" s="159">
        <f>IF($C24="",0,SUMIFS(J_Montant,J_Annee,Annee_Travail,J_Mois,5,J_Cat,$C24,J_Type,"Revenu",J_Statut,"&lt;&gt;Annulé",J_Statut,"&lt;&gt;Prévu"))</f>
        <v/>
      </c>
      <c r="N24" s="158">
        <f>IF($C24="",0,SUMIFS(P_M6,P_Annee,Annee_Travail,P_Cat,$C24,P_Type,"Revenu"))</f>
        <v/>
      </c>
      <c r="O24" s="159">
        <f>IF($C24="",0,SUMIFS(J_Montant,J_Annee,Annee_Travail,J_Mois,6,J_Cat,$C24,J_Type,"Revenu",J_Statut,"&lt;&gt;Annulé",J_Statut,"&lt;&gt;Prévu"))</f>
        <v/>
      </c>
      <c r="P24" s="158">
        <f>IF($C24="",0,SUMIFS(P_M7,P_Annee,Annee_Travail,P_Cat,$C24,P_Type,"Revenu"))</f>
        <v/>
      </c>
      <c r="Q24" s="159">
        <f>IF($C24="",0,SUMIFS(J_Montant,J_Annee,Annee_Travail,J_Mois,7,J_Cat,$C24,J_Type,"Revenu",J_Statut,"&lt;&gt;Annulé",J_Statut,"&lt;&gt;Prévu"))</f>
        <v/>
      </c>
      <c r="R24" s="158">
        <f>IF($C24="",0,SUMIFS(P_M8,P_Annee,Annee_Travail,P_Cat,$C24,P_Type,"Revenu"))</f>
        <v/>
      </c>
      <c r="S24" s="159">
        <f>IF($C24="",0,SUMIFS(J_Montant,J_Annee,Annee_Travail,J_Mois,8,J_Cat,$C24,J_Type,"Revenu",J_Statut,"&lt;&gt;Annulé",J_Statut,"&lt;&gt;Prévu"))</f>
        <v/>
      </c>
      <c r="T24" s="158">
        <f>IF($C24="",0,SUMIFS(P_M9,P_Annee,Annee_Travail,P_Cat,$C24,P_Type,"Revenu"))</f>
        <v/>
      </c>
      <c r="U24" s="159">
        <f>IF($C24="",0,SUMIFS(J_Montant,J_Annee,Annee_Travail,J_Mois,9,J_Cat,$C24,J_Type,"Revenu",J_Statut,"&lt;&gt;Annulé",J_Statut,"&lt;&gt;Prévu"))</f>
        <v/>
      </c>
      <c r="V24" s="158">
        <f>IF($C24="",0,SUMIFS(P_M10,P_Annee,Annee_Travail,P_Cat,$C24,P_Type,"Revenu"))</f>
        <v/>
      </c>
      <c r="W24" s="159">
        <f>IF($C24="",0,SUMIFS(J_Montant,J_Annee,Annee_Travail,J_Mois,10,J_Cat,$C24,J_Type,"Revenu",J_Statut,"&lt;&gt;Annulé",J_Statut,"&lt;&gt;Prévu"))</f>
        <v/>
      </c>
      <c r="X24" s="158">
        <f>IF($C24="",0,SUMIFS(P_M11,P_Annee,Annee_Travail,P_Cat,$C24,P_Type,"Revenu"))</f>
        <v/>
      </c>
      <c r="Y24" s="159">
        <f>IF($C24="",0,SUMIFS(J_Montant,J_Annee,Annee_Travail,J_Mois,11,J_Cat,$C24,J_Type,"Revenu",J_Statut,"&lt;&gt;Annulé",J_Statut,"&lt;&gt;Prévu"))</f>
        <v/>
      </c>
      <c r="Z24" s="158">
        <f>IF($C24="",0,SUMIFS(P_M12,P_Annee,Annee_Travail,P_Cat,$C24,P_Type,"Revenu"))</f>
        <v/>
      </c>
      <c r="AA24" s="159">
        <f>IF($C24="",0,SUMIFS(J_Montant,J_Annee,Annee_Travail,J_Mois,12,J_Cat,$C24,J_Type,"Revenu",J_Statut,"&lt;&gt;Annulé",J_Statut,"&lt;&gt;Prévu"))</f>
        <v/>
      </c>
      <c r="AB24" s="160">
        <f>D24+F24+H24+J24+L24+N24+P24+R24+T24+V24+X24+Z24</f>
        <v/>
      </c>
      <c r="AC24" s="160">
        <f>E24+G24+I24+K24+M24+O24+Q24+S24+U24+W24+Y24+AA24</f>
        <v/>
      </c>
      <c r="AD24" s="161">
        <f>$AC24-$AB24</f>
        <v/>
      </c>
      <c r="AE24" s="162">
        <f>IFERROR($AC24/$AB24,0)</f>
        <v/>
      </c>
    </row>
    <row r="25">
      <c r="B25" s="156" t="n">
        <v>15</v>
      </c>
      <c r="C25" s="157" t="inlineStr"/>
      <c r="D25" s="158">
        <f>IF($C25="",0,SUMIFS(P_M1,P_Annee,Annee_Travail,P_Cat,$C25,P_Type,"Revenu"))</f>
        <v/>
      </c>
      <c r="E25" s="159">
        <f>IF($C25="",0,SUMIFS(J_Montant,J_Annee,Annee_Travail,J_Mois,1,J_Cat,$C25,J_Type,"Revenu",J_Statut,"&lt;&gt;Annulé",J_Statut,"&lt;&gt;Prévu"))</f>
        <v/>
      </c>
      <c r="F25" s="158">
        <f>IF($C25="",0,SUMIFS(P_M2,P_Annee,Annee_Travail,P_Cat,$C25,P_Type,"Revenu"))</f>
        <v/>
      </c>
      <c r="G25" s="159">
        <f>IF($C25="",0,SUMIFS(J_Montant,J_Annee,Annee_Travail,J_Mois,2,J_Cat,$C25,J_Type,"Revenu",J_Statut,"&lt;&gt;Annulé",J_Statut,"&lt;&gt;Prévu"))</f>
        <v/>
      </c>
      <c r="H25" s="158">
        <f>IF($C25="",0,SUMIFS(P_M3,P_Annee,Annee_Travail,P_Cat,$C25,P_Type,"Revenu"))</f>
        <v/>
      </c>
      <c r="I25" s="159">
        <f>IF($C25="",0,SUMIFS(J_Montant,J_Annee,Annee_Travail,J_Mois,3,J_Cat,$C25,J_Type,"Revenu",J_Statut,"&lt;&gt;Annulé",J_Statut,"&lt;&gt;Prévu"))</f>
        <v/>
      </c>
      <c r="J25" s="158">
        <f>IF($C25="",0,SUMIFS(P_M4,P_Annee,Annee_Travail,P_Cat,$C25,P_Type,"Revenu"))</f>
        <v/>
      </c>
      <c r="K25" s="159">
        <f>IF($C25="",0,SUMIFS(J_Montant,J_Annee,Annee_Travail,J_Mois,4,J_Cat,$C25,J_Type,"Revenu",J_Statut,"&lt;&gt;Annulé",J_Statut,"&lt;&gt;Prévu"))</f>
        <v/>
      </c>
      <c r="L25" s="158">
        <f>IF($C25="",0,SUMIFS(P_M5,P_Annee,Annee_Travail,P_Cat,$C25,P_Type,"Revenu"))</f>
        <v/>
      </c>
      <c r="M25" s="159">
        <f>IF($C25="",0,SUMIFS(J_Montant,J_Annee,Annee_Travail,J_Mois,5,J_Cat,$C25,J_Type,"Revenu",J_Statut,"&lt;&gt;Annulé",J_Statut,"&lt;&gt;Prévu"))</f>
        <v/>
      </c>
      <c r="N25" s="158">
        <f>IF($C25="",0,SUMIFS(P_M6,P_Annee,Annee_Travail,P_Cat,$C25,P_Type,"Revenu"))</f>
        <v/>
      </c>
      <c r="O25" s="159">
        <f>IF($C25="",0,SUMIFS(J_Montant,J_Annee,Annee_Travail,J_Mois,6,J_Cat,$C25,J_Type,"Revenu",J_Statut,"&lt;&gt;Annulé",J_Statut,"&lt;&gt;Prévu"))</f>
        <v/>
      </c>
      <c r="P25" s="158">
        <f>IF($C25="",0,SUMIFS(P_M7,P_Annee,Annee_Travail,P_Cat,$C25,P_Type,"Revenu"))</f>
        <v/>
      </c>
      <c r="Q25" s="159">
        <f>IF($C25="",0,SUMIFS(J_Montant,J_Annee,Annee_Travail,J_Mois,7,J_Cat,$C25,J_Type,"Revenu",J_Statut,"&lt;&gt;Annulé",J_Statut,"&lt;&gt;Prévu"))</f>
        <v/>
      </c>
      <c r="R25" s="158">
        <f>IF($C25="",0,SUMIFS(P_M8,P_Annee,Annee_Travail,P_Cat,$C25,P_Type,"Revenu"))</f>
        <v/>
      </c>
      <c r="S25" s="159">
        <f>IF($C25="",0,SUMIFS(J_Montant,J_Annee,Annee_Travail,J_Mois,8,J_Cat,$C25,J_Type,"Revenu",J_Statut,"&lt;&gt;Annulé",J_Statut,"&lt;&gt;Prévu"))</f>
        <v/>
      </c>
      <c r="T25" s="158">
        <f>IF($C25="",0,SUMIFS(P_M9,P_Annee,Annee_Travail,P_Cat,$C25,P_Type,"Revenu"))</f>
        <v/>
      </c>
      <c r="U25" s="159">
        <f>IF($C25="",0,SUMIFS(J_Montant,J_Annee,Annee_Travail,J_Mois,9,J_Cat,$C25,J_Type,"Revenu",J_Statut,"&lt;&gt;Annulé",J_Statut,"&lt;&gt;Prévu"))</f>
        <v/>
      </c>
      <c r="V25" s="158">
        <f>IF($C25="",0,SUMIFS(P_M10,P_Annee,Annee_Travail,P_Cat,$C25,P_Type,"Revenu"))</f>
        <v/>
      </c>
      <c r="W25" s="159">
        <f>IF($C25="",0,SUMIFS(J_Montant,J_Annee,Annee_Travail,J_Mois,10,J_Cat,$C25,J_Type,"Revenu",J_Statut,"&lt;&gt;Annulé",J_Statut,"&lt;&gt;Prévu"))</f>
        <v/>
      </c>
      <c r="X25" s="158">
        <f>IF($C25="",0,SUMIFS(P_M11,P_Annee,Annee_Travail,P_Cat,$C25,P_Type,"Revenu"))</f>
        <v/>
      </c>
      <c r="Y25" s="159">
        <f>IF($C25="",0,SUMIFS(J_Montant,J_Annee,Annee_Travail,J_Mois,11,J_Cat,$C25,J_Type,"Revenu",J_Statut,"&lt;&gt;Annulé",J_Statut,"&lt;&gt;Prévu"))</f>
        <v/>
      </c>
      <c r="Z25" s="158">
        <f>IF($C25="",0,SUMIFS(P_M12,P_Annee,Annee_Travail,P_Cat,$C25,P_Type,"Revenu"))</f>
        <v/>
      </c>
      <c r="AA25" s="159">
        <f>IF($C25="",0,SUMIFS(J_Montant,J_Annee,Annee_Travail,J_Mois,12,J_Cat,$C25,J_Type,"Revenu",J_Statut,"&lt;&gt;Annulé",J_Statut,"&lt;&gt;Prévu"))</f>
        <v/>
      </c>
      <c r="AB25" s="160">
        <f>D25+F25+H25+J25+L25+N25+P25+R25+T25+V25+X25+Z25</f>
        <v/>
      </c>
      <c r="AC25" s="160">
        <f>E25+G25+I25+K25+M25+O25+Q25+S25+U25+W25+Y25+AA25</f>
        <v/>
      </c>
      <c r="AD25" s="161">
        <f>$AC25-$AB25</f>
        <v/>
      </c>
      <c r="AE25" s="162">
        <f>IFERROR($AC25/$AB25,0)</f>
        <v/>
      </c>
    </row>
    <row r="26">
      <c r="B26" s="156" t="n">
        <v>16</v>
      </c>
      <c r="C26" s="157" t="inlineStr"/>
      <c r="D26" s="158">
        <f>IF($C26="",0,SUMIFS(P_M1,P_Annee,Annee_Travail,P_Cat,$C26,P_Type,"Revenu"))</f>
        <v/>
      </c>
      <c r="E26" s="159">
        <f>IF($C26="",0,SUMIFS(J_Montant,J_Annee,Annee_Travail,J_Mois,1,J_Cat,$C26,J_Type,"Revenu",J_Statut,"&lt;&gt;Annulé",J_Statut,"&lt;&gt;Prévu"))</f>
        <v/>
      </c>
      <c r="F26" s="158">
        <f>IF($C26="",0,SUMIFS(P_M2,P_Annee,Annee_Travail,P_Cat,$C26,P_Type,"Revenu"))</f>
        <v/>
      </c>
      <c r="G26" s="159">
        <f>IF($C26="",0,SUMIFS(J_Montant,J_Annee,Annee_Travail,J_Mois,2,J_Cat,$C26,J_Type,"Revenu",J_Statut,"&lt;&gt;Annulé",J_Statut,"&lt;&gt;Prévu"))</f>
        <v/>
      </c>
      <c r="H26" s="158">
        <f>IF($C26="",0,SUMIFS(P_M3,P_Annee,Annee_Travail,P_Cat,$C26,P_Type,"Revenu"))</f>
        <v/>
      </c>
      <c r="I26" s="159">
        <f>IF($C26="",0,SUMIFS(J_Montant,J_Annee,Annee_Travail,J_Mois,3,J_Cat,$C26,J_Type,"Revenu",J_Statut,"&lt;&gt;Annulé",J_Statut,"&lt;&gt;Prévu"))</f>
        <v/>
      </c>
      <c r="J26" s="158">
        <f>IF($C26="",0,SUMIFS(P_M4,P_Annee,Annee_Travail,P_Cat,$C26,P_Type,"Revenu"))</f>
        <v/>
      </c>
      <c r="K26" s="159">
        <f>IF($C26="",0,SUMIFS(J_Montant,J_Annee,Annee_Travail,J_Mois,4,J_Cat,$C26,J_Type,"Revenu",J_Statut,"&lt;&gt;Annulé",J_Statut,"&lt;&gt;Prévu"))</f>
        <v/>
      </c>
      <c r="L26" s="158">
        <f>IF($C26="",0,SUMIFS(P_M5,P_Annee,Annee_Travail,P_Cat,$C26,P_Type,"Revenu"))</f>
        <v/>
      </c>
      <c r="M26" s="159">
        <f>IF($C26="",0,SUMIFS(J_Montant,J_Annee,Annee_Travail,J_Mois,5,J_Cat,$C26,J_Type,"Revenu",J_Statut,"&lt;&gt;Annulé",J_Statut,"&lt;&gt;Prévu"))</f>
        <v/>
      </c>
      <c r="N26" s="158">
        <f>IF($C26="",0,SUMIFS(P_M6,P_Annee,Annee_Travail,P_Cat,$C26,P_Type,"Revenu"))</f>
        <v/>
      </c>
      <c r="O26" s="159">
        <f>IF($C26="",0,SUMIFS(J_Montant,J_Annee,Annee_Travail,J_Mois,6,J_Cat,$C26,J_Type,"Revenu",J_Statut,"&lt;&gt;Annulé",J_Statut,"&lt;&gt;Prévu"))</f>
        <v/>
      </c>
      <c r="P26" s="158">
        <f>IF($C26="",0,SUMIFS(P_M7,P_Annee,Annee_Travail,P_Cat,$C26,P_Type,"Revenu"))</f>
        <v/>
      </c>
      <c r="Q26" s="159">
        <f>IF($C26="",0,SUMIFS(J_Montant,J_Annee,Annee_Travail,J_Mois,7,J_Cat,$C26,J_Type,"Revenu",J_Statut,"&lt;&gt;Annulé",J_Statut,"&lt;&gt;Prévu"))</f>
        <v/>
      </c>
      <c r="R26" s="158">
        <f>IF($C26="",0,SUMIFS(P_M8,P_Annee,Annee_Travail,P_Cat,$C26,P_Type,"Revenu"))</f>
        <v/>
      </c>
      <c r="S26" s="159">
        <f>IF($C26="",0,SUMIFS(J_Montant,J_Annee,Annee_Travail,J_Mois,8,J_Cat,$C26,J_Type,"Revenu",J_Statut,"&lt;&gt;Annulé",J_Statut,"&lt;&gt;Prévu"))</f>
        <v/>
      </c>
      <c r="T26" s="158">
        <f>IF($C26="",0,SUMIFS(P_M9,P_Annee,Annee_Travail,P_Cat,$C26,P_Type,"Revenu"))</f>
        <v/>
      </c>
      <c r="U26" s="159">
        <f>IF($C26="",0,SUMIFS(J_Montant,J_Annee,Annee_Travail,J_Mois,9,J_Cat,$C26,J_Type,"Revenu",J_Statut,"&lt;&gt;Annulé",J_Statut,"&lt;&gt;Prévu"))</f>
        <v/>
      </c>
      <c r="V26" s="158">
        <f>IF($C26="",0,SUMIFS(P_M10,P_Annee,Annee_Travail,P_Cat,$C26,P_Type,"Revenu"))</f>
        <v/>
      </c>
      <c r="W26" s="159">
        <f>IF($C26="",0,SUMIFS(J_Montant,J_Annee,Annee_Travail,J_Mois,10,J_Cat,$C26,J_Type,"Revenu",J_Statut,"&lt;&gt;Annulé",J_Statut,"&lt;&gt;Prévu"))</f>
        <v/>
      </c>
      <c r="X26" s="158">
        <f>IF($C26="",0,SUMIFS(P_M11,P_Annee,Annee_Travail,P_Cat,$C26,P_Type,"Revenu"))</f>
        <v/>
      </c>
      <c r="Y26" s="159">
        <f>IF($C26="",0,SUMIFS(J_Montant,J_Annee,Annee_Travail,J_Mois,11,J_Cat,$C26,J_Type,"Revenu",J_Statut,"&lt;&gt;Annulé",J_Statut,"&lt;&gt;Prévu"))</f>
        <v/>
      </c>
      <c r="Z26" s="158">
        <f>IF($C26="",0,SUMIFS(P_M12,P_Annee,Annee_Travail,P_Cat,$C26,P_Type,"Revenu"))</f>
        <v/>
      </c>
      <c r="AA26" s="159">
        <f>IF($C26="",0,SUMIFS(J_Montant,J_Annee,Annee_Travail,J_Mois,12,J_Cat,$C26,J_Type,"Revenu",J_Statut,"&lt;&gt;Annulé",J_Statut,"&lt;&gt;Prévu"))</f>
        <v/>
      </c>
      <c r="AB26" s="160">
        <f>D26+F26+H26+J26+L26+N26+P26+R26+T26+V26+X26+Z26</f>
        <v/>
      </c>
      <c r="AC26" s="160">
        <f>E26+G26+I26+K26+M26+O26+Q26+S26+U26+W26+Y26+AA26</f>
        <v/>
      </c>
      <c r="AD26" s="161">
        <f>$AC26-$AB26</f>
        <v/>
      </c>
      <c r="AE26" s="162">
        <f>IFERROR($AC26/$AB26,0)</f>
        <v/>
      </c>
    </row>
    <row r="27">
      <c r="B27" s="156" t="n">
        <v>17</v>
      </c>
      <c r="C27" s="157" t="inlineStr"/>
      <c r="D27" s="158">
        <f>IF($C27="",0,SUMIFS(P_M1,P_Annee,Annee_Travail,P_Cat,$C27,P_Type,"Revenu"))</f>
        <v/>
      </c>
      <c r="E27" s="159">
        <f>IF($C27="",0,SUMIFS(J_Montant,J_Annee,Annee_Travail,J_Mois,1,J_Cat,$C27,J_Type,"Revenu",J_Statut,"&lt;&gt;Annulé",J_Statut,"&lt;&gt;Prévu"))</f>
        <v/>
      </c>
      <c r="F27" s="158">
        <f>IF($C27="",0,SUMIFS(P_M2,P_Annee,Annee_Travail,P_Cat,$C27,P_Type,"Revenu"))</f>
        <v/>
      </c>
      <c r="G27" s="159">
        <f>IF($C27="",0,SUMIFS(J_Montant,J_Annee,Annee_Travail,J_Mois,2,J_Cat,$C27,J_Type,"Revenu",J_Statut,"&lt;&gt;Annulé",J_Statut,"&lt;&gt;Prévu"))</f>
        <v/>
      </c>
      <c r="H27" s="158">
        <f>IF($C27="",0,SUMIFS(P_M3,P_Annee,Annee_Travail,P_Cat,$C27,P_Type,"Revenu"))</f>
        <v/>
      </c>
      <c r="I27" s="159">
        <f>IF($C27="",0,SUMIFS(J_Montant,J_Annee,Annee_Travail,J_Mois,3,J_Cat,$C27,J_Type,"Revenu",J_Statut,"&lt;&gt;Annulé",J_Statut,"&lt;&gt;Prévu"))</f>
        <v/>
      </c>
      <c r="J27" s="158">
        <f>IF($C27="",0,SUMIFS(P_M4,P_Annee,Annee_Travail,P_Cat,$C27,P_Type,"Revenu"))</f>
        <v/>
      </c>
      <c r="K27" s="159">
        <f>IF($C27="",0,SUMIFS(J_Montant,J_Annee,Annee_Travail,J_Mois,4,J_Cat,$C27,J_Type,"Revenu",J_Statut,"&lt;&gt;Annulé",J_Statut,"&lt;&gt;Prévu"))</f>
        <v/>
      </c>
      <c r="L27" s="158">
        <f>IF($C27="",0,SUMIFS(P_M5,P_Annee,Annee_Travail,P_Cat,$C27,P_Type,"Revenu"))</f>
        <v/>
      </c>
      <c r="M27" s="159">
        <f>IF($C27="",0,SUMIFS(J_Montant,J_Annee,Annee_Travail,J_Mois,5,J_Cat,$C27,J_Type,"Revenu",J_Statut,"&lt;&gt;Annulé",J_Statut,"&lt;&gt;Prévu"))</f>
        <v/>
      </c>
      <c r="N27" s="158">
        <f>IF($C27="",0,SUMIFS(P_M6,P_Annee,Annee_Travail,P_Cat,$C27,P_Type,"Revenu"))</f>
        <v/>
      </c>
      <c r="O27" s="159">
        <f>IF($C27="",0,SUMIFS(J_Montant,J_Annee,Annee_Travail,J_Mois,6,J_Cat,$C27,J_Type,"Revenu",J_Statut,"&lt;&gt;Annulé",J_Statut,"&lt;&gt;Prévu"))</f>
        <v/>
      </c>
      <c r="P27" s="158">
        <f>IF($C27="",0,SUMIFS(P_M7,P_Annee,Annee_Travail,P_Cat,$C27,P_Type,"Revenu"))</f>
        <v/>
      </c>
      <c r="Q27" s="159">
        <f>IF($C27="",0,SUMIFS(J_Montant,J_Annee,Annee_Travail,J_Mois,7,J_Cat,$C27,J_Type,"Revenu",J_Statut,"&lt;&gt;Annulé",J_Statut,"&lt;&gt;Prévu"))</f>
        <v/>
      </c>
      <c r="R27" s="158">
        <f>IF($C27="",0,SUMIFS(P_M8,P_Annee,Annee_Travail,P_Cat,$C27,P_Type,"Revenu"))</f>
        <v/>
      </c>
      <c r="S27" s="159">
        <f>IF($C27="",0,SUMIFS(J_Montant,J_Annee,Annee_Travail,J_Mois,8,J_Cat,$C27,J_Type,"Revenu",J_Statut,"&lt;&gt;Annulé",J_Statut,"&lt;&gt;Prévu"))</f>
        <v/>
      </c>
      <c r="T27" s="158">
        <f>IF($C27="",0,SUMIFS(P_M9,P_Annee,Annee_Travail,P_Cat,$C27,P_Type,"Revenu"))</f>
        <v/>
      </c>
      <c r="U27" s="159">
        <f>IF($C27="",0,SUMIFS(J_Montant,J_Annee,Annee_Travail,J_Mois,9,J_Cat,$C27,J_Type,"Revenu",J_Statut,"&lt;&gt;Annulé",J_Statut,"&lt;&gt;Prévu"))</f>
        <v/>
      </c>
      <c r="V27" s="158">
        <f>IF($C27="",0,SUMIFS(P_M10,P_Annee,Annee_Travail,P_Cat,$C27,P_Type,"Revenu"))</f>
        <v/>
      </c>
      <c r="W27" s="159">
        <f>IF($C27="",0,SUMIFS(J_Montant,J_Annee,Annee_Travail,J_Mois,10,J_Cat,$C27,J_Type,"Revenu",J_Statut,"&lt;&gt;Annulé",J_Statut,"&lt;&gt;Prévu"))</f>
        <v/>
      </c>
      <c r="X27" s="158">
        <f>IF($C27="",0,SUMIFS(P_M11,P_Annee,Annee_Travail,P_Cat,$C27,P_Type,"Revenu"))</f>
        <v/>
      </c>
      <c r="Y27" s="159">
        <f>IF($C27="",0,SUMIFS(J_Montant,J_Annee,Annee_Travail,J_Mois,11,J_Cat,$C27,J_Type,"Revenu",J_Statut,"&lt;&gt;Annulé",J_Statut,"&lt;&gt;Prévu"))</f>
        <v/>
      </c>
      <c r="Z27" s="158">
        <f>IF($C27="",0,SUMIFS(P_M12,P_Annee,Annee_Travail,P_Cat,$C27,P_Type,"Revenu"))</f>
        <v/>
      </c>
      <c r="AA27" s="159">
        <f>IF($C27="",0,SUMIFS(J_Montant,J_Annee,Annee_Travail,J_Mois,12,J_Cat,$C27,J_Type,"Revenu",J_Statut,"&lt;&gt;Annulé",J_Statut,"&lt;&gt;Prévu"))</f>
        <v/>
      </c>
      <c r="AB27" s="160">
        <f>D27+F27+H27+J27+L27+N27+P27+R27+T27+V27+X27+Z27</f>
        <v/>
      </c>
      <c r="AC27" s="160">
        <f>E27+G27+I27+K27+M27+O27+Q27+S27+U27+W27+Y27+AA27</f>
        <v/>
      </c>
      <c r="AD27" s="161">
        <f>$AC27-$AB27</f>
        <v/>
      </c>
      <c r="AE27" s="162">
        <f>IFERROR($AC27/$AB27,0)</f>
        <v/>
      </c>
    </row>
    <row r="28">
      <c r="B28" s="156" t="n">
        <v>18</v>
      </c>
      <c r="C28" s="157" t="inlineStr"/>
      <c r="D28" s="158">
        <f>IF($C28="",0,SUMIFS(P_M1,P_Annee,Annee_Travail,P_Cat,$C28,P_Type,"Revenu"))</f>
        <v/>
      </c>
      <c r="E28" s="159">
        <f>IF($C28="",0,SUMIFS(J_Montant,J_Annee,Annee_Travail,J_Mois,1,J_Cat,$C28,J_Type,"Revenu",J_Statut,"&lt;&gt;Annulé",J_Statut,"&lt;&gt;Prévu"))</f>
        <v/>
      </c>
      <c r="F28" s="158">
        <f>IF($C28="",0,SUMIFS(P_M2,P_Annee,Annee_Travail,P_Cat,$C28,P_Type,"Revenu"))</f>
        <v/>
      </c>
      <c r="G28" s="159">
        <f>IF($C28="",0,SUMIFS(J_Montant,J_Annee,Annee_Travail,J_Mois,2,J_Cat,$C28,J_Type,"Revenu",J_Statut,"&lt;&gt;Annulé",J_Statut,"&lt;&gt;Prévu"))</f>
        <v/>
      </c>
      <c r="H28" s="158">
        <f>IF($C28="",0,SUMIFS(P_M3,P_Annee,Annee_Travail,P_Cat,$C28,P_Type,"Revenu"))</f>
        <v/>
      </c>
      <c r="I28" s="159">
        <f>IF($C28="",0,SUMIFS(J_Montant,J_Annee,Annee_Travail,J_Mois,3,J_Cat,$C28,J_Type,"Revenu",J_Statut,"&lt;&gt;Annulé",J_Statut,"&lt;&gt;Prévu"))</f>
        <v/>
      </c>
      <c r="J28" s="158">
        <f>IF($C28="",0,SUMIFS(P_M4,P_Annee,Annee_Travail,P_Cat,$C28,P_Type,"Revenu"))</f>
        <v/>
      </c>
      <c r="K28" s="159">
        <f>IF($C28="",0,SUMIFS(J_Montant,J_Annee,Annee_Travail,J_Mois,4,J_Cat,$C28,J_Type,"Revenu",J_Statut,"&lt;&gt;Annulé",J_Statut,"&lt;&gt;Prévu"))</f>
        <v/>
      </c>
      <c r="L28" s="158">
        <f>IF($C28="",0,SUMIFS(P_M5,P_Annee,Annee_Travail,P_Cat,$C28,P_Type,"Revenu"))</f>
        <v/>
      </c>
      <c r="M28" s="159">
        <f>IF($C28="",0,SUMIFS(J_Montant,J_Annee,Annee_Travail,J_Mois,5,J_Cat,$C28,J_Type,"Revenu",J_Statut,"&lt;&gt;Annulé",J_Statut,"&lt;&gt;Prévu"))</f>
        <v/>
      </c>
      <c r="N28" s="158">
        <f>IF($C28="",0,SUMIFS(P_M6,P_Annee,Annee_Travail,P_Cat,$C28,P_Type,"Revenu"))</f>
        <v/>
      </c>
      <c r="O28" s="159">
        <f>IF($C28="",0,SUMIFS(J_Montant,J_Annee,Annee_Travail,J_Mois,6,J_Cat,$C28,J_Type,"Revenu",J_Statut,"&lt;&gt;Annulé",J_Statut,"&lt;&gt;Prévu"))</f>
        <v/>
      </c>
      <c r="P28" s="158">
        <f>IF($C28="",0,SUMIFS(P_M7,P_Annee,Annee_Travail,P_Cat,$C28,P_Type,"Revenu"))</f>
        <v/>
      </c>
      <c r="Q28" s="159">
        <f>IF($C28="",0,SUMIFS(J_Montant,J_Annee,Annee_Travail,J_Mois,7,J_Cat,$C28,J_Type,"Revenu",J_Statut,"&lt;&gt;Annulé",J_Statut,"&lt;&gt;Prévu"))</f>
        <v/>
      </c>
      <c r="R28" s="158">
        <f>IF($C28="",0,SUMIFS(P_M8,P_Annee,Annee_Travail,P_Cat,$C28,P_Type,"Revenu"))</f>
        <v/>
      </c>
      <c r="S28" s="159">
        <f>IF($C28="",0,SUMIFS(J_Montant,J_Annee,Annee_Travail,J_Mois,8,J_Cat,$C28,J_Type,"Revenu",J_Statut,"&lt;&gt;Annulé",J_Statut,"&lt;&gt;Prévu"))</f>
        <v/>
      </c>
      <c r="T28" s="158">
        <f>IF($C28="",0,SUMIFS(P_M9,P_Annee,Annee_Travail,P_Cat,$C28,P_Type,"Revenu"))</f>
        <v/>
      </c>
      <c r="U28" s="159">
        <f>IF($C28="",0,SUMIFS(J_Montant,J_Annee,Annee_Travail,J_Mois,9,J_Cat,$C28,J_Type,"Revenu",J_Statut,"&lt;&gt;Annulé",J_Statut,"&lt;&gt;Prévu"))</f>
        <v/>
      </c>
      <c r="V28" s="158">
        <f>IF($C28="",0,SUMIFS(P_M10,P_Annee,Annee_Travail,P_Cat,$C28,P_Type,"Revenu"))</f>
        <v/>
      </c>
      <c r="W28" s="159">
        <f>IF($C28="",0,SUMIFS(J_Montant,J_Annee,Annee_Travail,J_Mois,10,J_Cat,$C28,J_Type,"Revenu",J_Statut,"&lt;&gt;Annulé",J_Statut,"&lt;&gt;Prévu"))</f>
        <v/>
      </c>
      <c r="X28" s="158">
        <f>IF($C28="",0,SUMIFS(P_M11,P_Annee,Annee_Travail,P_Cat,$C28,P_Type,"Revenu"))</f>
        <v/>
      </c>
      <c r="Y28" s="159">
        <f>IF($C28="",0,SUMIFS(J_Montant,J_Annee,Annee_Travail,J_Mois,11,J_Cat,$C28,J_Type,"Revenu",J_Statut,"&lt;&gt;Annulé",J_Statut,"&lt;&gt;Prévu"))</f>
        <v/>
      </c>
      <c r="Z28" s="158">
        <f>IF($C28="",0,SUMIFS(P_M12,P_Annee,Annee_Travail,P_Cat,$C28,P_Type,"Revenu"))</f>
        <v/>
      </c>
      <c r="AA28" s="159">
        <f>IF($C28="",0,SUMIFS(J_Montant,J_Annee,Annee_Travail,J_Mois,12,J_Cat,$C28,J_Type,"Revenu",J_Statut,"&lt;&gt;Annulé",J_Statut,"&lt;&gt;Prévu"))</f>
        <v/>
      </c>
      <c r="AB28" s="160">
        <f>D28+F28+H28+J28+L28+N28+P28+R28+T28+V28+X28+Z28</f>
        <v/>
      </c>
      <c r="AC28" s="160">
        <f>E28+G28+I28+K28+M28+O28+Q28+S28+U28+W28+Y28+AA28</f>
        <v/>
      </c>
      <c r="AD28" s="161">
        <f>$AC28-$AB28</f>
        <v/>
      </c>
      <c r="AE28" s="162">
        <f>IFERROR($AC28/$AB28,0)</f>
        <v/>
      </c>
    </row>
    <row r="29">
      <c r="B29" s="163" t="n"/>
      <c r="C29" s="163" t="inlineStr">
        <is>
          <t>TOTAL DES ENTRÉES</t>
        </is>
      </c>
      <c r="D29" s="164">
        <f>SUM(D11:D28)</f>
        <v/>
      </c>
      <c r="E29" s="164">
        <f>SUM(E11:E28)</f>
        <v/>
      </c>
      <c r="F29" s="164">
        <f>SUM(F11:F28)</f>
        <v/>
      </c>
      <c r="G29" s="164">
        <f>SUM(G11:G28)</f>
        <v/>
      </c>
      <c r="H29" s="164">
        <f>SUM(H11:H28)</f>
        <v/>
      </c>
      <c r="I29" s="164">
        <f>SUM(I11:I28)</f>
        <v/>
      </c>
      <c r="J29" s="164">
        <f>SUM(J11:J28)</f>
        <v/>
      </c>
      <c r="K29" s="164">
        <f>SUM(K11:K28)</f>
        <v/>
      </c>
      <c r="L29" s="164">
        <f>SUM(L11:L28)</f>
        <v/>
      </c>
      <c r="M29" s="164">
        <f>SUM(M11:M28)</f>
        <v/>
      </c>
      <c r="N29" s="164">
        <f>SUM(N11:N28)</f>
        <v/>
      </c>
      <c r="O29" s="164">
        <f>SUM(O11:O28)</f>
        <v/>
      </c>
      <c r="P29" s="164">
        <f>SUM(P11:P28)</f>
        <v/>
      </c>
      <c r="Q29" s="164">
        <f>SUM(Q11:Q28)</f>
        <v/>
      </c>
      <c r="R29" s="164">
        <f>SUM(R11:R28)</f>
        <v/>
      </c>
      <c r="S29" s="164">
        <f>SUM(S11:S28)</f>
        <v/>
      </c>
      <c r="T29" s="164">
        <f>SUM(T11:T28)</f>
        <v/>
      </c>
      <c r="U29" s="164">
        <f>SUM(U11:U28)</f>
        <v/>
      </c>
      <c r="V29" s="164">
        <f>SUM(V11:V28)</f>
        <v/>
      </c>
      <c r="W29" s="164">
        <f>SUM(W11:W28)</f>
        <v/>
      </c>
      <c r="X29" s="164">
        <f>SUM(X11:X28)</f>
        <v/>
      </c>
      <c r="Y29" s="164">
        <f>SUM(Y11:Y28)</f>
        <v/>
      </c>
      <c r="Z29" s="164">
        <f>SUM(Z11:Z28)</f>
        <v/>
      </c>
      <c r="AA29" s="164">
        <f>SUM(AA11:AA28)</f>
        <v/>
      </c>
      <c r="AB29" s="165">
        <f>D29+F29+H29+J29+L29+N29+P29+R29+T29+V29+X29+Z29</f>
        <v/>
      </c>
      <c r="AC29" s="165">
        <f>E29+G29+I29+K29+M29+O29+Q29+S29+U29+W29+Y29+AA29</f>
        <v/>
      </c>
      <c r="AD29" s="166">
        <f>$AC29-$AB29</f>
        <v/>
      </c>
      <c r="AE29" s="167">
        <f>IFERROR($AC29/$AB29,0)</f>
        <v/>
      </c>
    </row>
    <row r="30">
      <c r="B30" s="131" t="n"/>
      <c r="C30" s="131" t="n"/>
      <c r="D30" s="168" t="n"/>
      <c r="E30" s="169" t="n"/>
      <c r="F30" s="168" t="n"/>
      <c r="G30" s="169" t="n"/>
      <c r="H30" s="168" t="n"/>
      <c r="I30" s="169" t="n"/>
      <c r="J30" s="168" t="n"/>
      <c r="K30" s="169" t="n"/>
      <c r="L30" s="168" t="n"/>
      <c r="M30" s="169" t="n"/>
      <c r="N30" s="168" t="n"/>
      <c r="O30" s="169" t="n"/>
      <c r="P30" s="168" t="n"/>
      <c r="Q30" s="169" t="n"/>
      <c r="R30" s="168" t="n"/>
      <c r="S30" s="169" t="n"/>
      <c r="T30" s="168" t="n"/>
      <c r="U30" s="169" t="n"/>
      <c r="V30" s="168" t="n"/>
      <c r="W30" s="169" t="n"/>
      <c r="X30" s="168" t="n"/>
      <c r="Y30" s="169" t="n"/>
      <c r="Z30" s="168" t="n"/>
      <c r="AA30" s="169" t="n"/>
      <c r="AB30" s="154" t="n"/>
      <c r="AC30" s="154" t="n"/>
      <c r="AD30" s="155" t="n"/>
      <c r="AE30" s="155" t="n"/>
    </row>
    <row r="31" ht="24" customHeight="1">
      <c r="B31" s="170" t="inlineStr">
        <is>
          <t>B ▸ ÉPARGNE, PLACEMENTS &amp; PROVISIONS  (vos objectifs)</t>
        </is>
      </c>
      <c r="C31" s="171" t="n"/>
      <c r="D31" s="172" t="n"/>
      <c r="E31" s="172" t="n"/>
      <c r="F31" s="172" t="n"/>
      <c r="G31" s="172" t="n"/>
      <c r="H31" s="172" t="n"/>
      <c r="I31" s="172" t="n"/>
      <c r="J31" s="172" t="n"/>
      <c r="K31" s="172" t="n"/>
      <c r="L31" s="172" t="n"/>
      <c r="M31" s="172" t="n"/>
      <c r="N31" s="172" t="n"/>
      <c r="O31" s="172" t="n"/>
      <c r="P31" s="172" t="n"/>
      <c r="Q31" s="172" t="n"/>
      <c r="R31" s="172" t="n"/>
      <c r="S31" s="172" t="n"/>
      <c r="T31" s="172" t="n"/>
      <c r="U31" s="172" t="n"/>
      <c r="V31" s="172" t="n"/>
      <c r="W31" s="172" t="n"/>
      <c r="X31" s="172" t="n"/>
      <c r="Y31" s="172" t="n"/>
      <c r="Z31" s="172" t="n"/>
      <c r="AA31" s="172" t="n"/>
      <c r="AB31" s="154" t="n"/>
      <c r="AC31" s="154" t="n"/>
      <c r="AD31" s="155" t="n"/>
      <c r="AE31" s="155" t="n"/>
    </row>
    <row r="32">
      <c r="B32" s="156" t="n">
        <v>1</v>
      </c>
      <c r="C32" s="130">
        <f>IF(Objectifs!$C$10="","",Objectifs!$C$10)</f>
        <v/>
      </c>
      <c r="D32" s="158">
        <f>IF($C32="",0,N(Objectifs!$J$10))</f>
        <v/>
      </c>
      <c r="E32" s="159">
        <f>IF($C32="",0,SUMIFS(J_Montant,J_Annee,Annee_Travail,J_Mois,1,J_Projet,$C32,J_Type,"Épargne",J_Statut,"&lt;&gt;Annulé",J_Statut,"&lt;&gt;Prévu")+SUMIFS(J_Montant,J_Annee,Annee_Travail,J_Mois,1,J_Projet,$C32,J_Type,"Investissement",J_Statut,"&lt;&gt;Annulé",J_Statut,"&lt;&gt;Prévu"))</f>
        <v/>
      </c>
      <c r="F32" s="158">
        <f>IF($C32="",0,N(Objectifs!$J$10))</f>
        <v/>
      </c>
      <c r="G32" s="159">
        <f>IF($C32="",0,SUMIFS(J_Montant,J_Annee,Annee_Travail,J_Mois,2,J_Projet,$C32,J_Type,"Épargne",J_Statut,"&lt;&gt;Annulé",J_Statut,"&lt;&gt;Prévu")+SUMIFS(J_Montant,J_Annee,Annee_Travail,J_Mois,2,J_Projet,$C32,J_Type,"Investissement",J_Statut,"&lt;&gt;Annulé",J_Statut,"&lt;&gt;Prévu"))</f>
        <v/>
      </c>
      <c r="H32" s="158">
        <f>IF($C32="",0,N(Objectifs!$J$10))</f>
        <v/>
      </c>
      <c r="I32" s="159">
        <f>IF($C32="",0,SUMIFS(J_Montant,J_Annee,Annee_Travail,J_Mois,3,J_Projet,$C32,J_Type,"Épargne",J_Statut,"&lt;&gt;Annulé",J_Statut,"&lt;&gt;Prévu")+SUMIFS(J_Montant,J_Annee,Annee_Travail,J_Mois,3,J_Projet,$C32,J_Type,"Investissement",J_Statut,"&lt;&gt;Annulé",J_Statut,"&lt;&gt;Prévu"))</f>
        <v/>
      </c>
      <c r="J32" s="158">
        <f>IF($C32="",0,N(Objectifs!$J$10))</f>
        <v/>
      </c>
      <c r="K32" s="159">
        <f>IF($C32="",0,SUMIFS(J_Montant,J_Annee,Annee_Travail,J_Mois,4,J_Projet,$C32,J_Type,"Épargne",J_Statut,"&lt;&gt;Annulé",J_Statut,"&lt;&gt;Prévu")+SUMIFS(J_Montant,J_Annee,Annee_Travail,J_Mois,4,J_Projet,$C32,J_Type,"Investissement",J_Statut,"&lt;&gt;Annulé",J_Statut,"&lt;&gt;Prévu"))</f>
        <v/>
      </c>
      <c r="L32" s="158">
        <f>IF($C32="",0,N(Objectifs!$J$10))</f>
        <v/>
      </c>
      <c r="M32" s="159">
        <f>IF($C32="",0,SUMIFS(J_Montant,J_Annee,Annee_Travail,J_Mois,5,J_Projet,$C32,J_Type,"Épargne",J_Statut,"&lt;&gt;Annulé",J_Statut,"&lt;&gt;Prévu")+SUMIFS(J_Montant,J_Annee,Annee_Travail,J_Mois,5,J_Projet,$C32,J_Type,"Investissement",J_Statut,"&lt;&gt;Annulé",J_Statut,"&lt;&gt;Prévu"))</f>
        <v/>
      </c>
      <c r="N32" s="158">
        <f>IF($C32="",0,N(Objectifs!$J$10))</f>
        <v/>
      </c>
      <c r="O32" s="159">
        <f>IF($C32="",0,SUMIFS(J_Montant,J_Annee,Annee_Travail,J_Mois,6,J_Projet,$C32,J_Type,"Épargne",J_Statut,"&lt;&gt;Annulé",J_Statut,"&lt;&gt;Prévu")+SUMIFS(J_Montant,J_Annee,Annee_Travail,J_Mois,6,J_Projet,$C32,J_Type,"Investissement",J_Statut,"&lt;&gt;Annulé",J_Statut,"&lt;&gt;Prévu"))</f>
        <v/>
      </c>
      <c r="P32" s="158">
        <f>IF($C32="",0,N(Objectifs!$J$10))</f>
        <v/>
      </c>
      <c r="Q32" s="159">
        <f>IF($C32="",0,SUMIFS(J_Montant,J_Annee,Annee_Travail,J_Mois,7,J_Projet,$C32,J_Type,"Épargne",J_Statut,"&lt;&gt;Annulé",J_Statut,"&lt;&gt;Prévu")+SUMIFS(J_Montant,J_Annee,Annee_Travail,J_Mois,7,J_Projet,$C32,J_Type,"Investissement",J_Statut,"&lt;&gt;Annulé",J_Statut,"&lt;&gt;Prévu"))</f>
        <v/>
      </c>
      <c r="R32" s="158">
        <f>IF($C32="",0,N(Objectifs!$J$10))</f>
        <v/>
      </c>
      <c r="S32" s="159">
        <f>IF($C32="",0,SUMIFS(J_Montant,J_Annee,Annee_Travail,J_Mois,8,J_Projet,$C32,J_Type,"Épargne",J_Statut,"&lt;&gt;Annulé",J_Statut,"&lt;&gt;Prévu")+SUMIFS(J_Montant,J_Annee,Annee_Travail,J_Mois,8,J_Projet,$C32,J_Type,"Investissement",J_Statut,"&lt;&gt;Annulé",J_Statut,"&lt;&gt;Prévu"))</f>
        <v/>
      </c>
      <c r="T32" s="158">
        <f>IF($C32="",0,N(Objectifs!$J$10))</f>
        <v/>
      </c>
      <c r="U32" s="159">
        <f>IF($C32="",0,SUMIFS(J_Montant,J_Annee,Annee_Travail,J_Mois,9,J_Projet,$C32,J_Type,"Épargne",J_Statut,"&lt;&gt;Annulé",J_Statut,"&lt;&gt;Prévu")+SUMIFS(J_Montant,J_Annee,Annee_Travail,J_Mois,9,J_Projet,$C32,J_Type,"Investissement",J_Statut,"&lt;&gt;Annulé",J_Statut,"&lt;&gt;Prévu"))</f>
        <v/>
      </c>
      <c r="V32" s="158">
        <f>IF($C32="",0,N(Objectifs!$J$10))</f>
        <v/>
      </c>
      <c r="W32" s="159">
        <f>IF($C32="",0,SUMIFS(J_Montant,J_Annee,Annee_Travail,J_Mois,10,J_Projet,$C32,J_Type,"Épargne",J_Statut,"&lt;&gt;Annulé",J_Statut,"&lt;&gt;Prévu")+SUMIFS(J_Montant,J_Annee,Annee_Travail,J_Mois,10,J_Projet,$C32,J_Type,"Investissement",J_Statut,"&lt;&gt;Annulé",J_Statut,"&lt;&gt;Prévu"))</f>
        <v/>
      </c>
      <c r="X32" s="158">
        <f>IF($C32="",0,N(Objectifs!$J$10))</f>
        <v/>
      </c>
      <c r="Y32" s="159">
        <f>IF($C32="",0,SUMIFS(J_Montant,J_Annee,Annee_Travail,J_Mois,11,J_Projet,$C32,J_Type,"Épargne",J_Statut,"&lt;&gt;Annulé",J_Statut,"&lt;&gt;Prévu")+SUMIFS(J_Montant,J_Annee,Annee_Travail,J_Mois,11,J_Projet,$C32,J_Type,"Investissement",J_Statut,"&lt;&gt;Annulé",J_Statut,"&lt;&gt;Prévu"))</f>
        <v/>
      </c>
      <c r="Z32" s="158">
        <f>IF($C32="",0,N(Objectifs!$J$10))</f>
        <v/>
      </c>
      <c r="AA32" s="159">
        <f>IF($C32="",0,SUMIFS(J_Montant,J_Annee,Annee_Travail,J_Mois,12,J_Projet,$C32,J_Type,"Épargne",J_Statut,"&lt;&gt;Annulé",J_Statut,"&lt;&gt;Prévu")+SUMIFS(J_Montant,J_Annee,Annee_Travail,J_Mois,12,J_Projet,$C32,J_Type,"Investissement",J_Statut,"&lt;&gt;Annulé",J_Statut,"&lt;&gt;Prévu"))</f>
        <v/>
      </c>
      <c r="AB32" s="160">
        <f>D32+F32+H32+J32+L32+N32+P32+R32+T32+V32+X32+Z32</f>
        <v/>
      </c>
      <c r="AC32" s="160">
        <f>E32+G32+I32+K32+M32+O32+Q32+S32+U32+W32+Y32+AA32</f>
        <v/>
      </c>
      <c r="AD32" s="161">
        <f>$AB32-$AC32</f>
        <v/>
      </c>
      <c r="AE32" s="162">
        <f>IFERROR($AC32/$AB32,0)</f>
        <v/>
      </c>
    </row>
    <row r="33">
      <c r="B33" s="156" t="n">
        <v>2</v>
      </c>
      <c r="C33" s="130">
        <f>IF(Objectifs!$C$11="","",Objectifs!$C$11)</f>
        <v/>
      </c>
      <c r="D33" s="158">
        <f>IF($C33="",0,N(Objectifs!$J$11))</f>
        <v/>
      </c>
      <c r="E33" s="159">
        <f>IF($C33="",0,SUMIFS(J_Montant,J_Annee,Annee_Travail,J_Mois,1,J_Projet,$C33,J_Type,"Épargne",J_Statut,"&lt;&gt;Annulé",J_Statut,"&lt;&gt;Prévu")+SUMIFS(J_Montant,J_Annee,Annee_Travail,J_Mois,1,J_Projet,$C33,J_Type,"Investissement",J_Statut,"&lt;&gt;Annulé",J_Statut,"&lt;&gt;Prévu"))</f>
        <v/>
      </c>
      <c r="F33" s="158">
        <f>IF($C33="",0,N(Objectifs!$J$11))</f>
        <v/>
      </c>
      <c r="G33" s="159">
        <f>IF($C33="",0,SUMIFS(J_Montant,J_Annee,Annee_Travail,J_Mois,2,J_Projet,$C33,J_Type,"Épargne",J_Statut,"&lt;&gt;Annulé",J_Statut,"&lt;&gt;Prévu")+SUMIFS(J_Montant,J_Annee,Annee_Travail,J_Mois,2,J_Projet,$C33,J_Type,"Investissement",J_Statut,"&lt;&gt;Annulé",J_Statut,"&lt;&gt;Prévu"))</f>
        <v/>
      </c>
      <c r="H33" s="158">
        <f>IF($C33="",0,N(Objectifs!$J$11))</f>
        <v/>
      </c>
      <c r="I33" s="159">
        <f>IF($C33="",0,SUMIFS(J_Montant,J_Annee,Annee_Travail,J_Mois,3,J_Projet,$C33,J_Type,"Épargne",J_Statut,"&lt;&gt;Annulé",J_Statut,"&lt;&gt;Prévu")+SUMIFS(J_Montant,J_Annee,Annee_Travail,J_Mois,3,J_Projet,$C33,J_Type,"Investissement",J_Statut,"&lt;&gt;Annulé",J_Statut,"&lt;&gt;Prévu"))</f>
        <v/>
      </c>
      <c r="J33" s="158">
        <f>IF($C33="",0,N(Objectifs!$J$11))</f>
        <v/>
      </c>
      <c r="K33" s="159">
        <f>IF($C33="",0,SUMIFS(J_Montant,J_Annee,Annee_Travail,J_Mois,4,J_Projet,$C33,J_Type,"Épargne",J_Statut,"&lt;&gt;Annulé",J_Statut,"&lt;&gt;Prévu")+SUMIFS(J_Montant,J_Annee,Annee_Travail,J_Mois,4,J_Projet,$C33,J_Type,"Investissement",J_Statut,"&lt;&gt;Annulé",J_Statut,"&lt;&gt;Prévu"))</f>
        <v/>
      </c>
      <c r="L33" s="158">
        <f>IF($C33="",0,N(Objectifs!$J$11))</f>
        <v/>
      </c>
      <c r="M33" s="159">
        <f>IF($C33="",0,SUMIFS(J_Montant,J_Annee,Annee_Travail,J_Mois,5,J_Projet,$C33,J_Type,"Épargne",J_Statut,"&lt;&gt;Annulé",J_Statut,"&lt;&gt;Prévu")+SUMIFS(J_Montant,J_Annee,Annee_Travail,J_Mois,5,J_Projet,$C33,J_Type,"Investissement",J_Statut,"&lt;&gt;Annulé",J_Statut,"&lt;&gt;Prévu"))</f>
        <v/>
      </c>
      <c r="N33" s="158">
        <f>IF($C33="",0,N(Objectifs!$J$11))</f>
        <v/>
      </c>
      <c r="O33" s="159">
        <f>IF($C33="",0,SUMIFS(J_Montant,J_Annee,Annee_Travail,J_Mois,6,J_Projet,$C33,J_Type,"Épargne",J_Statut,"&lt;&gt;Annulé",J_Statut,"&lt;&gt;Prévu")+SUMIFS(J_Montant,J_Annee,Annee_Travail,J_Mois,6,J_Projet,$C33,J_Type,"Investissement",J_Statut,"&lt;&gt;Annulé",J_Statut,"&lt;&gt;Prévu"))</f>
        <v/>
      </c>
      <c r="P33" s="158">
        <f>IF($C33="",0,N(Objectifs!$J$11))</f>
        <v/>
      </c>
      <c r="Q33" s="159">
        <f>IF($C33="",0,SUMIFS(J_Montant,J_Annee,Annee_Travail,J_Mois,7,J_Projet,$C33,J_Type,"Épargne",J_Statut,"&lt;&gt;Annulé",J_Statut,"&lt;&gt;Prévu")+SUMIFS(J_Montant,J_Annee,Annee_Travail,J_Mois,7,J_Projet,$C33,J_Type,"Investissement",J_Statut,"&lt;&gt;Annulé",J_Statut,"&lt;&gt;Prévu"))</f>
        <v/>
      </c>
      <c r="R33" s="158">
        <f>IF($C33="",0,N(Objectifs!$J$11))</f>
        <v/>
      </c>
      <c r="S33" s="159">
        <f>IF($C33="",0,SUMIFS(J_Montant,J_Annee,Annee_Travail,J_Mois,8,J_Projet,$C33,J_Type,"Épargne",J_Statut,"&lt;&gt;Annulé",J_Statut,"&lt;&gt;Prévu")+SUMIFS(J_Montant,J_Annee,Annee_Travail,J_Mois,8,J_Projet,$C33,J_Type,"Investissement",J_Statut,"&lt;&gt;Annulé",J_Statut,"&lt;&gt;Prévu"))</f>
        <v/>
      </c>
      <c r="T33" s="158">
        <f>IF($C33="",0,N(Objectifs!$J$11))</f>
        <v/>
      </c>
      <c r="U33" s="159">
        <f>IF($C33="",0,SUMIFS(J_Montant,J_Annee,Annee_Travail,J_Mois,9,J_Projet,$C33,J_Type,"Épargne",J_Statut,"&lt;&gt;Annulé",J_Statut,"&lt;&gt;Prévu")+SUMIFS(J_Montant,J_Annee,Annee_Travail,J_Mois,9,J_Projet,$C33,J_Type,"Investissement",J_Statut,"&lt;&gt;Annulé",J_Statut,"&lt;&gt;Prévu"))</f>
        <v/>
      </c>
      <c r="V33" s="158">
        <f>IF($C33="",0,N(Objectifs!$J$11))</f>
        <v/>
      </c>
      <c r="W33" s="159">
        <f>IF($C33="",0,SUMIFS(J_Montant,J_Annee,Annee_Travail,J_Mois,10,J_Projet,$C33,J_Type,"Épargne",J_Statut,"&lt;&gt;Annulé",J_Statut,"&lt;&gt;Prévu")+SUMIFS(J_Montant,J_Annee,Annee_Travail,J_Mois,10,J_Projet,$C33,J_Type,"Investissement",J_Statut,"&lt;&gt;Annulé",J_Statut,"&lt;&gt;Prévu"))</f>
        <v/>
      </c>
      <c r="X33" s="158">
        <f>IF($C33="",0,N(Objectifs!$J$11))</f>
        <v/>
      </c>
      <c r="Y33" s="159">
        <f>IF($C33="",0,SUMIFS(J_Montant,J_Annee,Annee_Travail,J_Mois,11,J_Projet,$C33,J_Type,"Épargne",J_Statut,"&lt;&gt;Annulé",J_Statut,"&lt;&gt;Prévu")+SUMIFS(J_Montant,J_Annee,Annee_Travail,J_Mois,11,J_Projet,$C33,J_Type,"Investissement",J_Statut,"&lt;&gt;Annulé",J_Statut,"&lt;&gt;Prévu"))</f>
        <v/>
      </c>
      <c r="Z33" s="158">
        <f>IF($C33="",0,N(Objectifs!$J$11))</f>
        <v/>
      </c>
      <c r="AA33" s="159">
        <f>IF($C33="",0,SUMIFS(J_Montant,J_Annee,Annee_Travail,J_Mois,12,J_Projet,$C33,J_Type,"Épargne",J_Statut,"&lt;&gt;Annulé",J_Statut,"&lt;&gt;Prévu")+SUMIFS(J_Montant,J_Annee,Annee_Travail,J_Mois,12,J_Projet,$C33,J_Type,"Investissement",J_Statut,"&lt;&gt;Annulé",J_Statut,"&lt;&gt;Prévu"))</f>
        <v/>
      </c>
      <c r="AB33" s="160">
        <f>D33+F33+H33+J33+L33+N33+P33+R33+T33+V33+X33+Z33</f>
        <v/>
      </c>
      <c r="AC33" s="160">
        <f>E33+G33+I33+K33+M33+O33+Q33+S33+U33+W33+Y33+AA33</f>
        <v/>
      </c>
      <c r="AD33" s="161">
        <f>$AB33-$AC33</f>
        <v/>
      </c>
      <c r="AE33" s="162">
        <f>IFERROR($AC33/$AB33,0)</f>
        <v/>
      </c>
    </row>
    <row r="34">
      <c r="B34" s="156" t="n">
        <v>3</v>
      </c>
      <c r="C34" s="130">
        <f>IF(Objectifs!$C$12="","",Objectifs!$C$12)</f>
        <v/>
      </c>
      <c r="D34" s="158">
        <f>IF($C34="",0,N(Objectifs!$J$12))</f>
        <v/>
      </c>
      <c r="E34" s="159">
        <f>IF($C34="",0,SUMIFS(J_Montant,J_Annee,Annee_Travail,J_Mois,1,J_Projet,$C34,J_Type,"Épargne",J_Statut,"&lt;&gt;Annulé",J_Statut,"&lt;&gt;Prévu")+SUMIFS(J_Montant,J_Annee,Annee_Travail,J_Mois,1,J_Projet,$C34,J_Type,"Investissement",J_Statut,"&lt;&gt;Annulé",J_Statut,"&lt;&gt;Prévu"))</f>
        <v/>
      </c>
      <c r="F34" s="158">
        <f>IF($C34="",0,N(Objectifs!$J$12))</f>
        <v/>
      </c>
      <c r="G34" s="159">
        <f>IF($C34="",0,SUMIFS(J_Montant,J_Annee,Annee_Travail,J_Mois,2,J_Projet,$C34,J_Type,"Épargne",J_Statut,"&lt;&gt;Annulé",J_Statut,"&lt;&gt;Prévu")+SUMIFS(J_Montant,J_Annee,Annee_Travail,J_Mois,2,J_Projet,$C34,J_Type,"Investissement",J_Statut,"&lt;&gt;Annulé",J_Statut,"&lt;&gt;Prévu"))</f>
        <v/>
      </c>
      <c r="H34" s="158">
        <f>IF($C34="",0,N(Objectifs!$J$12))</f>
        <v/>
      </c>
      <c r="I34" s="159">
        <f>IF($C34="",0,SUMIFS(J_Montant,J_Annee,Annee_Travail,J_Mois,3,J_Projet,$C34,J_Type,"Épargne",J_Statut,"&lt;&gt;Annulé",J_Statut,"&lt;&gt;Prévu")+SUMIFS(J_Montant,J_Annee,Annee_Travail,J_Mois,3,J_Projet,$C34,J_Type,"Investissement",J_Statut,"&lt;&gt;Annulé",J_Statut,"&lt;&gt;Prévu"))</f>
        <v/>
      </c>
      <c r="J34" s="158">
        <f>IF($C34="",0,N(Objectifs!$J$12))</f>
        <v/>
      </c>
      <c r="K34" s="159">
        <f>IF($C34="",0,SUMIFS(J_Montant,J_Annee,Annee_Travail,J_Mois,4,J_Projet,$C34,J_Type,"Épargne",J_Statut,"&lt;&gt;Annulé",J_Statut,"&lt;&gt;Prévu")+SUMIFS(J_Montant,J_Annee,Annee_Travail,J_Mois,4,J_Projet,$C34,J_Type,"Investissement",J_Statut,"&lt;&gt;Annulé",J_Statut,"&lt;&gt;Prévu"))</f>
        <v/>
      </c>
      <c r="L34" s="158">
        <f>IF($C34="",0,N(Objectifs!$J$12))</f>
        <v/>
      </c>
      <c r="M34" s="159">
        <f>IF($C34="",0,SUMIFS(J_Montant,J_Annee,Annee_Travail,J_Mois,5,J_Projet,$C34,J_Type,"Épargne",J_Statut,"&lt;&gt;Annulé",J_Statut,"&lt;&gt;Prévu")+SUMIFS(J_Montant,J_Annee,Annee_Travail,J_Mois,5,J_Projet,$C34,J_Type,"Investissement",J_Statut,"&lt;&gt;Annulé",J_Statut,"&lt;&gt;Prévu"))</f>
        <v/>
      </c>
      <c r="N34" s="158">
        <f>IF($C34="",0,N(Objectifs!$J$12))</f>
        <v/>
      </c>
      <c r="O34" s="159">
        <f>IF($C34="",0,SUMIFS(J_Montant,J_Annee,Annee_Travail,J_Mois,6,J_Projet,$C34,J_Type,"Épargne",J_Statut,"&lt;&gt;Annulé",J_Statut,"&lt;&gt;Prévu")+SUMIFS(J_Montant,J_Annee,Annee_Travail,J_Mois,6,J_Projet,$C34,J_Type,"Investissement",J_Statut,"&lt;&gt;Annulé",J_Statut,"&lt;&gt;Prévu"))</f>
        <v/>
      </c>
      <c r="P34" s="158">
        <f>IF($C34="",0,N(Objectifs!$J$12))</f>
        <v/>
      </c>
      <c r="Q34" s="159">
        <f>IF($C34="",0,SUMIFS(J_Montant,J_Annee,Annee_Travail,J_Mois,7,J_Projet,$C34,J_Type,"Épargne",J_Statut,"&lt;&gt;Annulé",J_Statut,"&lt;&gt;Prévu")+SUMIFS(J_Montant,J_Annee,Annee_Travail,J_Mois,7,J_Projet,$C34,J_Type,"Investissement",J_Statut,"&lt;&gt;Annulé",J_Statut,"&lt;&gt;Prévu"))</f>
        <v/>
      </c>
      <c r="R34" s="158">
        <f>IF($C34="",0,N(Objectifs!$J$12))</f>
        <v/>
      </c>
      <c r="S34" s="159">
        <f>IF($C34="",0,SUMIFS(J_Montant,J_Annee,Annee_Travail,J_Mois,8,J_Projet,$C34,J_Type,"Épargne",J_Statut,"&lt;&gt;Annulé",J_Statut,"&lt;&gt;Prévu")+SUMIFS(J_Montant,J_Annee,Annee_Travail,J_Mois,8,J_Projet,$C34,J_Type,"Investissement",J_Statut,"&lt;&gt;Annulé",J_Statut,"&lt;&gt;Prévu"))</f>
        <v/>
      </c>
      <c r="T34" s="158">
        <f>IF($C34="",0,N(Objectifs!$J$12))</f>
        <v/>
      </c>
      <c r="U34" s="159">
        <f>IF($C34="",0,SUMIFS(J_Montant,J_Annee,Annee_Travail,J_Mois,9,J_Projet,$C34,J_Type,"Épargne",J_Statut,"&lt;&gt;Annulé",J_Statut,"&lt;&gt;Prévu")+SUMIFS(J_Montant,J_Annee,Annee_Travail,J_Mois,9,J_Projet,$C34,J_Type,"Investissement",J_Statut,"&lt;&gt;Annulé",J_Statut,"&lt;&gt;Prévu"))</f>
        <v/>
      </c>
      <c r="V34" s="158">
        <f>IF($C34="",0,N(Objectifs!$J$12))</f>
        <v/>
      </c>
      <c r="W34" s="159">
        <f>IF($C34="",0,SUMIFS(J_Montant,J_Annee,Annee_Travail,J_Mois,10,J_Projet,$C34,J_Type,"Épargne",J_Statut,"&lt;&gt;Annulé",J_Statut,"&lt;&gt;Prévu")+SUMIFS(J_Montant,J_Annee,Annee_Travail,J_Mois,10,J_Projet,$C34,J_Type,"Investissement",J_Statut,"&lt;&gt;Annulé",J_Statut,"&lt;&gt;Prévu"))</f>
        <v/>
      </c>
      <c r="X34" s="158">
        <f>IF($C34="",0,N(Objectifs!$J$12))</f>
        <v/>
      </c>
      <c r="Y34" s="159">
        <f>IF($C34="",0,SUMIFS(J_Montant,J_Annee,Annee_Travail,J_Mois,11,J_Projet,$C34,J_Type,"Épargne",J_Statut,"&lt;&gt;Annulé",J_Statut,"&lt;&gt;Prévu")+SUMIFS(J_Montant,J_Annee,Annee_Travail,J_Mois,11,J_Projet,$C34,J_Type,"Investissement",J_Statut,"&lt;&gt;Annulé",J_Statut,"&lt;&gt;Prévu"))</f>
        <v/>
      </c>
      <c r="Z34" s="158">
        <f>IF($C34="",0,N(Objectifs!$J$12))</f>
        <v/>
      </c>
      <c r="AA34" s="159">
        <f>IF($C34="",0,SUMIFS(J_Montant,J_Annee,Annee_Travail,J_Mois,12,J_Projet,$C34,J_Type,"Épargne",J_Statut,"&lt;&gt;Annulé",J_Statut,"&lt;&gt;Prévu")+SUMIFS(J_Montant,J_Annee,Annee_Travail,J_Mois,12,J_Projet,$C34,J_Type,"Investissement",J_Statut,"&lt;&gt;Annulé",J_Statut,"&lt;&gt;Prévu"))</f>
        <v/>
      </c>
      <c r="AB34" s="160">
        <f>D34+F34+H34+J34+L34+N34+P34+R34+T34+V34+X34+Z34</f>
        <v/>
      </c>
      <c r="AC34" s="160">
        <f>E34+G34+I34+K34+M34+O34+Q34+S34+U34+W34+Y34+AA34</f>
        <v/>
      </c>
      <c r="AD34" s="161">
        <f>$AB34-$AC34</f>
        <v/>
      </c>
      <c r="AE34" s="162">
        <f>IFERROR($AC34/$AB34,0)</f>
        <v/>
      </c>
    </row>
    <row r="35">
      <c r="B35" s="156" t="n">
        <v>4</v>
      </c>
      <c r="C35" s="130">
        <f>IF(Objectifs!$C$13="","",Objectifs!$C$13)</f>
        <v/>
      </c>
      <c r="D35" s="158">
        <f>IF($C35="",0,N(Objectifs!$J$13))</f>
        <v/>
      </c>
      <c r="E35" s="159">
        <f>IF($C35="",0,SUMIFS(J_Montant,J_Annee,Annee_Travail,J_Mois,1,J_Projet,$C35,J_Type,"Épargne",J_Statut,"&lt;&gt;Annulé",J_Statut,"&lt;&gt;Prévu")+SUMIFS(J_Montant,J_Annee,Annee_Travail,J_Mois,1,J_Projet,$C35,J_Type,"Investissement",J_Statut,"&lt;&gt;Annulé",J_Statut,"&lt;&gt;Prévu"))</f>
        <v/>
      </c>
      <c r="F35" s="158">
        <f>IF($C35="",0,N(Objectifs!$J$13))</f>
        <v/>
      </c>
      <c r="G35" s="159">
        <f>IF($C35="",0,SUMIFS(J_Montant,J_Annee,Annee_Travail,J_Mois,2,J_Projet,$C35,J_Type,"Épargne",J_Statut,"&lt;&gt;Annulé",J_Statut,"&lt;&gt;Prévu")+SUMIFS(J_Montant,J_Annee,Annee_Travail,J_Mois,2,J_Projet,$C35,J_Type,"Investissement",J_Statut,"&lt;&gt;Annulé",J_Statut,"&lt;&gt;Prévu"))</f>
        <v/>
      </c>
      <c r="H35" s="158">
        <f>IF($C35="",0,N(Objectifs!$J$13))</f>
        <v/>
      </c>
      <c r="I35" s="159">
        <f>IF($C35="",0,SUMIFS(J_Montant,J_Annee,Annee_Travail,J_Mois,3,J_Projet,$C35,J_Type,"Épargne",J_Statut,"&lt;&gt;Annulé",J_Statut,"&lt;&gt;Prévu")+SUMIFS(J_Montant,J_Annee,Annee_Travail,J_Mois,3,J_Projet,$C35,J_Type,"Investissement",J_Statut,"&lt;&gt;Annulé",J_Statut,"&lt;&gt;Prévu"))</f>
        <v/>
      </c>
      <c r="J35" s="158">
        <f>IF($C35="",0,N(Objectifs!$J$13))</f>
        <v/>
      </c>
      <c r="K35" s="159">
        <f>IF($C35="",0,SUMIFS(J_Montant,J_Annee,Annee_Travail,J_Mois,4,J_Projet,$C35,J_Type,"Épargne",J_Statut,"&lt;&gt;Annulé",J_Statut,"&lt;&gt;Prévu")+SUMIFS(J_Montant,J_Annee,Annee_Travail,J_Mois,4,J_Projet,$C35,J_Type,"Investissement",J_Statut,"&lt;&gt;Annulé",J_Statut,"&lt;&gt;Prévu"))</f>
        <v/>
      </c>
      <c r="L35" s="158">
        <f>IF($C35="",0,N(Objectifs!$J$13))</f>
        <v/>
      </c>
      <c r="M35" s="159">
        <f>IF($C35="",0,SUMIFS(J_Montant,J_Annee,Annee_Travail,J_Mois,5,J_Projet,$C35,J_Type,"Épargne",J_Statut,"&lt;&gt;Annulé",J_Statut,"&lt;&gt;Prévu")+SUMIFS(J_Montant,J_Annee,Annee_Travail,J_Mois,5,J_Projet,$C35,J_Type,"Investissement",J_Statut,"&lt;&gt;Annulé",J_Statut,"&lt;&gt;Prévu"))</f>
        <v/>
      </c>
      <c r="N35" s="158">
        <f>IF($C35="",0,N(Objectifs!$J$13))</f>
        <v/>
      </c>
      <c r="O35" s="159">
        <f>IF($C35="",0,SUMIFS(J_Montant,J_Annee,Annee_Travail,J_Mois,6,J_Projet,$C35,J_Type,"Épargne",J_Statut,"&lt;&gt;Annulé",J_Statut,"&lt;&gt;Prévu")+SUMIFS(J_Montant,J_Annee,Annee_Travail,J_Mois,6,J_Projet,$C35,J_Type,"Investissement",J_Statut,"&lt;&gt;Annulé",J_Statut,"&lt;&gt;Prévu"))</f>
        <v/>
      </c>
      <c r="P35" s="158">
        <f>IF($C35="",0,N(Objectifs!$J$13))</f>
        <v/>
      </c>
      <c r="Q35" s="159">
        <f>IF($C35="",0,SUMIFS(J_Montant,J_Annee,Annee_Travail,J_Mois,7,J_Projet,$C35,J_Type,"Épargne",J_Statut,"&lt;&gt;Annulé",J_Statut,"&lt;&gt;Prévu")+SUMIFS(J_Montant,J_Annee,Annee_Travail,J_Mois,7,J_Projet,$C35,J_Type,"Investissement",J_Statut,"&lt;&gt;Annulé",J_Statut,"&lt;&gt;Prévu"))</f>
        <v/>
      </c>
      <c r="R35" s="158">
        <f>IF($C35="",0,N(Objectifs!$J$13))</f>
        <v/>
      </c>
      <c r="S35" s="159">
        <f>IF($C35="",0,SUMIFS(J_Montant,J_Annee,Annee_Travail,J_Mois,8,J_Projet,$C35,J_Type,"Épargne",J_Statut,"&lt;&gt;Annulé",J_Statut,"&lt;&gt;Prévu")+SUMIFS(J_Montant,J_Annee,Annee_Travail,J_Mois,8,J_Projet,$C35,J_Type,"Investissement",J_Statut,"&lt;&gt;Annulé",J_Statut,"&lt;&gt;Prévu"))</f>
        <v/>
      </c>
      <c r="T35" s="158">
        <f>IF($C35="",0,N(Objectifs!$J$13))</f>
        <v/>
      </c>
      <c r="U35" s="159">
        <f>IF($C35="",0,SUMIFS(J_Montant,J_Annee,Annee_Travail,J_Mois,9,J_Projet,$C35,J_Type,"Épargne",J_Statut,"&lt;&gt;Annulé",J_Statut,"&lt;&gt;Prévu")+SUMIFS(J_Montant,J_Annee,Annee_Travail,J_Mois,9,J_Projet,$C35,J_Type,"Investissement",J_Statut,"&lt;&gt;Annulé",J_Statut,"&lt;&gt;Prévu"))</f>
        <v/>
      </c>
      <c r="V35" s="158">
        <f>IF($C35="",0,N(Objectifs!$J$13))</f>
        <v/>
      </c>
      <c r="W35" s="159">
        <f>IF($C35="",0,SUMIFS(J_Montant,J_Annee,Annee_Travail,J_Mois,10,J_Projet,$C35,J_Type,"Épargne",J_Statut,"&lt;&gt;Annulé",J_Statut,"&lt;&gt;Prévu")+SUMIFS(J_Montant,J_Annee,Annee_Travail,J_Mois,10,J_Projet,$C35,J_Type,"Investissement",J_Statut,"&lt;&gt;Annulé",J_Statut,"&lt;&gt;Prévu"))</f>
        <v/>
      </c>
      <c r="X35" s="158">
        <f>IF($C35="",0,N(Objectifs!$J$13))</f>
        <v/>
      </c>
      <c r="Y35" s="159">
        <f>IF($C35="",0,SUMIFS(J_Montant,J_Annee,Annee_Travail,J_Mois,11,J_Projet,$C35,J_Type,"Épargne",J_Statut,"&lt;&gt;Annulé",J_Statut,"&lt;&gt;Prévu")+SUMIFS(J_Montant,J_Annee,Annee_Travail,J_Mois,11,J_Projet,$C35,J_Type,"Investissement",J_Statut,"&lt;&gt;Annulé",J_Statut,"&lt;&gt;Prévu"))</f>
        <v/>
      </c>
      <c r="Z35" s="158">
        <f>IF($C35="",0,N(Objectifs!$J$13))</f>
        <v/>
      </c>
      <c r="AA35" s="159">
        <f>IF($C35="",0,SUMIFS(J_Montant,J_Annee,Annee_Travail,J_Mois,12,J_Projet,$C35,J_Type,"Épargne",J_Statut,"&lt;&gt;Annulé",J_Statut,"&lt;&gt;Prévu")+SUMIFS(J_Montant,J_Annee,Annee_Travail,J_Mois,12,J_Projet,$C35,J_Type,"Investissement",J_Statut,"&lt;&gt;Annulé",J_Statut,"&lt;&gt;Prévu"))</f>
        <v/>
      </c>
      <c r="AB35" s="160">
        <f>D35+F35+H35+J35+L35+N35+P35+R35+T35+V35+X35+Z35</f>
        <v/>
      </c>
      <c r="AC35" s="160">
        <f>E35+G35+I35+K35+M35+O35+Q35+S35+U35+W35+Y35+AA35</f>
        <v/>
      </c>
      <c r="AD35" s="161">
        <f>$AB35-$AC35</f>
        <v/>
      </c>
      <c r="AE35" s="162">
        <f>IFERROR($AC35/$AB35,0)</f>
        <v/>
      </c>
    </row>
    <row r="36">
      <c r="B36" s="156" t="n">
        <v>5</v>
      </c>
      <c r="C36" s="130">
        <f>IF(Objectifs!$C$14="","",Objectifs!$C$14)</f>
        <v/>
      </c>
      <c r="D36" s="158">
        <f>IF($C36="",0,N(Objectifs!$J$14))</f>
        <v/>
      </c>
      <c r="E36" s="159">
        <f>IF($C36="",0,SUMIFS(J_Montant,J_Annee,Annee_Travail,J_Mois,1,J_Projet,$C36,J_Type,"Épargne",J_Statut,"&lt;&gt;Annulé",J_Statut,"&lt;&gt;Prévu")+SUMIFS(J_Montant,J_Annee,Annee_Travail,J_Mois,1,J_Projet,$C36,J_Type,"Investissement",J_Statut,"&lt;&gt;Annulé",J_Statut,"&lt;&gt;Prévu"))</f>
        <v/>
      </c>
      <c r="F36" s="158">
        <f>IF($C36="",0,N(Objectifs!$J$14))</f>
        <v/>
      </c>
      <c r="G36" s="159">
        <f>IF($C36="",0,SUMIFS(J_Montant,J_Annee,Annee_Travail,J_Mois,2,J_Projet,$C36,J_Type,"Épargne",J_Statut,"&lt;&gt;Annulé",J_Statut,"&lt;&gt;Prévu")+SUMIFS(J_Montant,J_Annee,Annee_Travail,J_Mois,2,J_Projet,$C36,J_Type,"Investissement",J_Statut,"&lt;&gt;Annulé",J_Statut,"&lt;&gt;Prévu"))</f>
        <v/>
      </c>
      <c r="H36" s="158">
        <f>IF($C36="",0,N(Objectifs!$J$14))</f>
        <v/>
      </c>
      <c r="I36" s="159">
        <f>IF($C36="",0,SUMIFS(J_Montant,J_Annee,Annee_Travail,J_Mois,3,J_Projet,$C36,J_Type,"Épargne",J_Statut,"&lt;&gt;Annulé",J_Statut,"&lt;&gt;Prévu")+SUMIFS(J_Montant,J_Annee,Annee_Travail,J_Mois,3,J_Projet,$C36,J_Type,"Investissement",J_Statut,"&lt;&gt;Annulé",J_Statut,"&lt;&gt;Prévu"))</f>
        <v/>
      </c>
      <c r="J36" s="158">
        <f>IF($C36="",0,N(Objectifs!$J$14))</f>
        <v/>
      </c>
      <c r="K36" s="159">
        <f>IF($C36="",0,SUMIFS(J_Montant,J_Annee,Annee_Travail,J_Mois,4,J_Projet,$C36,J_Type,"Épargne",J_Statut,"&lt;&gt;Annulé",J_Statut,"&lt;&gt;Prévu")+SUMIFS(J_Montant,J_Annee,Annee_Travail,J_Mois,4,J_Projet,$C36,J_Type,"Investissement",J_Statut,"&lt;&gt;Annulé",J_Statut,"&lt;&gt;Prévu"))</f>
        <v/>
      </c>
      <c r="L36" s="158">
        <f>IF($C36="",0,N(Objectifs!$J$14))</f>
        <v/>
      </c>
      <c r="M36" s="159">
        <f>IF($C36="",0,SUMIFS(J_Montant,J_Annee,Annee_Travail,J_Mois,5,J_Projet,$C36,J_Type,"Épargne",J_Statut,"&lt;&gt;Annulé",J_Statut,"&lt;&gt;Prévu")+SUMIFS(J_Montant,J_Annee,Annee_Travail,J_Mois,5,J_Projet,$C36,J_Type,"Investissement",J_Statut,"&lt;&gt;Annulé",J_Statut,"&lt;&gt;Prévu"))</f>
        <v/>
      </c>
      <c r="N36" s="158">
        <f>IF($C36="",0,N(Objectifs!$J$14))</f>
        <v/>
      </c>
      <c r="O36" s="159">
        <f>IF($C36="",0,SUMIFS(J_Montant,J_Annee,Annee_Travail,J_Mois,6,J_Projet,$C36,J_Type,"Épargne",J_Statut,"&lt;&gt;Annulé",J_Statut,"&lt;&gt;Prévu")+SUMIFS(J_Montant,J_Annee,Annee_Travail,J_Mois,6,J_Projet,$C36,J_Type,"Investissement",J_Statut,"&lt;&gt;Annulé",J_Statut,"&lt;&gt;Prévu"))</f>
        <v/>
      </c>
      <c r="P36" s="158">
        <f>IF($C36="",0,N(Objectifs!$J$14))</f>
        <v/>
      </c>
      <c r="Q36" s="159">
        <f>IF($C36="",0,SUMIFS(J_Montant,J_Annee,Annee_Travail,J_Mois,7,J_Projet,$C36,J_Type,"Épargne",J_Statut,"&lt;&gt;Annulé",J_Statut,"&lt;&gt;Prévu")+SUMIFS(J_Montant,J_Annee,Annee_Travail,J_Mois,7,J_Projet,$C36,J_Type,"Investissement",J_Statut,"&lt;&gt;Annulé",J_Statut,"&lt;&gt;Prévu"))</f>
        <v/>
      </c>
      <c r="R36" s="158">
        <f>IF($C36="",0,N(Objectifs!$J$14))</f>
        <v/>
      </c>
      <c r="S36" s="159">
        <f>IF($C36="",0,SUMIFS(J_Montant,J_Annee,Annee_Travail,J_Mois,8,J_Projet,$C36,J_Type,"Épargne",J_Statut,"&lt;&gt;Annulé",J_Statut,"&lt;&gt;Prévu")+SUMIFS(J_Montant,J_Annee,Annee_Travail,J_Mois,8,J_Projet,$C36,J_Type,"Investissement",J_Statut,"&lt;&gt;Annulé",J_Statut,"&lt;&gt;Prévu"))</f>
        <v/>
      </c>
      <c r="T36" s="158">
        <f>IF($C36="",0,N(Objectifs!$J$14))</f>
        <v/>
      </c>
      <c r="U36" s="159">
        <f>IF($C36="",0,SUMIFS(J_Montant,J_Annee,Annee_Travail,J_Mois,9,J_Projet,$C36,J_Type,"Épargne",J_Statut,"&lt;&gt;Annulé",J_Statut,"&lt;&gt;Prévu")+SUMIFS(J_Montant,J_Annee,Annee_Travail,J_Mois,9,J_Projet,$C36,J_Type,"Investissement",J_Statut,"&lt;&gt;Annulé",J_Statut,"&lt;&gt;Prévu"))</f>
        <v/>
      </c>
      <c r="V36" s="158">
        <f>IF($C36="",0,N(Objectifs!$J$14))</f>
        <v/>
      </c>
      <c r="W36" s="159">
        <f>IF($C36="",0,SUMIFS(J_Montant,J_Annee,Annee_Travail,J_Mois,10,J_Projet,$C36,J_Type,"Épargne",J_Statut,"&lt;&gt;Annulé",J_Statut,"&lt;&gt;Prévu")+SUMIFS(J_Montant,J_Annee,Annee_Travail,J_Mois,10,J_Projet,$C36,J_Type,"Investissement",J_Statut,"&lt;&gt;Annulé",J_Statut,"&lt;&gt;Prévu"))</f>
        <v/>
      </c>
      <c r="X36" s="158">
        <f>IF($C36="",0,N(Objectifs!$J$14))</f>
        <v/>
      </c>
      <c r="Y36" s="159">
        <f>IF($C36="",0,SUMIFS(J_Montant,J_Annee,Annee_Travail,J_Mois,11,J_Projet,$C36,J_Type,"Épargne",J_Statut,"&lt;&gt;Annulé",J_Statut,"&lt;&gt;Prévu")+SUMIFS(J_Montant,J_Annee,Annee_Travail,J_Mois,11,J_Projet,$C36,J_Type,"Investissement",J_Statut,"&lt;&gt;Annulé",J_Statut,"&lt;&gt;Prévu"))</f>
        <v/>
      </c>
      <c r="Z36" s="158">
        <f>IF($C36="",0,N(Objectifs!$J$14))</f>
        <v/>
      </c>
      <c r="AA36" s="159">
        <f>IF($C36="",0,SUMIFS(J_Montant,J_Annee,Annee_Travail,J_Mois,12,J_Projet,$C36,J_Type,"Épargne",J_Statut,"&lt;&gt;Annulé",J_Statut,"&lt;&gt;Prévu")+SUMIFS(J_Montant,J_Annee,Annee_Travail,J_Mois,12,J_Projet,$C36,J_Type,"Investissement",J_Statut,"&lt;&gt;Annulé",J_Statut,"&lt;&gt;Prévu"))</f>
        <v/>
      </c>
      <c r="AB36" s="160">
        <f>D36+F36+H36+J36+L36+N36+P36+R36+T36+V36+X36+Z36</f>
        <v/>
      </c>
      <c r="AC36" s="160">
        <f>E36+G36+I36+K36+M36+O36+Q36+S36+U36+W36+Y36+AA36</f>
        <v/>
      </c>
      <c r="AD36" s="161">
        <f>$AB36-$AC36</f>
        <v/>
      </c>
      <c r="AE36" s="162">
        <f>IFERROR($AC36/$AB36,0)</f>
        <v/>
      </c>
    </row>
    <row r="37">
      <c r="B37" s="156" t="n">
        <v>6</v>
      </c>
      <c r="C37" s="130">
        <f>IF(Objectifs!$C$15="","",Objectifs!$C$15)</f>
        <v/>
      </c>
      <c r="D37" s="158">
        <f>IF($C37="",0,N(Objectifs!$J$15))</f>
        <v/>
      </c>
      <c r="E37" s="159">
        <f>IF($C37="",0,SUMIFS(J_Montant,J_Annee,Annee_Travail,J_Mois,1,J_Projet,$C37,J_Type,"Épargne",J_Statut,"&lt;&gt;Annulé",J_Statut,"&lt;&gt;Prévu")+SUMIFS(J_Montant,J_Annee,Annee_Travail,J_Mois,1,J_Projet,$C37,J_Type,"Investissement",J_Statut,"&lt;&gt;Annulé",J_Statut,"&lt;&gt;Prévu"))</f>
        <v/>
      </c>
      <c r="F37" s="158">
        <f>IF($C37="",0,N(Objectifs!$J$15))</f>
        <v/>
      </c>
      <c r="G37" s="159">
        <f>IF($C37="",0,SUMIFS(J_Montant,J_Annee,Annee_Travail,J_Mois,2,J_Projet,$C37,J_Type,"Épargne",J_Statut,"&lt;&gt;Annulé",J_Statut,"&lt;&gt;Prévu")+SUMIFS(J_Montant,J_Annee,Annee_Travail,J_Mois,2,J_Projet,$C37,J_Type,"Investissement",J_Statut,"&lt;&gt;Annulé",J_Statut,"&lt;&gt;Prévu"))</f>
        <v/>
      </c>
      <c r="H37" s="158">
        <f>IF($C37="",0,N(Objectifs!$J$15))</f>
        <v/>
      </c>
      <c r="I37" s="159">
        <f>IF($C37="",0,SUMIFS(J_Montant,J_Annee,Annee_Travail,J_Mois,3,J_Projet,$C37,J_Type,"Épargne",J_Statut,"&lt;&gt;Annulé",J_Statut,"&lt;&gt;Prévu")+SUMIFS(J_Montant,J_Annee,Annee_Travail,J_Mois,3,J_Projet,$C37,J_Type,"Investissement",J_Statut,"&lt;&gt;Annulé",J_Statut,"&lt;&gt;Prévu"))</f>
        <v/>
      </c>
      <c r="J37" s="158">
        <f>IF($C37="",0,N(Objectifs!$J$15))</f>
        <v/>
      </c>
      <c r="K37" s="159">
        <f>IF($C37="",0,SUMIFS(J_Montant,J_Annee,Annee_Travail,J_Mois,4,J_Projet,$C37,J_Type,"Épargne",J_Statut,"&lt;&gt;Annulé",J_Statut,"&lt;&gt;Prévu")+SUMIFS(J_Montant,J_Annee,Annee_Travail,J_Mois,4,J_Projet,$C37,J_Type,"Investissement",J_Statut,"&lt;&gt;Annulé",J_Statut,"&lt;&gt;Prévu"))</f>
        <v/>
      </c>
      <c r="L37" s="158">
        <f>IF($C37="",0,N(Objectifs!$J$15))</f>
        <v/>
      </c>
      <c r="M37" s="159">
        <f>IF($C37="",0,SUMIFS(J_Montant,J_Annee,Annee_Travail,J_Mois,5,J_Projet,$C37,J_Type,"Épargne",J_Statut,"&lt;&gt;Annulé",J_Statut,"&lt;&gt;Prévu")+SUMIFS(J_Montant,J_Annee,Annee_Travail,J_Mois,5,J_Projet,$C37,J_Type,"Investissement",J_Statut,"&lt;&gt;Annulé",J_Statut,"&lt;&gt;Prévu"))</f>
        <v/>
      </c>
      <c r="N37" s="158">
        <f>IF($C37="",0,N(Objectifs!$J$15))</f>
        <v/>
      </c>
      <c r="O37" s="159">
        <f>IF($C37="",0,SUMIFS(J_Montant,J_Annee,Annee_Travail,J_Mois,6,J_Projet,$C37,J_Type,"Épargne",J_Statut,"&lt;&gt;Annulé",J_Statut,"&lt;&gt;Prévu")+SUMIFS(J_Montant,J_Annee,Annee_Travail,J_Mois,6,J_Projet,$C37,J_Type,"Investissement",J_Statut,"&lt;&gt;Annulé",J_Statut,"&lt;&gt;Prévu"))</f>
        <v/>
      </c>
      <c r="P37" s="158">
        <f>IF($C37="",0,N(Objectifs!$J$15))</f>
        <v/>
      </c>
      <c r="Q37" s="159">
        <f>IF($C37="",0,SUMIFS(J_Montant,J_Annee,Annee_Travail,J_Mois,7,J_Projet,$C37,J_Type,"Épargne",J_Statut,"&lt;&gt;Annulé",J_Statut,"&lt;&gt;Prévu")+SUMIFS(J_Montant,J_Annee,Annee_Travail,J_Mois,7,J_Projet,$C37,J_Type,"Investissement",J_Statut,"&lt;&gt;Annulé",J_Statut,"&lt;&gt;Prévu"))</f>
        <v/>
      </c>
      <c r="R37" s="158">
        <f>IF($C37="",0,N(Objectifs!$J$15))</f>
        <v/>
      </c>
      <c r="S37" s="159">
        <f>IF($C37="",0,SUMIFS(J_Montant,J_Annee,Annee_Travail,J_Mois,8,J_Projet,$C37,J_Type,"Épargne",J_Statut,"&lt;&gt;Annulé",J_Statut,"&lt;&gt;Prévu")+SUMIFS(J_Montant,J_Annee,Annee_Travail,J_Mois,8,J_Projet,$C37,J_Type,"Investissement",J_Statut,"&lt;&gt;Annulé",J_Statut,"&lt;&gt;Prévu"))</f>
        <v/>
      </c>
      <c r="T37" s="158">
        <f>IF($C37="",0,N(Objectifs!$J$15))</f>
        <v/>
      </c>
      <c r="U37" s="159">
        <f>IF($C37="",0,SUMIFS(J_Montant,J_Annee,Annee_Travail,J_Mois,9,J_Projet,$C37,J_Type,"Épargne",J_Statut,"&lt;&gt;Annulé",J_Statut,"&lt;&gt;Prévu")+SUMIFS(J_Montant,J_Annee,Annee_Travail,J_Mois,9,J_Projet,$C37,J_Type,"Investissement",J_Statut,"&lt;&gt;Annulé",J_Statut,"&lt;&gt;Prévu"))</f>
        <v/>
      </c>
      <c r="V37" s="158">
        <f>IF($C37="",0,N(Objectifs!$J$15))</f>
        <v/>
      </c>
      <c r="W37" s="159">
        <f>IF($C37="",0,SUMIFS(J_Montant,J_Annee,Annee_Travail,J_Mois,10,J_Projet,$C37,J_Type,"Épargne",J_Statut,"&lt;&gt;Annulé",J_Statut,"&lt;&gt;Prévu")+SUMIFS(J_Montant,J_Annee,Annee_Travail,J_Mois,10,J_Projet,$C37,J_Type,"Investissement",J_Statut,"&lt;&gt;Annulé",J_Statut,"&lt;&gt;Prévu"))</f>
        <v/>
      </c>
      <c r="X37" s="158">
        <f>IF($C37="",0,N(Objectifs!$J$15))</f>
        <v/>
      </c>
      <c r="Y37" s="159">
        <f>IF($C37="",0,SUMIFS(J_Montant,J_Annee,Annee_Travail,J_Mois,11,J_Projet,$C37,J_Type,"Épargne",J_Statut,"&lt;&gt;Annulé",J_Statut,"&lt;&gt;Prévu")+SUMIFS(J_Montant,J_Annee,Annee_Travail,J_Mois,11,J_Projet,$C37,J_Type,"Investissement",J_Statut,"&lt;&gt;Annulé",J_Statut,"&lt;&gt;Prévu"))</f>
        <v/>
      </c>
      <c r="Z37" s="158">
        <f>IF($C37="",0,N(Objectifs!$J$15))</f>
        <v/>
      </c>
      <c r="AA37" s="159">
        <f>IF($C37="",0,SUMIFS(J_Montant,J_Annee,Annee_Travail,J_Mois,12,J_Projet,$C37,J_Type,"Épargne",J_Statut,"&lt;&gt;Annulé",J_Statut,"&lt;&gt;Prévu")+SUMIFS(J_Montant,J_Annee,Annee_Travail,J_Mois,12,J_Projet,$C37,J_Type,"Investissement",J_Statut,"&lt;&gt;Annulé",J_Statut,"&lt;&gt;Prévu"))</f>
        <v/>
      </c>
      <c r="AB37" s="160">
        <f>D37+F37+H37+J37+L37+N37+P37+R37+T37+V37+X37+Z37</f>
        <v/>
      </c>
      <c r="AC37" s="160">
        <f>E37+G37+I37+K37+M37+O37+Q37+S37+U37+W37+Y37+AA37</f>
        <v/>
      </c>
      <c r="AD37" s="161">
        <f>$AB37-$AC37</f>
        <v/>
      </c>
      <c r="AE37" s="162">
        <f>IFERROR($AC37/$AB37,0)</f>
        <v/>
      </c>
    </row>
    <row r="38">
      <c r="B38" s="156" t="n">
        <v>7</v>
      </c>
      <c r="C38" s="130">
        <f>IF(Objectifs!$C$16="","",Objectifs!$C$16)</f>
        <v/>
      </c>
      <c r="D38" s="158">
        <f>IF($C38="",0,N(Objectifs!$J$16))</f>
        <v/>
      </c>
      <c r="E38" s="159">
        <f>IF($C38="",0,SUMIFS(J_Montant,J_Annee,Annee_Travail,J_Mois,1,J_Projet,$C38,J_Type,"Épargne",J_Statut,"&lt;&gt;Annulé",J_Statut,"&lt;&gt;Prévu")+SUMIFS(J_Montant,J_Annee,Annee_Travail,J_Mois,1,J_Projet,$C38,J_Type,"Investissement",J_Statut,"&lt;&gt;Annulé",J_Statut,"&lt;&gt;Prévu"))</f>
        <v/>
      </c>
      <c r="F38" s="158">
        <f>IF($C38="",0,N(Objectifs!$J$16))</f>
        <v/>
      </c>
      <c r="G38" s="159">
        <f>IF($C38="",0,SUMIFS(J_Montant,J_Annee,Annee_Travail,J_Mois,2,J_Projet,$C38,J_Type,"Épargne",J_Statut,"&lt;&gt;Annulé",J_Statut,"&lt;&gt;Prévu")+SUMIFS(J_Montant,J_Annee,Annee_Travail,J_Mois,2,J_Projet,$C38,J_Type,"Investissement",J_Statut,"&lt;&gt;Annulé",J_Statut,"&lt;&gt;Prévu"))</f>
        <v/>
      </c>
      <c r="H38" s="158">
        <f>IF($C38="",0,N(Objectifs!$J$16))</f>
        <v/>
      </c>
      <c r="I38" s="159">
        <f>IF($C38="",0,SUMIFS(J_Montant,J_Annee,Annee_Travail,J_Mois,3,J_Projet,$C38,J_Type,"Épargne",J_Statut,"&lt;&gt;Annulé",J_Statut,"&lt;&gt;Prévu")+SUMIFS(J_Montant,J_Annee,Annee_Travail,J_Mois,3,J_Projet,$C38,J_Type,"Investissement",J_Statut,"&lt;&gt;Annulé",J_Statut,"&lt;&gt;Prévu"))</f>
        <v/>
      </c>
      <c r="J38" s="158">
        <f>IF($C38="",0,N(Objectifs!$J$16))</f>
        <v/>
      </c>
      <c r="K38" s="159">
        <f>IF($C38="",0,SUMIFS(J_Montant,J_Annee,Annee_Travail,J_Mois,4,J_Projet,$C38,J_Type,"Épargne",J_Statut,"&lt;&gt;Annulé",J_Statut,"&lt;&gt;Prévu")+SUMIFS(J_Montant,J_Annee,Annee_Travail,J_Mois,4,J_Projet,$C38,J_Type,"Investissement",J_Statut,"&lt;&gt;Annulé",J_Statut,"&lt;&gt;Prévu"))</f>
        <v/>
      </c>
      <c r="L38" s="158">
        <f>IF($C38="",0,N(Objectifs!$J$16))</f>
        <v/>
      </c>
      <c r="M38" s="159">
        <f>IF($C38="",0,SUMIFS(J_Montant,J_Annee,Annee_Travail,J_Mois,5,J_Projet,$C38,J_Type,"Épargne",J_Statut,"&lt;&gt;Annulé",J_Statut,"&lt;&gt;Prévu")+SUMIFS(J_Montant,J_Annee,Annee_Travail,J_Mois,5,J_Projet,$C38,J_Type,"Investissement",J_Statut,"&lt;&gt;Annulé",J_Statut,"&lt;&gt;Prévu"))</f>
        <v/>
      </c>
      <c r="N38" s="158">
        <f>IF($C38="",0,N(Objectifs!$J$16))</f>
        <v/>
      </c>
      <c r="O38" s="159">
        <f>IF($C38="",0,SUMIFS(J_Montant,J_Annee,Annee_Travail,J_Mois,6,J_Projet,$C38,J_Type,"Épargne",J_Statut,"&lt;&gt;Annulé",J_Statut,"&lt;&gt;Prévu")+SUMIFS(J_Montant,J_Annee,Annee_Travail,J_Mois,6,J_Projet,$C38,J_Type,"Investissement",J_Statut,"&lt;&gt;Annulé",J_Statut,"&lt;&gt;Prévu"))</f>
        <v/>
      </c>
      <c r="P38" s="158">
        <f>IF($C38="",0,N(Objectifs!$J$16))</f>
        <v/>
      </c>
      <c r="Q38" s="159">
        <f>IF($C38="",0,SUMIFS(J_Montant,J_Annee,Annee_Travail,J_Mois,7,J_Projet,$C38,J_Type,"Épargne",J_Statut,"&lt;&gt;Annulé",J_Statut,"&lt;&gt;Prévu")+SUMIFS(J_Montant,J_Annee,Annee_Travail,J_Mois,7,J_Projet,$C38,J_Type,"Investissement",J_Statut,"&lt;&gt;Annulé",J_Statut,"&lt;&gt;Prévu"))</f>
        <v/>
      </c>
      <c r="R38" s="158">
        <f>IF($C38="",0,N(Objectifs!$J$16))</f>
        <v/>
      </c>
      <c r="S38" s="159">
        <f>IF($C38="",0,SUMIFS(J_Montant,J_Annee,Annee_Travail,J_Mois,8,J_Projet,$C38,J_Type,"Épargne",J_Statut,"&lt;&gt;Annulé",J_Statut,"&lt;&gt;Prévu")+SUMIFS(J_Montant,J_Annee,Annee_Travail,J_Mois,8,J_Projet,$C38,J_Type,"Investissement",J_Statut,"&lt;&gt;Annulé",J_Statut,"&lt;&gt;Prévu"))</f>
        <v/>
      </c>
      <c r="T38" s="158">
        <f>IF($C38="",0,N(Objectifs!$J$16))</f>
        <v/>
      </c>
      <c r="U38" s="159">
        <f>IF($C38="",0,SUMIFS(J_Montant,J_Annee,Annee_Travail,J_Mois,9,J_Projet,$C38,J_Type,"Épargne",J_Statut,"&lt;&gt;Annulé",J_Statut,"&lt;&gt;Prévu")+SUMIFS(J_Montant,J_Annee,Annee_Travail,J_Mois,9,J_Projet,$C38,J_Type,"Investissement",J_Statut,"&lt;&gt;Annulé",J_Statut,"&lt;&gt;Prévu"))</f>
        <v/>
      </c>
      <c r="V38" s="158">
        <f>IF($C38="",0,N(Objectifs!$J$16))</f>
        <v/>
      </c>
      <c r="W38" s="159">
        <f>IF($C38="",0,SUMIFS(J_Montant,J_Annee,Annee_Travail,J_Mois,10,J_Projet,$C38,J_Type,"Épargne",J_Statut,"&lt;&gt;Annulé",J_Statut,"&lt;&gt;Prévu")+SUMIFS(J_Montant,J_Annee,Annee_Travail,J_Mois,10,J_Projet,$C38,J_Type,"Investissement",J_Statut,"&lt;&gt;Annulé",J_Statut,"&lt;&gt;Prévu"))</f>
        <v/>
      </c>
      <c r="X38" s="158">
        <f>IF($C38="",0,N(Objectifs!$J$16))</f>
        <v/>
      </c>
      <c r="Y38" s="159">
        <f>IF($C38="",0,SUMIFS(J_Montant,J_Annee,Annee_Travail,J_Mois,11,J_Projet,$C38,J_Type,"Épargne",J_Statut,"&lt;&gt;Annulé",J_Statut,"&lt;&gt;Prévu")+SUMIFS(J_Montant,J_Annee,Annee_Travail,J_Mois,11,J_Projet,$C38,J_Type,"Investissement",J_Statut,"&lt;&gt;Annulé",J_Statut,"&lt;&gt;Prévu"))</f>
        <v/>
      </c>
      <c r="Z38" s="158">
        <f>IF($C38="",0,N(Objectifs!$J$16))</f>
        <v/>
      </c>
      <c r="AA38" s="159">
        <f>IF($C38="",0,SUMIFS(J_Montant,J_Annee,Annee_Travail,J_Mois,12,J_Projet,$C38,J_Type,"Épargne",J_Statut,"&lt;&gt;Annulé",J_Statut,"&lt;&gt;Prévu")+SUMIFS(J_Montant,J_Annee,Annee_Travail,J_Mois,12,J_Projet,$C38,J_Type,"Investissement",J_Statut,"&lt;&gt;Annulé",J_Statut,"&lt;&gt;Prévu"))</f>
        <v/>
      </c>
      <c r="AB38" s="160">
        <f>D38+F38+H38+J38+L38+N38+P38+R38+T38+V38+X38+Z38</f>
        <v/>
      </c>
      <c r="AC38" s="160">
        <f>E38+G38+I38+K38+M38+O38+Q38+S38+U38+W38+Y38+AA38</f>
        <v/>
      </c>
      <c r="AD38" s="161">
        <f>$AB38-$AC38</f>
        <v/>
      </c>
      <c r="AE38" s="162">
        <f>IFERROR($AC38/$AB38,0)</f>
        <v/>
      </c>
    </row>
    <row r="39">
      <c r="B39" s="156" t="n">
        <v>8</v>
      </c>
      <c r="C39" s="130">
        <f>IF(Objectifs!$C$17="","",Objectifs!$C$17)</f>
        <v/>
      </c>
      <c r="D39" s="158">
        <f>IF($C39="",0,N(Objectifs!$J$17))</f>
        <v/>
      </c>
      <c r="E39" s="159">
        <f>IF($C39="",0,SUMIFS(J_Montant,J_Annee,Annee_Travail,J_Mois,1,J_Projet,$C39,J_Type,"Épargne",J_Statut,"&lt;&gt;Annulé",J_Statut,"&lt;&gt;Prévu")+SUMIFS(J_Montant,J_Annee,Annee_Travail,J_Mois,1,J_Projet,$C39,J_Type,"Investissement",J_Statut,"&lt;&gt;Annulé",J_Statut,"&lt;&gt;Prévu"))</f>
        <v/>
      </c>
      <c r="F39" s="158">
        <f>IF($C39="",0,N(Objectifs!$J$17))</f>
        <v/>
      </c>
      <c r="G39" s="159">
        <f>IF($C39="",0,SUMIFS(J_Montant,J_Annee,Annee_Travail,J_Mois,2,J_Projet,$C39,J_Type,"Épargne",J_Statut,"&lt;&gt;Annulé",J_Statut,"&lt;&gt;Prévu")+SUMIFS(J_Montant,J_Annee,Annee_Travail,J_Mois,2,J_Projet,$C39,J_Type,"Investissement",J_Statut,"&lt;&gt;Annulé",J_Statut,"&lt;&gt;Prévu"))</f>
        <v/>
      </c>
      <c r="H39" s="158">
        <f>IF($C39="",0,N(Objectifs!$J$17))</f>
        <v/>
      </c>
      <c r="I39" s="159">
        <f>IF($C39="",0,SUMIFS(J_Montant,J_Annee,Annee_Travail,J_Mois,3,J_Projet,$C39,J_Type,"Épargne",J_Statut,"&lt;&gt;Annulé",J_Statut,"&lt;&gt;Prévu")+SUMIFS(J_Montant,J_Annee,Annee_Travail,J_Mois,3,J_Projet,$C39,J_Type,"Investissement",J_Statut,"&lt;&gt;Annulé",J_Statut,"&lt;&gt;Prévu"))</f>
        <v/>
      </c>
      <c r="J39" s="158">
        <f>IF($C39="",0,N(Objectifs!$J$17))</f>
        <v/>
      </c>
      <c r="K39" s="159">
        <f>IF($C39="",0,SUMIFS(J_Montant,J_Annee,Annee_Travail,J_Mois,4,J_Projet,$C39,J_Type,"Épargne",J_Statut,"&lt;&gt;Annulé",J_Statut,"&lt;&gt;Prévu")+SUMIFS(J_Montant,J_Annee,Annee_Travail,J_Mois,4,J_Projet,$C39,J_Type,"Investissement",J_Statut,"&lt;&gt;Annulé",J_Statut,"&lt;&gt;Prévu"))</f>
        <v/>
      </c>
      <c r="L39" s="158">
        <f>IF($C39="",0,N(Objectifs!$J$17))</f>
        <v/>
      </c>
      <c r="M39" s="159">
        <f>IF($C39="",0,SUMIFS(J_Montant,J_Annee,Annee_Travail,J_Mois,5,J_Projet,$C39,J_Type,"Épargne",J_Statut,"&lt;&gt;Annulé",J_Statut,"&lt;&gt;Prévu")+SUMIFS(J_Montant,J_Annee,Annee_Travail,J_Mois,5,J_Projet,$C39,J_Type,"Investissement",J_Statut,"&lt;&gt;Annulé",J_Statut,"&lt;&gt;Prévu"))</f>
        <v/>
      </c>
      <c r="N39" s="158">
        <f>IF($C39="",0,N(Objectifs!$J$17))</f>
        <v/>
      </c>
      <c r="O39" s="159">
        <f>IF($C39="",0,SUMIFS(J_Montant,J_Annee,Annee_Travail,J_Mois,6,J_Projet,$C39,J_Type,"Épargne",J_Statut,"&lt;&gt;Annulé",J_Statut,"&lt;&gt;Prévu")+SUMIFS(J_Montant,J_Annee,Annee_Travail,J_Mois,6,J_Projet,$C39,J_Type,"Investissement",J_Statut,"&lt;&gt;Annulé",J_Statut,"&lt;&gt;Prévu"))</f>
        <v/>
      </c>
      <c r="P39" s="158">
        <f>IF($C39="",0,N(Objectifs!$J$17))</f>
        <v/>
      </c>
      <c r="Q39" s="159">
        <f>IF($C39="",0,SUMIFS(J_Montant,J_Annee,Annee_Travail,J_Mois,7,J_Projet,$C39,J_Type,"Épargne",J_Statut,"&lt;&gt;Annulé",J_Statut,"&lt;&gt;Prévu")+SUMIFS(J_Montant,J_Annee,Annee_Travail,J_Mois,7,J_Projet,$C39,J_Type,"Investissement",J_Statut,"&lt;&gt;Annulé",J_Statut,"&lt;&gt;Prévu"))</f>
        <v/>
      </c>
      <c r="R39" s="158">
        <f>IF($C39="",0,N(Objectifs!$J$17))</f>
        <v/>
      </c>
      <c r="S39" s="159">
        <f>IF($C39="",0,SUMIFS(J_Montant,J_Annee,Annee_Travail,J_Mois,8,J_Projet,$C39,J_Type,"Épargne",J_Statut,"&lt;&gt;Annulé",J_Statut,"&lt;&gt;Prévu")+SUMIFS(J_Montant,J_Annee,Annee_Travail,J_Mois,8,J_Projet,$C39,J_Type,"Investissement",J_Statut,"&lt;&gt;Annulé",J_Statut,"&lt;&gt;Prévu"))</f>
        <v/>
      </c>
      <c r="T39" s="158">
        <f>IF($C39="",0,N(Objectifs!$J$17))</f>
        <v/>
      </c>
      <c r="U39" s="159">
        <f>IF($C39="",0,SUMIFS(J_Montant,J_Annee,Annee_Travail,J_Mois,9,J_Projet,$C39,J_Type,"Épargne",J_Statut,"&lt;&gt;Annulé",J_Statut,"&lt;&gt;Prévu")+SUMIFS(J_Montant,J_Annee,Annee_Travail,J_Mois,9,J_Projet,$C39,J_Type,"Investissement",J_Statut,"&lt;&gt;Annulé",J_Statut,"&lt;&gt;Prévu"))</f>
        <v/>
      </c>
      <c r="V39" s="158">
        <f>IF($C39="",0,N(Objectifs!$J$17))</f>
        <v/>
      </c>
      <c r="W39" s="159">
        <f>IF($C39="",0,SUMIFS(J_Montant,J_Annee,Annee_Travail,J_Mois,10,J_Projet,$C39,J_Type,"Épargne",J_Statut,"&lt;&gt;Annulé",J_Statut,"&lt;&gt;Prévu")+SUMIFS(J_Montant,J_Annee,Annee_Travail,J_Mois,10,J_Projet,$C39,J_Type,"Investissement",J_Statut,"&lt;&gt;Annulé",J_Statut,"&lt;&gt;Prévu"))</f>
        <v/>
      </c>
      <c r="X39" s="158">
        <f>IF($C39="",0,N(Objectifs!$J$17))</f>
        <v/>
      </c>
      <c r="Y39" s="159">
        <f>IF($C39="",0,SUMIFS(J_Montant,J_Annee,Annee_Travail,J_Mois,11,J_Projet,$C39,J_Type,"Épargne",J_Statut,"&lt;&gt;Annulé",J_Statut,"&lt;&gt;Prévu")+SUMIFS(J_Montant,J_Annee,Annee_Travail,J_Mois,11,J_Projet,$C39,J_Type,"Investissement",J_Statut,"&lt;&gt;Annulé",J_Statut,"&lt;&gt;Prévu"))</f>
        <v/>
      </c>
      <c r="Z39" s="158">
        <f>IF($C39="",0,N(Objectifs!$J$17))</f>
        <v/>
      </c>
      <c r="AA39" s="159">
        <f>IF($C39="",0,SUMIFS(J_Montant,J_Annee,Annee_Travail,J_Mois,12,J_Projet,$C39,J_Type,"Épargne",J_Statut,"&lt;&gt;Annulé",J_Statut,"&lt;&gt;Prévu")+SUMIFS(J_Montant,J_Annee,Annee_Travail,J_Mois,12,J_Projet,$C39,J_Type,"Investissement",J_Statut,"&lt;&gt;Annulé",J_Statut,"&lt;&gt;Prévu"))</f>
        <v/>
      </c>
      <c r="AB39" s="160">
        <f>D39+F39+H39+J39+L39+N39+P39+R39+T39+V39+X39+Z39</f>
        <v/>
      </c>
      <c r="AC39" s="160">
        <f>E39+G39+I39+K39+M39+O39+Q39+S39+U39+W39+Y39+AA39</f>
        <v/>
      </c>
      <c r="AD39" s="161">
        <f>$AB39-$AC39</f>
        <v/>
      </c>
      <c r="AE39" s="162">
        <f>IFERROR($AC39/$AB39,0)</f>
        <v/>
      </c>
    </row>
    <row r="40">
      <c r="B40" s="156" t="n">
        <v>9</v>
      </c>
      <c r="C40" s="130">
        <f>IF(Objectifs!$C$18="","",Objectifs!$C$18)</f>
        <v/>
      </c>
      <c r="D40" s="158">
        <f>IF($C40="",0,N(Objectifs!$J$18))</f>
        <v/>
      </c>
      <c r="E40" s="159">
        <f>IF($C40="",0,SUMIFS(J_Montant,J_Annee,Annee_Travail,J_Mois,1,J_Projet,$C40,J_Type,"Épargne",J_Statut,"&lt;&gt;Annulé",J_Statut,"&lt;&gt;Prévu")+SUMIFS(J_Montant,J_Annee,Annee_Travail,J_Mois,1,J_Projet,$C40,J_Type,"Investissement",J_Statut,"&lt;&gt;Annulé",J_Statut,"&lt;&gt;Prévu"))</f>
        <v/>
      </c>
      <c r="F40" s="158">
        <f>IF($C40="",0,N(Objectifs!$J$18))</f>
        <v/>
      </c>
      <c r="G40" s="159">
        <f>IF($C40="",0,SUMIFS(J_Montant,J_Annee,Annee_Travail,J_Mois,2,J_Projet,$C40,J_Type,"Épargne",J_Statut,"&lt;&gt;Annulé",J_Statut,"&lt;&gt;Prévu")+SUMIFS(J_Montant,J_Annee,Annee_Travail,J_Mois,2,J_Projet,$C40,J_Type,"Investissement",J_Statut,"&lt;&gt;Annulé",J_Statut,"&lt;&gt;Prévu"))</f>
        <v/>
      </c>
      <c r="H40" s="158">
        <f>IF($C40="",0,N(Objectifs!$J$18))</f>
        <v/>
      </c>
      <c r="I40" s="159">
        <f>IF($C40="",0,SUMIFS(J_Montant,J_Annee,Annee_Travail,J_Mois,3,J_Projet,$C40,J_Type,"Épargne",J_Statut,"&lt;&gt;Annulé",J_Statut,"&lt;&gt;Prévu")+SUMIFS(J_Montant,J_Annee,Annee_Travail,J_Mois,3,J_Projet,$C40,J_Type,"Investissement",J_Statut,"&lt;&gt;Annulé",J_Statut,"&lt;&gt;Prévu"))</f>
        <v/>
      </c>
      <c r="J40" s="158">
        <f>IF($C40="",0,N(Objectifs!$J$18))</f>
        <v/>
      </c>
      <c r="K40" s="159">
        <f>IF($C40="",0,SUMIFS(J_Montant,J_Annee,Annee_Travail,J_Mois,4,J_Projet,$C40,J_Type,"Épargne",J_Statut,"&lt;&gt;Annulé",J_Statut,"&lt;&gt;Prévu")+SUMIFS(J_Montant,J_Annee,Annee_Travail,J_Mois,4,J_Projet,$C40,J_Type,"Investissement",J_Statut,"&lt;&gt;Annulé",J_Statut,"&lt;&gt;Prévu"))</f>
        <v/>
      </c>
      <c r="L40" s="158">
        <f>IF($C40="",0,N(Objectifs!$J$18))</f>
        <v/>
      </c>
      <c r="M40" s="159">
        <f>IF($C40="",0,SUMIFS(J_Montant,J_Annee,Annee_Travail,J_Mois,5,J_Projet,$C40,J_Type,"Épargne",J_Statut,"&lt;&gt;Annulé",J_Statut,"&lt;&gt;Prévu")+SUMIFS(J_Montant,J_Annee,Annee_Travail,J_Mois,5,J_Projet,$C40,J_Type,"Investissement",J_Statut,"&lt;&gt;Annulé",J_Statut,"&lt;&gt;Prévu"))</f>
        <v/>
      </c>
      <c r="N40" s="158">
        <f>IF($C40="",0,N(Objectifs!$J$18))</f>
        <v/>
      </c>
      <c r="O40" s="159">
        <f>IF($C40="",0,SUMIFS(J_Montant,J_Annee,Annee_Travail,J_Mois,6,J_Projet,$C40,J_Type,"Épargne",J_Statut,"&lt;&gt;Annulé",J_Statut,"&lt;&gt;Prévu")+SUMIFS(J_Montant,J_Annee,Annee_Travail,J_Mois,6,J_Projet,$C40,J_Type,"Investissement",J_Statut,"&lt;&gt;Annulé",J_Statut,"&lt;&gt;Prévu"))</f>
        <v/>
      </c>
      <c r="P40" s="158">
        <f>IF($C40="",0,N(Objectifs!$J$18))</f>
        <v/>
      </c>
      <c r="Q40" s="159">
        <f>IF($C40="",0,SUMIFS(J_Montant,J_Annee,Annee_Travail,J_Mois,7,J_Projet,$C40,J_Type,"Épargne",J_Statut,"&lt;&gt;Annulé",J_Statut,"&lt;&gt;Prévu")+SUMIFS(J_Montant,J_Annee,Annee_Travail,J_Mois,7,J_Projet,$C40,J_Type,"Investissement",J_Statut,"&lt;&gt;Annulé",J_Statut,"&lt;&gt;Prévu"))</f>
        <v/>
      </c>
      <c r="R40" s="158">
        <f>IF($C40="",0,N(Objectifs!$J$18))</f>
        <v/>
      </c>
      <c r="S40" s="159">
        <f>IF($C40="",0,SUMIFS(J_Montant,J_Annee,Annee_Travail,J_Mois,8,J_Projet,$C40,J_Type,"Épargne",J_Statut,"&lt;&gt;Annulé",J_Statut,"&lt;&gt;Prévu")+SUMIFS(J_Montant,J_Annee,Annee_Travail,J_Mois,8,J_Projet,$C40,J_Type,"Investissement",J_Statut,"&lt;&gt;Annulé",J_Statut,"&lt;&gt;Prévu"))</f>
        <v/>
      </c>
      <c r="T40" s="158">
        <f>IF($C40="",0,N(Objectifs!$J$18))</f>
        <v/>
      </c>
      <c r="U40" s="159">
        <f>IF($C40="",0,SUMIFS(J_Montant,J_Annee,Annee_Travail,J_Mois,9,J_Projet,$C40,J_Type,"Épargne",J_Statut,"&lt;&gt;Annulé",J_Statut,"&lt;&gt;Prévu")+SUMIFS(J_Montant,J_Annee,Annee_Travail,J_Mois,9,J_Projet,$C40,J_Type,"Investissement",J_Statut,"&lt;&gt;Annulé",J_Statut,"&lt;&gt;Prévu"))</f>
        <v/>
      </c>
      <c r="V40" s="158">
        <f>IF($C40="",0,N(Objectifs!$J$18))</f>
        <v/>
      </c>
      <c r="W40" s="159">
        <f>IF($C40="",0,SUMIFS(J_Montant,J_Annee,Annee_Travail,J_Mois,10,J_Projet,$C40,J_Type,"Épargne",J_Statut,"&lt;&gt;Annulé",J_Statut,"&lt;&gt;Prévu")+SUMIFS(J_Montant,J_Annee,Annee_Travail,J_Mois,10,J_Projet,$C40,J_Type,"Investissement",J_Statut,"&lt;&gt;Annulé",J_Statut,"&lt;&gt;Prévu"))</f>
        <v/>
      </c>
      <c r="X40" s="158">
        <f>IF($C40="",0,N(Objectifs!$J$18))</f>
        <v/>
      </c>
      <c r="Y40" s="159">
        <f>IF($C40="",0,SUMIFS(J_Montant,J_Annee,Annee_Travail,J_Mois,11,J_Projet,$C40,J_Type,"Épargne",J_Statut,"&lt;&gt;Annulé",J_Statut,"&lt;&gt;Prévu")+SUMIFS(J_Montant,J_Annee,Annee_Travail,J_Mois,11,J_Projet,$C40,J_Type,"Investissement",J_Statut,"&lt;&gt;Annulé",J_Statut,"&lt;&gt;Prévu"))</f>
        <v/>
      </c>
      <c r="Z40" s="158">
        <f>IF($C40="",0,N(Objectifs!$J$18))</f>
        <v/>
      </c>
      <c r="AA40" s="159">
        <f>IF($C40="",0,SUMIFS(J_Montant,J_Annee,Annee_Travail,J_Mois,12,J_Projet,$C40,J_Type,"Épargne",J_Statut,"&lt;&gt;Annulé",J_Statut,"&lt;&gt;Prévu")+SUMIFS(J_Montant,J_Annee,Annee_Travail,J_Mois,12,J_Projet,$C40,J_Type,"Investissement",J_Statut,"&lt;&gt;Annulé",J_Statut,"&lt;&gt;Prévu"))</f>
        <v/>
      </c>
      <c r="AB40" s="160">
        <f>D40+F40+H40+J40+L40+N40+P40+R40+T40+V40+X40+Z40</f>
        <v/>
      </c>
      <c r="AC40" s="160">
        <f>E40+G40+I40+K40+M40+O40+Q40+S40+U40+W40+Y40+AA40</f>
        <v/>
      </c>
      <c r="AD40" s="161">
        <f>$AB40-$AC40</f>
        <v/>
      </c>
      <c r="AE40" s="162">
        <f>IFERROR($AC40/$AB40,0)</f>
        <v/>
      </c>
    </row>
    <row r="41">
      <c r="B41" s="156" t="n">
        <v>10</v>
      </c>
      <c r="C41" s="130">
        <f>IF(Objectifs!$C$19="","",Objectifs!$C$19)</f>
        <v/>
      </c>
      <c r="D41" s="158">
        <f>IF($C41="",0,N(Objectifs!$J$19))</f>
        <v/>
      </c>
      <c r="E41" s="159">
        <f>IF($C41="",0,SUMIFS(J_Montant,J_Annee,Annee_Travail,J_Mois,1,J_Projet,$C41,J_Type,"Épargne",J_Statut,"&lt;&gt;Annulé",J_Statut,"&lt;&gt;Prévu")+SUMIFS(J_Montant,J_Annee,Annee_Travail,J_Mois,1,J_Projet,$C41,J_Type,"Investissement",J_Statut,"&lt;&gt;Annulé",J_Statut,"&lt;&gt;Prévu"))</f>
        <v/>
      </c>
      <c r="F41" s="158">
        <f>IF($C41="",0,N(Objectifs!$J$19))</f>
        <v/>
      </c>
      <c r="G41" s="159">
        <f>IF($C41="",0,SUMIFS(J_Montant,J_Annee,Annee_Travail,J_Mois,2,J_Projet,$C41,J_Type,"Épargne",J_Statut,"&lt;&gt;Annulé",J_Statut,"&lt;&gt;Prévu")+SUMIFS(J_Montant,J_Annee,Annee_Travail,J_Mois,2,J_Projet,$C41,J_Type,"Investissement",J_Statut,"&lt;&gt;Annulé",J_Statut,"&lt;&gt;Prévu"))</f>
        <v/>
      </c>
      <c r="H41" s="158">
        <f>IF($C41="",0,N(Objectifs!$J$19))</f>
        <v/>
      </c>
      <c r="I41" s="159">
        <f>IF($C41="",0,SUMIFS(J_Montant,J_Annee,Annee_Travail,J_Mois,3,J_Projet,$C41,J_Type,"Épargne",J_Statut,"&lt;&gt;Annulé",J_Statut,"&lt;&gt;Prévu")+SUMIFS(J_Montant,J_Annee,Annee_Travail,J_Mois,3,J_Projet,$C41,J_Type,"Investissement",J_Statut,"&lt;&gt;Annulé",J_Statut,"&lt;&gt;Prévu"))</f>
        <v/>
      </c>
      <c r="J41" s="158">
        <f>IF($C41="",0,N(Objectifs!$J$19))</f>
        <v/>
      </c>
      <c r="K41" s="159">
        <f>IF($C41="",0,SUMIFS(J_Montant,J_Annee,Annee_Travail,J_Mois,4,J_Projet,$C41,J_Type,"Épargne",J_Statut,"&lt;&gt;Annulé",J_Statut,"&lt;&gt;Prévu")+SUMIFS(J_Montant,J_Annee,Annee_Travail,J_Mois,4,J_Projet,$C41,J_Type,"Investissement",J_Statut,"&lt;&gt;Annulé",J_Statut,"&lt;&gt;Prévu"))</f>
        <v/>
      </c>
      <c r="L41" s="158">
        <f>IF($C41="",0,N(Objectifs!$J$19))</f>
        <v/>
      </c>
      <c r="M41" s="159">
        <f>IF($C41="",0,SUMIFS(J_Montant,J_Annee,Annee_Travail,J_Mois,5,J_Projet,$C41,J_Type,"Épargne",J_Statut,"&lt;&gt;Annulé",J_Statut,"&lt;&gt;Prévu")+SUMIFS(J_Montant,J_Annee,Annee_Travail,J_Mois,5,J_Projet,$C41,J_Type,"Investissement",J_Statut,"&lt;&gt;Annulé",J_Statut,"&lt;&gt;Prévu"))</f>
        <v/>
      </c>
      <c r="N41" s="158">
        <f>IF($C41="",0,N(Objectifs!$J$19))</f>
        <v/>
      </c>
      <c r="O41" s="159">
        <f>IF($C41="",0,SUMIFS(J_Montant,J_Annee,Annee_Travail,J_Mois,6,J_Projet,$C41,J_Type,"Épargne",J_Statut,"&lt;&gt;Annulé",J_Statut,"&lt;&gt;Prévu")+SUMIFS(J_Montant,J_Annee,Annee_Travail,J_Mois,6,J_Projet,$C41,J_Type,"Investissement",J_Statut,"&lt;&gt;Annulé",J_Statut,"&lt;&gt;Prévu"))</f>
        <v/>
      </c>
      <c r="P41" s="158">
        <f>IF($C41="",0,N(Objectifs!$J$19))</f>
        <v/>
      </c>
      <c r="Q41" s="159">
        <f>IF($C41="",0,SUMIFS(J_Montant,J_Annee,Annee_Travail,J_Mois,7,J_Projet,$C41,J_Type,"Épargne",J_Statut,"&lt;&gt;Annulé",J_Statut,"&lt;&gt;Prévu")+SUMIFS(J_Montant,J_Annee,Annee_Travail,J_Mois,7,J_Projet,$C41,J_Type,"Investissement",J_Statut,"&lt;&gt;Annulé",J_Statut,"&lt;&gt;Prévu"))</f>
        <v/>
      </c>
      <c r="R41" s="158">
        <f>IF($C41="",0,N(Objectifs!$J$19))</f>
        <v/>
      </c>
      <c r="S41" s="159">
        <f>IF($C41="",0,SUMIFS(J_Montant,J_Annee,Annee_Travail,J_Mois,8,J_Projet,$C41,J_Type,"Épargne",J_Statut,"&lt;&gt;Annulé",J_Statut,"&lt;&gt;Prévu")+SUMIFS(J_Montant,J_Annee,Annee_Travail,J_Mois,8,J_Projet,$C41,J_Type,"Investissement",J_Statut,"&lt;&gt;Annulé",J_Statut,"&lt;&gt;Prévu"))</f>
        <v/>
      </c>
      <c r="T41" s="158">
        <f>IF($C41="",0,N(Objectifs!$J$19))</f>
        <v/>
      </c>
      <c r="U41" s="159">
        <f>IF($C41="",0,SUMIFS(J_Montant,J_Annee,Annee_Travail,J_Mois,9,J_Projet,$C41,J_Type,"Épargne",J_Statut,"&lt;&gt;Annulé",J_Statut,"&lt;&gt;Prévu")+SUMIFS(J_Montant,J_Annee,Annee_Travail,J_Mois,9,J_Projet,$C41,J_Type,"Investissement",J_Statut,"&lt;&gt;Annulé",J_Statut,"&lt;&gt;Prévu"))</f>
        <v/>
      </c>
      <c r="V41" s="158">
        <f>IF($C41="",0,N(Objectifs!$J$19))</f>
        <v/>
      </c>
      <c r="W41" s="159">
        <f>IF($C41="",0,SUMIFS(J_Montant,J_Annee,Annee_Travail,J_Mois,10,J_Projet,$C41,J_Type,"Épargne",J_Statut,"&lt;&gt;Annulé",J_Statut,"&lt;&gt;Prévu")+SUMIFS(J_Montant,J_Annee,Annee_Travail,J_Mois,10,J_Projet,$C41,J_Type,"Investissement",J_Statut,"&lt;&gt;Annulé",J_Statut,"&lt;&gt;Prévu"))</f>
        <v/>
      </c>
      <c r="X41" s="158">
        <f>IF($C41="",0,N(Objectifs!$J$19))</f>
        <v/>
      </c>
      <c r="Y41" s="159">
        <f>IF($C41="",0,SUMIFS(J_Montant,J_Annee,Annee_Travail,J_Mois,11,J_Projet,$C41,J_Type,"Épargne",J_Statut,"&lt;&gt;Annulé",J_Statut,"&lt;&gt;Prévu")+SUMIFS(J_Montant,J_Annee,Annee_Travail,J_Mois,11,J_Projet,$C41,J_Type,"Investissement",J_Statut,"&lt;&gt;Annulé",J_Statut,"&lt;&gt;Prévu"))</f>
        <v/>
      </c>
      <c r="Z41" s="158">
        <f>IF($C41="",0,N(Objectifs!$J$19))</f>
        <v/>
      </c>
      <c r="AA41" s="159">
        <f>IF($C41="",0,SUMIFS(J_Montant,J_Annee,Annee_Travail,J_Mois,12,J_Projet,$C41,J_Type,"Épargne",J_Statut,"&lt;&gt;Annulé",J_Statut,"&lt;&gt;Prévu")+SUMIFS(J_Montant,J_Annee,Annee_Travail,J_Mois,12,J_Projet,$C41,J_Type,"Investissement",J_Statut,"&lt;&gt;Annulé",J_Statut,"&lt;&gt;Prévu"))</f>
        <v/>
      </c>
      <c r="AB41" s="160">
        <f>D41+F41+H41+J41+L41+N41+P41+R41+T41+V41+X41+Z41</f>
        <v/>
      </c>
      <c r="AC41" s="160">
        <f>E41+G41+I41+K41+M41+O41+Q41+S41+U41+W41+Y41+AA41</f>
        <v/>
      </c>
      <c r="AD41" s="161">
        <f>$AB41-$AC41</f>
        <v/>
      </c>
      <c r="AE41" s="162">
        <f>IFERROR($AC41/$AB41,0)</f>
        <v/>
      </c>
    </row>
    <row r="42">
      <c r="B42" s="156" t="n">
        <v>11</v>
      </c>
      <c r="C42" s="130">
        <f>IF(Objectifs!$C$20="","",Objectifs!$C$20)</f>
        <v/>
      </c>
      <c r="D42" s="158">
        <f>IF($C42="",0,N(Objectifs!$J$20))</f>
        <v/>
      </c>
      <c r="E42" s="159">
        <f>IF($C42="",0,SUMIFS(J_Montant,J_Annee,Annee_Travail,J_Mois,1,J_Projet,$C42,J_Type,"Épargne",J_Statut,"&lt;&gt;Annulé",J_Statut,"&lt;&gt;Prévu")+SUMIFS(J_Montant,J_Annee,Annee_Travail,J_Mois,1,J_Projet,$C42,J_Type,"Investissement",J_Statut,"&lt;&gt;Annulé",J_Statut,"&lt;&gt;Prévu"))</f>
        <v/>
      </c>
      <c r="F42" s="158">
        <f>IF($C42="",0,N(Objectifs!$J$20))</f>
        <v/>
      </c>
      <c r="G42" s="159">
        <f>IF($C42="",0,SUMIFS(J_Montant,J_Annee,Annee_Travail,J_Mois,2,J_Projet,$C42,J_Type,"Épargne",J_Statut,"&lt;&gt;Annulé",J_Statut,"&lt;&gt;Prévu")+SUMIFS(J_Montant,J_Annee,Annee_Travail,J_Mois,2,J_Projet,$C42,J_Type,"Investissement",J_Statut,"&lt;&gt;Annulé",J_Statut,"&lt;&gt;Prévu"))</f>
        <v/>
      </c>
      <c r="H42" s="158">
        <f>IF($C42="",0,N(Objectifs!$J$20))</f>
        <v/>
      </c>
      <c r="I42" s="159">
        <f>IF($C42="",0,SUMIFS(J_Montant,J_Annee,Annee_Travail,J_Mois,3,J_Projet,$C42,J_Type,"Épargne",J_Statut,"&lt;&gt;Annulé",J_Statut,"&lt;&gt;Prévu")+SUMIFS(J_Montant,J_Annee,Annee_Travail,J_Mois,3,J_Projet,$C42,J_Type,"Investissement",J_Statut,"&lt;&gt;Annulé",J_Statut,"&lt;&gt;Prévu"))</f>
        <v/>
      </c>
      <c r="J42" s="158">
        <f>IF($C42="",0,N(Objectifs!$J$20))</f>
        <v/>
      </c>
      <c r="K42" s="159">
        <f>IF($C42="",0,SUMIFS(J_Montant,J_Annee,Annee_Travail,J_Mois,4,J_Projet,$C42,J_Type,"Épargne",J_Statut,"&lt;&gt;Annulé",J_Statut,"&lt;&gt;Prévu")+SUMIFS(J_Montant,J_Annee,Annee_Travail,J_Mois,4,J_Projet,$C42,J_Type,"Investissement",J_Statut,"&lt;&gt;Annulé",J_Statut,"&lt;&gt;Prévu"))</f>
        <v/>
      </c>
      <c r="L42" s="158">
        <f>IF($C42="",0,N(Objectifs!$J$20))</f>
        <v/>
      </c>
      <c r="M42" s="159">
        <f>IF($C42="",0,SUMIFS(J_Montant,J_Annee,Annee_Travail,J_Mois,5,J_Projet,$C42,J_Type,"Épargne",J_Statut,"&lt;&gt;Annulé",J_Statut,"&lt;&gt;Prévu")+SUMIFS(J_Montant,J_Annee,Annee_Travail,J_Mois,5,J_Projet,$C42,J_Type,"Investissement",J_Statut,"&lt;&gt;Annulé",J_Statut,"&lt;&gt;Prévu"))</f>
        <v/>
      </c>
      <c r="N42" s="158">
        <f>IF($C42="",0,N(Objectifs!$J$20))</f>
        <v/>
      </c>
      <c r="O42" s="159">
        <f>IF($C42="",0,SUMIFS(J_Montant,J_Annee,Annee_Travail,J_Mois,6,J_Projet,$C42,J_Type,"Épargne",J_Statut,"&lt;&gt;Annulé",J_Statut,"&lt;&gt;Prévu")+SUMIFS(J_Montant,J_Annee,Annee_Travail,J_Mois,6,J_Projet,$C42,J_Type,"Investissement",J_Statut,"&lt;&gt;Annulé",J_Statut,"&lt;&gt;Prévu"))</f>
        <v/>
      </c>
      <c r="P42" s="158">
        <f>IF($C42="",0,N(Objectifs!$J$20))</f>
        <v/>
      </c>
      <c r="Q42" s="159">
        <f>IF($C42="",0,SUMIFS(J_Montant,J_Annee,Annee_Travail,J_Mois,7,J_Projet,$C42,J_Type,"Épargne",J_Statut,"&lt;&gt;Annulé",J_Statut,"&lt;&gt;Prévu")+SUMIFS(J_Montant,J_Annee,Annee_Travail,J_Mois,7,J_Projet,$C42,J_Type,"Investissement",J_Statut,"&lt;&gt;Annulé",J_Statut,"&lt;&gt;Prévu"))</f>
        <v/>
      </c>
      <c r="R42" s="158">
        <f>IF($C42="",0,N(Objectifs!$J$20))</f>
        <v/>
      </c>
      <c r="S42" s="159">
        <f>IF($C42="",0,SUMIFS(J_Montant,J_Annee,Annee_Travail,J_Mois,8,J_Projet,$C42,J_Type,"Épargne",J_Statut,"&lt;&gt;Annulé",J_Statut,"&lt;&gt;Prévu")+SUMIFS(J_Montant,J_Annee,Annee_Travail,J_Mois,8,J_Projet,$C42,J_Type,"Investissement",J_Statut,"&lt;&gt;Annulé",J_Statut,"&lt;&gt;Prévu"))</f>
        <v/>
      </c>
      <c r="T42" s="158">
        <f>IF($C42="",0,N(Objectifs!$J$20))</f>
        <v/>
      </c>
      <c r="U42" s="159">
        <f>IF($C42="",0,SUMIFS(J_Montant,J_Annee,Annee_Travail,J_Mois,9,J_Projet,$C42,J_Type,"Épargne",J_Statut,"&lt;&gt;Annulé",J_Statut,"&lt;&gt;Prévu")+SUMIFS(J_Montant,J_Annee,Annee_Travail,J_Mois,9,J_Projet,$C42,J_Type,"Investissement",J_Statut,"&lt;&gt;Annulé",J_Statut,"&lt;&gt;Prévu"))</f>
        <v/>
      </c>
      <c r="V42" s="158">
        <f>IF($C42="",0,N(Objectifs!$J$20))</f>
        <v/>
      </c>
      <c r="W42" s="159">
        <f>IF($C42="",0,SUMIFS(J_Montant,J_Annee,Annee_Travail,J_Mois,10,J_Projet,$C42,J_Type,"Épargne",J_Statut,"&lt;&gt;Annulé",J_Statut,"&lt;&gt;Prévu")+SUMIFS(J_Montant,J_Annee,Annee_Travail,J_Mois,10,J_Projet,$C42,J_Type,"Investissement",J_Statut,"&lt;&gt;Annulé",J_Statut,"&lt;&gt;Prévu"))</f>
        <v/>
      </c>
      <c r="X42" s="158">
        <f>IF($C42="",0,N(Objectifs!$J$20))</f>
        <v/>
      </c>
      <c r="Y42" s="159">
        <f>IF($C42="",0,SUMIFS(J_Montant,J_Annee,Annee_Travail,J_Mois,11,J_Projet,$C42,J_Type,"Épargne",J_Statut,"&lt;&gt;Annulé",J_Statut,"&lt;&gt;Prévu")+SUMIFS(J_Montant,J_Annee,Annee_Travail,J_Mois,11,J_Projet,$C42,J_Type,"Investissement",J_Statut,"&lt;&gt;Annulé",J_Statut,"&lt;&gt;Prévu"))</f>
        <v/>
      </c>
      <c r="Z42" s="158">
        <f>IF($C42="",0,N(Objectifs!$J$20))</f>
        <v/>
      </c>
      <c r="AA42" s="159">
        <f>IF($C42="",0,SUMIFS(J_Montant,J_Annee,Annee_Travail,J_Mois,12,J_Projet,$C42,J_Type,"Épargne",J_Statut,"&lt;&gt;Annulé",J_Statut,"&lt;&gt;Prévu")+SUMIFS(J_Montant,J_Annee,Annee_Travail,J_Mois,12,J_Projet,$C42,J_Type,"Investissement",J_Statut,"&lt;&gt;Annulé",J_Statut,"&lt;&gt;Prévu"))</f>
        <v/>
      </c>
      <c r="AB42" s="160">
        <f>D42+F42+H42+J42+L42+N42+P42+R42+T42+V42+X42+Z42</f>
        <v/>
      </c>
      <c r="AC42" s="160">
        <f>E42+G42+I42+K42+M42+O42+Q42+S42+U42+W42+Y42+AA42</f>
        <v/>
      </c>
      <c r="AD42" s="161">
        <f>$AB42-$AC42</f>
        <v/>
      </c>
      <c r="AE42" s="162">
        <f>IFERROR($AC42/$AB42,0)</f>
        <v/>
      </c>
    </row>
    <row r="43">
      <c r="B43" s="156" t="n">
        <v>12</v>
      </c>
      <c r="C43" s="130">
        <f>IF(Objectifs!$C$21="","",Objectifs!$C$21)</f>
        <v/>
      </c>
      <c r="D43" s="158">
        <f>IF($C43="",0,N(Objectifs!$J$21))</f>
        <v/>
      </c>
      <c r="E43" s="159">
        <f>IF($C43="",0,SUMIFS(J_Montant,J_Annee,Annee_Travail,J_Mois,1,J_Projet,$C43,J_Type,"Épargne",J_Statut,"&lt;&gt;Annulé",J_Statut,"&lt;&gt;Prévu")+SUMIFS(J_Montant,J_Annee,Annee_Travail,J_Mois,1,J_Projet,$C43,J_Type,"Investissement",J_Statut,"&lt;&gt;Annulé",J_Statut,"&lt;&gt;Prévu"))</f>
        <v/>
      </c>
      <c r="F43" s="158">
        <f>IF($C43="",0,N(Objectifs!$J$21))</f>
        <v/>
      </c>
      <c r="G43" s="159">
        <f>IF($C43="",0,SUMIFS(J_Montant,J_Annee,Annee_Travail,J_Mois,2,J_Projet,$C43,J_Type,"Épargne",J_Statut,"&lt;&gt;Annulé",J_Statut,"&lt;&gt;Prévu")+SUMIFS(J_Montant,J_Annee,Annee_Travail,J_Mois,2,J_Projet,$C43,J_Type,"Investissement",J_Statut,"&lt;&gt;Annulé",J_Statut,"&lt;&gt;Prévu"))</f>
        <v/>
      </c>
      <c r="H43" s="158">
        <f>IF($C43="",0,N(Objectifs!$J$21))</f>
        <v/>
      </c>
      <c r="I43" s="159">
        <f>IF($C43="",0,SUMIFS(J_Montant,J_Annee,Annee_Travail,J_Mois,3,J_Projet,$C43,J_Type,"Épargne",J_Statut,"&lt;&gt;Annulé",J_Statut,"&lt;&gt;Prévu")+SUMIFS(J_Montant,J_Annee,Annee_Travail,J_Mois,3,J_Projet,$C43,J_Type,"Investissement",J_Statut,"&lt;&gt;Annulé",J_Statut,"&lt;&gt;Prévu"))</f>
        <v/>
      </c>
      <c r="J43" s="158">
        <f>IF($C43="",0,N(Objectifs!$J$21))</f>
        <v/>
      </c>
      <c r="K43" s="159">
        <f>IF($C43="",0,SUMIFS(J_Montant,J_Annee,Annee_Travail,J_Mois,4,J_Projet,$C43,J_Type,"Épargne",J_Statut,"&lt;&gt;Annulé",J_Statut,"&lt;&gt;Prévu")+SUMIFS(J_Montant,J_Annee,Annee_Travail,J_Mois,4,J_Projet,$C43,J_Type,"Investissement",J_Statut,"&lt;&gt;Annulé",J_Statut,"&lt;&gt;Prévu"))</f>
        <v/>
      </c>
      <c r="L43" s="158">
        <f>IF($C43="",0,N(Objectifs!$J$21))</f>
        <v/>
      </c>
      <c r="M43" s="159">
        <f>IF($C43="",0,SUMIFS(J_Montant,J_Annee,Annee_Travail,J_Mois,5,J_Projet,$C43,J_Type,"Épargne",J_Statut,"&lt;&gt;Annulé",J_Statut,"&lt;&gt;Prévu")+SUMIFS(J_Montant,J_Annee,Annee_Travail,J_Mois,5,J_Projet,$C43,J_Type,"Investissement",J_Statut,"&lt;&gt;Annulé",J_Statut,"&lt;&gt;Prévu"))</f>
        <v/>
      </c>
      <c r="N43" s="158">
        <f>IF($C43="",0,N(Objectifs!$J$21))</f>
        <v/>
      </c>
      <c r="O43" s="159">
        <f>IF($C43="",0,SUMIFS(J_Montant,J_Annee,Annee_Travail,J_Mois,6,J_Projet,$C43,J_Type,"Épargne",J_Statut,"&lt;&gt;Annulé",J_Statut,"&lt;&gt;Prévu")+SUMIFS(J_Montant,J_Annee,Annee_Travail,J_Mois,6,J_Projet,$C43,J_Type,"Investissement",J_Statut,"&lt;&gt;Annulé",J_Statut,"&lt;&gt;Prévu"))</f>
        <v/>
      </c>
      <c r="P43" s="158">
        <f>IF($C43="",0,N(Objectifs!$J$21))</f>
        <v/>
      </c>
      <c r="Q43" s="159">
        <f>IF($C43="",0,SUMIFS(J_Montant,J_Annee,Annee_Travail,J_Mois,7,J_Projet,$C43,J_Type,"Épargne",J_Statut,"&lt;&gt;Annulé",J_Statut,"&lt;&gt;Prévu")+SUMIFS(J_Montant,J_Annee,Annee_Travail,J_Mois,7,J_Projet,$C43,J_Type,"Investissement",J_Statut,"&lt;&gt;Annulé",J_Statut,"&lt;&gt;Prévu"))</f>
        <v/>
      </c>
      <c r="R43" s="158">
        <f>IF($C43="",0,N(Objectifs!$J$21))</f>
        <v/>
      </c>
      <c r="S43" s="159">
        <f>IF($C43="",0,SUMIFS(J_Montant,J_Annee,Annee_Travail,J_Mois,8,J_Projet,$C43,J_Type,"Épargne",J_Statut,"&lt;&gt;Annulé",J_Statut,"&lt;&gt;Prévu")+SUMIFS(J_Montant,J_Annee,Annee_Travail,J_Mois,8,J_Projet,$C43,J_Type,"Investissement",J_Statut,"&lt;&gt;Annulé",J_Statut,"&lt;&gt;Prévu"))</f>
        <v/>
      </c>
      <c r="T43" s="158">
        <f>IF($C43="",0,N(Objectifs!$J$21))</f>
        <v/>
      </c>
      <c r="U43" s="159">
        <f>IF($C43="",0,SUMIFS(J_Montant,J_Annee,Annee_Travail,J_Mois,9,J_Projet,$C43,J_Type,"Épargne",J_Statut,"&lt;&gt;Annulé",J_Statut,"&lt;&gt;Prévu")+SUMIFS(J_Montant,J_Annee,Annee_Travail,J_Mois,9,J_Projet,$C43,J_Type,"Investissement",J_Statut,"&lt;&gt;Annulé",J_Statut,"&lt;&gt;Prévu"))</f>
        <v/>
      </c>
      <c r="V43" s="158">
        <f>IF($C43="",0,N(Objectifs!$J$21))</f>
        <v/>
      </c>
      <c r="W43" s="159">
        <f>IF($C43="",0,SUMIFS(J_Montant,J_Annee,Annee_Travail,J_Mois,10,J_Projet,$C43,J_Type,"Épargne",J_Statut,"&lt;&gt;Annulé",J_Statut,"&lt;&gt;Prévu")+SUMIFS(J_Montant,J_Annee,Annee_Travail,J_Mois,10,J_Projet,$C43,J_Type,"Investissement",J_Statut,"&lt;&gt;Annulé",J_Statut,"&lt;&gt;Prévu"))</f>
        <v/>
      </c>
      <c r="X43" s="158">
        <f>IF($C43="",0,N(Objectifs!$J$21))</f>
        <v/>
      </c>
      <c r="Y43" s="159">
        <f>IF($C43="",0,SUMIFS(J_Montant,J_Annee,Annee_Travail,J_Mois,11,J_Projet,$C43,J_Type,"Épargne",J_Statut,"&lt;&gt;Annulé",J_Statut,"&lt;&gt;Prévu")+SUMIFS(J_Montant,J_Annee,Annee_Travail,J_Mois,11,J_Projet,$C43,J_Type,"Investissement",J_Statut,"&lt;&gt;Annulé",J_Statut,"&lt;&gt;Prévu"))</f>
        <v/>
      </c>
      <c r="Z43" s="158">
        <f>IF($C43="",0,N(Objectifs!$J$21))</f>
        <v/>
      </c>
      <c r="AA43" s="159">
        <f>IF($C43="",0,SUMIFS(J_Montant,J_Annee,Annee_Travail,J_Mois,12,J_Projet,$C43,J_Type,"Épargne",J_Statut,"&lt;&gt;Annulé",J_Statut,"&lt;&gt;Prévu")+SUMIFS(J_Montant,J_Annee,Annee_Travail,J_Mois,12,J_Projet,$C43,J_Type,"Investissement",J_Statut,"&lt;&gt;Annulé",J_Statut,"&lt;&gt;Prévu"))</f>
        <v/>
      </c>
      <c r="AB43" s="160">
        <f>D43+F43+H43+J43+L43+N43+P43+R43+T43+V43+X43+Z43</f>
        <v/>
      </c>
      <c r="AC43" s="160">
        <f>E43+G43+I43+K43+M43+O43+Q43+S43+U43+W43+Y43+AA43</f>
        <v/>
      </c>
      <c r="AD43" s="161">
        <f>$AB43-$AC43</f>
        <v/>
      </c>
      <c r="AE43" s="162">
        <f>IFERROR($AC43/$AB43,0)</f>
        <v/>
      </c>
    </row>
    <row r="44">
      <c r="B44" s="156" t="n">
        <v>13</v>
      </c>
      <c r="C44" s="157" t="inlineStr">
        <is>
          <t>Épargne / investissement non affecté à un objectif</t>
        </is>
      </c>
      <c r="D44" s="158">
        <f>0</f>
        <v/>
      </c>
      <c r="E44" s="159">
        <f>MAX(0,SUMIFS(J_Montant,J_Annee,Annee_Travail,J_Mois,1,J_Type,"Épargne",J_Statut,"&lt;&gt;Annulé",J_Statut,"&lt;&gt;Prévu")+SUMIFS(J_Montant,J_Annee,Annee_Travail,J_Mois,1,J_Type,"Investissement",J_Statut,"&lt;&gt;Annulé",J_Statut,"&lt;&gt;Prévu")-SUM(E32:E43))</f>
        <v/>
      </c>
      <c r="F44" s="158">
        <f>0</f>
        <v/>
      </c>
      <c r="G44" s="159">
        <f>MAX(0,SUMIFS(J_Montant,J_Annee,Annee_Travail,J_Mois,2,J_Type,"Épargne",J_Statut,"&lt;&gt;Annulé",J_Statut,"&lt;&gt;Prévu")+SUMIFS(J_Montant,J_Annee,Annee_Travail,J_Mois,2,J_Type,"Investissement",J_Statut,"&lt;&gt;Annulé",J_Statut,"&lt;&gt;Prévu")-SUM(G32:G43))</f>
        <v/>
      </c>
      <c r="H44" s="158">
        <f>0</f>
        <v/>
      </c>
      <c r="I44" s="159">
        <f>MAX(0,SUMIFS(J_Montant,J_Annee,Annee_Travail,J_Mois,3,J_Type,"Épargne",J_Statut,"&lt;&gt;Annulé",J_Statut,"&lt;&gt;Prévu")+SUMIFS(J_Montant,J_Annee,Annee_Travail,J_Mois,3,J_Type,"Investissement",J_Statut,"&lt;&gt;Annulé",J_Statut,"&lt;&gt;Prévu")-SUM(I32:I43))</f>
        <v/>
      </c>
      <c r="J44" s="158">
        <f>0</f>
        <v/>
      </c>
      <c r="K44" s="159">
        <f>MAX(0,SUMIFS(J_Montant,J_Annee,Annee_Travail,J_Mois,4,J_Type,"Épargne",J_Statut,"&lt;&gt;Annulé",J_Statut,"&lt;&gt;Prévu")+SUMIFS(J_Montant,J_Annee,Annee_Travail,J_Mois,4,J_Type,"Investissement",J_Statut,"&lt;&gt;Annulé",J_Statut,"&lt;&gt;Prévu")-SUM(K32:K43))</f>
        <v/>
      </c>
      <c r="L44" s="158">
        <f>0</f>
        <v/>
      </c>
      <c r="M44" s="159">
        <f>MAX(0,SUMIFS(J_Montant,J_Annee,Annee_Travail,J_Mois,5,J_Type,"Épargne",J_Statut,"&lt;&gt;Annulé",J_Statut,"&lt;&gt;Prévu")+SUMIFS(J_Montant,J_Annee,Annee_Travail,J_Mois,5,J_Type,"Investissement",J_Statut,"&lt;&gt;Annulé",J_Statut,"&lt;&gt;Prévu")-SUM(M32:M43))</f>
        <v/>
      </c>
      <c r="N44" s="158">
        <f>0</f>
        <v/>
      </c>
      <c r="O44" s="159">
        <f>MAX(0,SUMIFS(J_Montant,J_Annee,Annee_Travail,J_Mois,6,J_Type,"Épargne",J_Statut,"&lt;&gt;Annulé",J_Statut,"&lt;&gt;Prévu")+SUMIFS(J_Montant,J_Annee,Annee_Travail,J_Mois,6,J_Type,"Investissement",J_Statut,"&lt;&gt;Annulé",J_Statut,"&lt;&gt;Prévu")-SUM(O32:O43))</f>
        <v/>
      </c>
      <c r="P44" s="158">
        <f>0</f>
        <v/>
      </c>
      <c r="Q44" s="159">
        <f>MAX(0,SUMIFS(J_Montant,J_Annee,Annee_Travail,J_Mois,7,J_Type,"Épargne",J_Statut,"&lt;&gt;Annulé",J_Statut,"&lt;&gt;Prévu")+SUMIFS(J_Montant,J_Annee,Annee_Travail,J_Mois,7,J_Type,"Investissement",J_Statut,"&lt;&gt;Annulé",J_Statut,"&lt;&gt;Prévu")-SUM(Q32:Q43))</f>
        <v/>
      </c>
      <c r="R44" s="158">
        <f>0</f>
        <v/>
      </c>
      <c r="S44" s="159">
        <f>MAX(0,SUMIFS(J_Montant,J_Annee,Annee_Travail,J_Mois,8,J_Type,"Épargne",J_Statut,"&lt;&gt;Annulé",J_Statut,"&lt;&gt;Prévu")+SUMIFS(J_Montant,J_Annee,Annee_Travail,J_Mois,8,J_Type,"Investissement",J_Statut,"&lt;&gt;Annulé",J_Statut,"&lt;&gt;Prévu")-SUM(S32:S43))</f>
        <v/>
      </c>
      <c r="T44" s="158">
        <f>0</f>
        <v/>
      </c>
      <c r="U44" s="159">
        <f>MAX(0,SUMIFS(J_Montant,J_Annee,Annee_Travail,J_Mois,9,J_Type,"Épargne",J_Statut,"&lt;&gt;Annulé",J_Statut,"&lt;&gt;Prévu")+SUMIFS(J_Montant,J_Annee,Annee_Travail,J_Mois,9,J_Type,"Investissement",J_Statut,"&lt;&gt;Annulé",J_Statut,"&lt;&gt;Prévu")-SUM(U32:U43))</f>
        <v/>
      </c>
      <c r="V44" s="158">
        <f>0</f>
        <v/>
      </c>
      <c r="W44" s="159">
        <f>MAX(0,SUMIFS(J_Montant,J_Annee,Annee_Travail,J_Mois,10,J_Type,"Épargne",J_Statut,"&lt;&gt;Annulé",J_Statut,"&lt;&gt;Prévu")+SUMIFS(J_Montant,J_Annee,Annee_Travail,J_Mois,10,J_Type,"Investissement",J_Statut,"&lt;&gt;Annulé",J_Statut,"&lt;&gt;Prévu")-SUM(W32:W43))</f>
        <v/>
      </c>
      <c r="X44" s="158">
        <f>0</f>
        <v/>
      </c>
      <c r="Y44" s="159">
        <f>MAX(0,SUMIFS(J_Montant,J_Annee,Annee_Travail,J_Mois,11,J_Type,"Épargne",J_Statut,"&lt;&gt;Annulé",J_Statut,"&lt;&gt;Prévu")+SUMIFS(J_Montant,J_Annee,Annee_Travail,J_Mois,11,J_Type,"Investissement",J_Statut,"&lt;&gt;Annulé",J_Statut,"&lt;&gt;Prévu")-SUM(Y32:Y43))</f>
        <v/>
      </c>
      <c r="Z44" s="158">
        <f>0</f>
        <v/>
      </c>
      <c r="AA44" s="159">
        <f>MAX(0,SUMIFS(J_Montant,J_Annee,Annee_Travail,J_Mois,12,J_Type,"Épargne",J_Statut,"&lt;&gt;Annulé",J_Statut,"&lt;&gt;Prévu")+SUMIFS(J_Montant,J_Annee,Annee_Travail,J_Mois,12,J_Type,"Investissement",J_Statut,"&lt;&gt;Annulé",J_Statut,"&lt;&gt;Prévu")-SUM(AA32:AA43))</f>
        <v/>
      </c>
      <c r="AB44" s="160">
        <f>D44+F44+H44+J44+L44+N44+P44+R44+T44+V44+X44+Z44</f>
        <v/>
      </c>
      <c r="AC44" s="160">
        <f>E44+G44+I44+K44+M44+O44+Q44+S44+U44+W44+Y44+AA44</f>
        <v/>
      </c>
      <c r="AD44" s="161">
        <f>$AB44-$AC44</f>
        <v/>
      </c>
      <c r="AE44" s="162">
        <f>IFERROR($AC44/$AB44,0)</f>
        <v/>
      </c>
    </row>
    <row r="45">
      <c r="B45" s="173" t="n"/>
      <c r="C45" s="173" t="inlineStr">
        <is>
          <t>TOTAL ÉPARGNE &amp; PROVISIONS</t>
        </is>
      </c>
      <c r="D45" s="174">
        <f>SUM(D32:D44)</f>
        <v/>
      </c>
      <c r="E45" s="174">
        <f>SUM(E32:E44)</f>
        <v/>
      </c>
      <c r="F45" s="174">
        <f>SUM(F32:F44)</f>
        <v/>
      </c>
      <c r="G45" s="174">
        <f>SUM(G32:G44)</f>
        <v/>
      </c>
      <c r="H45" s="174">
        <f>SUM(H32:H44)</f>
        <v/>
      </c>
      <c r="I45" s="174">
        <f>SUM(I32:I44)</f>
        <v/>
      </c>
      <c r="J45" s="174">
        <f>SUM(J32:J44)</f>
        <v/>
      </c>
      <c r="K45" s="174">
        <f>SUM(K32:K44)</f>
        <v/>
      </c>
      <c r="L45" s="174">
        <f>SUM(L32:L44)</f>
        <v/>
      </c>
      <c r="M45" s="174">
        <f>SUM(M32:M44)</f>
        <v/>
      </c>
      <c r="N45" s="174">
        <f>SUM(N32:N44)</f>
        <v/>
      </c>
      <c r="O45" s="174">
        <f>SUM(O32:O44)</f>
        <v/>
      </c>
      <c r="P45" s="174">
        <f>SUM(P32:P44)</f>
        <v/>
      </c>
      <c r="Q45" s="174">
        <f>SUM(Q32:Q44)</f>
        <v/>
      </c>
      <c r="R45" s="174">
        <f>SUM(R32:R44)</f>
        <v/>
      </c>
      <c r="S45" s="174">
        <f>SUM(S32:S44)</f>
        <v/>
      </c>
      <c r="T45" s="174">
        <f>SUM(T32:T44)</f>
        <v/>
      </c>
      <c r="U45" s="174">
        <f>SUM(U32:U44)</f>
        <v/>
      </c>
      <c r="V45" s="174">
        <f>SUM(V32:V44)</f>
        <v/>
      </c>
      <c r="W45" s="174">
        <f>SUM(W32:W44)</f>
        <v/>
      </c>
      <c r="X45" s="174">
        <f>SUM(X32:X44)</f>
        <v/>
      </c>
      <c r="Y45" s="174">
        <f>SUM(Y32:Y44)</f>
        <v/>
      </c>
      <c r="Z45" s="174">
        <f>SUM(Z32:Z44)</f>
        <v/>
      </c>
      <c r="AA45" s="174">
        <f>SUM(AA32:AA44)</f>
        <v/>
      </c>
      <c r="AB45" s="165">
        <f>D45+F45+H45+J45+L45+N45+P45+R45+T45+V45+X45+Z45</f>
        <v/>
      </c>
      <c r="AC45" s="165">
        <f>E45+G45+I45+K45+M45+O45+Q45+S45+U45+W45+Y45+AA45</f>
        <v/>
      </c>
      <c r="AD45" s="166">
        <f>$AB45-$AC45</f>
        <v/>
      </c>
      <c r="AE45" s="167">
        <f>IFERROR($AC45/$AB45,0)</f>
        <v/>
      </c>
    </row>
    <row r="46">
      <c r="B46" s="131" t="n"/>
      <c r="C46" s="131" t="n"/>
      <c r="D46" s="168" t="n"/>
      <c r="E46" s="169" t="n"/>
      <c r="F46" s="168" t="n"/>
      <c r="G46" s="169" t="n"/>
      <c r="H46" s="168" t="n"/>
      <c r="I46" s="169" t="n"/>
      <c r="J46" s="168" t="n"/>
      <c r="K46" s="169" t="n"/>
      <c r="L46" s="168" t="n"/>
      <c r="M46" s="169" t="n"/>
      <c r="N46" s="168" t="n"/>
      <c r="O46" s="169" t="n"/>
      <c r="P46" s="168" t="n"/>
      <c r="Q46" s="169" t="n"/>
      <c r="R46" s="168" t="n"/>
      <c r="S46" s="169" t="n"/>
      <c r="T46" s="168" t="n"/>
      <c r="U46" s="169" t="n"/>
      <c r="V46" s="168" t="n"/>
      <c r="W46" s="169" t="n"/>
      <c r="X46" s="168" t="n"/>
      <c r="Y46" s="169" t="n"/>
      <c r="Z46" s="168" t="n"/>
      <c r="AA46" s="169" t="n"/>
      <c r="AB46" s="154" t="n"/>
      <c r="AC46" s="154" t="n"/>
      <c r="AD46" s="155" t="n"/>
      <c r="AE46" s="155" t="n"/>
    </row>
    <row r="47" ht="24" customHeight="1">
      <c r="B47" s="175" t="inlineStr">
        <is>
          <t>C ▸ CRÉDITS &amp; DETTES  (remboursements)</t>
        </is>
      </c>
      <c r="C47" s="176" t="n"/>
      <c r="D47" s="177" t="n"/>
      <c r="E47" s="177" t="n"/>
      <c r="F47" s="177" t="n"/>
      <c r="G47" s="177" t="n"/>
      <c r="H47" s="177" t="n"/>
      <c r="I47" s="177" t="n"/>
      <c r="J47" s="177" t="n"/>
      <c r="K47" s="177" t="n"/>
      <c r="L47" s="177" t="n"/>
      <c r="M47" s="177" t="n"/>
      <c r="N47" s="177" t="n"/>
      <c r="O47" s="177" t="n"/>
      <c r="P47" s="177" t="n"/>
      <c r="Q47" s="177" t="n"/>
      <c r="R47" s="177" t="n"/>
      <c r="S47" s="177" t="n"/>
      <c r="T47" s="177" t="n"/>
      <c r="U47" s="177" t="n"/>
      <c r="V47" s="177" t="n"/>
      <c r="W47" s="177" t="n"/>
      <c r="X47" s="177" t="n"/>
      <c r="Y47" s="177" t="n"/>
      <c r="Z47" s="177" t="n"/>
      <c r="AA47" s="177" t="n"/>
      <c r="AB47" s="154" t="n"/>
      <c r="AC47" s="154" t="n"/>
      <c r="AD47" s="155" t="n"/>
      <c r="AE47" s="155" t="n"/>
    </row>
    <row r="48">
      <c r="B48" s="156" t="n">
        <v>1</v>
      </c>
      <c r="C48" s="130">
        <f>IF(Dettes!$C$10="","",Dettes!$C$10)</f>
        <v/>
      </c>
      <c r="D48" s="158">
        <f>IF($C48="",0,N(Dettes!$I$10))</f>
        <v/>
      </c>
      <c r="E48" s="159">
        <f>IF($C48="",0,SUMIFS(J_Montant,J_Annee,Annee_Travail,J_Mois,1,J_Projet,$C48,J_Type,"Remboursement crédit",J_Statut,"&lt;&gt;Annulé",J_Statut,"&lt;&gt;Prévu"))</f>
        <v/>
      </c>
      <c r="F48" s="158">
        <f>IF($C48="",0,N(Dettes!$I$10))</f>
        <v/>
      </c>
      <c r="G48" s="159">
        <f>IF($C48="",0,SUMIFS(J_Montant,J_Annee,Annee_Travail,J_Mois,2,J_Projet,$C48,J_Type,"Remboursement crédit",J_Statut,"&lt;&gt;Annulé",J_Statut,"&lt;&gt;Prévu"))</f>
        <v/>
      </c>
      <c r="H48" s="158">
        <f>IF($C48="",0,N(Dettes!$I$10))</f>
        <v/>
      </c>
      <c r="I48" s="159">
        <f>IF($C48="",0,SUMIFS(J_Montant,J_Annee,Annee_Travail,J_Mois,3,J_Projet,$C48,J_Type,"Remboursement crédit",J_Statut,"&lt;&gt;Annulé",J_Statut,"&lt;&gt;Prévu"))</f>
        <v/>
      </c>
      <c r="J48" s="158">
        <f>IF($C48="",0,N(Dettes!$I$10))</f>
        <v/>
      </c>
      <c r="K48" s="159">
        <f>IF($C48="",0,SUMIFS(J_Montant,J_Annee,Annee_Travail,J_Mois,4,J_Projet,$C48,J_Type,"Remboursement crédit",J_Statut,"&lt;&gt;Annulé",J_Statut,"&lt;&gt;Prévu"))</f>
        <v/>
      </c>
      <c r="L48" s="158">
        <f>IF($C48="",0,N(Dettes!$I$10))</f>
        <v/>
      </c>
      <c r="M48" s="159">
        <f>IF($C48="",0,SUMIFS(J_Montant,J_Annee,Annee_Travail,J_Mois,5,J_Projet,$C48,J_Type,"Remboursement crédit",J_Statut,"&lt;&gt;Annulé",J_Statut,"&lt;&gt;Prévu"))</f>
        <v/>
      </c>
      <c r="N48" s="158">
        <f>IF($C48="",0,N(Dettes!$I$10))</f>
        <v/>
      </c>
      <c r="O48" s="159">
        <f>IF($C48="",0,SUMIFS(J_Montant,J_Annee,Annee_Travail,J_Mois,6,J_Projet,$C48,J_Type,"Remboursement crédit",J_Statut,"&lt;&gt;Annulé",J_Statut,"&lt;&gt;Prévu"))</f>
        <v/>
      </c>
      <c r="P48" s="158">
        <f>IF($C48="",0,N(Dettes!$I$10))</f>
        <v/>
      </c>
      <c r="Q48" s="159">
        <f>IF($C48="",0,SUMIFS(J_Montant,J_Annee,Annee_Travail,J_Mois,7,J_Projet,$C48,J_Type,"Remboursement crédit",J_Statut,"&lt;&gt;Annulé",J_Statut,"&lt;&gt;Prévu"))</f>
        <v/>
      </c>
      <c r="R48" s="158">
        <f>IF($C48="",0,N(Dettes!$I$10))</f>
        <v/>
      </c>
      <c r="S48" s="159">
        <f>IF($C48="",0,SUMIFS(J_Montant,J_Annee,Annee_Travail,J_Mois,8,J_Projet,$C48,J_Type,"Remboursement crédit",J_Statut,"&lt;&gt;Annulé",J_Statut,"&lt;&gt;Prévu"))</f>
        <v/>
      </c>
      <c r="T48" s="158">
        <f>IF($C48="",0,N(Dettes!$I$10))</f>
        <v/>
      </c>
      <c r="U48" s="159">
        <f>IF($C48="",0,SUMIFS(J_Montant,J_Annee,Annee_Travail,J_Mois,9,J_Projet,$C48,J_Type,"Remboursement crédit",J_Statut,"&lt;&gt;Annulé",J_Statut,"&lt;&gt;Prévu"))</f>
        <v/>
      </c>
      <c r="V48" s="158">
        <f>IF($C48="",0,N(Dettes!$I$10))</f>
        <v/>
      </c>
      <c r="W48" s="159">
        <f>IF($C48="",0,SUMIFS(J_Montant,J_Annee,Annee_Travail,J_Mois,10,J_Projet,$C48,J_Type,"Remboursement crédit",J_Statut,"&lt;&gt;Annulé",J_Statut,"&lt;&gt;Prévu"))</f>
        <v/>
      </c>
      <c r="X48" s="158">
        <f>IF($C48="",0,N(Dettes!$I$10))</f>
        <v/>
      </c>
      <c r="Y48" s="159">
        <f>IF($C48="",0,SUMIFS(J_Montant,J_Annee,Annee_Travail,J_Mois,11,J_Projet,$C48,J_Type,"Remboursement crédit",J_Statut,"&lt;&gt;Annulé",J_Statut,"&lt;&gt;Prévu"))</f>
        <v/>
      </c>
      <c r="Z48" s="158">
        <f>IF($C48="",0,N(Dettes!$I$10))</f>
        <v/>
      </c>
      <c r="AA48" s="159">
        <f>IF($C48="",0,SUMIFS(J_Montant,J_Annee,Annee_Travail,J_Mois,12,J_Projet,$C48,J_Type,"Remboursement crédit",J_Statut,"&lt;&gt;Annulé",J_Statut,"&lt;&gt;Prévu"))</f>
        <v/>
      </c>
      <c r="AB48" s="160">
        <f>D48+F48+H48+J48+L48+N48+P48+R48+T48+V48+X48+Z48</f>
        <v/>
      </c>
      <c r="AC48" s="160">
        <f>E48+G48+I48+K48+M48+O48+Q48+S48+U48+W48+Y48+AA48</f>
        <v/>
      </c>
      <c r="AD48" s="161">
        <f>$AB48-$AC48</f>
        <v/>
      </c>
      <c r="AE48" s="162">
        <f>IFERROR($AC48/$AB48,0)</f>
        <v/>
      </c>
    </row>
    <row r="49">
      <c r="B49" s="156" t="n">
        <v>2</v>
      </c>
      <c r="C49" s="130">
        <f>IF(Dettes!$C$11="","",Dettes!$C$11)</f>
        <v/>
      </c>
      <c r="D49" s="158">
        <f>IF($C49="",0,N(Dettes!$I$11))</f>
        <v/>
      </c>
      <c r="E49" s="159">
        <f>IF($C49="",0,SUMIFS(J_Montant,J_Annee,Annee_Travail,J_Mois,1,J_Projet,$C49,J_Type,"Remboursement crédit",J_Statut,"&lt;&gt;Annulé",J_Statut,"&lt;&gt;Prévu"))</f>
        <v/>
      </c>
      <c r="F49" s="158">
        <f>IF($C49="",0,N(Dettes!$I$11))</f>
        <v/>
      </c>
      <c r="G49" s="159">
        <f>IF($C49="",0,SUMIFS(J_Montant,J_Annee,Annee_Travail,J_Mois,2,J_Projet,$C49,J_Type,"Remboursement crédit",J_Statut,"&lt;&gt;Annulé",J_Statut,"&lt;&gt;Prévu"))</f>
        <v/>
      </c>
      <c r="H49" s="158">
        <f>IF($C49="",0,N(Dettes!$I$11))</f>
        <v/>
      </c>
      <c r="I49" s="159">
        <f>IF($C49="",0,SUMIFS(J_Montant,J_Annee,Annee_Travail,J_Mois,3,J_Projet,$C49,J_Type,"Remboursement crédit",J_Statut,"&lt;&gt;Annulé",J_Statut,"&lt;&gt;Prévu"))</f>
        <v/>
      </c>
      <c r="J49" s="158">
        <f>IF($C49="",0,N(Dettes!$I$11))</f>
        <v/>
      </c>
      <c r="K49" s="159">
        <f>IF($C49="",0,SUMIFS(J_Montant,J_Annee,Annee_Travail,J_Mois,4,J_Projet,$C49,J_Type,"Remboursement crédit",J_Statut,"&lt;&gt;Annulé",J_Statut,"&lt;&gt;Prévu"))</f>
        <v/>
      </c>
      <c r="L49" s="158">
        <f>IF($C49="",0,N(Dettes!$I$11))</f>
        <v/>
      </c>
      <c r="M49" s="159">
        <f>IF($C49="",0,SUMIFS(J_Montant,J_Annee,Annee_Travail,J_Mois,5,J_Projet,$C49,J_Type,"Remboursement crédit",J_Statut,"&lt;&gt;Annulé",J_Statut,"&lt;&gt;Prévu"))</f>
        <v/>
      </c>
      <c r="N49" s="158">
        <f>IF($C49="",0,N(Dettes!$I$11))</f>
        <v/>
      </c>
      <c r="O49" s="159">
        <f>IF($C49="",0,SUMIFS(J_Montant,J_Annee,Annee_Travail,J_Mois,6,J_Projet,$C49,J_Type,"Remboursement crédit",J_Statut,"&lt;&gt;Annulé",J_Statut,"&lt;&gt;Prévu"))</f>
        <v/>
      </c>
      <c r="P49" s="158">
        <f>IF($C49="",0,N(Dettes!$I$11))</f>
        <v/>
      </c>
      <c r="Q49" s="159">
        <f>IF($C49="",0,SUMIFS(J_Montant,J_Annee,Annee_Travail,J_Mois,7,J_Projet,$C49,J_Type,"Remboursement crédit",J_Statut,"&lt;&gt;Annulé",J_Statut,"&lt;&gt;Prévu"))</f>
        <v/>
      </c>
      <c r="R49" s="158">
        <f>IF($C49="",0,N(Dettes!$I$11))</f>
        <v/>
      </c>
      <c r="S49" s="159">
        <f>IF($C49="",0,SUMIFS(J_Montant,J_Annee,Annee_Travail,J_Mois,8,J_Projet,$C49,J_Type,"Remboursement crédit",J_Statut,"&lt;&gt;Annulé",J_Statut,"&lt;&gt;Prévu"))</f>
        <v/>
      </c>
      <c r="T49" s="158">
        <f>IF($C49="",0,N(Dettes!$I$11))</f>
        <v/>
      </c>
      <c r="U49" s="159">
        <f>IF($C49="",0,SUMIFS(J_Montant,J_Annee,Annee_Travail,J_Mois,9,J_Projet,$C49,J_Type,"Remboursement crédit",J_Statut,"&lt;&gt;Annulé",J_Statut,"&lt;&gt;Prévu"))</f>
        <v/>
      </c>
      <c r="V49" s="158">
        <f>IF($C49="",0,N(Dettes!$I$11))</f>
        <v/>
      </c>
      <c r="W49" s="159">
        <f>IF($C49="",0,SUMIFS(J_Montant,J_Annee,Annee_Travail,J_Mois,10,J_Projet,$C49,J_Type,"Remboursement crédit",J_Statut,"&lt;&gt;Annulé",J_Statut,"&lt;&gt;Prévu"))</f>
        <v/>
      </c>
      <c r="X49" s="158">
        <f>IF($C49="",0,N(Dettes!$I$11))</f>
        <v/>
      </c>
      <c r="Y49" s="159">
        <f>IF($C49="",0,SUMIFS(J_Montant,J_Annee,Annee_Travail,J_Mois,11,J_Projet,$C49,J_Type,"Remboursement crédit",J_Statut,"&lt;&gt;Annulé",J_Statut,"&lt;&gt;Prévu"))</f>
        <v/>
      </c>
      <c r="Z49" s="158">
        <f>IF($C49="",0,N(Dettes!$I$11))</f>
        <v/>
      </c>
      <c r="AA49" s="159">
        <f>IF($C49="",0,SUMIFS(J_Montant,J_Annee,Annee_Travail,J_Mois,12,J_Projet,$C49,J_Type,"Remboursement crédit",J_Statut,"&lt;&gt;Annulé",J_Statut,"&lt;&gt;Prévu"))</f>
        <v/>
      </c>
      <c r="AB49" s="160">
        <f>D49+F49+H49+J49+L49+N49+P49+R49+T49+V49+X49+Z49</f>
        <v/>
      </c>
      <c r="AC49" s="160">
        <f>E49+G49+I49+K49+M49+O49+Q49+S49+U49+W49+Y49+AA49</f>
        <v/>
      </c>
      <c r="AD49" s="161">
        <f>$AB49-$AC49</f>
        <v/>
      </c>
      <c r="AE49" s="162">
        <f>IFERROR($AC49/$AB49,0)</f>
        <v/>
      </c>
    </row>
    <row r="50">
      <c r="B50" s="156" t="n">
        <v>3</v>
      </c>
      <c r="C50" s="130">
        <f>IF(Dettes!$C$12="","",Dettes!$C$12)</f>
        <v/>
      </c>
      <c r="D50" s="158">
        <f>IF($C50="",0,N(Dettes!$I$12))</f>
        <v/>
      </c>
      <c r="E50" s="159">
        <f>IF($C50="",0,SUMIFS(J_Montant,J_Annee,Annee_Travail,J_Mois,1,J_Projet,$C50,J_Type,"Remboursement crédit",J_Statut,"&lt;&gt;Annulé",J_Statut,"&lt;&gt;Prévu"))</f>
        <v/>
      </c>
      <c r="F50" s="158">
        <f>IF($C50="",0,N(Dettes!$I$12))</f>
        <v/>
      </c>
      <c r="G50" s="159">
        <f>IF($C50="",0,SUMIFS(J_Montant,J_Annee,Annee_Travail,J_Mois,2,J_Projet,$C50,J_Type,"Remboursement crédit",J_Statut,"&lt;&gt;Annulé",J_Statut,"&lt;&gt;Prévu"))</f>
        <v/>
      </c>
      <c r="H50" s="158">
        <f>IF($C50="",0,N(Dettes!$I$12))</f>
        <v/>
      </c>
      <c r="I50" s="159">
        <f>IF($C50="",0,SUMIFS(J_Montant,J_Annee,Annee_Travail,J_Mois,3,J_Projet,$C50,J_Type,"Remboursement crédit",J_Statut,"&lt;&gt;Annulé",J_Statut,"&lt;&gt;Prévu"))</f>
        <v/>
      </c>
      <c r="J50" s="158">
        <f>IF($C50="",0,N(Dettes!$I$12))</f>
        <v/>
      </c>
      <c r="K50" s="159">
        <f>IF($C50="",0,SUMIFS(J_Montant,J_Annee,Annee_Travail,J_Mois,4,J_Projet,$C50,J_Type,"Remboursement crédit",J_Statut,"&lt;&gt;Annulé",J_Statut,"&lt;&gt;Prévu"))</f>
        <v/>
      </c>
      <c r="L50" s="158">
        <f>IF($C50="",0,N(Dettes!$I$12))</f>
        <v/>
      </c>
      <c r="M50" s="159">
        <f>IF($C50="",0,SUMIFS(J_Montant,J_Annee,Annee_Travail,J_Mois,5,J_Projet,$C50,J_Type,"Remboursement crédit",J_Statut,"&lt;&gt;Annulé",J_Statut,"&lt;&gt;Prévu"))</f>
        <v/>
      </c>
      <c r="N50" s="158">
        <f>IF($C50="",0,N(Dettes!$I$12))</f>
        <v/>
      </c>
      <c r="O50" s="159">
        <f>IF($C50="",0,SUMIFS(J_Montant,J_Annee,Annee_Travail,J_Mois,6,J_Projet,$C50,J_Type,"Remboursement crédit",J_Statut,"&lt;&gt;Annulé",J_Statut,"&lt;&gt;Prévu"))</f>
        <v/>
      </c>
      <c r="P50" s="158">
        <f>IF($C50="",0,N(Dettes!$I$12))</f>
        <v/>
      </c>
      <c r="Q50" s="159">
        <f>IF($C50="",0,SUMIFS(J_Montant,J_Annee,Annee_Travail,J_Mois,7,J_Projet,$C50,J_Type,"Remboursement crédit",J_Statut,"&lt;&gt;Annulé",J_Statut,"&lt;&gt;Prévu"))</f>
        <v/>
      </c>
      <c r="R50" s="158">
        <f>IF($C50="",0,N(Dettes!$I$12))</f>
        <v/>
      </c>
      <c r="S50" s="159">
        <f>IF($C50="",0,SUMIFS(J_Montant,J_Annee,Annee_Travail,J_Mois,8,J_Projet,$C50,J_Type,"Remboursement crédit",J_Statut,"&lt;&gt;Annulé",J_Statut,"&lt;&gt;Prévu"))</f>
        <v/>
      </c>
      <c r="T50" s="158">
        <f>IF($C50="",0,N(Dettes!$I$12))</f>
        <v/>
      </c>
      <c r="U50" s="159">
        <f>IF($C50="",0,SUMIFS(J_Montant,J_Annee,Annee_Travail,J_Mois,9,J_Projet,$C50,J_Type,"Remboursement crédit",J_Statut,"&lt;&gt;Annulé",J_Statut,"&lt;&gt;Prévu"))</f>
        <v/>
      </c>
      <c r="V50" s="158">
        <f>IF($C50="",0,N(Dettes!$I$12))</f>
        <v/>
      </c>
      <c r="W50" s="159">
        <f>IF($C50="",0,SUMIFS(J_Montant,J_Annee,Annee_Travail,J_Mois,10,J_Projet,$C50,J_Type,"Remboursement crédit",J_Statut,"&lt;&gt;Annulé",J_Statut,"&lt;&gt;Prévu"))</f>
        <v/>
      </c>
      <c r="X50" s="158">
        <f>IF($C50="",0,N(Dettes!$I$12))</f>
        <v/>
      </c>
      <c r="Y50" s="159">
        <f>IF($C50="",0,SUMIFS(J_Montant,J_Annee,Annee_Travail,J_Mois,11,J_Projet,$C50,J_Type,"Remboursement crédit",J_Statut,"&lt;&gt;Annulé",J_Statut,"&lt;&gt;Prévu"))</f>
        <v/>
      </c>
      <c r="Z50" s="158">
        <f>IF($C50="",0,N(Dettes!$I$12))</f>
        <v/>
      </c>
      <c r="AA50" s="159">
        <f>IF($C50="",0,SUMIFS(J_Montant,J_Annee,Annee_Travail,J_Mois,12,J_Projet,$C50,J_Type,"Remboursement crédit",J_Statut,"&lt;&gt;Annulé",J_Statut,"&lt;&gt;Prévu"))</f>
        <v/>
      </c>
      <c r="AB50" s="160">
        <f>D50+F50+H50+J50+L50+N50+P50+R50+T50+V50+X50+Z50</f>
        <v/>
      </c>
      <c r="AC50" s="160">
        <f>E50+G50+I50+K50+M50+O50+Q50+S50+U50+W50+Y50+AA50</f>
        <v/>
      </c>
      <c r="AD50" s="161">
        <f>$AB50-$AC50</f>
        <v/>
      </c>
      <c r="AE50" s="162">
        <f>IFERROR($AC50/$AB50,0)</f>
        <v/>
      </c>
    </row>
    <row r="51">
      <c r="B51" s="156" t="n">
        <v>4</v>
      </c>
      <c r="C51" s="130">
        <f>IF(Dettes!$C$13="","",Dettes!$C$13)</f>
        <v/>
      </c>
      <c r="D51" s="158">
        <f>IF($C51="",0,N(Dettes!$I$13))</f>
        <v/>
      </c>
      <c r="E51" s="159">
        <f>IF($C51="",0,SUMIFS(J_Montant,J_Annee,Annee_Travail,J_Mois,1,J_Projet,$C51,J_Type,"Remboursement crédit",J_Statut,"&lt;&gt;Annulé",J_Statut,"&lt;&gt;Prévu"))</f>
        <v/>
      </c>
      <c r="F51" s="158">
        <f>IF($C51="",0,N(Dettes!$I$13))</f>
        <v/>
      </c>
      <c r="G51" s="159">
        <f>IF($C51="",0,SUMIFS(J_Montant,J_Annee,Annee_Travail,J_Mois,2,J_Projet,$C51,J_Type,"Remboursement crédit",J_Statut,"&lt;&gt;Annulé",J_Statut,"&lt;&gt;Prévu"))</f>
        <v/>
      </c>
      <c r="H51" s="158">
        <f>IF($C51="",0,N(Dettes!$I$13))</f>
        <v/>
      </c>
      <c r="I51" s="159">
        <f>IF($C51="",0,SUMIFS(J_Montant,J_Annee,Annee_Travail,J_Mois,3,J_Projet,$C51,J_Type,"Remboursement crédit",J_Statut,"&lt;&gt;Annulé",J_Statut,"&lt;&gt;Prévu"))</f>
        <v/>
      </c>
      <c r="J51" s="158">
        <f>IF($C51="",0,N(Dettes!$I$13))</f>
        <v/>
      </c>
      <c r="K51" s="159">
        <f>IF($C51="",0,SUMIFS(J_Montant,J_Annee,Annee_Travail,J_Mois,4,J_Projet,$C51,J_Type,"Remboursement crédit",J_Statut,"&lt;&gt;Annulé",J_Statut,"&lt;&gt;Prévu"))</f>
        <v/>
      </c>
      <c r="L51" s="158">
        <f>IF($C51="",0,N(Dettes!$I$13))</f>
        <v/>
      </c>
      <c r="M51" s="159">
        <f>IF($C51="",0,SUMIFS(J_Montant,J_Annee,Annee_Travail,J_Mois,5,J_Projet,$C51,J_Type,"Remboursement crédit",J_Statut,"&lt;&gt;Annulé",J_Statut,"&lt;&gt;Prévu"))</f>
        <v/>
      </c>
      <c r="N51" s="158">
        <f>IF($C51="",0,N(Dettes!$I$13))</f>
        <v/>
      </c>
      <c r="O51" s="159">
        <f>IF($C51="",0,SUMIFS(J_Montant,J_Annee,Annee_Travail,J_Mois,6,J_Projet,$C51,J_Type,"Remboursement crédit",J_Statut,"&lt;&gt;Annulé",J_Statut,"&lt;&gt;Prévu"))</f>
        <v/>
      </c>
      <c r="P51" s="158">
        <f>IF($C51="",0,N(Dettes!$I$13))</f>
        <v/>
      </c>
      <c r="Q51" s="159">
        <f>IF($C51="",0,SUMIFS(J_Montant,J_Annee,Annee_Travail,J_Mois,7,J_Projet,$C51,J_Type,"Remboursement crédit",J_Statut,"&lt;&gt;Annulé",J_Statut,"&lt;&gt;Prévu"))</f>
        <v/>
      </c>
      <c r="R51" s="158">
        <f>IF($C51="",0,N(Dettes!$I$13))</f>
        <v/>
      </c>
      <c r="S51" s="159">
        <f>IF($C51="",0,SUMIFS(J_Montant,J_Annee,Annee_Travail,J_Mois,8,J_Projet,$C51,J_Type,"Remboursement crédit",J_Statut,"&lt;&gt;Annulé",J_Statut,"&lt;&gt;Prévu"))</f>
        <v/>
      </c>
      <c r="T51" s="158">
        <f>IF($C51="",0,N(Dettes!$I$13))</f>
        <v/>
      </c>
      <c r="U51" s="159">
        <f>IF($C51="",0,SUMIFS(J_Montant,J_Annee,Annee_Travail,J_Mois,9,J_Projet,$C51,J_Type,"Remboursement crédit",J_Statut,"&lt;&gt;Annulé",J_Statut,"&lt;&gt;Prévu"))</f>
        <v/>
      </c>
      <c r="V51" s="158">
        <f>IF($C51="",0,N(Dettes!$I$13))</f>
        <v/>
      </c>
      <c r="W51" s="159">
        <f>IF($C51="",0,SUMIFS(J_Montant,J_Annee,Annee_Travail,J_Mois,10,J_Projet,$C51,J_Type,"Remboursement crédit",J_Statut,"&lt;&gt;Annulé",J_Statut,"&lt;&gt;Prévu"))</f>
        <v/>
      </c>
      <c r="X51" s="158">
        <f>IF($C51="",0,N(Dettes!$I$13))</f>
        <v/>
      </c>
      <c r="Y51" s="159">
        <f>IF($C51="",0,SUMIFS(J_Montant,J_Annee,Annee_Travail,J_Mois,11,J_Projet,$C51,J_Type,"Remboursement crédit",J_Statut,"&lt;&gt;Annulé",J_Statut,"&lt;&gt;Prévu"))</f>
        <v/>
      </c>
      <c r="Z51" s="158">
        <f>IF($C51="",0,N(Dettes!$I$13))</f>
        <v/>
      </c>
      <c r="AA51" s="159">
        <f>IF($C51="",0,SUMIFS(J_Montant,J_Annee,Annee_Travail,J_Mois,12,J_Projet,$C51,J_Type,"Remboursement crédit",J_Statut,"&lt;&gt;Annulé",J_Statut,"&lt;&gt;Prévu"))</f>
        <v/>
      </c>
      <c r="AB51" s="160">
        <f>D51+F51+H51+J51+L51+N51+P51+R51+T51+V51+X51+Z51</f>
        <v/>
      </c>
      <c r="AC51" s="160">
        <f>E51+G51+I51+K51+M51+O51+Q51+S51+U51+W51+Y51+AA51</f>
        <v/>
      </c>
      <c r="AD51" s="161">
        <f>$AB51-$AC51</f>
        <v/>
      </c>
      <c r="AE51" s="162">
        <f>IFERROR($AC51/$AB51,0)</f>
        <v/>
      </c>
    </row>
    <row r="52">
      <c r="B52" s="156" t="n">
        <v>5</v>
      </c>
      <c r="C52" s="130">
        <f>IF(Dettes!$C$14="","",Dettes!$C$14)</f>
        <v/>
      </c>
      <c r="D52" s="158">
        <f>IF($C52="",0,N(Dettes!$I$14))</f>
        <v/>
      </c>
      <c r="E52" s="159">
        <f>IF($C52="",0,SUMIFS(J_Montant,J_Annee,Annee_Travail,J_Mois,1,J_Projet,$C52,J_Type,"Remboursement crédit",J_Statut,"&lt;&gt;Annulé",J_Statut,"&lt;&gt;Prévu"))</f>
        <v/>
      </c>
      <c r="F52" s="158">
        <f>IF($C52="",0,N(Dettes!$I$14))</f>
        <v/>
      </c>
      <c r="G52" s="159">
        <f>IF($C52="",0,SUMIFS(J_Montant,J_Annee,Annee_Travail,J_Mois,2,J_Projet,$C52,J_Type,"Remboursement crédit",J_Statut,"&lt;&gt;Annulé",J_Statut,"&lt;&gt;Prévu"))</f>
        <v/>
      </c>
      <c r="H52" s="158">
        <f>IF($C52="",0,N(Dettes!$I$14))</f>
        <v/>
      </c>
      <c r="I52" s="159">
        <f>IF($C52="",0,SUMIFS(J_Montant,J_Annee,Annee_Travail,J_Mois,3,J_Projet,$C52,J_Type,"Remboursement crédit",J_Statut,"&lt;&gt;Annulé",J_Statut,"&lt;&gt;Prévu"))</f>
        <v/>
      </c>
      <c r="J52" s="158">
        <f>IF($C52="",0,N(Dettes!$I$14))</f>
        <v/>
      </c>
      <c r="K52" s="159">
        <f>IF($C52="",0,SUMIFS(J_Montant,J_Annee,Annee_Travail,J_Mois,4,J_Projet,$C52,J_Type,"Remboursement crédit",J_Statut,"&lt;&gt;Annulé",J_Statut,"&lt;&gt;Prévu"))</f>
        <v/>
      </c>
      <c r="L52" s="158">
        <f>IF($C52="",0,N(Dettes!$I$14))</f>
        <v/>
      </c>
      <c r="M52" s="159">
        <f>IF($C52="",0,SUMIFS(J_Montant,J_Annee,Annee_Travail,J_Mois,5,J_Projet,$C52,J_Type,"Remboursement crédit",J_Statut,"&lt;&gt;Annulé",J_Statut,"&lt;&gt;Prévu"))</f>
        <v/>
      </c>
      <c r="N52" s="158">
        <f>IF($C52="",0,N(Dettes!$I$14))</f>
        <v/>
      </c>
      <c r="O52" s="159">
        <f>IF($C52="",0,SUMIFS(J_Montant,J_Annee,Annee_Travail,J_Mois,6,J_Projet,$C52,J_Type,"Remboursement crédit",J_Statut,"&lt;&gt;Annulé",J_Statut,"&lt;&gt;Prévu"))</f>
        <v/>
      </c>
      <c r="P52" s="158">
        <f>IF($C52="",0,N(Dettes!$I$14))</f>
        <v/>
      </c>
      <c r="Q52" s="159">
        <f>IF($C52="",0,SUMIFS(J_Montant,J_Annee,Annee_Travail,J_Mois,7,J_Projet,$C52,J_Type,"Remboursement crédit",J_Statut,"&lt;&gt;Annulé",J_Statut,"&lt;&gt;Prévu"))</f>
        <v/>
      </c>
      <c r="R52" s="158">
        <f>IF($C52="",0,N(Dettes!$I$14))</f>
        <v/>
      </c>
      <c r="S52" s="159">
        <f>IF($C52="",0,SUMIFS(J_Montant,J_Annee,Annee_Travail,J_Mois,8,J_Projet,$C52,J_Type,"Remboursement crédit",J_Statut,"&lt;&gt;Annulé",J_Statut,"&lt;&gt;Prévu"))</f>
        <v/>
      </c>
      <c r="T52" s="158">
        <f>IF($C52="",0,N(Dettes!$I$14))</f>
        <v/>
      </c>
      <c r="U52" s="159">
        <f>IF($C52="",0,SUMIFS(J_Montant,J_Annee,Annee_Travail,J_Mois,9,J_Projet,$C52,J_Type,"Remboursement crédit",J_Statut,"&lt;&gt;Annulé",J_Statut,"&lt;&gt;Prévu"))</f>
        <v/>
      </c>
      <c r="V52" s="158">
        <f>IF($C52="",0,N(Dettes!$I$14))</f>
        <v/>
      </c>
      <c r="W52" s="159">
        <f>IF($C52="",0,SUMIFS(J_Montant,J_Annee,Annee_Travail,J_Mois,10,J_Projet,$C52,J_Type,"Remboursement crédit",J_Statut,"&lt;&gt;Annulé",J_Statut,"&lt;&gt;Prévu"))</f>
        <v/>
      </c>
      <c r="X52" s="158">
        <f>IF($C52="",0,N(Dettes!$I$14))</f>
        <v/>
      </c>
      <c r="Y52" s="159">
        <f>IF($C52="",0,SUMIFS(J_Montant,J_Annee,Annee_Travail,J_Mois,11,J_Projet,$C52,J_Type,"Remboursement crédit",J_Statut,"&lt;&gt;Annulé",J_Statut,"&lt;&gt;Prévu"))</f>
        <v/>
      </c>
      <c r="Z52" s="158">
        <f>IF($C52="",0,N(Dettes!$I$14))</f>
        <v/>
      </c>
      <c r="AA52" s="159">
        <f>IF($C52="",0,SUMIFS(J_Montant,J_Annee,Annee_Travail,J_Mois,12,J_Projet,$C52,J_Type,"Remboursement crédit",J_Statut,"&lt;&gt;Annulé",J_Statut,"&lt;&gt;Prévu"))</f>
        <v/>
      </c>
      <c r="AB52" s="160">
        <f>D52+F52+H52+J52+L52+N52+P52+R52+T52+V52+X52+Z52</f>
        <v/>
      </c>
      <c r="AC52" s="160">
        <f>E52+G52+I52+K52+M52+O52+Q52+S52+U52+W52+Y52+AA52</f>
        <v/>
      </c>
      <c r="AD52" s="161">
        <f>$AB52-$AC52</f>
        <v/>
      </c>
      <c r="AE52" s="162">
        <f>IFERROR($AC52/$AB52,0)</f>
        <v/>
      </c>
    </row>
    <row r="53">
      <c r="B53" s="156" t="n">
        <v>6</v>
      </c>
      <c r="C53" s="130">
        <f>IF(Dettes!$C$15="","",Dettes!$C$15)</f>
        <v/>
      </c>
      <c r="D53" s="158">
        <f>IF($C53="",0,N(Dettes!$I$15))</f>
        <v/>
      </c>
      <c r="E53" s="159">
        <f>IF($C53="",0,SUMIFS(J_Montant,J_Annee,Annee_Travail,J_Mois,1,J_Projet,$C53,J_Type,"Remboursement crédit",J_Statut,"&lt;&gt;Annulé",J_Statut,"&lt;&gt;Prévu"))</f>
        <v/>
      </c>
      <c r="F53" s="158">
        <f>IF($C53="",0,N(Dettes!$I$15))</f>
        <v/>
      </c>
      <c r="G53" s="159">
        <f>IF($C53="",0,SUMIFS(J_Montant,J_Annee,Annee_Travail,J_Mois,2,J_Projet,$C53,J_Type,"Remboursement crédit",J_Statut,"&lt;&gt;Annulé",J_Statut,"&lt;&gt;Prévu"))</f>
        <v/>
      </c>
      <c r="H53" s="158">
        <f>IF($C53="",0,N(Dettes!$I$15))</f>
        <v/>
      </c>
      <c r="I53" s="159">
        <f>IF($C53="",0,SUMIFS(J_Montant,J_Annee,Annee_Travail,J_Mois,3,J_Projet,$C53,J_Type,"Remboursement crédit",J_Statut,"&lt;&gt;Annulé",J_Statut,"&lt;&gt;Prévu"))</f>
        <v/>
      </c>
      <c r="J53" s="158">
        <f>IF($C53="",0,N(Dettes!$I$15))</f>
        <v/>
      </c>
      <c r="K53" s="159">
        <f>IF($C53="",0,SUMIFS(J_Montant,J_Annee,Annee_Travail,J_Mois,4,J_Projet,$C53,J_Type,"Remboursement crédit",J_Statut,"&lt;&gt;Annulé",J_Statut,"&lt;&gt;Prévu"))</f>
        <v/>
      </c>
      <c r="L53" s="158">
        <f>IF($C53="",0,N(Dettes!$I$15))</f>
        <v/>
      </c>
      <c r="M53" s="159">
        <f>IF($C53="",0,SUMIFS(J_Montant,J_Annee,Annee_Travail,J_Mois,5,J_Projet,$C53,J_Type,"Remboursement crédit",J_Statut,"&lt;&gt;Annulé",J_Statut,"&lt;&gt;Prévu"))</f>
        <v/>
      </c>
      <c r="N53" s="158">
        <f>IF($C53="",0,N(Dettes!$I$15))</f>
        <v/>
      </c>
      <c r="O53" s="159">
        <f>IF($C53="",0,SUMIFS(J_Montant,J_Annee,Annee_Travail,J_Mois,6,J_Projet,$C53,J_Type,"Remboursement crédit",J_Statut,"&lt;&gt;Annulé",J_Statut,"&lt;&gt;Prévu"))</f>
        <v/>
      </c>
      <c r="P53" s="158">
        <f>IF($C53="",0,N(Dettes!$I$15))</f>
        <v/>
      </c>
      <c r="Q53" s="159">
        <f>IF($C53="",0,SUMIFS(J_Montant,J_Annee,Annee_Travail,J_Mois,7,J_Projet,$C53,J_Type,"Remboursement crédit",J_Statut,"&lt;&gt;Annulé",J_Statut,"&lt;&gt;Prévu"))</f>
        <v/>
      </c>
      <c r="R53" s="158">
        <f>IF($C53="",0,N(Dettes!$I$15))</f>
        <v/>
      </c>
      <c r="S53" s="159">
        <f>IF($C53="",0,SUMIFS(J_Montant,J_Annee,Annee_Travail,J_Mois,8,J_Projet,$C53,J_Type,"Remboursement crédit",J_Statut,"&lt;&gt;Annulé",J_Statut,"&lt;&gt;Prévu"))</f>
        <v/>
      </c>
      <c r="T53" s="158">
        <f>IF($C53="",0,N(Dettes!$I$15))</f>
        <v/>
      </c>
      <c r="U53" s="159">
        <f>IF($C53="",0,SUMIFS(J_Montant,J_Annee,Annee_Travail,J_Mois,9,J_Projet,$C53,J_Type,"Remboursement crédit",J_Statut,"&lt;&gt;Annulé",J_Statut,"&lt;&gt;Prévu"))</f>
        <v/>
      </c>
      <c r="V53" s="158">
        <f>IF($C53="",0,N(Dettes!$I$15))</f>
        <v/>
      </c>
      <c r="W53" s="159">
        <f>IF($C53="",0,SUMIFS(J_Montant,J_Annee,Annee_Travail,J_Mois,10,J_Projet,$C53,J_Type,"Remboursement crédit",J_Statut,"&lt;&gt;Annulé",J_Statut,"&lt;&gt;Prévu"))</f>
        <v/>
      </c>
      <c r="X53" s="158">
        <f>IF($C53="",0,N(Dettes!$I$15))</f>
        <v/>
      </c>
      <c r="Y53" s="159">
        <f>IF($C53="",0,SUMIFS(J_Montant,J_Annee,Annee_Travail,J_Mois,11,J_Projet,$C53,J_Type,"Remboursement crédit",J_Statut,"&lt;&gt;Annulé",J_Statut,"&lt;&gt;Prévu"))</f>
        <v/>
      </c>
      <c r="Z53" s="158">
        <f>IF($C53="",0,N(Dettes!$I$15))</f>
        <v/>
      </c>
      <c r="AA53" s="159">
        <f>IF($C53="",0,SUMIFS(J_Montant,J_Annee,Annee_Travail,J_Mois,12,J_Projet,$C53,J_Type,"Remboursement crédit",J_Statut,"&lt;&gt;Annulé",J_Statut,"&lt;&gt;Prévu"))</f>
        <v/>
      </c>
      <c r="AB53" s="160">
        <f>D53+F53+H53+J53+L53+N53+P53+R53+T53+V53+X53+Z53</f>
        <v/>
      </c>
      <c r="AC53" s="160">
        <f>E53+G53+I53+K53+M53+O53+Q53+S53+U53+W53+Y53+AA53</f>
        <v/>
      </c>
      <c r="AD53" s="161">
        <f>$AB53-$AC53</f>
        <v/>
      </c>
      <c r="AE53" s="162">
        <f>IFERROR($AC53/$AB53,0)</f>
        <v/>
      </c>
    </row>
    <row r="54">
      <c r="B54" s="156" t="n">
        <v>7</v>
      </c>
      <c r="C54" s="130">
        <f>IF(Dettes!$C$16="","",Dettes!$C$16)</f>
        <v/>
      </c>
      <c r="D54" s="158">
        <f>IF($C54="",0,N(Dettes!$I$16))</f>
        <v/>
      </c>
      <c r="E54" s="159">
        <f>IF($C54="",0,SUMIFS(J_Montant,J_Annee,Annee_Travail,J_Mois,1,J_Projet,$C54,J_Type,"Remboursement crédit",J_Statut,"&lt;&gt;Annulé",J_Statut,"&lt;&gt;Prévu"))</f>
        <v/>
      </c>
      <c r="F54" s="158">
        <f>IF($C54="",0,N(Dettes!$I$16))</f>
        <v/>
      </c>
      <c r="G54" s="159">
        <f>IF($C54="",0,SUMIFS(J_Montant,J_Annee,Annee_Travail,J_Mois,2,J_Projet,$C54,J_Type,"Remboursement crédit",J_Statut,"&lt;&gt;Annulé",J_Statut,"&lt;&gt;Prévu"))</f>
        <v/>
      </c>
      <c r="H54" s="158">
        <f>IF($C54="",0,N(Dettes!$I$16))</f>
        <v/>
      </c>
      <c r="I54" s="159">
        <f>IF($C54="",0,SUMIFS(J_Montant,J_Annee,Annee_Travail,J_Mois,3,J_Projet,$C54,J_Type,"Remboursement crédit",J_Statut,"&lt;&gt;Annulé",J_Statut,"&lt;&gt;Prévu"))</f>
        <v/>
      </c>
      <c r="J54" s="158">
        <f>IF($C54="",0,N(Dettes!$I$16))</f>
        <v/>
      </c>
      <c r="K54" s="159">
        <f>IF($C54="",0,SUMIFS(J_Montant,J_Annee,Annee_Travail,J_Mois,4,J_Projet,$C54,J_Type,"Remboursement crédit",J_Statut,"&lt;&gt;Annulé",J_Statut,"&lt;&gt;Prévu"))</f>
        <v/>
      </c>
      <c r="L54" s="158">
        <f>IF($C54="",0,N(Dettes!$I$16))</f>
        <v/>
      </c>
      <c r="M54" s="159">
        <f>IF($C54="",0,SUMIFS(J_Montant,J_Annee,Annee_Travail,J_Mois,5,J_Projet,$C54,J_Type,"Remboursement crédit",J_Statut,"&lt;&gt;Annulé",J_Statut,"&lt;&gt;Prévu"))</f>
        <v/>
      </c>
      <c r="N54" s="158">
        <f>IF($C54="",0,N(Dettes!$I$16))</f>
        <v/>
      </c>
      <c r="O54" s="159">
        <f>IF($C54="",0,SUMIFS(J_Montant,J_Annee,Annee_Travail,J_Mois,6,J_Projet,$C54,J_Type,"Remboursement crédit",J_Statut,"&lt;&gt;Annulé",J_Statut,"&lt;&gt;Prévu"))</f>
        <v/>
      </c>
      <c r="P54" s="158">
        <f>IF($C54="",0,N(Dettes!$I$16))</f>
        <v/>
      </c>
      <c r="Q54" s="159">
        <f>IF($C54="",0,SUMIFS(J_Montant,J_Annee,Annee_Travail,J_Mois,7,J_Projet,$C54,J_Type,"Remboursement crédit",J_Statut,"&lt;&gt;Annulé",J_Statut,"&lt;&gt;Prévu"))</f>
        <v/>
      </c>
      <c r="R54" s="158">
        <f>IF($C54="",0,N(Dettes!$I$16))</f>
        <v/>
      </c>
      <c r="S54" s="159">
        <f>IF($C54="",0,SUMIFS(J_Montant,J_Annee,Annee_Travail,J_Mois,8,J_Projet,$C54,J_Type,"Remboursement crédit",J_Statut,"&lt;&gt;Annulé",J_Statut,"&lt;&gt;Prévu"))</f>
        <v/>
      </c>
      <c r="T54" s="158">
        <f>IF($C54="",0,N(Dettes!$I$16))</f>
        <v/>
      </c>
      <c r="U54" s="159">
        <f>IF($C54="",0,SUMIFS(J_Montant,J_Annee,Annee_Travail,J_Mois,9,J_Projet,$C54,J_Type,"Remboursement crédit",J_Statut,"&lt;&gt;Annulé",J_Statut,"&lt;&gt;Prévu"))</f>
        <v/>
      </c>
      <c r="V54" s="158">
        <f>IF($C54="",0,N(Dettes!$I$16))</f>
        <v/>
      </c>
      <c r="W54" s="159">
        <f>IF($C54="",0,SUMIFS(J_Montant,J_Annee,Annee_Travail,J_Mois,10,J_Projet,$C54,J_Type,"Remboursement crédit",J_Statut,"&lt;&gt;Annulé",J_Statut,"&lt;&gt;Prévu"))</f>
        <v/>
      </c>
      <c r="X54" s="158">
        <f>IF($C54="",0,N(Dettes!$I$16))</f>
        <v/>
      </c>
      <c r="Y54" s="159">
        <f>IF($C54="",0,SUMIFS(J_Montant,J_Annee,Annee_Travail,J_Mois,11,J_Projet,$C54,J_Type,"Remboursement crédit",J_Statut,"&lt;&gt;Annulé",J_Statut,"&lt;&gt;Prévu"))</f>
        <v/>
      </c>
      <c r="Z54" s="158">
        <f>IF($C54="",0,N(Dettes!$I$16))</f>
        <v/>
      </c>
      <c r="AA54" s="159">
        <f>IF($C54="",0,SUMIFS(J_Montant,J_Annee,Annee_Travail,J_Mois,12,J_Projet,$C54,J_Type,"Remboursement crédit",J_Statut,"&lt;&gt;Annulé",J_Statut,"&lt;&gt;Prévu"))</f>
        <v/>
      </c>
      <c r="AB54" s="160">
        <f>D54+F54+H54+J54+L54+N54+P54+R54+T54+V54+X54+Z54</f>
        <v/>
      </c>
      <c r="AC54" s="160">
        <f>E54+G54+I54+K54+M54+O54+Q54+S54+U54+W54+Y54+AA54</f>
        <v/>
      </c>
      <c r="AD54" s="161">
        <f>$AB54-$AC54</f>
        <v/>
      </c>
      <c r="AE54" s="162">
        <f>IFERROR($AC54/$AB54,0)</f>
        <v/>
      </c>
    </row>
    <row r="55">
      <c r="B55" s="156" t="n">
        <v>8</v>
      </c>
      <c r="C55" s="130">
        <f>IF(Dettes!$C$17="","",Dettes!$C$17)</f>
        <v/>
      </c>
      <c r="D55" s="158">
        <f>IF($C55="",0,N(Dettes!$I$17))</f>
        <v/>
      </c>
      <c r="E55" s="159">
        <f>IF($C55="",0,SUMIFS(J_Montant,J_Annee,Annee_Travail,J_Mois,1,J_Projet,$C55,J_Type,"Remboursement crédit",J_Statut,"&lt;&gt;Annulé",J_Statut,"&lt;&gt;Prévu"))</f>
        <v/>
      </c>
      <c r="F55" s="158">
        <f>IF($C55="",0,N(Dettes!$I$17))</f>
        <v/>
      </c>
      <c r="G55" s="159">
        <f>IF($C55="",0,SUMIFS(J_Montant,J_Annee,Annee_Travail,J_Mois,2,J_Projet,$C55,J_Type,"Remboursement crédit",J_Statut,"&lt;&gt;Annulé",J_Statut,"&lt;&gt;Prévu"))</f>
        <v/>
      </c>
      <c r="H55" s="158">
        <f>IF($C55="",0,N(Dettes!$I$17))</f>
        <v/>
      </c>
      <c r="I55" s="159">
        <f>IF($C55="",0,SUMIFS(J_Montant,J_Annee,Annee_Travail,J_Mois,3,J_Projet,$C55,J_Type,"Remboursement crédit",J_Statut,"&lt;&gt;Annulé",J_Statut,"&lt;&gt;Prévu"))</f>
        <v/>
      </c>
      <c r="J55" s="158">
        <f>IF($C55="",0,N(Dettes!$I$17))</f>
        <v/>
      </c>
      <c r="K55" s="159">
        <f>IF($C55="",0,SUMIFS(J_Montant,J_Annee,Annee_Travail,J_Mois,4,J_Projet,$C55,J_Type,"Remboursement crédit",J_Statut,"&lt;&gt;Annulé",J_Statut,"&lt;&gt;Prévu"))</f>
        <v/>
      </c>
      <c r="L55" s="158">
        <f>IF($C55="",0,N(Dettes!$I$17))</f>
        <v/>
      </c>
      <c r="M55" s="159">
        <f>IF($C55="",0,SUMIFS(J_Montant,J_Annee,Annee_Travail,J_Mois,5,J_Projet,$C55,J_Type,"Remboursement crédit",J_Statut,"&lt;&gt;Annulé",J_Statut,"&lt;&gt;Prévu"))</f>
        <v/>
      </c>
      <c r="N55" s="158">
        <f>IF($C55="",0,N(Dettes!$I$17))</f>
        <v/>
      </c>
      <c r="O55" s="159">
        <f>IF($C55="",0,SUMIFS(J_Montant,J_Annee,Annee_Travail,J_Mois,6,J_Projet,$C55,J_Type,"Remboursement crédit",J_Statut,"&lt;&gt;Annulé",J_Statut,"&lt;&gt;Prévu"))</f>
        <v/>
      </c>
      <c r="P55" s="158">
        <f>IF($C55="",0,N(Dettes!$I$17))</f>
        <v/>
      </c>
      <c r="Q55" s="159">
        <f>IF($C55="",0,SUMIFS(J_Montant,J_Annee,Annee_Travail,J_Mois,7,J_Projet,$C55,J_Type,"Remboursement crédit",J_Statut,"&lt;&gt;Annulé",J_Statut,"&lt;&gt;Prévu"))</f>
        <v/>
      </c>
      <c r="R55" s="158">
        <f>IF($C55="",0,N(Dettes!$I$17))</f>
        <v/>
      </c>
      <c r="S55" s="159">
        <f>IF($C55="",0,SUMIFS(J_Montant,J_Annee,Annee_Travail,J_Mois,8,J_Projet,$C55,J_Type,"Remboursement crédit",J_Statut,"&lt;&gt;Annulé",J_Statut,"&lt;&gt;Prévu"))</f>
        <v/>
      </c>
      <c r="T55" s="158">
        <f>IF($C55="",0,N(Dettes!$I$17))</f>
        <v/>
      </c>
      <c r="U55" s="159">
        <f>IF($C55="",0,SUMIFS(J_Montant,J_Annee,Annee_Travail,J_Mois,9,J_Projet,$C55,J_Type,"Remboursement crédit",J_Statut,"&lt;&gt;Annulé",J_Statut,"&lt;&gt;Prévu"))</f>
        <v/>
      </c>
      <c r="V55" s="158">
        <f>IF($C55="",0,N(Dettes!$I$17))</f>
        <v/>
      </c>
      <c r="W55" s="159">
        <f>IF($C55="",0,SUMIFS(J_Montant,J_Annee,Annee_Travail,J_Mois,10,J_Projet,$C55,J_Type,"Remboursement crédit",J_Statut,"&lt;&gt;Annulé",J_Statut,"&lt;&gt;Prévu"))</f>
        <v/>
      </c>
      <c r="X55" s="158">
        <f>IF($C55="",0,N(Dettes!$I$17))</f>
        <v/>
      </c>
      <c r="Y55" s="159">
        <f>IF($C55="",0,SUMIFS(J_Montant,J_Annee,Annee_Travail,J_Mois,11,J_Projet,$C55,J_Type,"Remboursement crédit",J_Statut,"&lt;&gt;Annulé",J_Statut,"&lt;&gt;Prévu"))</f>
        <v/>
      </c>
      <c r="Z55" s="158">
        <f>IF($C55="",0,N(Dettes!$I$17))</f>
        <v/>
      </c>
      <c r="AA55" s="159">
        <f>IF($C55="",0,SUMIFS(J_Montant,J_Annee,Annee_Travail,J_Mois,12,J_Projet,$C55,J_Type,"Remboursement crédit",J_Statut,"&lt;&gt;Annulé",J_Statut,"&lt;&gt;Prévu"))</f>
        <v/>
      </c>
      <c r="AB55" s="160">
        <f>D55+F55+H55+J55+L55+N55+P55+R55+T55+V55+X55+Z55</f>
        <v/>
      </c>
      <c r="AC55" s="160">
        <f>E55+G55+I55+K55+M55+O55+Q55+S55+U55+W55+Y55+AA55</f>
        <v/>
      </c>
      <c r="AD55" s="161">
        <f>$AB55-$AC55</f>
        <v/>
      </c>
      <c r="AE55" s="162">
        <f>IFERROR($AC55/$AB55,0)</f>
        <v/>
      </c>
    </row>
    <row r="56">
      <c r="B56" s="156" t="n">
        <v>9</v>
      </c>
      <c r="C56" s="130">
        <f>IF(Dettes!$C$18="","",Dettes!$C$18)</f>
        <v/>
      </c>
      <c r="D56" s="158">
        <f>IF($C56="",0,N(Dettes!$I$18))</f>
        <v/>
      </c>
      <c r="E56" s="159">
        <f>IF($C56="",0,SUMIFS(J_Montant,J_Annee,Annee_Travail,J_Mois,1,J_Projet,$C56,J_Type,"Remboursement crédit",J_Statut,"&lt;&gt;Annulé",J_Statut,"&lt;&gt;Prévu"))</f>
        <v/>
      </c>
      <c r="F56" s="158">
        <f>IF($C56="",0,N(Dettes!$I$18))</f>
        <v/>
      </c>
      <c r="G56" s="159">
        <f>IF($C56="",0,SUMIFS(J_Montant,J_Annee,Annee_Travail,J_Mois,2,J_Projet,$C56,J_Type,"Remboursement crédit",J_Statut,"&lt;&gt;Annulé",J_Statut,"&lt;&gt;Prévu"))</f>
        <v/>
      </c>
      <c r="H56" s="158">
        <f>IF($C56="",0,N(Dettes!$I$18))</f>
        <v/>
      </c>
      <c r="I56" s="159">
        <f>IF($C56="",0,SUMIFS(J_Montant,J_Annee,Annee_Travail,J_Mois,3,J_Projet,$C56,J_Type,"Remboursement crédit",J_Statut,"&lt;&gt;Annulé",J_Statut,"&lt;&gt;Prévu"))</f>
        <v/>
      </c>
      <c r="J56" s="158">
        <f>IF($C56="",0,N(Dettes!$I$18))</f>
        <v/>
      </c>
      <c r="K56" s="159">
        <f>IF($C56="",0,SUMIFS(J_Montant,J_Annee,Annee_Travail,J_Mois,4,J_Projet,$C56,J_Type,"Remboursement crédit",J_Statut,"&lt;&gt;Annulé",J_Statut,"&lt;&gt;Prévu"))</f>
        <v/>
      </c>
      <c r="L56" s="158">
        <f>IF($C56="",0,N(Dettes!$I$18))</f>
        <v/>
      </c>
      <c r="M56" s="159">
        <f>IF($C56="",0,SUMIFS(J_Montant,J_Annee,Annee_Travail,J_Mois,5,J_Projet,$C56,J_Type,"Remboursement crédit",J_Statut,"&lt;&gt;Annulé",J_Statut,"&lt;&gt;Prévu"))</f>
        <v/>
      </c>
      <c r="N56" s="158">
        <f>IF($C56="",0,N(Dettes!$I$18))</f>
        <v/>
      </c>
      <c r="O56" s="159">
        <f>IF($C56="",0,SUMIFS(J_Montant,J_Annee,Annee_Travail,J_Mois,6,J_Projet,$C56,J_Type,"Remboursement crédit",J_Statut,"&lt;&gt;Annulé",J_Statut,"&lt;&gt;Prévu"))</f>
        <v/>
      </c>
      <c r="P56" s="158">
        <f>IF($C56="",0,N(Dettes!$I$18))</f>
        <v/>
      </c>
      <c r="Q56" s="159">
        <f>IF($C56="",0,SUMIFS(J_Montant,J_Annee,Annee_Travail,J_Mois,7,J_Projet,$C56,J_Type,"Remboursement crédit",J_Statut,"&lt;&gt;Annulé",J_Statut,"&lt;&gt;Prévu"))</f>
        <v/>
      </c>
      <c r="R56" s="158">
        <f>IF($C56="",0,N(Dettes!$I$18))</f>
        <v/>
      </c>
      <c r="S56" s="159">
        <f>IF($C56="",0,SUMIFS(J_Montant,J_Annee,Annee_Travail,J_Mois,8,J_Projet,$C56,J_Type,"Remboursement crédit",J_Statut,"&lt;&gt;Annulé",J_Statut,"&lt;&gt;Prévu"))</f>
        <v/>
      </c>
      <c r="T56" s="158">
        <f>IF($C56="",0,N(Dettes!$I$18))</f>
        <v/>
      </c>
      <c r="U56" s="159">
        <f>IF($C56="",0,SUMIFS(J_Montant,J_Annee,Annee_Travail,J_Mois,9,J_Projet,$C56,J_Type,"Remboursement crédit",J_Statut,"&lt;&gt;Annulé",J_Statut,"&lt;&gt;Prévu"))</f>
        <v/>
      </c>
      <c r="V56" s="158">
        <f>IF($C56="",0,N(Dettes!$I$18))</f>
        <v/>
      </c>
      <c r="W56" s="159">
        <f>IF($C56="",0,SUMIFS(J_Montant,J_Annee,Annee_Travail,J_Mois,10,J_Projet,$C56,J_Type,"Remboursement crédit",J_Statut,"&lt;&gt;Annulé",J_Statut,"&lt;&gt;Prévu"))</f>
        <v/>
      </c>
      <c r="X56" s="158">
        <f>IF($C56="",0,N(Dettes!$I$18))</f>
        <v/>
      </c>
      <c r="Y56" s="159">
        <f>IF($C56="",0,SUMIFS(J_Montant,J_Annee,Annee_Travail,J_Mois,11,J_Projet,$C56,J_Type,"Remboursement crédit",J_Statut,"&lt;&gt;Annulé",J_Statut,"&lt;&gt;Prévu"))</f>
        <v/>
      </c>
      <c r="Z56" s="158">
        <f>IF($C56="",0,N(Dettes!$I$18))</f>
        <v/>
      </c>
      <c r="AA56" s="159">
        <f>IF($C56="",0,SUMIFS(J_Montant,J_Annee,Annee_Travail,J_Mois,12,J_Projet,$C56,J_Type,"Remboursement crédit",J_Statut,"&lt;&gt;Annulé",J_Statut,"&lt;&gt;Prévu"))</f>
        <v/>
      </c>
      <c r="AB56" s="160">
        <f>D56+F56+H56+J56+L56+N56+P56+R56+T56+V56+X56+Z56</f>
        <v/>
      </c>
      <c r="AC56" s="160">
        <f>E56+G56+I56+K56+M56+O56+Q56+S56+U56+W56+Y56+AA56</f>
        <v/>
      </c>
      <c r="AD56" s="161">
        <f>$AB56-$AC56</f>
        <v/>
      </c>
      <c r="AE56" s="162">
        <f>IFERROR($AC56/$AB56,0)</f>
        <v/>
      </c>
    </row>
    <row r="57">
      <c r="B57" s="156" t="n">
        <v>10</v>
      </c>
      <c r="C57" s="130">
        <f>IF(Dettes!$C$19="","",Dettes!$C$19)</f>
        <v/>
      </c>
      <c r="D57" s="158">
        <f>IF($C57="",0,N(Dettes!$I$19))</f>
        <v/>
      </c>
      <c r="E57" s="159">
        <f>IF($C57="",0,SUMIFS(J_Montant,J_Annee,Annee_Travail,J_Mois,1,J_Projet,$C57,J_Type,"Remboursement crédit",J_Statut,"&lt;&gt;Annulé",J_Statut,"&lt;&gt;Prévu"))</f>
        <v/>
      </c>
      <c r="F57" s="158">
        <f>IF($C57="",0,N(Dettes!$I$19))</f>
        <v/>
      </c>
      <c r="G57" s="159">
        <f>IF($C57="",0,SUMIFS(J_Montant,J_Annee,Annee_Travail,J_Mois,2,J_Projet,$C57,J_Type,"Remboursement crédit",J_Statut,"&lt;&gt;Annulé",J_Statut,"&lt;&gt;Prévu"))</f>
        <v/>
      </c>
      <c r="H57" s="158">
        <f>IF($C57="",0,N(Dettes!$I$19))</f>
        <v/>
      </c>
      <c r="I57" s="159">
        <f>IF($C57="",0,SUMIFS(J_Montant,J_Annee,Annee_Travail,J_Mois,3,J_Projet,$C57,J_Type,"Remboursement crédit",J_Statut,"&lt;&gt;Annulé",J_Statut,"&lt;&gt;Prévu"))</f>
        <v/>
      </c>
      <c r="J57" s="158">
        <f>IF($C57="",0,N(Dettes!$I$19))</f>
        <v/>
      </c>
      <c r="K57" s="159">
        <f>IF($C57="",0,SUMIFS(J_Montant,J_Annee,Annee_Travail,J_Mois,4,J_Projet,$C57,J_Type,"Remboursement crédit",J_Statut,"&lt;&gt;Annulé",J_Statut,"&lt;&gt;Prévu"))</f>
        <v/>
      </c>
      <c r="L57" s="158">
        <f>IF($C57="",0,N(Dettes!$I$19))</f>
        <v/>
      </c>
      <c r="M57" s="159">
        <f>IF($C57="",0,SUMIFS(J_Montant,J_Annee,Annee_Travail,J_Mois,5,J_Projet,$C57,J_Type,"Remboursement crédit",J_Statut,"&lt;&gt;Annulé",J_Statut,"&lt;&gt;Prévu"))</f>
        <v/>
      </c>
      <c r="N57" s="158">
        <f>IF($C57="",0,N(Dettes!$I$19))</f>
        <v/>
      </c>
      <c r="O57" s="159">
        <f>IF($C57="",0,SUMIFS(J_Montant,J_Annee,Annee_Travail,J_Mois,6,J_Projet,$C57,J_Type,"Remboursement crédit",J_Statut,"&lt;&gt;Annulé",J_Statut,"&lt;&gt;Prévu"))</f>
        <v/>
      </c>
      <c r="P57" s="158">
        <f>IF($C57="",0,N(Dettes!$I$19))</f>
        <v/>
      </c>
      <c r="Q57" s="159">
        <f>IF($C57="",0,SUMIFS(J_Montant,J_Annee,Annee_Travail,J_Mois,7,J_Projet,$C57,J_Type,"Remboursement crédit",J_Statut,"&lt;&gt;Annulé",J_Statut,"&lt;&gt;Prévu"))</f>
        <v/>
      </c>
      <c r="R57" s="158">
        <f>IF($C57="",0,N(Dettes!$I$19))</f>
        <v/>
      </c>
      <c r="S57" s="159">
        <f>IF($C57="",0,SUMIFS(J_Montant,J_Annee,Annee_Travail,J_Mois,8,J_Projet,$C57,J_Type,"Remboursement crédit",J_Statut,"&lt;&gt;Annulé",J_Statut,"&lt;&gt;Prévu"))</f>
        <v/>
      </c>
      <c r="T57" s="158">
        <f>IF($C57="",0,N(Dettes!$I$19))</f>
        <v/>
      </c>
      <c r="U57" s="159">
        <f>IF($C57="",0,SUMIFS(J_Montant,J_Annee,Annee_Travail,J_Mois,9,J_Projet,$C57,J_Type,"Remboursement crédit",J_Statut,"&lt;&gt;Annulé",J_Statut,"&lt;&gt;Prévu"))</f>
        <v/>
      </c>
      <c r="V57" s="158">
        <f>IF($C57="",0,N(Dettes!$I$19))</f>
        <v/>
      </c>
      <c r="W57" s="159">
        <f>IF($C57="",0,SUMIFS(J_Montant,J_Annee,Annee_Travail,J_Mois,10,J_Projet,$C57,J_Type,"Remboursement crédit",J_Statut,"&lt;&gt;Annulé",J_Statut,"&lt;&gt;Prévu"))</f>
        <v/>
      </c>
      <c r="X57" s="158">
        <f>IF($C57="",0,N(Dettes!$I$19))</f>
        <v/>
      </c>
      <c r="Y57" s="159">
        <f>IF($C57="",0,SUMIFS(J_Montant,J_Annee,Annee_Travail,J_Mois,11,J_Projet,$C57,J_Type,"Remboursement crédit",J_Statut,"&lt;&gt;Annulé",J_Statut,"&lt;&gt;Prévu"))</f>
        <v/>
      </c>
      <c r="Z57" s="158">
        <f>IF($C57="",0,N(Dettes!$I$19))</f>
        <v/>
      </c>
      <c r="AA57" s="159">
        <f>IF($C57="",0,SUMIFS(J_Montant,J_Annee,Annee_Travail,J_Mois,12,J_Projet,$C57,J_Type,"Remboursement crédit",J_Statut,"&lt;&gt;Annulé",J_Statut,"&lt;&gt;Prévu"))</f>
        <v/>
      </c>
      <c r="AB57" s="160">
        <f>D57+F57+H57+J57+L57+N57+P57+R57+T57+V57+X57+Z57</f>
        <v/>
      </c>
      <c r="AC57" s="160">
        <f>E57+G57+I57+K57+M57+O57+Q57+S57+U57+W57+Y57+AA57</f>
        <v/>
      </c>
      <c r="AD57" s="161">
        <f>$AB57-$AC57</f>
        <v/>
      </c>
      <c r="AE57" s="162">
        <f>IFERROR($AC57/$AB57,0)</f>
        <v/>
      </c>
    </row>
    <row r="58">
      <c r="B58" s="156" t="n">
        <v>11</v>
      </c>
      <c r="C58" s="157" t="inlineStr">
        <is>
          <t>Autres remboursements non rattachés à un crédit</t>
        </is>
      </c>
      <c r="D58" s="158">
        <f>0</f>
        <v/>
      </c>
      <c r="E58" s="159">
        <f>MAX(0,SUMIFS(J_Montant,J_Annee,Annee_Travail,J_Mois,1,J_Type,"Remboursement crédit",J_Statut,"&lt;&gt;Annulé",J_Statut,"&lt;&gt;Prévu")-SUM(E48:E57))</f>
        <v/>
      </c>
      <c r="F58" s="158">
        <f>0</f>
        <v/>
      </c>
      <c r="G58" s="159">
        <f>MAX(0,SUMIFS(J_Montant,J_Annee,Annee_Travail,J_Mois,2,J_Type,"Remboursement crédit",J_Statut,"&lt;&gt;Annulé",J_Statut,"&lt;&gt;Prévu")-SUM(G48:G57))</f>
        <v/>
      </c>
      <c r="H58" s="158">
        <f>0</f>
        <v/>
      </c>
      <c r="I58" s="159">
        <f>MAX(0,SUMIFS(J_Montant,J_Annee,Annee_Travail,J_Mois,3,J_Type,"Remboursement crédit",J_Statut,"&lt;&gt;Annulé",J_Statut,"&lt;&gt;Prévu")-SUM(I48:I57))</f>
        <v/>
      </c>
      <c r="J58" s="158">
        <f>0</f>
        <v/>
      </c>
      <c r="K58" s="159">
        <f>MAX(0,SUMIFS(J_Montant,J_Annee,Annee_Travail,J_Mois,4,J_Type,"Remboursement crédit",J_Statut,"&lt;&gt;Annulé",J_Statut,"&lt;&gt;Prévu")-SUM(K48:K57))</f>
        <v/>
      </c>
      <c r="L58" s="158">
        <f>0</f>
        <v/>
      </c>
      <c r="M58" s="159">
        <f>MAX(0,SUMIFS(J_Montant,J_Annee,Annee_Travail,J_Mois,5,J_Type,"Remboursement crédit",J_Statut,"&lt;&gt;Annulé",J_Statut,"&lt;&gt;Prévu")-SUM(M48:M57))</f>
        <v/>
      </c>
      <c r="N58" s="158">
        <f>0</f>
        <v/>
      </c>
      <c r="O58" s="159">
        <f>MAX(0,SUMIFS(J_Montant,J_Annee,Annee_Travail,J_Mois,6,J_Type,"Remboursement crédit",J_Statut,"&lt;&gt;Annulé",J_Statut,"&lt;&gt;Prévu")-SUM(O48:O57))</f>
        <v/>
      </c>
      <c r="P58" s="158">
        <f>0</f>
        <v/>
      </c>
      <c r="Q58" s="159">
        <f>MAX(0,SUMIFS(J_Montant,J_Annee,Annee_Travail,J_Mois,7,J_Type,"Remboursement crédit",J_Statut,"&lt;&gt;Annulé",J_Statut,"&lt;&gt;Prévu")-SUM(Q48:Q57))</f>
        <v/>
      </c>
      <c r="R58" s="158">
        <f>0</f>
        <v/>
      </c>
      <c r="S58" s="159">
        <f>MAX(0,SUMIFS(J_Montant,J_Annee,Annee_Travail,J_Mois,8,J_Type,"Remboursement crédit",J_Statut,"&lt;&gt;Annulé",J_Statut,"&lt;&gt;Prévu")-SUM(S48:S57))</f>
        <v/>
      </c>
      <c r="T58" s="158">
        <f>0</f>
        <v/>
      </c>
      <c r="U58" s="159">
        <f>MAX(0,SUMIFS(J_Montant,J_Annee,Annee_Travail,J_Mois,9,J_Type,"Remboursement crédit",J_Statut,"&lt;&gt;Annulé",J_Statut,"&lt;&gt;Prévu")-SUM(U48:U57))</f>
        <v/>
      </c>
      <c r="V58" s="158">
        <f>0</f>
        <v/>
      </c>
      <c r="W58" s="159">
        <f>MAX(0,SUMIFS(J_Montant,J_Annee,Annee_Travail,J_Mois,10,J_Type,"Remboursement crédit",J_Statut,"&lt;&gt;Annulé",J_Statut,"&lt;&gt;Prévu")-SUM(W48:W57))</f>
        <v/>
      </c>
      <c r="X58" s="158">
        <f>0</f>
        <v/>
      </c>
      <c r="Y58" s="159">
        <f>MAX(0,SUMIFS(J_Montant,J_Annee,Annee_Travail,J_Mois,11,J_Type,"Remboursement crédit",J_Statut,"&lt;&gt;Annulé",J_Statut,"&lt;&gt;Prévu")-SUM(Y48:Y57))</f>
        <v/>
      </c>
      <c r="Z58" s="158">
        <f>0</f>
        <v/>
      </c>
      <c r="AA58" s="159">
        <f>MAX(0,SUMIFS(J_Montant,J_Annee,Annee_Travail,J_Mois,12,J_Type,"Remboursement crédit",J_Statut,"&lt;&gt;Annulé",J_Statut,"&lt;&gt;Prévu")-SUM(AA48:AA57))</f>
        <v/>
      </c>
      <c r="AB58" s="160">
        <f>D58+F58+H58+J58+L58+N58+P58+R58+T58+V58+X58+Z58</f>
        <v/>
      </c>
      <c r="AC58" s="160">
        <f>E58+G58+I58+K58+M58+O58+Q58+S58+U58+W58+Y58+AA58</f>
        <v/>
      </c>
      <c r="AD58" s="161">
        <f>$AB58-$AC58</f>
        <v/>
      </c>
      <c r="AE58" s="162">
        <f>IFERROR($AC58/$AB58,0)</f>
        <v/>
      </c>
    </row>
    <row r="59">
      <c r="B59" s="178" t="n"/>
      <c r="C59" s="178" t="inlineStr">
        <is>
          <t>TOTAL CRÉDITS &amp; DETTES</t>
        </is>
      </c>
      <c r="D59" s="179">
        <f>SUM(D48:D58)</f>
        <v/>
      </c>
      <c r="E59" s="179">
        <f>SUM(E48:E58)</f>
        <v/>
      </c>
      <c r="F59" s="179">
        <f>SUM(F48:F58)</f>
        <v/>
      </c>
      <c r="G59" s="179">
        <f>SUM(G48:G58)</f>
        <v/>
      </c>
      <c r="H59" s="179">
        <f>SUM(H48:H58)</f>
        <v/>
      </c>
      <c r="I59" s="179">
        <f>SUM(I48:I58)</f>
        <v/>
      </c>
      <c r="J59" s="179">
        <f>SUM(J48:J58)</f>
        <v/>
      </c>
      <c r="K59" s="179">
        <f>SUM(K48:K58)</f>
        <v/>
      </c>
      <c r="L59" s="179">
        <f>SUM(L48:L58)</f>
        <v/>
      </c>
      <c r="M59" s="179">
        <f>SUM(M48:M58)</f>
        <v/>
      </c>
      <c r="N59" s="179">
        <f>SUM(N48:N58)</f>
        <v/>
      </c>
      <c r="O59" s="179">
        <f>SUM(O48:O58)</f>
        <v/>
      </c>
      <c r="P59" s="179">
        <f>SUM(P48:P58)</f>
        <v/>
      </c>
      <c r="Q59" s="179">
        <f>SUM(Q48:Q58)</f>
        <v/>
      </c>
      <c r="R59" s="179">
        <f>SUM(R48:R58)</f>
        <v/>
      </c>
      <c r="S59" s="179">
        <f>SUM(S48:S58)</f>
        <v/>
      </c>
      <c r="T59" s="179">
        <f>SUM(T48:T58)</f>
        <v/>
      </c>
      <c r="U59" s="179">
        <f>SUM(U48:U58)</f>
        <v/>
      </c>
      <c r="V59" s="179">
        <f>SUM(V48:V58)</f>
        <v/>
      </c>
      <c r="W59" s="179">
        <f>SUM(W48:W58)</f>
        <v/>
      </c>
      <c r="X59" s="179">
        <f>SUM(X48:X58)</f>
        <v/>
      </c>
      <c r="Y59" s="179">
        <f>SUM(Y48:Y58)</f>
        <v/>
      </c>
      <c r="Z59" s="179">
        <f>SUM(Z48:Z58)</f>
        <v/>
      </c>
      <c r="AA59" s="179">
        <f>SUM(AA48:AA58)</f>
        <v/>
      </c>
      <c r="AB59" s="165">
        <f>D59+F59+H59+J59+L59+N59+P59+R59+T59+V59+X59+Z59</f>
        <v/>
      </c>
      <c r="AC59" s="165">
        <f>E59+G59+I59+K59+M59+O59+Q59+S59+U59+W59+Y59+AA59</f>
        <v/>
      </c>
      <c r="AD59" s="166">
        <f>$AB59-$AC59</f>
        <v/>
      </c>
      <c r="AE59" s="167">
        <f>IFERROR($AC59/$AB59,0)</f>
        <v/>
      </c>
    </row>
    <row r="60">
      <c r="B60" s="131" t="n"/>
      <c r="C60" s="131" t="n"/>
      <c r="D60" s="168" t="n"/>
      <c r="E60" s="169" t="n"/>
      <c r="F60" s="168" t="n"/>
      <c r="G60" s="169" t="n"/>
      <c r="H60" s="168" t="n"/>
      <c r="I60" s="169" t="n"/>
      <c r="J60" s="168" t="n"/>
      <c r="K60" s="169" t="n"/>
      <c r="L60" s="168" t="n"/>
      <c r="M60" s="169" t="n"/>
      <c r="N60" s="168" t="n"/>
      <c r="O60" s="169" t="n"/>
      <c r="P60" s="168" t="n"/>
      <c r="Q60" s="169" t="n"/>
      <c r="R60" s="168" t="n"/>
      <c r="S60" s="169" t="n"/>
      <c r="T60" s="168" t="n"/>
      <c r="U60" s="169" t="n"/>
      <c r="V60" s="168" t="n"/>
      <c r="W60" s="169" t="n"/>
      <c r="X60" s="168" t="n"/>
      <c r="Y60" s="169" t="n"/>
      <c r="Z60" s="168" t="n"/>
      <c r="AA60" s="169" t="n"/>
      <c r="AB60" s="154" t="n"/>
      <c r="AC60" s="154" t="n"/>
      <c r="AD60" s="155" t="n"/>
      <c r="AE60" s="155" t="n"/>
    </row>
    <row r="61" ht="24" customHeight="1">
      <c r="B61" s="180" t="inlineStr">
        <is>
          <t>D ▸ DÉPENSES COURANTES  (module Général)</t>
        </is>
      </c>
      <c r="C61" s="181" t="n"/>
      <c r="D61" s="182" t="n"/>
      <c r="E61" s="182" t="n"/>
      <c r="F61" s="182" t="n"/>
      <c r="G61" s="182" t="n"/>
      <c r="H61" s="182" t="n"/>
      <c r="I61" s="182" t="n"/>
      <c r="J61" s="182" t="n"/>
      <c r="K61" s="182" t="n"/>
      <c r="L61" s="182" t="n"/>
      <c r="M61" s="182" t="n"/>
      <c r="N61" s="182" t="n"/>
      <c r="O61" s="182" t="n"/>
      <c r="P61" s="182" t="n"/>
      <c r="Q61" s="182" t="n"/>
      <c r="R61" s="182" t="n"/>
      <c r="S61" s="182" t="n"/>
      <c r="T61" s="182" t="n"/>
      <c r="U61" s="182" t="n"/>
      <c r="V61" s="182" t="n"/>
      <c r="W61" s="182" t="n"/>
      <c r="X61" s="182" t="n"/>
      <c r="Y61" s="182" t="n"/>
      <c r="Z61" s="182" t="n"/>
      <c r="AA61" s="182" t="n"/>
      <c r="AB61" s="154" t="n"/>
      <c r="AC61" s="154" t="n"/>
      <c r="AD61" s="155" t="n"/>
      <c r="AE61" s="155" t="n"/>
    </row>
    <row r="62">
      <c r="B62" s="156" t="n">
        <v>1</v>
      </c>
      <c r="C62" s="157" t="inlineStr">
        <is>
          <t>Loyer</t>
        </is>
      </c>
      <c r="D62" s="158">
        <f>IF($C62="",0,SUMIFS(P_M1,P_Annee,Annee_Travail,P_Cat,$C62,P_Type,"Dépense",P_Module,"Général"))</f>
        <v/>
      </c>
      <c r="E62" s="159">
        <f>IF($C62="",0,SUMIFS(J_Montant,J_Annee,Annee_Travail,J_Mois,1,J_Module,"Général",J_Cat,$C62,J_Type,"Dépense",J_Statut,"&lt;&gt;Annulé",J_Statut,"&lt;&gt;Prévu"))</f>
        <v/>
      </c>
      <c r="F62" s="158">
        <f>IF($C62="",0,SUMIFS(P_M2,P_Annee,Annee_Travail,P_Cat,$C62,P_Type,"Dépense",P_Module,"Général"))</f>
        <v/>
      </c>
      <c r="G62" s="159">
        <f>IF($C62="",0,SUMIFS(J_Montant,J_Annee,Annee_Travail,J_Mois,2,J_Module,"Général",J_Cat,$C62,J_Type,"Dépense",J_Statut,"&lt;&gt;Annulé",J_Statut,"&lt;&gt;Prévu"))</f>
        <v/>
      </c>
      <c r="H62" s="158">
        <f>IF($C62="",0,SUMIFS(P_M3,P_Annee,Annee_Travail,P_Cat,$C62,P_Type,"Dépense",P_Module,"Général"))</f>
        <v/>
      </c>
      <c r="I62" s="159">
        <f>IF($C62="",0,SUMIFS(J_Montant,J_Annee,Annee_Travail,J_Mois,3,J_Module,"Général",J_Cat,$C62,J_Type,"Dépense",J_Statut,"&lt;&gt;Annulé",J_Statut,"&lt;&gt;Prévu"))</f>
        <v/>
      </c>
      <c r="J62" s="158">
        <f>IF($C62="",0,SUMIFS(P_M4,P_Annee,Annee_Travail,P_Cat,$C62,P_Type,"Dépense",P_Module,"Général"))</f>
        <v/>
      </c>
      <c r="K62" s="159">
        <f>IF($C62="",0,SUMIFS(J_Montant,J_Annee,Annee_Travail,J_Mois,4,J_Module,"Général",J_Cat,$C62,J_Type,"Dépense",J_Statut,"&lt;&gt;Annulé",J_Statut,"&lt;&gt;Prévu"))</f>
        <v/>
      </c>
      <c r="L62" s="158">
        <f>IF($C62="",0,SUMIFS(P_M5,P_Annee,Annee_Travail,P_Cat,$C62,P_Type,"Dépense",P_Module,"Général"))</f>
        <v/>
      </c>
      <c r="M62" s="159">
        <f>IF($C62="",0,SUMIFS(J_Montant,J_Annee,Annee_Travail,J_Mois,5,J_Module,"Général",J_Cat,$C62,J_Type,"Dépense",J_Statut,"&lt;&gt;Annulé",J_Statut,"&lt;&gt;Prévu"))</f>
        <v/>
      </c>
      <c r="N62" s="158">
        <f>IF($C62="",0,SUMIFS(P_M6,P_Annee,Annee_Travail,P_Cat,$C62,P_Type,"Dépense",P_Module,"Général"))</f>
        <v/>
      </c>
      <c r="O62" s="159">
        <f>IF($C62="",0,SUMIFS(J_Montant,J_Annee,Annee_Travail,J_Mois,6,J_Module,"Général",J_Cat,$C62,J_Type,"Dépense",J_Statut,"&lt;&gt;Annulé",J_Statut,"&lt;&gt;Prévu"))</f>
        <v/>
      </c>
      <c r="P62" s="158">
        <f>IF($C62="",0,SUMIFS(P_M7,P_Annee,Annee_Travail,P_Cat,$C62,P_Type,"Dépense",P_Module,"Général"))</f>
        <v/>
      </c>
      <c r="Q62" s="159">
        <f>IF($C62="",0,SUMIFS(J_Montant,J_Annee,Annee_Travail,J_Mois,7,J_Module,"Général",J_Cat,$C62,J_Type,"Dépense",J_Statut,"&lt;&gt;Annulé",J_Statut,"&lt;&gt;Prévu"))</f>
        <v/>
      </c>
      <c r="R62" s="158">
        <f>IF($C62="",0,SUMIFS(P_M8,P_Annee,Annee_Travail,P_Cat,$C62,P_Type,"Dépense",P_Module,"Général"))</f>
        <v/>
      </c>
      <c r="S62" s="159">
        <f>IF($C62="",0,SUMIFS(J_Montant,J_Annee,Annee_Travail,J_Mois,8,J_Module,"Général",J_Cat,$C62,J_Type,"Dépense",J_Statut,"&lt;&gt;Annulé",J_Statut,"&lt;&gt;Prévu"))</f>
        <v/>
      </c>
      <c r="T62" s="158">
        <f>IF($C62="",0,SUMIFS(P_M9,P_Annee,Annee_Travail,P_Cat,$C62,P_Type,"Dépense",P_Module,"Général"))</f>
        <v/>
      </c>
      <c r="U62" s="159">
        <f>IF($C62="",0,SUMIFS(J_Montant,J_Annee,Annee_Travail,J_Mois,9,J_Module,"Général",J_Cat,$C62,J_Type,"Dépense",J_Statut,"&lt;&gt;Annulé",J_Statut,"&lt;&gt;Prévu"))</f>
        <v/>
      </c>
      <c r="V62" s="158">
        <f>IF($C62="",0,SUMIFS(P_M10,P_Annee,Annee_Travail,P_Cat,$C62,P_Type,"Dépense",P_Module,"Général"))</f>
        <v/>
      </c>
      <c r="W62" s="159">
        <f>IF($C62="",0,SUMIFS(J_Montant,J_Annee,Annee_Travail,J_Mois,10,J_Module,"Général",J_Cat,$C62,J_Type,"Dépense",J_Statut,"&lt;&gt;Annulé",J_Statut,"&lt;&gt;Prévu"))</f>
        <v/>
      </c>
      <c r="X62" s="158">
        <f>IF($C62="",0,SUMIFS(P_M11,P_Annee,Annee_Travail,P_Cat,$C62,P_Type,"Dépense",P_Module,"Général"))</f>
        <v/>
      </c>
      <c r="Y62" s="159">
        <f>IF($C62="",0,SUMIFS(J_Montant,J_Annee,Annee_Travail,J_Mois,11,J_Module,"Général",J_Cat,$C62,J_Type,"Dépense",J_Statut,"&lt;&gt;Annulé",J_Statut,"&lt;&gt;Prévu"))</f>
        <v/>
      </c>
      <c r="Z62" s="158">
        <f>IF($C62="",0,SUMIFS(P_M12,P_Annee,Annee_Travail,P_Cat,$C62,P_Type,"Dépense",P_Module,"Général"))</f>
        <v/>
      </c>
      <c r="AA62" s="159">
        <f>IF($C62="",0,SUMIFS(J_Montant,J_Annee,Annee_Travail,J_Mois,12,J_Module,"Général",J_Cat,$C62,J_Type,"Dépense",J_Statut,"&lt;&gt;Annulé",J_Statut,"&lt;&gt;Prévu"))</f>
        <v/>
      </c>
      <c r="AB62" s="160">
        <f>D62+F62+H62+J62+L62+N62+P62+R62+T62+V62+X62+Z62</f>
        <v/>
      </c>
      <c r="AC62" s="160">
        <f>E62+G62+I62+K62+M62+O62+Q62+S62+U62+W62+Y62+AA62</f>
        <v/>
      </c>
      <c r="AD62" s="161">
        <f>$AB62-$AC62</f>
        <v/>
      </c>
      <c r="AE62" s="162">
        <f>IFERROR($AC62/$AB62,0)</f>
        <v/>
      </c>
    </row>
    <row r="63">
      <c r="B63" s="156" t="n">
        <v>2</v>
      </c>
      <c r="C63" s="157" t="inlineStr">
        <is>
          <t>Électricité</t>
        </is>
      </c>
      <c r="D63" s="158">
        <f>IF($C63="",0,SUMIFS(P_M1,P_Annee,Annee_Travail,P_Cat,$C63,P_Type,"Dépense",P_Module,"Général"))</f>
        <v/>
      </c>
      <c r="E63" s="159">
        <f>IF($C63="",0,SUMIFS(J_Montant,J_Annee,Annee_Travail,J_Mois,1,J_Module,"Général",J_Cat,$C63,J_Type,"Dépense",J_Statut,"&lt;&gt;Annulé",J_Statut,"&lt;&gt;Prévu"))</f>
        <v/>
      </c>
      <c r="F63" s="158">
        <f>IF($C63="",0,SUMIFS(P_M2,P_Annee,Annee_Travail,P_Cat,$C63,P_Type,"Dépense",P_Module,"Général"))</f>
        <v/>
      </c>
      <c r="G63" s="159">
        <f>IF($C63="",0,SUMIFS(J_Montant,J_Annee,Annee_Travail,J_Mois,2,J_Module,"Général",J_Cat,$C63,J_Type,"Dépense",J_Statut,"&lt;&gt;Annulé",J_Statut,"&lt;&gt;Prévu"))</f>
        <v/>
      </c>
      <c r="H63" s="158">
        <f>IF($C63="",0,SUMIFS(P_M3,P_Annee,Annee_Travail,P_Cat,$C63,P_Type,"Dépense",P_Module,"Général"))</f>
        <v/>
      </c>
      <c r="I63" s="159">
        <f>IF($C63="",0,SUMIFS(J_Montant,J_Annee,Annee_Travail,J_Mois,3,J_Module,"Général",J_Cat,$C63,J_Type,"Dépense",J_Statut,"&lt;&gt;Annulé",J_Statut,"&lt;&gt;Prévu"))</f>
        <v/>
      </c>
      <c r="J63" s="158">
        <f>IF($C63="",0,SUMIFS(P_M4,P_Annee,Annee_Travail,P_Cat,$C63,P_Type,"Dépense",P_Module,"Général"))</f>
        <v/>
      </c>
      <c r="K63" s="159">
        <f>IF($C63="",0,SUMIFS(J_Montant,J_Annee,Annee_Travail,J_Mois,4,J_Module,"Général",J_Cat,$C63,J_Type,"Dépense",J_Statut,"&lt;&gt;Annulé",J_Statut,"&lt;&gt;Prévu"))</f>
        <v/>
      </c>
      <c r="L63" s="158">
        <f>IF($C63="",0,SUMIFS(P_M5,P_Annee,Annee_Travail,P_Cat,$C63,P_Type,"Dépense",P_Module,"Général"))</f>
        <v/>
      </c>
      <c r="M63" s="159">
        <f>IF($C63="",0,SUMIFS(J_Montant,J_Annee,Annee_Travail,J_Mois,5,J_Module,"Général",J_Cat,$C63,J_Type,"Dépense",J_Statut,"&lt;&gt;Annulé",J_Statut,"&lt;&gt;Prévu"))</f>
        <v/>
      </c>
      <c r="N63" s="158">
        <f>IF($C63="",0,SUMIFS(P_M6,P_Annee,Annee_Travail,P_Cat,$C63,P_Type,"Dépense",P_Module,"Général"))</f>
        <v/>
      </c>
      <c r="O63" s="159">
        <f>IF($C63="",0,SUMIFS(J_Montant,J_Annee,Annee_Travail,J_Mois,6,J_Module,"Général",J_Cat,$C63,J_Type,"Dépense",J_Statut,"&lt;&gt;Annulé",J_Statut,"&lt;&gt;Prévu"))</f>
        <v/>
      </c>
      <c r="P63" s="158">
        <f>IF($C63="",0,SUMIFS(P_M7,P_Annee,Annee_Travail,P_Cat,$C63,P_Type,"Dépense",P_Module,"Général"))</f>
        <v/>
      </c>
      <c r="Q63" s="159">
        <f>IF($C63="",0,SUMIFS(J_Montant,J_Annee,Annee_Travail,J_Mois,7,J_Module,"Général",J_Cat,$C63,J_Type,"Dépense",J_Statut,"&lt;&gt;Annulé",J_Statut,"&lt;&gt;Prévu"))</f>
        <v/>
      </c>
      <c r="R63" s="158">
        <f>IF($C63="",0,SUMIFS(P_M8,P_Annee,Annee_Travail,P_Cat,$C63,P_Type,"Dépense",P_Module,"Général"))</f>
        <v/>
      </c>
      <c r="S63" s="159">
        <f>IF($C63="",0,SUMIFS(J_Montant,J_Annee,Annee_Travail,J_Mois,8,J_Module,"Général",J_Cat,$C63,J_Type,"Dépense",J_Statut,"&lt;&gt;Annulé",J_Statut,"&lt;&gt;Prévu"))</f>
        <v/>
      </c>
      <c r="T63" s="158">
        <f>IF($C63="",0,SUMIFS(P_M9,P_Annee,Annee_Travail,P_Cat,$C63,P_Type,"Dépense",P_Module,"Général"))</f>
        <v/>
      </c>
      <c r="U63" s="159">
        <f>IF($C63="",0,SUMIFS(J_Montant,J_Annee,Annee_Travail,J_Mois,9,J_Module,"Général",J_Cat,$C63,J_Type,"Dépense",J_Statut,"&lt;&gt;Annulé",J_Statut,"&lt;&gt;Prévu"))</f>
        <v/>
      </c>
      <c r="V63" s="158">
        <f>IF($C63="",0,SUMIFS(P_M10,P_Annee,Annee_Travail,P_Cat,$C63,P_Type,"Dépense",P_Module,"Général"))</f>
        <v/>
      </c>
      <c r="W63" s="159">
        <f>IF($C63="",0,SUMIFS(J_Montant,J_Annee,Annee_Travail,J_Mois,10,J_Module,"Général",J_Cat,$C63,J_Type,"Dépense",J_Statut,"&lt;&gt;Annulé",J_Statut,"&lt;&gt;Prévu"))</f>
        <v/>
      </c>
      <c r="X63" s="158">
        <f>IF($C63="",0,SUMIFS(P_M11,P_Annee,Annee_Travail,P_Cat,$C63,P_Type,"Dépense",P_Module,"Général"))</f>
        <v/>
      </c>
      <c r="Y63" s="159">
        <f>IF($C63="",0,SUMIFS(J_Montant,J_Annee,Annee_Travail,J_Mois,11,J_Module,"Général",J_Cat,$C63,J_Type,"Dépense",J_Statut,"&lt;&gt;Annulé",J_Statut,"&lt;&gt;Prévu"))</f>
        <v/>
      </c>
      <c r="Z63" s="158">
        <f>IF($C63="",0,SUMIFS(P_M12,P_Annee,Annee_Travail,P_Cat,$C63,P_Type,"Dépense",P_Module,"Général"))</f>
        <v/>
      </c>
      <c r="AA63" s="159">
        <f>IF($C63="",0,SUMIFS(J_Montant,J_Annee,Annee_Travail,J_Mois,12,J_Module,"Général",J_Cat,$C63,J_Type,"Dépense",J_Statut,"&lt;&gt;Annulé",J_Statut,"&lt;&gt;Prévu"))</f>
        <v/>
      </c>
      <c r="AB63" s="160">
        <f>D63+F63+H63+J63+L63+N63+P63+R63+T63+V63+X63+Z63</f>
        <v/>
      </c>
      <c r="AC63" s="160">
        <f>E63+G63+I63+K63+M63+O63+Q63+S63+U63+W63+Y63+AA63</f>
        <v/>
      </c>
      <c r="AD63" s="161">
        <f>$AB63-$AC63</f>
        <v/>
      </c>
      <c r="AE63" s="162">
        <f>IFERROR($AC63/$AB63,0)</f>
        <v/>
      </c>
    </row>
    <row r="64">
      <c r="B64" s="156" t="n">
        <v>3</v>
      </c>
      <c r="C64" s="157" t="inlineStr">
        <is>
          <t>Eau</t>
        </is>
      </c>
      <c r="D64" s="158">
        <f>IF($C64="",0,SUMIFS(P_M1,P_Annee,Annee_Travail,P_Cat,$C64,P_Type,"Dépense",P_Module,"Général"))</f>
        <v/>
      </c>
      <c r="E64" s="159">
        <f>IF($C64="",0,SUMIFS(J_Montant,J_Annee,Annee_Travail,J_Mois,1,J_Module,"Général",J_Cat,$C64,J_Type,"Dépense",J_Statut,"&lt;&gt;Annulé",J_Statut,"&lt;&gt;Prévu"))</f>
        <v/>
      </c>
      <c r="F64" s="158">
        <f>IF($C64="",0,SUMIFS(P_M2,P_Annee,Annee_Travail,P_Cat,$C64,P_Type,"Dépense",P_Module,"Général"))</f>
        <v/>
      </c>
      <c r="G64" s="159">
        <f>IF($C64="",0,SUMIFS(J_Montant,J_Annee,Annee_Travail,J_Mois,2,J_Module,"Général",J_Cat,$C64,J_Type,"Dépense",J_Statut,"&lt;&gt;Annulé",J_Statut,"&lt;&gt;Prévu"))</f>
        <v/>
      </c>
      <c r="H64" s="158">
        <f>IF($C64="",0,SUMIFS(P_M3,P_Annee,Annee_Travail,P_Cat,$C64,P_Type,"Dépense",P_Module,"Général"))</f>
        <v/>
      </c>
      <c r="I64" s="159">
        <f>IF($C64="",0,SUMIFS(J_Montant,J_Annee,Annee_Travail,J_Mois,3,J_Module,"Général",J_Cat,$C64,J_Type,"Dépense",J_Statut,"&lt;&gt;Annulé",J_Statut,"&lt;&gt;Prévu"))</f>
        <v/>
      </c>
      <c r="J64" s="158">
        <f>IF($C64="",0,SUMIFS(P_M4,P_Annee,Annee_Travail,P_Cat,$C64,P_Type,"Dépense",P_Module,"Général"))</f>
        <v/>
      </c>
      <c r="K64" s="159">
        <f>IF($C64="",0,SUMIFS(J_Montant,J_Annee,Annee_Travail,J_Mois,4,J_Module,"Général",J_Cat,$C64,J_Type,"Dépense",J_Statut,"&lt;&gt;Annulé",J_Statut,"&lt;&gt;Prévu"))</f>
        <v/>
      </c>
      <c r="L64" s="158">
        <f>IF($C64="",0,SUMIFS(P_M5,P_Annee,Annee_Travail,P_Cat,$C64,P_Type,"Dépense",P_Module,"Général"))</f>
        <v/>
      </c>
      <c r="M64" s="159">
        <f>IF($C64="",0,SUMIFS(J_Montant,J_Annee,Annee_Travail,J_Mois,5,J_Module,"Général",J_Cat,$C64,J_Type,"Dépense",J_Statut,"&lt;&gt;Annulé",J_Statut,"&lt;&gt;Prévu"))</f>
        <v/>
      </c>
      <c r="N64" s="158">
        <f>IF($C64="",0,SUMIFS(P_M6,P_Annee,Annee_Travail,P_Cat,$C64,P_Type,"Dépense",P_Module,"Général"))</f>
        <v/>
      </c>
      <c r="O64" s="159">
        <f>IF($C64="",0,SUMIFS(J_Montant,J_Annee,Annee_Travail,J_Mois,6,J_Module,"Général",J_Cat,$C64,J_Type,"Dépense",J_Statut,"&lt;&gt;Annulé",J_Statut,"&lt;&gt;Prévu"))</f>
        <v/>
      </c>
      <c r="P64" s="158">
        <f>IF($C64="",0,SUMIFS(P_M7,P_Annee,Annee_Travail,P_Cat,$C64,P_Type,"Dépense",P_Module,"Général"))</f>
        <v/>
      </c>
      <c r="Q64" s="159">
        <f>IF($C64="",0,SUMIFS(J_Montant,J_Annee,Annee_Travail,J_Mois,7,J_Module,"Général",J_Cat,$C64,J_Type,"Dépense",J_Statut,"&lt;&gt;Annulé",J_Statut,"&lt;&gt;Prévu"))</f>
        <v/>
      </c>
      <c r="R64" s="158">
        <f>IF($C64="",0,SUMIFS(P_M8,P_Annee,Annee_Travail,P_Cat,$C64,P_Type,"Dépense",P_Module,"Général"))</f>
        <v/>
      </c>
      <c r="S64" s="159">
        <f>IF($C64="",0,SUMIFS(J_Montant,J_Annee,Annee_Travail,J_Mois,8,J_Module,"Général",J_Cat,$C64,J_Type,"Dépense",J_Statut,"&lt;&gt;Annulé",J_Statut,"&lt;&gt;Prévu"))</f>
        <v/>
      </c>
      <c r="T64" s="158">
        <f>IF($C64="",0,SUMIFS(P_M9,P_Annee,Annee_Travail,P_Cat,$C64,P_Type,"Dépense",P_Module,"Général"))</f>
        <v/>
      </c>
      <c r="U64" s="159">
        <f>IF($C64="",0,SUMIFS(J_Montant,J_Annee,Annee_Travail,J_Mois,9,J_Module,"Général",J_Cat,$C64,J_Type,"Dépense",J_Statut,"&lt;&gt;Annulé",J_Statut,"&lt;&gt;Prévu"))</f>
        <v/>
      </c>
      <c r="V64" s="158">
        <f>IF($C64="",0,SUMIFS(P_M10,P_Annee,Annee_Travail,P_Cat,$C64,P_Type,"Dépense",P_Module,"Général"))</f>
        <v/>
      </c>
      <c r="W64" s="159">
        <f>IF($C64="",0,SUMIFS(J_Montant,J_Annee,Annee_Travail,J_Mois,10,J_Module,"Général",J_Cat,$C64,J_Type,"Dépense",J_Statut,"&lt;&gt;Annulé",J_Statut,"&lt;&gt;Prévu"))</f>
        <v/>
      </c>
      <c r="X64" s="158">
        <f>IF($C64="",0,SUMIFS(P_M11,P_Annee,Annee_Travail,P_Cat,$C64,P_Type,"Dépense",P_Module,"Général"))</f>
        <v/>
      </c>
      <c r="Y64" s="159">
        <f>IF($C64="",0,SUMIFS(J_Montant,J_Annee,Annee_Travail,J_Mois,11,J_Module,"Général",J_Cat,$C64,J_Type,"Dépense",J_Statut,"&lt;&gt;Annulé",J_Statut,"&lt;&gt;Prévu"))</f>
        <v/>
      </c>
      <c r="Z64" s="158">
        <f>IF($C64="",0,SUMIFS(P_M12,P_Annee,Annee_Travail,P_Cat,$C64,P_Type,"Dépense",P_Module,"Général"))</f>
        <v/>
      </c>
      <c r="AA64" s="159">
        <f>IF($C64="",0,SUMIFS(J_Montant,J_Annee,Annee_Travail,J_Mois,12,J_Module,"Général",J_Cat,$C64,J_Type,"Dépense",J_Statut,"&lt;&gt;Annulé",J_Statut,"&lt;&gt;Prévu"))</f>
        <v/>
      </c>
      <c r="AB64" s="160">
        <f>D64+F64+H64+J64+L64+N64+P64+R64+T64+V64+X64+Z64</f>
        <v/>
      </c>
      <c r="AC64" s="160">
        <f>E64+G64+I64+K64+M64+O64+Q64+S64+U64+W64+Y64+AA64</f>
        <v/>
      </c>
      <c r="AD64" s="161">
        <f>$AB64-$AC64</f>
        <v/>
      </c>
      <c r="AE64" s="162">
        <f>IFERROR($AC64/$AB64,0)</f>
        <v/>
      </c>
    </row>
    <row r="65">
      <c r="B65" s="156" t="n">
        <v>4</v>
      </c>
      <c r="C65" s="157" t="inlineStr">
        <is>
          <t>Gaz / Bouteille</t>
        </is>
      </c>
      <c r="D65" s="158">
        <f>IF($C65="",0,SUMIFS(P_M1,P_Annee,Annee_Travail,P_Cat,$C65,P_Type,"Dépense",P_Module,"Général"))</f>
        <v/>
      </c>
      <c r="E65" s="159">
        <f>IF($C65="",0,SUMIFS(J_Montant,J_Annee,Annee_Travail,J_Mois,1,J_Module,"Général",J_Cat,$C65,J_Type,"Dépense",J_Statut,"&lt;&gt;Annulé",J_Statut,"&lt;&gt;Prévu"))</f>
        <v/>
      </c>
      <c r="F65" s="158">
        <f>IF($C65="",0,SUMIFS(P_M2,P_Annee,Annee_Travail,P_Cat,$C65,P_Type,"Dépense",P_Module,"Général"))</f>
        <v/>
      </c>
      <c r="G65" s="159">
        <f>IF($C65="",0,SUMIFS(J_Montant,J_Annee,Annee_Travail,J_Mois,2,J_Module,"Général",J_Cat,$C65,J_Type,"Dépense",J_Statut,"&lt;&gt;Annulé",J_Statut,"&lt;&gt;Prévu"))</f>
        <v/>
      </c>
      <c r="H65" s="158">
        <f>IF($C65="",0,SUMIFS(P_M3,P_Annee,Annee_Travail,P_Cat,$C65,P_Type,"Dépense",P_Module,"Général"))</f>
        <v/>
      </c>
      <c r="I65" s="159">
        <f>IF($C65="",0,SUMIFS(J_Montant,J_Annee,Annee_Travail,J_Mois,3,J_Module,"Général",J_Cat,$C65,J_Type,"Dépense",J_Statut,"&lt;&gt;Annulé",J_Statut,"&lt;&gt;Prévu"))</f>
        <v/>
      </c>
      <c r="J65" s="158">
        <f>IF($C65="",0,SUMIFS(P_M4,P_Annee,Annee_Travail,P_Cat,$C65,P_Type,"Dépense",P_Module,"Général"))</f>
        <v/>
      </c>
      <c r="K65" s="159">
        <f>IF($C65="",0,SUMIFS(J_Montant,J_Annee,Annee_Travail,J_Mois,4,J_Module,"Général",J_Cat,$C65,J_Type,"Dépense",J_Statut,"&lt;&gt;Annulé",J_Statut,"&lt;&gt;Prévu"))</f>
        <v/>
      </c>
      <c r="L65" s="158">
        <f>IF($C65="",0,SUMIFS(P_M5,P_Annee,Annee_Travail,P_Cat,$C65,P_Type,"Dépense",P_Module,"Général"))</f>
        <v/>
      </c>
      <c r="M65" s="159">
        <f>IF($C65="",0,SUMIFS(J_Montant,J_Annee,Annee_Travail,J_Mois,5,J_Module,"Général",J_Cat,$C65,J_Type,"Dépense",J_Statut,"&lt;&gt;Annulé",J_Statut,"&lt;&gt;Prévu"))</f>
        <v/>
      </c>
      <c r="N65" s="158">
        <f>IF($C65="",0,SUMIFS(P_M6,P_Annee,Annee_Travail,P_Cat,$C65,P_Type,"Dépense",P_Module,"Général"))</f>
        <v/>
      </c>
      <c r="O65" s="159">
        <f>IF($C65="",0,SUMIFS(J_Montant,J_Annee,Annee_Travail,J_Mois,6,J_Module,"Général",J_Cat,$C65,J_Type,"Dépense",J_Statut,"&lt;&gt;Annulé",J_Statut,"&lt;&gt;Prévu"))</f>
        <v/>
      </c>
      <c r="P65" s="158">
        <f>IF($C65="",0,SUMIFS(P_M7,P_Annee,Annee_Travail,P_Cat,$C65,P_Type,"Dépense",P_Module,"Général"))</f>
        <v/>
      </c>
      <c r="Q65" s="159">
        <f>IF($C65="",0,SUMIFS(J_Montant,J_Annee,Annee_Travail,J_Mois,7,J_Module,"Général",J_Cat,$C65,J_Type,"Dépense",J_Statut,"&lt;&gt;Annulé",J_Statut,"&lt;&gt;Prévu"))</f>
        <v/>
      </c>
      <c r="R65" s="158">
        <f>IF($C65="",0,SUMIFS(P_M8,P_Annee,Annee_Travail,P_Cat,$C65,P_Type,"Dépense",P_Module,"Général"))</f>
        <v/>
      </c>
      <c r="S65" s="159">
        <f>IF($C65="",0,SUMIFS(J_Montant,J_Annee,Annee_Travail,J_Mois,8,J_Module,"Général",J_Cat,$C65,J_Type,"Dépense",J_Statut,"&lt;&gt;Annulé",J_Statut,"&lt;&gt;Prévu"))</f>
        <v/>
      </c>
      <c r="T65" s="158">
        <f>IF($C65="",0,SUMIFS(P_M9,P_Annee,Annee_Travail,P_Cat,$C65,P_Type,"Dépense",P_Module,"Général"))</f>
        <v/>
      </c>
      <c r="U65" s="159">
        <f>IF($C65="",0,SUMIFS(J_Montant,J_Annee,Annee_Travail,J_Mois,9,J_Module,"Général",J_Cat,$C65,J_Type,"Dépense",J_Statut,"&lt;&gt;Annulé",J_Statut,"&lt;&gt;Prévu"))</f>
        <v/>
      </c>
      <c r="V65" s="158">
        <f>IF($C65="",0,SUMIFS(P_M10,P_Annee,Annee_Travail,P_Cat,$C65,P_Type,"Dépense",P_Module,"Général"))</f>
        <v/>
      </c>
      <c r="W65" s="159">
        <f>IF($C65="",0,SUMIFS(J_Montant,J_Annee,Annee_Travail,J_Mois,10,J_Module,"Général",J_Cat,$C65,J_Type,"Dépense",J_Statut,"&lt;&gt;Annulé",J_Statut,"&lt;&gt;Prévu"))</f>
        <v/>
      </c>
      <c r="X65" s="158">
        <f>IF($C65="",0,SUMIFS(P_M11,P_Annee,Annee_Travail,P_Cat,$C65,P_Type,"Dépense",P_Module,"Général"))</f>
        <v/>
      </c>
      <c r="Y65" s="159">
        <f>IF($C65="",0,SUMIFS(J_Montant,J_Annee,Annee_Travail,J_Mois,11,J_Module,"Général",J_Cat,$C65,J_Type,"Dépense",J_Statut,"&lt;&gt;Annulé",J_Statut,"&lt;&gt;Prévu"))</f>
        <v/>
      </c>
      <c r="Z65" s="158">
        <f>IF($C65="",0,SUMIFS(P_M12,P_Annee,Annee_Travail,P_Cat,$C65,P_Type,"Dépense",P_Module,"Général"))</f>
        <v/>
      </c>
      <c r="AA65" s="159">
        <f>IF($C65="",0,SUMIFS(J_Montant,J_Annee,Annee_Travail,J_Mois,12,J_Module,"Général",J_Cat,$C65,J_Type,"Dépense",J_Statut,"&lt;&gt;Annulé",J_Statut,"&lt;&gt;Prévu"))</f>
        <v/>
      </c>
      <c r="AB65" s="160">
        <f>D65+F65+H65+J65+L65+N65+P65+R65+T65+V65+X65+Z65</f>
        <v/>
      </c>
      <c r="AC65" s="160">
        <f>E65+G65+I65+K65+M65+O65+Q65+S65+U65+W65+Y65+AA65</f>
        <v/>
      </c>
      <c r="AD65" s="161">
        <f>$AB65-$AC65</f>
        <v/>
      </c>
      <c r="AE65" s="162">
        <f>IFERROR($AC65/$AB65,0)</f>
        <v/>
      </c>
    </row>
    <row r="66">
      <c r="B66" s="156" t="n">
        <v>5</v>
      </c>
      <c r="C66" s="157" t="inlineStr">
        <is>
          <t>Internet / Box</t>
        </is>
      </c>
      <c r="D66" s="158">
        <f>IF($C66="",0,SUMIFS(P_M1,P_Annee,Annee_Travail,P_Cat,$C66,P_Type,"Dépense",P_Module,"Général"))</f>
        <v/>
      </c>
      <c r="E66" s="159">
        <f>IF($C66="",0,SUMIFS(J_Montant,J_Annee,Annee_Travail,J_Mois,1,J_Module,"Général",J_Cat,$C66,J_Type,"Dépense",J_Statut,"&lt;&gt;Annulé",J_Statut,"&lt;&gt;Prévu"))</f>
        <v/>
      </c>
      <c r="F66" s="158">
        <f>IF($C66="",0,SUMIFS(P_M2,P_Annee,Annee_Travail,P_Cat,$C66,P_Type,"Dépense",P_Module,"Général"))</f>
        <v/>
      </c>
      <c r="G66" s="159">
        <f>IF($C66="",0,SUMIFS(J_Montant,J_Annee,Annee_Travail,J_Mois,2,J_Module,"Général",J_Cat,$C66,J_Type,"Dépense",J_Statut,"&lt;&gt;Annulé",J_Statut,"&lt;&gt;Prévu"))</f>
        <v/>
      </c>
      <c r="H66" s="158">
        <f>IF($C66="",0,SUMIFS(P_M3,P_Annee,Annee_Travail,P_Cat,$C66,P_Type,"Dépense",P_Module,"Général"))</f>
        <v/>
      </c>
      <c r="I66" s="159">
        <f>IF($C66="",0,SUMIFS(J_Montant,J_Annee,Annee_Travail,J_Mois,3,J_Module,"Général",J_Cat,$C66,J_Type,"Dépense",J_Statut,"&lt;&gt;Annulé",J_Statut,"&lt;&gt;Prévu"))</f>
        <v/>
      </c>
      <c r="J66" s="158">
        <f>IF($C66="",0,SUMIFS(P_M4,P_Annee,Annee_Travail,P_Cat,$C66,P_Type,"Dépense",P_Module,"Général"))</f>
        <v/>
      </c>
      <c r="K66" s="159">
        <f>IF($C66="",0,SUMIFS(J_Montant,J_Annee,Annee_Travail,J_Mois,4,J_Module,"Général",J_Cat,$C66,J_Type,"Dépense",J_Statut,"&lt;&gt;Annulé",J_Statut,"&lt;&gt;Prévu"))</f>
        <v/>
      </c>
      <c r="L66" s="158">
        <f>IF($C66="",0,SUMIFS(P_M5,P_Annee,Annee_Travail,P_Cat,$C66,P_Type,"Dépense",P_Module,"Général"))</f>
        <v/>
      </c>
      <c r="M66" s="159">
        <f>IF($C66="",0,SUMIFS(J_Montant,J_Annee,Annee_Travail,J_Mois,5,J_Module,"Général",J_Cat,$C66,J_Type,"Dépense",J_Statut,"&lt;&gt;Annulé",J_Statut,"&lt;&gt;Prévu"))</f>
        <v/>
      </c>
      <c r="N66" s="158">
        <f>IF($C66="",0,SUMIFS(P_M6,P_Annee,Annee_Travail,P_Cat,$C66,P_Type,"Dépense",P_Module,"Général"))</f>
        <v/>
      </c>
      <c r="O66" s="159">
        <f>IF($C66="",0,SUMIFS(J_Montant,J_Annee,Annee_Travail,J_Mois,6,J_Module,"Général",J_Cat,$C66,J_Type,"Dépense",J_Statut,"&lt;&gt;Annulé",J_Statut,"&lt;&gt;Prévu"))</f>
        <v/>
      </c>
      <c r="P66" s="158">
        <f>IF($C66="",0,SUMIFS(P_M7,P_Annee,Annee_Travail,P_Cat,$C66,P_Type,"Dépense",P_Module,"Général"))</f>
        <v/>
      </c>
      <c r="Q66" s="159">
        <f>IF($C66="",0,SUMIFS(J_Montant,J_Annee,Annee_Travail,J_Mois,7,J_Module,"Général",J_Cat,$C66,J_Type,"Dépense",J_Statut,"&lt;&gt;Annulé",J_Statut,"&lt;&gt;Prévu"))</f>
        <v/>
      </c>
      <c r="R66" s="158">
        <f>IF($C66="",0,SUMIFS(P_M8,P_Annee,Annee_Travail,P_Cat,$C66,P_Type,"Dépense",P_Module,"Général"))</f>
        <v/>
      </c>
      <c r="S66" s="159">
        <f>IF($C66="",0,SUMIFS(J_Montant,J_Annee,Annee_Travail,J_Mois,8,J_Module,"Général",J_Cat,$C66,J_Type,"Dépense",J_Statut,"&lt;&gt;Annulé",J_Statut,"&lt;&gt;Prévu"))</f>
        <v/>
      </c>
      <c r="T66" s="158">
        <f>IF($C66="",0,SUMIFS(P_M9,P_Annee,Annee_Travail,P_Cat,$C66,P_Type,"Dépense",P_Module,"Général"))</f>
        <v/>
      </c>
      <c r="U66" s="159">
        <f>IF($C66="",0,SUMIFS(J_Montant,J_Annee,Annee_Travail,J_Mois,9,J_Module,"Général",J_Cat,$C66,J_Type,"Dépense",J_Statut,"&lt;&gt;Annulé",J_Statut,"&lt;&gt;Prévu"))</f>
        <v/>
      </c>
      <c r="V66" s="158">
        <f>IF($C66="",0,SUMIFS(P_M10,P_Annee,Annee_Travail,P_Cat,$C66,P_Type,"Dépense",P_Module,"Général"))</f>
        <v/>
      </c>
      <c r="W66" s="159">
        <f>IF($C66="",0,SUMIFS(J_Montant,J_Annee,Annee_Travail,J_Mois,10,J_Module,"Général",J_Cat,$C66,J_Type,"Dépense",J_Statut,"&lt;&gt;Annulé",J_Statut,"&lt;&gt;Prévu"))</f>
        <v/>
      </c>
      <c r="X66" s="158">
        <f>IF($C66="",0,SUMIFS(P_M11,P_Annee,Annee_Travail,P_Cat,$C66,P_Type,"Dépense",P_Module,"Général"))</f>
        <v/>
      </c>
      <c r="Y66" s="159">
        <f>IF($C66="",0,SUMIFS(J_Montant,J_Annee,Annee_Travail,J_Mois,11,J_Module,"Général",J_Cat,$C66,J_Type,"Dépense",J_Statut,"&lt;&gt;Annulé",J_Statut,"&lt;&gt;Prévu"))</f>
        <v/>
      </c>
      <c r="Z66" s="158">
        <f>IF($C66="",0,SUMIFS(P_M12,P_Annee,Annee_Travail,P_Cat,$C66,P_Type,"Dépense",P_Module,"Général"))</f>
        <v/>
      </c>
      <c r="AA66" s="159">
        <f>IF($C66="",0,SUMIFS(J_Montant,J_Annee,Annee_Travail,J_Mois,12,J_Module,"Général",J_Cat,$C66,J_Type,"Dépense",J_Statut,"&lt;&gt;Annulé",J_Statut,"&lt;&gt;Prévu"))</f>
        <v/>
      </c>
      <c r="AB66" s="160">
        <f>D66+F66+H66+J66+L66+N66+P66+R66+T66+V66+X66+Z66</f>
        <v/>
      </c>
      <c r="AC66" s="160">
        <f>E66+G66+I66+K66+M66+O66+Q66+S66+U66+W66+Y66+AA66</f>
        <v/>
      </c>
      <c r="AD66" s="161">
        <f>$AB66-$AC66</f>
        <v/>
      </c>
      <c r="AE66" s="162">
        <f>IFERROR($AC66/$AB66,0)</f>
        <v/>
      </c>
    </row>
    <row r="67">
      <c r="B67" s="156" t="n">
        <v>6</v>
      </c>
      <c r="C67" s="157" t="inlineStr">
        <is>
          <t>Téléphone</t>
        </is>
      </c>
      <c r="D67" s="158">
        <f>IF($C67="",0,SUMIFS(P_M1,P_Annee,Annee_Travail,P_Cat,$C67,P_Type,"Dépense",P_Module,"Général"))</f>
        <v/>
      </c>
      <c r="E67" s="159">
        <f>IF($C67="",0,SUMIFS(J_Montant,J_Annee,Annee_Travail,J_Mois,1,J_Module,"Général",J_Cat,$C67,J_Type,"Dépense",J_Statut,"&lt;&gt;Annulé",J_Statut,"&lt;&gt;Prévu"))</f>
        <v/>
      </c>
      <c r="F67" s="158">
        <f>IF($C67="",0,SUMIFS(P_M2,P_Annee,Annee_Travail,P_Cat,$C67,P_Type,"Dépense",P_Module,"Général"))</f>
        <v/>
      </c>
      <c r="G67" s="159">
        <f>IF($C67="",0,SUMIFS(J_Montant,J_Annee,Annee_Travail,J_Mois,2,J_Module,"Général",J_Cat,$C67,J_Type,"Dépense",J_Statut,"&lt;&gt;Annulé",J_Statut,"&lt;&gt;Prévu"))</f>
        <v/>
      </c>
      <c r="H67" s="158">
        <f>IF($C67="",0,SUMIFS(P_M3,P_Annee,Annee_Travail,P_Cat,$C67,P_Type,"Dépense",P_Module,"Général"))</f>
        <v/>
      </c>
      <c r="I67" s="159">
        <f>IF($C67="",0,SUMIFS(J_Montant,J_Annee,Annee_Travail,J_Mois,3,J_Module,"Général",J_Cat,$C67,J_Type,"Dépense",J_Statut,"&lt;&gt;Annulé",J_Statut,"&lt;&gt;Prévu"))</f>
        <v/>
      </c>
      <c r="J67" s="158">
        <f>IF($C67="",0,SUMIFS(P_M4,P_Annee,Annee_Travail,P_Cat,$C67,P_Type,"Dépense",P_Module,"Général"))</f>
        <v/>
      </c>
      <c r="K67" s="159">
        <f>IF($C67="",0,SUMIFS(J_Montant,J_Annee,Annee_Travail,J_Mois,4,J_Module,"Général",J_Cat,$C67,J_Type,"Dépense",J_Statut,"&lt;&gt;Annulé",J_Statut,"&lt;&gt;Prévu"))</f>
        <v/>
      </c>
      <c r="L67" s="158">
        <f>IF($C67="",0,SUMIFS(P_M5,P_Annee,Annee_Travail,P_Cat,$C67,P_Type,"Dépense",P_Module,"Général"))</f>
        <v/>
      </c>
      <c r="M67" s="159">
        <f>IF($C67="",0,SUMIFS(J_Montant,J_Annee,Annee_Travail,J_Mois,5,J_Module,"Général",J_Cat,$C67,J_Type,"Dépense",J_Statut,"&lt;&gt;Annulé",J_Statut,"&lt;&gt;Prévu"))</f>
        <v/>
      </c>
      <c r="N67" s="158">
        <f>IF($C67="",0,SUMIFS(P_M6,P_Annee,Annee_Travail,P_Cat,$C67,P_Type,"Dépense",P_Module,"Général"))</f>
        <v/>
      </c>
      <c r="O67" s="159">
        <f>IF($C67="",0,SUMIFS(J_Montant,J_Annee,Annee_Travail,J_Mois,6,J_Module,"Général",J_Cat,$C67,J_Type,"Dépense",J_Statut,"&lt;&gt;Annulé",J_Statut,"&lt;&gt;Prévu"))</f>
        <v/>
      </c>
      <c r="P67" s="158">
        <f>IF($C67="",0,SUMIFS(P_M7,P_Annee,Annee_Travail,P_Cat,$C67,P_Type,"Dépense",P_Module,"Général"))</f>
        <v/>
      </c>
      <c r="Q67" s="159">
        <f>IF($C67="",0,SUMIFS(J_Montant,J_Annee,Annee_Travail,J_Mois,7,J_Module,"Général",J_Cat,$C67,J_Type,"Dépense",J_Statut,"&lt;&gt;Annulé",J_Statut,"&lt;&gt;Prévu"))</f>
        <v/>
      </c>
      <c r="R67" s="158">
        <f>IF($C67="",0,SUMIFS(P_M8,P_Annee,Annee_Travail,P_Cat,$C67,P_Type,"Dépense",P_Module,"Général"))</f>
        <v/>
      </c>
      <c r="S67" s="159">
        <f>IF($C67="",0,SUMIFS(J_Montant,J_Annee,Annee_Travail,J_Mois,8,J_Module,"Général",J_Cat,$C67,J_Type,"Dépense",J_Statut,"&lt;&gt;Annulé",J_Statut,"&lt;&gt;Prévu"))</f>
        <v/>
      </c>
      <c r="T67" s="158">
        <f>IF($C67="",0,SUMIFS(P_M9,P_Annee,Annee_Travail,P_Cat,$C67,P_Type,"Dépense",P_Module,"Général"))</f>
        <v/>
      </c>
      <c r="U67" s="159">
        <f>IF($C67="",0,SUMIFS(J_Montant,J_Annee,Annee_Travail,J_Mois,9,J_Module,"Général",J_Cat,$C67,J_Type,"Dépense",J_Statut,"&lt;&gt;Annulé",J_Statut,"&lt;&gt;Prévu"))</f>
        <v/>
      </c>
      <c r="V67" s="158">
        <f>IF($C67="",0,SUMIFS(P_M10,P_Annee,Annee_Travail,P_Cat,$C67,P_Type,"Dépense",P_Module,"Général"))</f>
        <v/>
      </c>
      <c r="W67" s="159">
        <f>IF($C67="",0,SUMIFS(J_Montant,J_Annee,Annee_Travail,J_Mois,10,J_Module,"Général",J_Cat,$C67,J_Type,"Dépense",J_Statut,"&lt;&gt;Annulé",J_Statut,"&lt;&gt;Prévu"))</f>
        <v/>
      </c>
      <c r="X67" s="158">
        <f>IF($C67="",0,SUMIFS(P_M11,P_Annee,Annee_Travail,P_Cat,$C67,P_Type,"Dépense",P_Module,"Général"))</f>
        <v/>
      </c>
      <c r="Y67" s="159">
        <f>IF($C67="",0,SUMIFS(J_Montant,J_Annee,Annee_Travail,J_Mois,11,J_Module,"Général",J_Cat,$C67,J_Type,"Dépense",J_Statut,"&lt;&gt;Annulé",J_Statut,"&lt;&gt;Prévu"))</f>
        <v/>
      </c>
      <c r="Z67" s="158">
        <f>IF($C67="",0,SUMIFS(P_M12,P_Annee,Annee_Travail,P_Cat,$C67,P_Type,"Dépense",P_Module,"Général"))</f>
        <v/>
      </c>
      <c r="AA67" s="159">
        <f>IF($C67="",0,SUMIFS(J_Montant,J_Annee,Annee_Travail,J_Mois,12,J_Module,"Général",J_Cat,$C67,J_Type,"Dépense",J_Statut,"&lt;&gt;Annulé",J_Statut,"&lt;&gt;Prévu"))</f>
        <v/>
      </c>
      <c r="AB67" s="160">
        <f>D67+F67+H67+J67+L67+N67+P67+R67+T67+V67+X67+Z67</f>
        <v/>
      </c>
      <c r="AC67" s="160">
        <f>E67+G67+I67+K67+M67+O67+Q67+S67+U67+W67+Y67+AA67</f>
        <v/>
      </c>
      <c r="AD67" s="161">
        <f>$AB67-$AC67</f>
        <v/>
      </c>
      <c r="AE67" s="162">
        <f>IFERROR($AC67/$AB67,0)</f>
        <v/>
      </c>
    </row>
    <row r="68">
      <c r="B68" s="156" t="n">
        <v>7</v>
      </c>
      <c r="C68" s="157" t="inlineStr">
        <is>
          <t>Charges de copropriété</t>
        </is>
      </c>
      <c r="D68" s="158">
        <f>IF($C68="",0,SUMIFS(P_M1,P_Annee,Annee_Travail,P_Cat,$C68,P_Type,"Dépense",P_Module,"Général"))</f>
        <v/>
      </c>
      <c r="E68" s="159">
        <f>IF($C68="",0,SUMIFS(J_Montant,J_Annee,Annee_Travail,J_Mois,1,J_Module,"Général",J_Cat,$C68,J_Type,"Dépense",J_Statut,"&lt;&gt;Annulé",J_Statut,"&lt;&gt;Prévu"))</f>
        <v/>
      </c>
      <c r="F68" s="158">
        <f>IF($C68="",0,SUMIFS(P_M2,P_Annee,Annee_Travail,P_Cat,$C68,P_Type,"Dépense",P_Module,"Général"))</f>
        <v/>
      </c>
      <c r="G68" s="159">
        <f>IF($C68="",0,SUMIFS(J_Montant,J_Annee,Annee_Travail,J_Mois,2,J_Module,"Général",J_Cat,$C68,J_Type,"Dépense",J_Statut,"&lt;&gt;Annulé",J_Statut,"&lt;&gt;Prévu"))</f>
        <v/>
      </c>
      <c r="H68" s="158">
        <f>IF($C68="",0,SUMIFS(P_M3,P_Annee,Annee_Travail,P_Cat,$C68,P_Type,"Dépense",P_Module,"Général"))</f>
        <v/>
      </c>
      <c r="I68" s="159">
        <f>IF($C68="",0,SUMIFS(J_Montant,J_Annee,Annee_Travail,J_Mois,3,J_Module,"Général",J_Cat,$C68,J_Type,"Dépense",J_Statut,"&lt;&gt;Annulé",J_Statut,"&lt;&gt;Prévu"))</f>
        <v/>
      </c>
      <c r="J68" s="158">
        <f>IF($C68="",0,SUMIFS(P_M4,P_Annee,Annee_Travail,P_Cat,$C68,P_Type,"Dépense",P_Module,"Général"))</f>
        <v/>
      </c>
      <c r="K68" s="159">
        <f>IF($C68="",0,SUMIFS(J_Montant,J_Annee,Annee_Travail,J_Mois,4,J_Module,"Général",J_Cat,$C68,J_Type,"Dépense",J_Statut,"&lt;&gt;Annulé",J_Statut,"&lt;&gt;Prévu"))</f>
        <v/>
      </c>
      <c r="L68" s="158">
        <f>IF($C68="",0,SUMIFS(P_M5,P_Annee,Annee_Travail,P_Cat,$C68,P_Type,"Dépense",P_Module,"Général"))</f>
        <v/>
      </c>
      <c r="M68" s="159">
        <f>IF($C68="",0,SUMIFS(J_Montant,J_Annee,Annee_Travail,J_Mois,5,J_Module,"Général",J_Cat,$C68,J_Type,"Dépense",J_Statut,"&lt;&gt;Annulé",J_Statut,"&lt;&gt;Prévu"))</f>
        <v/>
      </c>
      <c r="N68" s="158">
        <f>IF($C68="",0,SUMIFS(P_M6,P_Annee,Annee_Travail,P_Cat,$C68,P_Type,"Dépense",P_Module,"Général"))</f>
        <v/>
      </c>
      <c r="O68" s="159">
        <f>IF($C68="",0,SUMIFS(J_Montant,J_Annee,Annee_Travail,J_Mois,6,J_Module,"Général",J_Cat,$C68,J_Type,"Dépense",J_Statut,"&lt;&gt;Annulé",J_Statut,"&lt;&gt;Prévu"))</f>
        <v/>
      </c>
      <c r="P68" s="158">
        <f>IF($C68="",0,SUMIFS(P_M7,P_Annee,Annee_Travail,P_Cat,$C68,P_Type,"Dépense",P_Module,"Général"))</f>
        <v/>
      </c>
      <c r="Q68" s="159">
        <f>IF($C68="",0,SUMIFS(J_Montant,J_Annee,Annee_Travail,J_Mois,7,J_Module,"Général",J_Cat,$C68,J_Type,"Dépense",J_Statut,"&lt;&gt;Annulé",J_Statut,"&lt;&gt;Prévu"))</f>
        <v/>
      </c>
      <c r="R68" s="158">
        <f>IF($C68="",0,SUMIFS(P_M8,P_Annee,Annee_Travail,P_Cat,$C68,P_Type,"Dépense",P_Module,"Général"))</f>
        <v/>
      </c>
      <c r="S68" s="159">
        <f>IF($C68="",0,SUMIFS(J_Montant,J_Annee,Annee_Travail,J_Mois,8,J_Module,"Général",J_Cat,$C68,J_Type,"Dépense",J_Statut,"&lt;&gt;Annulé",J_Statut,"&lt;&gt;Prévu"))</f>
        <v/>
      </c>
      <c r="T68" s="158">
        <f>IF($C68="",0,SUMIFS(P_M9,P_Annee,Annee_Travail,P_Cat,$C68,P_Type,"Dépense",P_Module,"Général"))</f>
        <v/>
      </c>
      <c r="U68" s="159">
        <f>IF($C68="",0,SUMIFS(J_Montant,J_Annee,Annee_Travail,J_Mois,9,J_Module,"Général",J_Cat,$C68,J_Type,"Dépense",J_Statut,"&lt;&gt;Annulé",J_Statut,"&lt;&gt;Prévu"))</f>
        <v/>
      </c>
      <c r="V68" s="158">
        <f>IF($C68="",0,SUMIFS(P_M10,P_Annee,Annee_Travail,P_Cat,$C68,P_Type,"Dépense",P_Module,"Général"))</f>
        <v/>
      </c>
      <c r="W68" s="159">
        <f>IF($C68="",0,SUMIFS(J_Montant,J_Annee,Annee_Travail,J_Mois,10,J_Module,"Général",J_Cat,$C68,J_Type,"Dépense",J_Statut,"&lt;&gt;Annulé",J_Statut,"&lt;&gt;Prévu"))</f>
        <v/>
      </c>
      <c r="X68" s="158">
        <f>IF($C68="",0,SUMIFS(P_M11,P_Annee,Annee_Travail,P_Cat,$C68,P_Type,"Dépense",P_Module,"Général"))</f>
        <v/>
      </c>
      <c r="Y68" s="159">
        <f>IF($C68="",0,SUMIFS(J_Montant,J_Annee,Annee_Travail,J_Mois,11,J_Module,"Général",J_Cat,$C68,J_Type,"Dépense",J_Statut,"&lt;&gt;Annulé",J_Statut,"&lt;&gt;Prévu"))</f>
        <v/>
      </c>
      <c r="Z68" s="158">
        <f>IF($C68="",0,SUMIFS(P_M12,P_Annee,Annee_Travail,P_Cat,$C68,P_Type,"Dépense",P_Module,"Général"))</f>
        <v/>
      </c>
      <c r="AA68" s="159">
        <f>IF($C68="",0,SUMIFS(J_Montant,J_Annee,Annee_Travail,J_Mois,12,J_Module,"Général",J_Cat,$C68,J_Type,"Dépense",J_Statut,"&lt;&gt;Annulé",J_Statut,"&lt;&gt;Prévu"))</f>
        <v/>
      </c>
      <c r="AB68" s="160">
        <f>D68+F68+H68+J68+L68+N68+P68+R68+T68+V68+X68+Z68</f>
        <v/>
      </c>
      <c r="AC68" s="160">
        <f>E68+G68+I68+K68+M68+O68+Q68+S68+U68+W68+Y68+AA68</f>
        <v/>
      </c>
      <c r="AD68" s="161">
        <f>$AB68-$AC68</f>
        <v/>
      </c>
      <c r="AE68" s="162">
        <f>IFERROR($AC68/$AB68,0)</f>
        <v/>
      </c>
    </row>
    <row r="69">
      <c r="B69" s="156" t="n">
        <v>8</v>
      </c>
      <c r="C69" s="157" t="inlineStr">
        <is>
          <t>Entretien &amp; réparations logement</t>
        </is>
      </c>
      <c r="D69" s="158">
        <f>IF($C69="",0,SUMIFS(P_M1,P_Annee,Annee_Travail,P_Cat,$C69,P_Type,"Dépense",P_Module,"Général"))</f>
        <v/>
      </c>
      <c r="E69" s="159">
        <f>IF($C69="",0,SUMIFS(J_Montant,J_Annee,Annee_Travail,J_Mois,1,J_Module,"Général",J_Cat,$C69,J_Type,"Dépense",J_Statut,"&lt;&gt;Annulé",J_Statut,"&lt;&gt;Prévu"))</f>
        <v/>
      </c>
      <c r="F69" s="158">
        <f>IF($C69="",0,SUMIFS(P_M2,P_Annee,Annee_Travail,P_Cat,$C69,P_Type,"Dépense",P_Module,"Général"))</f>
        <v/>
      </c>
      <c r="G69" s="159">
        <f>IF($C69="",0,SUMIFS(J_Montant,J_Annee,Annee_Travail,J_Mois,2,J_Module,"Général",J_Cat,$C69,J_Type,"Dépense",J_Statut,"&lt;&gt;Annulé",J_Statut,"&lt;&gt;Prévu"))</f>
        <v/>
      </c>
      <c r="H69" s="158">
        <f>IF($C69="",0,SUMIFS(P_M3,P_Annee,Annee_Travail,P_Cat,$C69,P_Type,"Dépense",P_Module,"Général"))</f>
        <v/>
      </c>
      <c r="I69" s="159">
        <f>IF($C69="",0,SUMIFS(J_Montant,J_Annee,Annee_Travail,J_Mois,3,J_Module,"Général",J_Cat,$C69,J_Type,"Dépense",J_Statut,"&lt;&gt;Annulé",J_Statut,"&lt;&gt;Prévu"))</f>
        <v/>
      </c>
      <c r="J69" s="158">
        <f>IF($C69="",0,SUMIFS(P_M4,P_Annee,Annee_Travail,P_Cat,$C69,P_Type,"Dépense",P_Module,"Général"))</f>
        <v/>
      </c>
      <c r="K69" s="159">
        <f>IF($C69="",0,SUMIFS(J_Montant,J_Annee,Annee_Travail,J_Mois,4,J_Module,"Général",J_Cat,$C69,J_Type,"Dépense",J_Statut,"&lt;&gt;Annulé",J_Statut,"&lt;&gt;Prévu"))</f>
        <v/>
      </c>
      <c r="L69" s="158">
        <f>IF($C69="",0,SUMIFS(P_M5,P_Annee,Annee_Travail,P_Cat,$C69,P_Type,"Dépense",P_Module,"Général"))</f>
        <v/>
      </c>
      <c r="M69" s="159">
        <f>IF($C69="",0,SUMIFS(J_Montant,J_Annee,Annee_Travail,J_Mois,5,J_Module,"Général",J_Cat,$C69,J_Type,"Dépense",J_Statut,"&lt;&gt;Annulé",J_Statut,"&lt;&gt;Prévu"))</f>
        <v/>
      </c>
      <c r="N69" s="158">
        <f>IF($C69="",0,SUMIFS(P_M6,P_Annee,Annee_Travail,P_Cat,$C69,P_Type,"Dépense",P_Module,"Général"))</f>
        <v/>
      </c>
      <c r="O69" s="159">
        <f>IF($C69="",0,SUMIFS(J_Montant,J_Annee,Annee_Travail,J_Mois,6,J_Module,"Général",J_Cat,$C69,J_Type,"Dépense",J_Statut,"&lt;&gt;Annulé",J_Statut,"&lt;&gt;Prévu"))</f>
        <v/>
      </c>
      <c r="P69" s="158">
        <f>IF($C69="",0,SUMIFS(P_M7,P_Annee,Annee_Travail,P_Cat,$C69,P_Type,"Dépense",P_Module,"Général"))</f>
        <v/>
      </c>
      <c r="Q69" s="159">
        <f>IF($C69="",0,SUMIFS(J_Montant,J_Annee,Annee_Travail,J_Mois,7,J_Module,"Général",J_Cat,$C69,J_Type,"Dépense",J_Statut,"&lt;&gt;Annulé",J_Statut,"&lt;&gt;Prévu"))</f>
        <v/>
      </c>
      <c r="R69" s="158">
        <f>IF($C69="",0,SUMIFS(P_M8,P_Annee,Annee_Travail,P_Cat,$C69,P_Type,"Dépense",P_Module,"Général"))</f>
        <v/>
      </c>
      <c r="S69" s="159">
        <f>IF($C69="",0,SUMIFS(J_Montant,J_Annee,Annee_Travail,J_Mois,8,J_Module,"Général",J_Cat,$C69,J_Type,"Dépense",J_Statut,"&lt;&gt;Annulé",J_Statut,"&lt;&gt;Prévu"))</f>
        <v/>
      </c>
      <c r="T69" s="158">
        <f>IF($C69="",0,SUMIFS(P_M9,P_Annee,Annee_Travail,P_Cat,$C69,P_Type,"Dépense",P_Module,"Général"))</f>
        <v/>
      </c>
      <c r="U69" s="159">
        <f>IF($C69="",0,SUMIFS(J_Montant,J_Annee,Annee_Travail,J_Mois,9,J_Module,"Général",J_Cat,$C69,J_Type,"Dépense",J_Statut,"&lt;&gt;Annulé",J_Statut,"&lt;&gt;Prévu"))</f>
        <v/>
      </c>
      <c r="V69" s="158">
        <f>IF($C69="",0,SUMIFS(P_M10,P_Annee,Annee_Travail,P_Cat,$C69,P_Type,"Dépense",P_Module,"Général"))</f>
        <v/>
      </c>
      <c r="W69" s="159">
        <f>IF($C69="",0,SUMIFS(J_Montant,J_Annee,Annee_Travail,J_Mois,10,J_Module,"Général",J_Cat,$C69,J_Type,"Dépense",J_Statut,"&lt;&gt;Annulé",J_Statut,"&lt;&gt;Prévu"))</f>
        <v/>
      </c>
      <c r="X69" s="158">
        <f>IF($C69="",0,SUMIFS(P_M11,P_Annee,Annee_Travail,P_Cat,$C69,P_Type,"Dépense",P_Module,"Général"))</f>
        <v/>
      </c>
      <c r="Y69" s="159">
        <f>IF($C69="",0,SUMIFS(J_Montant,J_Annee,Annee_Travail,J_Mois,11,J_Module,"Général",J_Cat,$C69,J_Type,"Dépense",J_Statut,"&lt;&gt;Annulé",J_Statut,"&lt;&gt;Prévu"))</f>
        <v/>
      </c>
      <c r="Z69" s="158">
        <f>IF($C69="",0,SUMIFS(P_M12,P_Annee,Annee_Travail,P_Cat,$C69,P_Type,"Dépense",P_Module,"Général"))</f>
        <v/>
      </c>
      <c r="AA69" s="159">
        <f>IF($C69="",0,SUMIFS(J_Montant,J_Annee,Annee_Travail,J_Mois,12,J_Module,"Général",J_Cat,$C69,J_Type,"Dépense",J_Statut,"&lt;&gt;Annulé",J_Statut,"&lt;&gt;Prévu"))</f>
        <v/>
      </c>
      <c r="AB69" s="160">
        <f>D69+F69+H69+J69+L69+N69+P69+R69+T69+V69+X69+Z69</f>
        <v/>
      </c>
      <c r="AC69" s="160">
        <f>E69+G69+I69+K69+M69+O69+Q69+S69+U69+W69+Y69+AA69</f>
        <v/>
      </c>
      <c r="AD69" s="161">
        <f>$AB69-$AC69</f>
        <v/>
      </c>
      <c r="AE69" s="162">
        <f>IFERROR($AC69/$AB69,0)</f>
        <v/>
      </c>
    </row>
    <row r="70">
      <c r="B70" s="156" t="n">
        <v>9</v>
      </c>
      <c r="C70" s="157" t="inlineStr">
        <is>
          <t>Alimentation / Courses</t>
        </is>
      </c>
      <c r="D70" s="158">
        <f>IF($C70="",0,SUMIFS(P_M1,P_Annee,Annee_Travail,P_Cat,$C70,P_Type,"Dépense",P_Module,"Général"))</f>
        <v/>
      </c>
      <c r="E70" s="159">
        <f>IF($C70="",0,SUMIFS(J_Montant,J_Annee,Annee_Travail,J_Mois,1,J_Module,"Général",J_Cat,$C70,J_Type,"Dépense",J_Statut,"&lt;&gt;Annulé",J_Statut,"&lt;&gt;Prévu"))</f>
        <v/>
      </c>
      <c r="F70" s="158">
        <f>IF($C70="",0,SUMIFS(P_M2,P_Annee,Annee_Travail,P_Cat,$C70,P_Type,"Dépense",P_Module,"Général"))</f>
        <v/>
      </c>
      <c r="G70" s="159">
        <f>IF($C70="",0,SUMIFS(J_Montant,J_Annee,Annee_Travail,J_Mois,2,J_Module,"Général",J_Cat,$C70,J_Type,"Dépense",J_Statut,"&lt;&gt;Annulé",J_Statut,"&lt;&gt;Prévu"))</f>
        <v/>
      </c>
      <c r="H70" s="158">
        <f>IF($C70="",0,SUMIFS(P_M3,P_Annee,Annee_Travail,P_Cat,$C70,P_Type,"Dépense",P_Module,"Général"))</f>
        <v/>
      </c>
      <c r="I70" s="159">
        <f>IF($C70="",0,SUMIFS(J_Montant,J_Annee,Annee_Travail,J_Mois,3,J_Module,"Général",J_Cat,$C70,J_Type,"Dépense",J_Statut,"&lt;&gt;Annulé",J_Statut,"&lt;&gt;Prévu"))</f>
        <v/>
      </c>
      <c r="J70" s="158">
        <f>IF($C70="",0,SUMIFS(P_M4,P_Annee,Annee_Travail,P_Cat,$C70,P_Type,"Dépense",P_Module,"Général"))</f>
        <v/>
      </c>
      <c r="K70" s="159">
        <f>IF($C70="",0,SUMIFS(J_Montant,J_Annee,Annee_Travail,J_Mois,4,J_Module,"Général",J_Cat,$C70,J_Type,"Dépense",J_Statut,"&lt;&gt;Annulé",J_Statut,"&lt;&gt;Prévu"))</f>
        <v/>
      </c>
      <c r="L70" s="158">
        <f>IF($C70="",0,SUMIFS(P_M5,P_Annee,Annee_Travail,P_Cat,$C70,P_Type,"Dépense",P_Module,"Général"))</f>
        <v/>
      </c>
      <c r="M70" s="159">
        <f>IF($C70="",0,SUMIFS(J_Montant,J_Annee,Annee_Travail,J_Mois,5,J_Module,"Général",J_Cat,$C70,J_Type,"Dépense",J_Statut,"&lt;&gt;Annulé",J_Statut,"&lt;&gt;Prévu"))</f>
        <v/>
      </c>
      <c r="N70" s="158">
        <f>IF($C70="",0,SUMIFS(P_M6,P_Annee,Annee_Travail,P_Cat,$C70,P_Type,"Dépense",P_Module,"Général"))</f>
        <v/>
      </c>
      <c r="O70" s="159">
        <f>IF($C70="",0,SUMIFS(J_Montant,J_Annee,Annee_Travail,J_Mois,6,J_Module,"Général",J_Cat,$C70,J_Type,"Dépense",J_Statut,"&lt;&gt;Annulé",J_Statut,"&lt;&gt;Prévu"))</f>
        <v/>
      </c>
      <c r="P70" s="158">
        <f>IF($C70="",0,SUMIFS(P_M7,P_Annee,Annee_Travail,P_Cat,$C70,P_Type,"Dépense",P_Module,"Général"))</f>
        <v/>
      </c>
      <c r="Q70" s="159">
        <f>IF($C70="",0,SUMIFS(J_Montant,J_Annee,Annee_Travail,J_Mois,7,J_Module,"Général",J_Cat,$C70,J_Type,"Dépense",J_Statut,"&lt;&gt;Annulé",J_Statut,"&lt;&gt;Prévu"))</f>
        <v/>
      </c>
      <c r="R70" s="158">
        <f>IF($C70="",0,SUMIFS(P_M8,P_Annee,Annee_Travail,P_Cat,$C70,P_Type,"Dépense",P_Module,"Général"))</f>
        <v/>
      </c>
      <c r="S70" s="159">
        <f>IF($C70="",0,SUMIFS(J_Montant,J_Annee,Annee_Travail,J_Mois,8,J_Module,"Général",J_Cat,$C70,J_Type,"Dépense",J_Statut,"&lt;&gt;Annulé",J_Statut,"&lt;&gt;Prévu"))</f>
        <v/>
      </c>
      <c r="T70" s="158">
        <f>IF($C70="",0,SUMIFS(P_M9,P_Annee,Annee_Travail,P_Cat,$C70,P_Type,"Dépense",P_Module,"Général"))</f>
        <v/>
      </c>
      <c r="U70" s="159">
        <f>IF($C70="",0,SUMIFS(J_Montant,J_Annee,Annee_Travail,J_Mois,9,J_Module,"Général",J_Cat,$C70,J_Type,"Dépense",J_Statut,"&lt;&gt;Annulé",J_Statut,"&lt;&gt;Prévu"))</f>
        <v/>
      </c>
      <c r="V70" s="158">
        <f>IF($C70="",0,SUMIFS(P_M10,P_Annee,Annee_Travail,P_Cat,$C70,P_Type,"Dépense",P_Module,"Général"))</f>
        <v/>
      </c>
      <c r="W70" s="159">
        <f>IF($C70="",0,SUMIFS(J_Montant,J_Annee,Annee_Travail,J_Mois,10,J_Module,"Général",J_Cat,$C70,J_Type,"Dépense",J_Statut,"&lt;&gt;Annulé",J_Statut,"&lt;&gt;Prévu"))</f>
        <v/>
      </c>
      <c r="X70" s="158">
        <f>IF($C70="",0,SUMIFS(P_M11,P_Annee,Annee_Travail,P_Cat,$C70,P_Type,"Dépense",P_Module,"Général"))</f>
        <v/>
      </c>
      <c r="Y70" s="159">
        <f>IF($C70="",0,SUMIFS(J_Montant,J_Annee,Annee_Travail,J_Mois,11,J_Module,"Général",J_Cat,$C70,J_Type,"Dépense",J_Statut,"&lt;&gt;Annulé",J_Statut,"&lt;&gt;Prévu"))</f>
        <v/>
      </c>
      <c r="Z70" s="158">
        <f>IF($C70="",0,SUMIFS(P_M12,P_Annee,Annee_Travail,P_Cat,$C70,P_Type,"Dépense",P_Module,"Général"))</f>
        <v/>
      </c>
      <c r="AA70" s="159">
        <f>IF($C70="",0,SUMIFS(J_Montant,J_Annee,Annee_Travail,J_Mois,12,J_Module,"Général",J_Cat,$C70,J_Type,"Dépense",J_Statut,"&lt;&gt;Annulé",J_Statut,"&lt;&gt;Prévu"))</f>
        <v/>
      </c>
      <c r="AB70" s="160">
        <f>D70+F70+H70+J70+L70+N70+P70+R70+T70+V70+X70+Z70</f>
        <v/>
      </c>
      <c r="AC70" s="160">
        <f>E70+G70+I70+K70+M70+O70+Q70+S70+U70+W70+Y70+AA70</f>
        <v/>
      </c>
      <c r="AD70" s="161">
        <f>$AB70-$AC70</f>
        <v/>
      </c>
      <c r="AE70" s="162">
        <f>IFERROR($AC70/$AB70,0)</f>
        <v/>
      </c>
    </row>
    <row r="71">
      <c r="B71" s="156" t="n">
        <v>10</v>
      </c>
      <c r="C71" s="157" t="inlineStr">
        <is>
          <t>Restaurants / Déjeuners</t>
        </is>
      </c>
      <c r="D71" s="158">
        <f>IF($C71="",0,SUMIFS(P_M1,P_Annee,Annee_Travail,P_Cat,$C71,P_Type,"Dépense",P_Module,"Général"))</f>
        <v/>
      </c>
      <c r="E71" s="159">
        <f>IF($C71="",0,SUMIFS(J_Montant,J_Annee,Annee_Travail,J_Mois,1,J_Module,"Général",J_Cat,$C71,J_Type,"Dépense",J_Statut,"&lt;&gt;Annulé",J_Statut,"&lt;&gt;Prévu"))</f>
        <v/>
      </c>
      <c r="F71" s="158">
        <f>IF($C71="",0,SUMIFS(P_M2,P_Annee,Annee_Travail,P_Cat,$C71,P_Type,"Dépense",P_Module,"Général"))</f>
        <v/>
      </c>
      <c r="G71" s="159">
        <f>IF($C71="",0,SUMIFS(J_Montant,J_Annee,Annee_Travail,J_Mois,2,J_Module,"Général",J_Cat,$C71,J_Type,"Dépense",J_Statut,"&lt;&gt;Annulé",J_Statut,"&lt;&gt;Prévu"))</f>
        <v/>
      </c>
      <c r="H71" s="158">
        <f>IF($C71="",0,SUMIFS(P_M3,P_Annee,Annee_Travail,P_Cat,$C71,P_Type,"Dépense",P_Module,"Général"))</f>
        <v/>
      </c>
      <c r="I71" s="159">
        <f>IF($C71="",0,SUMIFS(J_Montant,J_Annee,Annee_Travail,J_Mois,3,J_Module,"Général",J_Cat,$C71,J_Type,"Dépense",J_Statut,"&lt;&gt;Annulé",J_Statut,"&lt;&gt;Prévu"))</f>
        <v/>
      </c>
      <c r="J71" s="158">
        <f>IF($C71="",0,SUMIFS(P_M4,P_Annee,Annee_Travail,P_Cat,$C71,P_Type,"Dépense",P_Module,"Général"))</f>
        <v/>
      </c>
      <c r="K71" s="159">
        <f>IF($C71="",0,SUMIFS(J_Montant,J_Annee,Annee_Travail,J_Mois,4,J_Module,"Général",J_Cat,$C71,J_Type,"Dépense",J_Statut,"&lt;&gt;Annulé",J_Statut,"&lt;&gt;Prévu"))</f>
        <v/>
      </c>
      <c r="L71" s="158">
        <f>IF($C71="",0,SUMIFS(P_M5,P_Annee,Annee_Travail,P_Cat,$C71,P_Type,"Dépense",P_Module,"Général"))</f>
        <v/>
      </c>
      <c r="M71" s="159">
        <f>IF($C71="",0,SUMIFS(J_Montant,J_Annee,Annee_Travail,J_Mois,5,J_Module,"Général",J_Cat,$C71,J_Type,"Dépense",J_Statut,"&lt;&gt;Annulé",J_Statut,"&lt;&gt;Prévu"))</f>
        <v/>
      </c>
      <c r="N71" s="158">
        <f>IF($C71="",0,SUMIFS(P_M6,P_Annee,Annee_Travail,P_Cat,$C71,P_Type,"Dépense",P_Module,"Général"))</f>
        <v/>
      </c>
      <c r="O71" s="159">
        <f>IF($C71="",0,SUMIFS(J_Montant,J_Annee,Annee_Travail,J_Mois,6,J_Module,"Général",J_Cat,$C71,J_Type,"Dépense",J_Statut,"&lt;&gt;Annulé",J_Statut,"&lt;&gt;Prévu"))</f>
        <v/>
      </c>
      <c r="P71" s="158">
        <f>IF($C71="",0,SUMIFS(P_M7,P_Annee,Annee_Travail,P_Cat,$C71,P_Type,"Dépense",P_Module,"Général"))</f>
        <v/>
      </c>
      <c r="Q71" s="159">
        <f>IF($C71="",0,SUMIFS(J_Montant,J_Annee,Annee_Travail,J_Mois,7,J_Module,"Général",J_Cat,$C71,J_Type,"Dépense",J_Statut,"&lt;&gt;Annulé",J_Statut,"&lt;&gt;Prévu"))</f>
        <v/>
      </c>
      <c r="R71" s="158">
        <f>IF($C71="",0,SUMIFS(P_M8,P_Annee,Annee_Travail,P_Cat,$C71,P_Type,"Dépense",P_Module,"Général"))</f>
        <v/>
      </c>
      <c r="S71" s="159">
        <f>IF($C71="",0,SUMIFS(J_Montant,J_Annee,Annee_Travail,J_Mois,8,J_Module,"Général",J_Cat,$C71,J_Type,"Dépense",J_Statut,"&lt;&gt;Annulé",J_Statut,"&lt;&gt;Prévu"))</f>
        <v/>
      </c>
      <c r="T71" s="158">
        <f>IF($C71="",0,SUMIFS(P_M9,P_Annee,Annee_Travail,P_Cat,$C71,P_Type,"Dépense",P_Module,"Général"))</f>
        <v/>
      </c>
      <c r="U71" s="159">
        <f>IF($C71="",0,SUMIFS(J_Montant,J_Annee,Annee_Travail,J_Mois,9,J_Module,"Général",J_Cat,$C71,J_Type,"Dépense",J_Statut,"&lt;&gt;Annulé",J_Statut,"&lt;&gt;Prévu"))</f>
        <v/>
      </c>
      <c r="V71" s="158">
        <f>IF($C71="",0,SUMIFS(P_M10,P_Annee,Annee_Travail,P_Cat,$C71,P_Type,"Dépense",P_Module,"Général"))</f>
        <v/>
      </c>
      <c r="W71" s="159">
        <f>IF($C71="",0,SUMIFS(J_Montant,J_Annee,Annee_Travail,J_Mois,10,J_Module,"Général",J_Cat,$C71,J_Type,"Dépense",J_Statut,"&lt;&gt;Annulé",J_Statut,"&lt;&gt;Prévu"))</f>
        <v/>
      </c>
      <c r="X71" s="158">
        <f>IF($C71="",0,SUMIFS(P_M11,P_Annee,Annee_Travail,P_Cat,$C71,P_Type,"Dépense",P_Module,"Général"))</f>
        <v/>
      </c>
      <c r="Y71" s="159">
        <f>IF($C71="",0,SUMIFS(J_Montant,J_Annee,Annee_Travail,J_Mois,11,J_Module,"Général",J_Cat,$C71,J_Type,"Dépense",J_Statut,"&lt;&gt;Annulé",J_Statut,"&lt;&gt;Prévu"))</f>
        <v/>
      </c>
      <c r="Z71" s="158">
        <f>IF($C71="",0,SUMIFS(P_M12,P_Annee,Annee_Travail,P_Cat,$C71,P_Type,"Dépense",P_Module,"Général"))</f>
        <v/>
      </c>
      <c r="AA71" s="159">
        <f>IF($C71="",0,SUMIFS(J_Montant,J_Annee,Annee_Travail,J_Mois,12,J_Module,"Général",J_Cat,$C71,J_Type,"Dépense",J_Statut,"&lt;&gt;Annulé",J_Statut,"&lt;&gt;Prévu"))</f>
        <v/>
      </c>
      <c r="AB71" s="160">
        <f>D71+F71+H71+J71+L71+N71+P71+R71+T71+V71+X71+Z71</f>
        <v/>
      </c>
      <c r="AC71" s="160">
        <f>E71+G71+I71+K71+M71+O71+Q71+S71+U71+W71+Y71+AA71</f>
        <v/>
      </c>
      <c r="AD71" s="161">
        <f>$AB71-$AC71</f>
        <v/>
      </c>
      <c r="AE71" s="162">
        <f>IFERROR($AC71/$AB71,0)</f>
        <v/>
      </c>
    </row>
    <row r="72">
      <c r="B72" s="156" t="n">
        <v>11</v>
      </c>
      <c r="C72" s="157" t="inlineStr">
        <is>
          <t>Transport en commun</t>
        </is>
      </c>
      <c r="D72" s="158">
        <f>IF($C72="",0,SUMIFS(P_M1,P_Annee,Annee_Travail,P_Cat,$C72,P_Type,"Dépense",P_Module,"Général"))</f>
        <v/>
      </c>
      <c r="E72" s="159">
        <f>IF($C72="",0,SUMIFS(J_Montant,J_Annee,Annee_Travail,J_Mois,1,J_Module,"Général",J_Cat,$C72,J_Type,"Dépense",J_Statut,"&lt;&gt;Annulé",J_Statut,"&lt;&gt;Prévu"))</f>
        <v/>
      </c>
      <c r="F72" s="158">
        <f>IF($C72="",0,SUMIFS(P_M2,P_Annee,Annee_Travail,P_Cat,$C72,P_Type,"Dépense",P_Module,"Général"))</f>
        <v/>
      </c>
      <c r="G72" s="159">
        <f>IF($C72="",0,SUMIFS(J_Montant,J_Annee,Annee_Travail,J_Mois,2,J_Module,"Général",J_Cat,$C72,J_Type,"Dépense",J_Statut,"&lt;&gt;Annulé",J_Statut,"&lt;&gt;Prévu"))</f>
        <v/>
      </c>
      <c r="H72" s="158">
        <f>IF($C72="",0,SUMIFS(P_M3,P_Annee,Annee_Travail,P_Cat,$C72,P_Type,"Dépense",P_Module,"Général"))</f>
        <v/>
      </c>
      <c r="I72" s="159">
        <f>IF($C72="",0,SUMIFS(J_Montant,J_Annee,Annee_Travail,J_Mois,3,J_Module,"Général",J_Cat,$C72,J_Type,"Dépense",J_Statut,"&lt;&gt;Annulé",J_Statut,"&lt;&gt;Prévu"))</f>
        <v/>
      </c>
      <c r="J72" s="158">
        <f>IF($C72="",0,SUMIFS(P_M4,P_Annee,Annee_Travail,P_Cat,$C72,P_Type,"Dépense",P_Module,"Général"))</f>
        <v/>
      </c>
      <c r="K72" s="159">
        <f>IF($C72="",0,SUMIFS(J_Montant,J_Annee,Annee_Travail,J_Mois,4,J_Module,"Général",J_Cat,$C72,J_Type,"Dépense",J_Statut,"&lt;&gt;Annulé",J_Statut,"&lt;&gt;Prévu"))</f>
        <v/>
      </c>
      <c r="L72" s="158">
        <f>IF($C72="",0,SUMIFS(P_M5,P_Annee,Annee_Travail,P_Cat,$C72,P_Type,"Dépense",P_Module,"Général"))</f>
        <v/>
      </c>
      <c r="M72" s="159">
        <f>IF($C72="",0,SUMIFS(J_Montant,J_Annee,Annee_Travail,J_Mois,5,J_Module,"Général",J_Cat,$C72,J_Type,"Dépense",J_Statut,"&lt;&gt;Annulé",J_Statut,"&lt;&gt;Prévu"))</f>
        <v/>
      </c>
      <c r="N72" s="158">
        <f>IF($C72="",0,SUMIFS(P_M6,P_Annee,Annee_Travail,P_Cat,$C72,P_Type,"Dépense",P_Module,"Général"))</f>
        <v/>
      </c>
      <c r="O72" s="159">
        <f>IF($C72="",0,SUMIFS(J_Montant,J_Annee,Annee_Travail,J_Mois,6,J_Module,"Général",J_Cat,$C72,J_Type,"Dépense",J_Statut,"&lt;&gt;Annulé",J_Statut,"&lt;&gt;Prévu"))</f>
        <v/>
      </c>
      <c r="P72" s="158">
        <f>IF($C72="",0,SUMIFS(P_M7,P_Annee,Annee_Travail,P_Cat,$C72,P_Type,"Dépense",P_Module,"Général"))</f>
        <v/>
      </c>
      <c r="Q72" s="159">
        <f>IF($C72="",0,SUMIFS(J_Montant,J_Annee,Annee_Travail,J_Mois,7,J_Module,"Général",J_Cat,$C72,J_Type,"Dépense",J_Statut,"&lt;&gt;Annulé",J_Statut,"&lt;&gt;Prévu"))</f>
        <v/>
      </c>
      <c r="R72" s="158">
        <f>IF($C72="",0,SUMIFS(P_M8,P_Annee,Annee_Travail,P_Cat,$C72,P_Type,"Dépense",P_Module,"Général"))</f>
        <v/>
      </c>
      <c r="S72" s="159">
        <f>IF($C72="",0,SUMIFS(J_Montant,J_Annee,Annee_Travail,J_Mois,8,J_Module,"Général",J_Cat,$C72,J_Type,"Dépense",J_Statut,"&lt;&gt;Annulé",J_Statut,"&lt;&gt;Prévu"))</f>
        <v/>
      </c>
      <c r="T72" s="158">
        <f>IF($C72="",0,SUMIFS(P_M9,P_Annee,Annee_Travail,P_Cat,$C72,P_Type,"Dépense",P_Module,"Général"))</f>
        <v/>
      </c>
      <c r="U72" s="159">
        <f>IF($C72="",0,SUMIFS(J_Montant,J_Annee,Annee_Travail,J_Mois,9,J_Module,"Général",J_Cat,$C72,J_Type,"Dépense",J_Statut,"&lt;&gt;Annulé",J_Statut,"&lt;&gt;Prévu"))</f>
        <v/>
      </c>
      <c r="V72" s="158">
        <f>IF($C72="",0,SUMIFS(P_M10,P_Annee,Annee_Travail,P_Cat,$C72,P_Type,"Dépense",P_Module,"Général"))</f>
        <v/>
      </c>
      <c r="W72" s="159">
        <f>IF($C72="",0,SUMIFS(J_Montant,J_Annee,Annee_Travail,J_Mois,10,J_Module,"Général",J_Cat,$C72,J_Type,"Dépense",J_Statut,"&lt;&gt;Annulé",J_Statut,"&lt;&gt;Prévu"))</f>
        <v/>
      </c>
      <c r="X72" s="158">
        <f>IF($C72="",0,SUMIFS(P_M11,P_Annee,Annee_Travail,P_Cat,$C72,P_Type,"Dépense",P_Module,"Général"))</f>
        <v/>
      </c>
      <c r="Y72" s="159">
        <f>IF($C72="",0,SUMIFS(J_Montant,J_Annee,Annee_Travail,J_Mois,11,J_Module,"Général",J_Cat,$C72,J_Type,"Dépense",J_Statut,"&lt;&gt;Annulé",J_Statut,"&lt;&gt;Prévu"))</f>
        <v/>
      </c>
      <c r="Z72" s="158">
        <f>IF($C72="",0,SUMIFS(P_M12,P_Annee,Annee_Travail,P_Cat,$C72,P_Type,"Dépense",P_Module,"Général"))</f>
        <v/>
      </c>
      <c r="AA72" s="159">
        <f>IF($C72="",0,SUMIFS(J_Montant,J_Annee,Annee_Travail,J_Mois,12,J_Module,"Général",J_Cat,$C72,J_Type,"Dépense",J_Statut,"&lt;&gt;Annulé",J_Statut,"&lt;&gt;Prévu"))</f>
        <v/>
      </c>
      <c r="AB72" s="160">
        <f>D72+F72+H72+J72+L72+N72+P72+R72+T72+V72+X72+Z72</f>
        <v/>
      </c>
      <c r="AC72" s="160">
        <f>E72+G72+I72+K72+M72+O72+Q72+S72+U72+W72+Y72+AA72</f>
        <v/>
      </c>
      <c r="AD72" s="161">
        <f>$AB72-$AC72</f>
        <v/>
      </c>
      <c r="AE72" s="162">
        <f>IFERROR($AC72/$AB72,0)</f>
        <v/>
      </c>
    </row>
    <row r="73">
      <c r="B73" s="156" t="n">
        <v>12</v>
      </c>
      <c r="C73" s="157" t="inlineStr">
        <is>
          <t>Carburant</t>
        </is>
      </c>
      <c r="D73" s="158">
        <f>IF($C73="",0,SUMIFS(P_M1,P_Annee,Annee_Travail,P_Cat,$C73,P_Type,"Dépense",P_Module,"Général"))</f>
        <v/>
      </c>
      <c r="E73" s="159">
        <f>IF($C73="",0,SUMIFS(J_Montant,J_Annee,Annee_Travail,J_Mois,1,J_Module,"Général",J_Cat,$C73,J_Type,"Dépense",J_Statut,"&lt;&gt;Annulé",J_Statut,"&lt;&gt;Prévu"))</f>
        <v/>
      </c>
      <c r="F73" s="158">
        <f>IF($C73="",0,SUMIFS(P_M2,P_Annee,Annee_Travail,P_Cat,$C73,P_Type,"Dépense",P_Module,"Général"))</f>
        <v/>
      </c>
      <c r="G73" s="159">
        <f>IF($C73="",0,SUMIFS(J_Montant,J_Annee,Annee_Travail,J_Mois,2,J_Module,"Général",J_Cat,$C73,J_Type,"Dépense",J_Statut,"&lt;&gt;Annulé",J_Statut,"&lt;&gt;Prévu"))</f>
        <v/>
      </c>
      <c r="H73" s="158">
        <f>IF($C73="",0,SUMIFS(P_M3,P_Annee,Annee_Travail,P_Cat,$C73,P_Type,"Dépense",P_Module,"Général"))</f>
        <v/>
      </c>
      <c r="I73" s="159">
        <f>IF($C73="",0,SUMIFS(J_Montant,J_Annee,Annee_Travail,J_Mois,3,J_Module,"Général",J_Cat,$C73,J_Type,"Dépense",J_Statut,"&lt;&gt;Annulé",J_Statut,"&lt;&gt;Prévu"))</f>
        <v/>
      </c>
      <c r="J73" s="158">
        <f>IF($C73="",0,SUMIFS(P_M4,P_Annee,Annee_Travail,P_Cat,$C73,P_Type,"Dépense",P_Module,"Général"))</f>
        <v/>
      </c>
      <c r="K73" s="159">
        <f>IF($C73="",0,SUMIFS(J_Montant,J_Annee,Annee_Travail,J_Mois,4,J_Module,"Général",J_Cat,$C73,J_Type,"Dépense",J_Statut,"&lt;&gt;Annulé",J_Statut,"&lt;&gt;Prévu"))</f>
        <v/>
      </c>
      <c r="L73" s="158">
        <f>IF($C73="",0,SUMIFS(P_M5,P_Annee,Annee_Travail,P_Cat,$C73,P_Type,"Dépense",P_Module,"Général"))</f>
        <v/>
      </c>
      <c r="M73" s="159">
        <f>IF($C73="",0,SUMIFS(J_Montant,J_Annee,Annee_Travail,J_Mois,5,J_Module,"Général",J_Cat,$C73,J_Type,"Dépense",J_Statut,"&lt;&gt;Annulé",J_Statut,"&lt;&gt;Prévu"))</f>
        <v/>
      </c>
      <c r="N73" s="158">
        <f>IF($C73="",0,SUMIFS(P_M6,P_Annee,Annee_Travail,P_Cat,$C73,P_Type,"Dépense",P_Module,"Général"))</f>
        <v/>
      </c>
      <c r="O73" s="159">
        <f>IF($C73="",0,SUMIFS(J_Montant,J_Annee,Annee_Travail,J_Mois,6,J_Module,"Général",J_Cat,$C73,J_Type,"Dépense",J_Statut,"&lt;&gt;Annulé",J_Statut,"&lt;&gt;Prévu"))</f>
        <v/>
      </c>
      <c r="P73" s="158">
        <f>IF($C73="",0,SUMIFS(P_M7,P_Annee,Annee_Travail,P_Cat,$C73,P_Type,"Dépense",P_Module,"Général"))</f>
        <v/>
      </c>
      <c r="Q73" s="159">
        <f>IF($C73="",0,SUMIFS(J_Montant,J_Annee,Annee_Travail,J_Mois,7,J_Module,"Général",J_Cat,$C73,J_Type,"Dépense",J_Statut,"&lt;&gt;Annulé",J_Statut,"&lt;&gt;Prévu"))</f>
        <v/>
      </c>
      <c r="R73" s="158">
        <f>IF($C73="",0,SUMIFS(P_M8,P_Annee,Annee_Travail,P_Cat,$C73,P_Type,"Dépense",P_Module,"Général"))</f>
        <v/>
      </c>
      <c r="S73" s="159">
        <f>IF($C73="",0,SUMIFS(J_Montant,J_Annee,Annee_Travail,J_Mois,8,J_Module,"Général",J_Cat,$C73,J_Type,"Dépense",J_Statut,"&lt;&gt;Annulé",J_Statut,"&lt;&gt;Prévu"))</f>
        <v/>
      </c>
      <c r="T73" s="158">
        <f>IF($C73="",0,SUMIFS(P_M9,P_Annee,Annee_Travail,P_Cat,$C73,P_Type,"Dépense",P_Module,"Général"))</f>
        <v/>
      </c>
      <c r="U73" s="159">
        <f>IF($C73="",0,SUMIFS(J_Montant,J_Annee,Annee_Travail,J_Mois,9,J_Module,"Général",J_Cat,$C73,J_Type,"Dépense",J_Statut,"&lt;&gt;Annulé",J_Statut,"&lt;&gt;Prévu"))</f>
        <v/>
      </c>
      <c r="V73" s="158">
        <f>IF($C73="",0,SUMIFS(P_M10,P_Annee,Annee_Travail,P_Cat,$C73,P_Type,"Dépense",P_Module,"Général"))</f>
        <v/>
      </c>
      <c r="W73" s="159">
        <f>IF($C73="",0,SUMIFS(J_Montant,J_Annee,Annee_Travail,J_Mois,10,J_Module,"Général",J_Cat,$C73,J_Type,"Dépense",J_Statut,"&lt;&gt;Annulé",J_Statut,"&lt;&gt;Prévu"))</f>
        <v/>
      </c>
      <c r="X73" s="158">
        <f>IF($C73="",0,SUMIFS(P_M11,P_Annee,Annee_Travail,P_Cat,$C73,P_Type,"Dépense",P_Module,"Général"))</f>
        <v/>
      </c>
      <c r="Y73" s="159">
        <f>IF($C73="",0,SUMIFS(J_Montant,J_Annee,Annee_Travail,J_Mois,11,J_Module,"Général",J_Cat,$C73,J_Type,"Dépense",J_Statut,"&lt;&gt;Annulé",J_Statut,"&lt;&gt;Prévu"))</f>
        <v/>
      </c>
      <c r="Z73" s="158">
        <f>IF($C73="",0,SUMIFS(P_M12,P_Annee,Annee_Travail,P_Cat,$C73,P_Type,"Dépense",P_Module,"Général"))</f>
        <v/>
      </c>
      <c r="AA73" s="159">
        <f>IF($C73="",0,SUMIFS(J_Montant,J_Annee,Annee_Travail,J_Mois,12,J_Module,"Général",J_Cat,$C73,J_Type,"Dépense",J_Statut,"&lt;&gt;Annulé",J_Statut,"&lt;&gt;Prévu"))</f>
        <v/>
      </c>
      <c r="AB73" s="160">
        <f>D73+F73+H73+J73+L73+N73+P73+R73+T73+V73+X73+Z73</f>
        <v/>
      </c>
      <c r="AC73" s="160">
        <f>E73+G73+I73+K73+M73+O73+Q73+S73+U73+W73+Y73+AA73</f>
        <v/>
      </c>
      <c r="AD73" s="161">
        <f>$AB73-$AC73</f>
        <v/>
      </c>
      <c r="AE73" s="162">
        <f>IFERROR($AC73/$AB73,0)</f>
        <v/>
      </c>
    </row>
    <row r="74">
      <c r="B74" s="156" t="n">
        <v>13</v>
      </c>
      <c r="C74" s="157" t="inlineStr">
        <is>
          <t>Taxi / VTC</t>
        </is>
      </c>
      <c r="D74" s="158">
        <f>IF($C74="",0,SUMIFS(P_M1,P_Annee,Annee_Travail,P_Cat,$C74,P_Type,"Dépense",P_Module,"Général"))</f>
        <v/>
      </c>
      <c r="E74" s="159">
        <f>IF($C74="",0,SUMIFS(J_Montant,J_Annee,Annee_Travail,J_Mois,1,J_Module,"Général",J_Cat,$C74,J_Type,"Dépense",J_Statut,"&lt;&gt;Annulé",J_Statut,"&lt;&gt;Prévu"))</f>
        <v/>
      </c>
      <c r="F74" s="158">
        <f>IF($C74="",0,SUMIFS(P_M2,P_Annee,Annee_Travail,P_Cat,$C74,P_Type,"Dépense",P_Module,"Général"))</f>
        <v/>
      </c>
      <c r="G74" s="159">
        <f>IF($C74="",0,SUMIFS(J_Montant,J_Annee,Annee_Travail,J_Mois,2,J_Module,"Général",J_Cat,$C74,J_Type,"Dépense",J_Statut,"&lt;&gt;Annulé",J_Statut,"&lt;&gt;Prévu"))</f>
        <v/>
      </c>
      <c r="H74" s="158">
        <f>IF($C74="",0,SUMIFS(P_M3,P_Annee,Annee_Travail,P_Cat,$C74,P_Type,"Dépense",P_Module,"Général"))</f>
        <v/>
      </c>
      <c r="I74" s="159">
        <f>IF($C74="",0,SUMIFS(J_Montant,J_Annee,Annee_Travail,J_Mois,3,J_Module,"Général",J_Cat,$C74,J_Type,"Dépense",J_Statut,"&lt;&gt;Annulé",J_Statut,"&lt;&gt;Prévu"))</f>
        <v/>
      </c>
      <c r="J74" s="158">
        <f>IF($C74="",0,SUMIFS(P_M4,P_Annee,Annee_Travail,P_Cat,$C74,P_Type,"Dépense",P_Module,"Général"))</f>
        <v/>
      </c>
      <c r="K74" s="159">
        <f>IF($C74="",0,SUMIFS(J_Montant,J_Annee,Annee_Travail,J_Mois,4,J_Module,"Général",J_Cat,$C74,J_Type,"Dépense",J_Statut,"&lt;&gt;Annulé",J_Statut,"&lt;&gt;Prévu"))</f>
        <v/>
      </c>
      <c r="L74" s="158">
        <f>IF($C74="",0,SUMIFS(P_M5,P_Annee,Annee_Travail,P_Cat,$C74,P_Type,"Dépense",P_Module,"Général"))</f>
        <v/>
      </c>
      <c r="M74" s="159">
        <f>IF($C74="",0,SUMIFS(J_Montant,J_Annee,Annee_Travail,J_Mois,5,J_Module,"Général",J_Cat,$C74,J_Type,"Dépense",J_Statut,"&lt;&gt;Annulé",J_Statut,"&lt;&gt;Prévu"))</f>
        <v/>
      </c>
      <c r="N74" s="158">
        <f>IF($C74="",0,SUMIFS(P_M6,P_Annee,Annee_Travail,P_Cat,$C74,P_Type,"Dépense",P_Module,"Général"))</f>
        <v/>
      </c>
      <c r="O74" s="159">
        <f>IF($C74="",0,SUMIFS(J_Montant,J_Annee,Annee_Travail,J_Mois,6,J_Module,"Général",J_Cat,$C74,J_Type,"Dépense",J_Statut,"&lt;&gt;Annulé",J_Statut,"&lt;&gt;Prévu"))</f>
        <v/>
      </c>
      <c r="P74" s="158">
        <f>IF($C74="",0,SUMIFS(P_M7,P_Annee,Annee_Travail,P_Cat,$C74,P_Type,"Dépense",P_Module,"Général"))</f>
        <v/>
      </c>
      <c r="Q74" s="159">
        <f>IF($C74="",0,SUMIFS(J_Montant,J_Annee,Annee_Travail,J_Mois,7,J_Module,"Général",J_Cat,$C74,J_Type,"Dépense",J_Statut,"&lt;&gt;Annulé",J_Statut,"&lt;&gt;Prévu"))</f>
        <v/>
      </c>
      <c r="R74" s="158">
        <f>IF($C74="",0,SUMIFS(P_M8,P_Annee,Annee_Travail,P_Cat,$C74,P_Type,"Dépense",P_Module,"Général"))</f>
        <v/>
      </c>
      <c r="S74" s="159">
        <f>IF($C74="",0,SUMIFS(J_Montant,J_Annee,Annee_Travail,J_Mois,8,J_Module,"Général",J_Cat,$C74,J_Type,"Dépense",J_Statut,"&lt;&gt;Annulé",J_Statut,"&lt;&gt;Prévu"))</f>
        <v/>
      </c>
      <c r="T74" s="158">
        <f>IF($C74="",0,SUMIFS(P_M9,P_Annee,Annee_Travail,P_Cat,$C74,P_Type,"Dépense",P_Module,"Général"))</f>
        <v/>
      </c>
      <c r="U74" s="159">
        <f>IF($C74="",0,SUMIFS(J_Montant,J_Annee,Annee_Travail,J_Mois,9,J_Module,"Général",J_Cat,$C74,J_Type,"Dépense",J_Statut,"&lt;&gt;Annulé",J_Statut,"&lt;&gt;Prévu"))</f>
        <v/>
      </c>
      <c r="V74" s="158">
        <f>IF($C74="",0,SUMIFS(P_M10,P_Annee,Annee_Travail,P_Cat,$C74,P_Type,"Dépense",P_Module,"Général"))</f>
        <v/>
      </c>
      <c r="W74" s="159">
        <f>IF($C74="",0,SUMIFS(J_Montant,J_Annee,Annee_Travail,J_Mois,10,J_Module,"Général",J_Cat,$C74,J_Type,"Dépense",J_Statut,"&lt;&gt;Annulé",J_Statut,"&lt;&gt;Prévu"))</f>
        <v/>
      </c>
      <c r="X74" s="158">
        <f>IF($C74="",0,SUMIFS(P_M11,P_Annee,Annee_Travail,P_Cat,$C74,P_Type,"Dépense",P_Module,"Général"))</f>
        <v/>
      </c>
      <c r="Y74" s="159">
        <f>IF($C74="",0,SUMIFS(J_Montant,J_Annee,Annee_Travail,J_Mois,11,J_Module,"Général",J_Cat,$C74,J_Type,"Dépense",J_Statut,"&lt;&gt;Annulé",J_Statut,"&lt;&gt;Prévu"))</f>
        <v/>
      </c>
      <c r="Z74" s="158">
        <f>IF($C74="",0,SUMIFS(P_M12,P_Annee,Annee_Travail,P_Cat,$C74,P_Type,"Dépense",P_Module,"Général"))</f>
        <v/>
      </c>
      <c r="AA74" s="159">
        <f>IF($C74="",0,SUMIFS(J_Montant,J_Annee,Annee_Travail,J_Mois,12,J_Module,"Général",J_Cat,$C74,J_Type,"Dépense",J_Statut,"&lt;&gt;Annulé",J_Statut,"&lt;&gt;Prévu"))</f>
        <v/>
      </c>
      <c r="AB74" s="160">
        <f>D74+F74+H74+J74+L74+N74+P74+R74+T74+V74+X74+Z74</f>
        <v/>
      </c>
      <c r="AC74" s="160">
        <f>E74+G74+I74+K74+M74+O74+Q74+S74+U74+W74+Y74+AA74</f>
        <v/>
      </c>
      <c r="AD74" s="161">
        <f>$AB74-$AC74</f>
        <v/>
      </c>
      <c r="AE74" s="162">
        <f>IFERROR($AC74/$AB74,0)</f>
        <v/>
      </c>
    </row>
    <row r="75">
      <c r="B75" s="156" t="n">
        <v>14</v>
      </c>
      <c r="C75" s="157" t="inlineStr">
        <is>
          <t>Entretien véhicule</t>
        </is>
      </c>
      <c r="D75" s="158">
        <f>IF($C75="",0,SUMIFS(P_M1,P_Annee,Annee_Travail,P_Cat,$C75,P_Type,"Dépense",P_Module,"Général"))</f>
        <v/>
      </c>
      <c r="E75" s="159">
        <f>IF($C75="",0,SUMIFS(J_Montant,J_Annee,Annee_Travail,J_Mois,1,J_Module,"Général",J_Cat,$C75,J_Type,"Dépense",J_Statut,"&lt;&gt;Annulé",J_Statut,"&lt;&gt;Prévu"))</f>
        <v/>
      </c>
      <c r="F75" s="158">
        <f>IF($C75="",0,SUMIFS(P_M2,P_Annee,Annee_Travail,P_Cat,$C75,P_Type,"Dépense",P_Module,"Général"))</f>
        <v/>
      </c>
      <c r="G75" s="159">
        <f>IF($C75="",0,SUMIFS(J_Montant,J_Annee,Annee_Travail,J_Mois,2,J_Module,"Général",J_Cat,$C75,J_Type,"Dépense",J_Statut,"&lt;&gt;Annulé",J_Statut,"&lt;&gt;Prévu"))</f>
        <v/>
      </c>
      <c r="H75" s="158">
        <f>IF($C75="",0,SUMIFS(P_M3,P_Annee,Annee_Travail,P_Cat,$C75,P_Type,"Dépense",P_Module,"Général"))</f>
        <v/>
      </c>
      <c r="I75" s="159">
        <f>IF($C75="",0,SUMIFS(J_Montant,J_Annee,Annee_Travail,J_Mois,3,J_Module,"Général",J_Cat,$C75,J_Type,"Dépense",J_Statut,"&lt;&gt;Annulé",J_Statut,"&lt;&gt;Prévu"))</f>
        <v/>
      </c>
      <c r="J75" s="158">
        <f>IF($C75="",0,SUMIFS(P_M4,P_Annee,Annee_Travail,P_Cat,$C75,P_Type,"Dépense",P_Module,"Général"))</f>
        <v/>
      </c>
      <c r="K75" s="159">
        <f>IF($C75="",0,SUMIFS(J_Montant,J_Annee,Annee_Travail,J_Mois,4,J_Module,"Général",J_Cat,$C75,J_Type,"Dépense",J_Statut,"&lt;&gt;Annulé",J_Statut,"&lt;&gt;Prévu"))</f>
        <v/>
      </c>
      <c r="L75" s="158">
        <f>IF($C75="",0,SUMIFS(P_M5,P_Annee,Annee_Travail,P_Cat,$C75,P_Type,"Dépense",P_Module,"Général"))</f>
        <v/>
      </c>
      <c r="M75" s="159">
        <f>IF($C75="",0,SUMIFS(J_Montant,J_Annee,Annee_Travail,J_Mois,5,J_Module,"Général",J_Cat,$C75,J_Type,"Dépense",J_Statut,"&lt;&gt;Annulé",J_Statut,"&lt;&gt;Prévu"))</f>
        <v/>
      </c>
      <c r="N75" s="158">
        <f>IF($C75="",0,SUMIFS(P_M6,P_Annee,Annee_Travail,P_Cat,$C75,P_Type,"Dépense",P_Module,"Général"))</f>
        <v/>
      </c>
      <c r="O75" s="159">
        <f>IF($C75="",0,SUMIFS(J_Montant,J_Annee,Annee_Travail,J_Mois,6,J_Module,"Général",J_Cat,$C75,J_Type,"Dépense",J_Statut,"&lt;&gt;Annulé",J_Statut,"&lt;&gt;Prévu"))</f>
        <v/>
      </c>
      <c r="P75" s="158">
        <f>IF($C75="",0,SUMIFS(P_M7,P_Annee,Annee_Travail,P_Cat,$C75,P_Type,"Dépense",P_Module,"Général"))</f>
        <v/>
      </c>
      <c r="Q75" s="159">
        <f>IF($C75="",0,SUMIFS(J_Montant,J_Annee,Annee_Travail,J_Mois,7,J_Module,"Général",J_Cat,$C75,J_Type,"Dépense",J_Statut,"&lt;&gt;Annulé",J_Statut,"&lt;&gt;Prévu"))</f>
        <v/>
      </c>
      <c r="R75" s="158">
        <f>IF($C75="",0,SUMIFS(P_M8,P_Annee,Annee_Travail,P_Cat,$C75,P_Type,"Dépense",P_Module,"Général"))</f>
        <v/>
      </c>
      <c r="S75" s="159">
        <f>IF($C75="",0,SUMIFS(J_Montant,J_Annee,Annee_Travail,J_Mois,8,J_Module,"Général",J_Cat,$C75,J_Type,"Dépense",J_Statut,"&lt;&gt;Annulé",J_Statut,"&lt;&gt;Prévu"))</f>
        <v/>
      </c>
      <c r="T75" s="158">
        <f>IF($C75="",0,SUMIFS(P_M9,P_Annee,Annee_Travail,P_Cat,$C75,P_Type,"Dépense",P_Module,"Général"))</f>
        <v/>
      </c>
      <c r="U75" s="159">
        <f>IF($C75="",0,SUMIFS(J_Montant,J_Annee,Annee_Travail,J_Mois,9,J_Module,"Général",J_Cat,$C75,J_Type,"Dépense",J_Statut,"&lt;&gt;Annulé",J_Statut,"&lt;&gt;Prévu"))</f>
        <v/>
      </c>
      <c r="V75" s="158">
        <f>IF($C75="",0,SUMIFS(P_M10,P_Annee,Annee_Travail,P_Cat,$C75,P_Type,"Dépense",P_Module,"Général"))</f>
        <v/>
      </c>
      <c r="W75" s="159">
        <f>IF($C75="",0,SUMIFS(J_Montant,J_Annee,Annee_Travail,J_Mois,10,J_Module,"Général",J_Cat,$C75,J_Type,"Dépense",J_Statut,"&lt;&gt;Annulé",J_Statut,"&lt;&gt;Prévu"))</f>
        <v/>
      </c>
      <c r="X75" s="158">
        <f>IF($C75="",0,SUMIFS(P_M11,P_Annee,Annee_Travail,P_Cat,$C75,P_Type,"Dépense",P_Module,"Général"))</f>
        <v/>
      </c>
      <c r="Y75" s="159">
        <f>IF($C75="",0,SUMIFS(J_Montant,J_Annee,Annee_Travail,J_Mois,11,J_Module,"Général",J_Cat,$C75,J_Type,"Dépense",J_Statut,"&lt;&gt;Annulé",J_Statut,"&lt;&gt;Prévu"))</f>
        <v/>
      </c>
      <c r="Z75" s="158">
        <f>IF($C75="",0,SUMIFS(P_M12,P_Annee,Annee_Travail,P_Cat,$C75,P_Type,"Dépense",P_Module,"Général"))</f>
        <v/>
      </c>
      <c r="AA75" s="159">
        <f>IF($C75="",0,SUMIFS(J_Montant,J_Annee,Annee_Travail,J_Mois,12,J_Module,"Général",J_Cat,$C75,J_Type,"Dépense",J_Statut,"&lt;&gt;Annulé",J_Statut,"&lt;&gt;Prévu"))</f>
        <v/>
      </c>
      <c r="AB75" s="160">
        <f>D75+F75+H75+J75+L75+N75+P75+R75+T75+V75+X75+Z75</f>
        <v/>
      </c>
      <c r="AC75" s="160">
        <f>E75+G75+I75+K75+M75+O75+Q75+S75+U75+W75+Y75+AA75</f>
        <v/>
      </c>
      <c r="AD75" s="161">
        <f>$AB75-$AC75</f>
        <v/>
      </c>
      <c r="AE75" s="162">
        <f>IFERROR($AC75/$AB75,0)</f>
        <v/>
      </c>
    </row>
    <row r="76">
      <c r="B76" s="156" t="n">
        <v>15</v>
      </c>
      <c r="C76" s="157" t="inlineStr">
        <is>
          <t>Assurance véhicule</t>
        </is>
      </c>
      <c r="D76" s="158">
        <f>IF($C76="",0,SUMIFS(P_M1,P_Annee,Annee_Travail,P_Cat,$C76,P_Type,"Dépense",P_Module,"Général"))</f>
        <v/>
      </c>
      <c r="E76" s="159">
        <f>IF($C76="",0,SUMIFS(J_Montant,J_Annee,Annee_Travail,J_Mois,1,J_Module,"Général",J_Cat,$C76,J_Type,"Dépense",J_Statut,"&lt;&gt;Annulé",J_Statut,"&lt;&gt;Prévu"))</f>
        <v/>
      </c>
      <c r="F76" s="158">
        <f>IF($C76="",0,SUMIFS(P_M2,P_Annee,Annee_Travail,P_Cat,$C76,P_Type,"Dépense",P_Module,"Général"))</f>
        <v/>
      </c>
      <c r="G76" s="159">
        <f>IF($C76="",0,SUMIFS(J_Montant,J_Annee,Annee_Travail,J_Mois,2,J_Module,"Général",J_Cat,$C76,J_Type,"Dépense",J_Statut,"&lt;&gt;Annulé",J_Statut,"&lt;&gt;Prévu"))</f>
        <v/>
      </c>
      <c r="H76" s="158">
        <f>IF($C76="",0,SUMIFS(P_M3,P_Annee,Annee_Travail,P_Cat,$C76,P_Type,"Dépense",P_Module,"Général"))</f>
        <v/>
      </c>
      <c r="I76" s="159">
        <f>IF($C76="",0,SUMIFS(J_Montant,J_Annee,Annee_Travail,J_Mois,3,J_Module,"Général",J_Cat,$C76,J_Type,"Dépense",J_Statut,"&lt;&gt;Annulé",J_Statut,"&lt;&gt;Prévu"))</f>
        <v/>
      </c>
      <c r="J76" s="158">
        <f>IF($C76="",0,SUMIFS(P_M4,P_Annee,Annee_Travail,P_Cat,$C76,P_Type,"Dépense",P_Module,"Général"))</f>
        <v/>
      </c>
      <c r="K76" s="159">
        <f>IF($C76="",0,SUMIFS(J_Montant,J_Annee,Annee_Travail,J_Mois,4,J_Module,"Général",J_Cat,$C76,J_Type,"Dépense",J_Statut,"&lt;&gt;Annulé",J_Statut,"&lt;&gt;Prévu"))</f>
        <v/>
      </c>
      <c r="L76" s="158">
        <f>IF($C76="",0,SUMIFS(P_M5,P_Annee,Annee_Travail,P_Cat,$C76,P_Type,"Dépense",P_Module,"Général"))</f>
        <v/>
      </c>
      <c r="M76" s="159">
        <f>IF($C76="",0,SUMIFS(J_Montant,J_Annee,Annee_Travail,J_Mois,5,J_Module,"Général",J_Cat,$C76,J_Type,"Dépense",J_Statut,"&lt;&gt;Annulé",J_Statut,"&lt;&gt;Prévu"))</f>
        <v/>
      </c>
      <c r="N76" s="158">
        <f>IF($C76="",0,SUMIFS(P_M6,P_Annee,Annee_Travail,P_Cat,$C76,P_Type,"Dépense",P_Module,"Général"))</f>
        <v/>
      </c>
      <c r="O76" s="159">
        <f>IF($C76="",0,SUMIFS(J_Montant,J_Annee,Annee_Travail,J_Mois,6,J_Module,"Général",J_Cat,$C76,J_Type,"Dépense",J_Statut,"&lt;&gt;Annulé",J_Statut,"&lt;&gt;Prévu"))</f>
        <v/>
      </c>
      <c r="P76" s="158">
        <f>IF($C76="",0,SUMIFS(P_M7,P_Annee,Annee_Travail,P_Cat,$C76,P_Type,"Dépense",P_Module,"Général"))</f>
        <v/>
      </c>
      <c r="Q76" s="159">
        <f>IF($C76="",0,SUMIFS(J_Montant,J_Annee,Annee_Travail,J_Mois,7,J_Module,"Général",J_Cat,$C76,J_Type,"Dépense",J_Statut,"&lt;&gt;Annulé",J_Statut,"&lt;&gt;Prévu"))</f>
        <v/>
      </c>
      <c r="R76" s="158">
        <f>IF($C76="",0,SUMIFS(P_M8,P_Annee,Annee_Travail,P_Cat,$C76,P_Type,"Dépense",P_Module,"Général"))</f>
        <v/>
      </c>
      <c r="S76" s="159">
        <f>IF($C76="",0,SUMIFS(J_Montant,J_Annee,Annee_Travail,J_Mois,8,J_Module,"Général",J_Cat,$C76,J_Type,"Dépense",J_Statut,"&lt;&gt;Annulé",J_Statut,"&lt;&gt;Prévu"))</f>
        <v/>
      </c>
      <c r="T76" s="158">
        <f>IF($C76="",0,SUMIFS(P_M9,P_Annee,Annee_Travail,P_Cat,$C76,P_Type,"Dépense",P_Module,"Général"))</f>
        <v/>
      </c>
      <c r="U76" s="159">
        <f>IF($C76="",0,SUMIFS(J_Montant,J_Annee,Annee_Travail,J_Mois,9,J_Module,"Général",J_Cat,$C76,J_Type,"Dépense",J_Statut,"&lt;&gt;Annulé",J_Statut,"&lt;&gt;Prévu"))</f>
        <v/>
      </c>
      <c r="V76" s="158">
        <f>IF($C76="",0,SUMIFS(P_M10,P_Annee,Annee_Travail,P_Cat,$C76,P_Type,"Dépense",P_Module,"Général"))</f>
        <v/>
      </c>
      <c r="W76" s="159">
        <f>IF($C76="",0,SUMIFS(J_Montant,J_Annee,Annee_Travail,J_Mois,10,J_Module,"Général",J_Cat,$C76,J_Type,"Dépense",J_Statut,"&lt;&gt;Annulé",J_Statut,"&lt;&gt;Prévu"))</f>
        <v/>
      </c>
      <c r="X76" s="158">
        <f>IF($C76="",0,SUMIFS(P_M11,P_Annee,Annee_Travail,P_Cat,$C76,P_Type,"Dépense",P_Module,"Général"))</f>
        <v/>
      </c>
      <c r="Y76" s="159">
        <f>IF($C76="",0,SUMIFS(J_Montant,J_Annee,Annee_Travail,J_Mois,11,J_Module,"Général",J_Cat,$C76,J_Type,"Dépense",J_Statut,"&lt;&gt;Annulé",J_Statut,"&lt;&gt;Prévu"))</f>
        <v/>
      </c>
      <c r="Z76" s="158">
        <f>IF($C76="",0,SUMIFS(P_M12,P_Annee,Annee_Travail,P_Cat,$C76,P_Type,"Dépense",P_Module,"Général"))</f>
        <v/>
      </c>
      <c r="AA76" s="159">
        <f>IF($C76="",0,SUMIFS(J_Montant,J_Annee,Annee_Travail,J_Mois,12,J_Module,"Général",J_Cat,$C76,J_Type,"Dépense",J_Statut,"&lt;&gt;Annulé",J_Statut,"&lt;&gt;Prévu"))</f>
        <v/>
      </c>
      <c r="AB76" s="160">
        <f>D76+F76+H76+J76+L76+N76+P76+R76+T76+V76+X76+Z76</f>
        <v/>
      </c>
      <c r="AC76" s="160">
        <f>E76+G76+I76+K76+M76+O76+Q76+S76+U76+W76+Y76+AA76</f>
        <v/>
      </c>
      <c r="AD76" s="161">
        <f>$AB76-$AC76</f>
        <v/>
      </c>
      <c r="AE76" s="162">
        <f>IFERROR($AC76/$AB76,0)</f>
        <v/>
      </c>
    </row>
    <row r="77">
      <c r="B77" s="156" t="n">
        <v>16</v>
      </c>
      <c r="C77" s="157" t="inlineStr">
        <is>
          <t>Santé / Pharmacie</t>
        </is>
      </c>
      <c r="D77" s="158">
        <f>IF($C77="",0,SUMIFS(P_M1,P_Annee,Annee_Travail,P_Cat,$C77,P_Type,"Dépense",P_Module,"Général"))</f>
        <v/>
      </c>
      <c r="E77" s="159">
        <f>IF($C77="",0,SUMIFS(J_Montant,J_Annee,Annee_Travail,J_Mois,1,J_Module,"Général",J_Cat,$C77,J_Type,"Dépense",J_Statut,"&lt;&gt;Annulé",J_Statut,"&lt;&gt;Prévu"))</f>
        <v/>
      </c>
      <c r="F77" s="158">
        <f>IF($C77="",0,SUMIFS(P_M2,P_Annee,Annee_Travail,P_Cat,$C77,P_Type,"Dépense",P_Module,"Général"))</f>
        <v/>
      </c>
      <c r="G77" s="159">
        <f>IF($C77="",0,SUMIFS(J_Montant,J_Annee,Annee_Travail,J_Mois,2,J_Module,"Général",J_Cat,$C77,J_Type,"Dépense",J_Statut,"&lt;&gt;Annulé",J_Statut,"&lt;&gt;Prévu"))</f>
        <v/>
      </c>
      <c r="H77" s="158">
        <f>IF($C77="",0,SUMIFS(P_M3,P_Annee,Annee_Travail,P_Cat,$C77,P_Type,"Dépense",P_Module,"Général"))</f>
        <v/>
      </c>
      <c r="I77" s="159">
        <f>IF($C77="",0,SUMIFS(J_Montant,J_Annee,Annee_Travail,J_Mois,3,J_Module,"Général",J_Cat,$C77,J_Type,"Dépense",J_Statut,"&lt;&gt;Annulé",J_Statut,"&lt;&gt;Prévu"))</f>
        <v/>
      </c>
      <c r="J77" s="158">
        <f>IF($C77="",0,SUMIFS(P_M4,P_Annee,Annee_Travail,P_Cat,$C77,P_Type,"Dépense",P_Module,"Général"))</f>
        <v/>
      </c>
      <c r="K77" s="159">
        <f>IF($C77="",0,SUMIFS(J_Montant,J_Annee,Annee_Travail,J_Mois,4,J_Module,"Général",J_Cat,$C77,J_Type,"Dépense",J_Statut,"&lt;&gt;Annulé",J_Statut,"&lt;&gt;Prévu"))</f>
        <v/>
      </c>
      <c r="L77" s="158">
        <f>IF($C77="",0,SUMIFS(P_M5,P_Annee,Annee_Travail,P_Cat,$C77,P_Type,"Dépense",P_Module,"Général"))</f>
        <v/>
      </c>
      <c r="M77" s="159">
        <f>IF($C77="",0,SUMIFS(J_Montant,J_Annee,Annee_Travail,J_Mois,5,J_Module,"Général",J_Cat,$C77,J_Type,"Dépense",J_Statut,"&lt;&gt;Annulé",J_Statut,"&lt;&gt;Prévu"))</f>
        <v/>
      </c>
      <c r="N77" s="158">
        <f>IF($C77="",0,SUMIFS(P_M6,P_Annee,Annee_Travail,P_Cat,$C77,P_Type,"Dépense",P_Module,"Général"))</f>
        <v/>
      </c>
      <c r="O77" s="159">
        <f>IF($C77="",0,SUMIFS(J_Montant,J_Annee,Annee_Travail,J_Mois,6,J_Module,"Général",J_Cat,$C77,J_Type,"Dépense",J_Statut,"&lt;&gt;Annulé",J_Statut,"&lt;&gt;Prévu"))</f>
        <v/>
      </c>
      <c r="P77" s="158">
        <f>IF($C77="",0,SUMIFS(P_M7,P_Annee,Annee_Travail,P_Cat,$C77,P_Type,"Dépense",P_Module,"Général"))</f>
        <v/>
      </c>
      <c r="Q77" s="159">
        <f>IF($C77="",0,SUMIFS(J_Montant,J_Annee,Annee_Travail,J_Mois,7,J_Module,"Général",J_Cat,$C77,J_Type,"Dépense",J_Statut,"&lt;&gt;Annulé",J_Statut,"&lt;&gt;Prévu"))</f>
        <v/>
      </c>
      <c r="R77" s="158">
        <f>IF($C77="",0,SUMIFS(P_M8,P_Annee,Annee_Travail,P_Cat,$C77,P_Type,"Dépense",P_Module,"Général"))</f>
        <v/>
      </c>
      <c r="S77" s="159">
        <f>IF($C77="",0,SUMIFS(J_Montant,J_Annee,Annee_Travail,J_Mois,8,J_Module,"Général",J_Cat,$C77,J_Type,"Dépense",J_Statut,"&lt;&gt;Annulé",J_Statut,"&lt;&gt;Prévu"))</f>
        <v/>
      </c>
      <c r="T77" s="158">
        <f>IF($C77="",0,SUMIFS(P_M9,P_Annee,Annee_Travail,P_Cat,$C77,P_Type,"Dépense",P_Module,"Général"))</f>
        <v/>
      </c>
      <c r="U77" s="159">
        <f>IF($C77="",0,SUMIFS(J_Montant,J_Annee,Annee_Travail,J_Mois,9,J_Module,"Général",J_Cat,$C77,J_Type,"Dépense",J_Statut,"&lt;&gt;Annulé",J_Statut,"&lt;&gt;Prévu"))</f>
        <v/>
      </c>
      <c r="V77" s="158">
        <f>IF($C77="",0,SUMIFS(P_M10,P_Annee,Annee_Travail,P_Cat,$C77,P_Type,"Dépense",P_Module,"Général"))</f>
        <v/>
      </c>
      <c r="W77" s="159">
        <f>IF($C77="",0,SUMIFS(J_Montant,J_Annee,Annee_Travail,J_Mois,10,J_Module,"Général",J_Cat,$C77,J_Type,"Dépense",J_Statut,"&lt;&gt;Annulé",J_Statut,"&lt;&gt;Prévu"))</f>
        <v/>
      </c>
      <c r="X77" s="158">
        <f>IF($C77="",0,SUMIFS(P_M11,P_Annee,Annee_Travail,P_Cat,$C77,P_Type,"Dépense",P_Module,"Général"))</f>
        <v/>
      </c>
      <c r="Y77" s="159">
        <f>IF($C77="",0,SUMIFS(J_Montant,J_Annee,Annee_Travail,J_Mois,11,J_Module,"Général",J_Cat,$C77,J_Type,"Dépense",J_Statut,"&lt;&gt;Annulé",J_Statut,"&lt;&gt;Prévu"))</f>
        <v/>
      </c>
      <c r="Z77" s="158">
        <f>IF($C77="",0,SUMIFS(P_M12,P_Annee,Annee_Travail,P_Cat,$C77,P_Type,"Dépense",P_Module,"Général"))</f>
        <v/>
      </c>
      <c r="AA77" s="159">
        <f>IF($C77="",0,SUMIFS(J_Montant,J_Annee,Annee_Travail,J_Mois,12,J_Module,"Général",J_Cat,$C77,J_Type,"Dépense",J_Statut,"&lt;&gt;Annulé",J_Statut,"&lt;&gt;Prévu"))</f>
        <v/>
      </c>
      <c r="AB77" s="160">
        <f>D77+F77+H77+J77+L77+N77+P77+R77+T77+V77+X77+Z77</f>
        <v/>
      </c>
      <c r="AC77" s="160">
        <f>E77+G77+I77+K77+M77+O77+Q77+S77+U77+W77+Y77+AA77</f>
        <v/>
      </c>
      <c r="AD77" s="161">
        <f>$AB77-$AC77</f>
        <v/>
      </c>
      <c r="AE77" s="162">
        <f>IFERROR($AC77/$AB77,0)</f>
        <v/>
      </c>
    </row>
    <row r="78">
      <c r="B78" s="156" t="n">
        <v>17</v>
      </c>
      <c r="C78" s="157" t="inlineStr">
        <is>
          <t>Assurance santé / Mutuelle</t>
        </is>
      </c>
      <c r="D78" s="158">
        <f>IF($C78="",0,SUMIFS(P_M1,P_Annee,Annee_Travail,P_Cat,$C78,P_Type,"Dépense",P_Module,"Général"))</f>
        <v/>
      </c>
      <c r="E78" s="159">
        <f>IF($C78="",0,SUMIFS(J_Montant,J_Annee,Annee_Travail,J_Mois,1,J_Module,"Général",J_Cat,$C78,J_Type,"Dépense",J_Statut,"&lt;&gt;Annulé",J_Statut,"&lt;&gt;Prévu"))</f>
        <v/>
      </c>
      <c r="F78" s="158">
        <f>IF($C78="",0,SUMIFS(P_M2,P_Annee,Annee_Travail,P_Cat,$C78,P_Type,"Dépense",P_Module,"Général"))</f>
        <v/>
      </c>
      <c r="G78" s="159">
        <f>IF($C78="",0,SUMIFS(J_Montant,J_Annee,Annee_Travail,J_Mois,2,J_Module,"Général",J_Cat,$C78,J_Type,"Dépense",J_Statut,"&lt;&gt;Annulé",J_Statut,"&lt;&gt;Prévu"))</f>
        <v/>
      </c>
      <c r="H78" s="158">
        <f>IF($C78="",0,SUMIFS(P_M3,P_Annee,Annee_Travail,P_Cat,$C78,P_Type,"Dépense",P_Module,"Général"))</f>
        <v/>
      </c>
      <c r="I78" s="159">
        <f>IF($C78="",0,SUMIFS(J_Montant,J_Annee,Annee_Travail,J_Mois,3,J_Module,"Général",J_Cat,$C78,J_Type,"Dépense",J_Statut,"&lt;&gt;Annulé",J_Statut,"&lt;&gt;Prévu"))</f>
        <v/>
      </c>
      <c r="J78" s="158">
        <f>IF($C78="",0,SUMIFS(P_M4,P_Annee,Annee_Travail,P_Cat,$C78,P_Type,"Dépense",P_Module,"Général"))</f>
        <v/>
      </c>
      <c r="K78" s="159">
        <f>IF($C78="",0,SUMIFS(J_Montant,J_Annee,Annee_Travail,J_Mois,4,J_Module,"Général",J_Cat,$C78,J_Type,"Dépense",J_Statut,"&lt;&gt;Annulé",J_Statut,"&lt;&gt;Prévu"))</f>
        <v/>
      </c>
      <c r="L78" s="158">
        <f>IF($C78="",0,SUMIFS(P_M5,P_Annee,Annee_Travail,P_Cat,$C78,P_Type,"Dépense",P_Module,"Général"))</f>
        <v/>
      </c>
      <c r="M78" s="159">
        <f>IF($C78="",0,SUMIFS(J_Montant,J_Annee,Annee_Travail,J_Mois,5,J_Module,"Général",J_Cat,$C78,J_Type,"Dépense",J_Statut,"&lt;&gt;Annulé",J_Statut,"&lt;&gt;Prévu"))</f>
        <v/>
      </c>
      <c r="N78" s="158">
        <f>IF($C78="",0,SUMIFS(P_M6,P_Annee,Annee_Travail,P_Cat,$C78,P_Type,"Dépense",P_Module,"Général"))</f>
        <v/>
      </c>
      <c r="O78" s="159">
        <f>IF($C78="",0,SUMIFS(J_Montant,J_Annee,Annee_Travail,J_Mois,6,J_Module,"Général",J_Cat,$C78,J_Type,"Dépense",J_Statut,"&lt;&gt;Annulé",J_Statut,"&lt;&gt;Prévu"))</f>
        <v/>
      </c>
      <c r="P78" s="158">
        <f>IF($C78="",0,SUMIFS(P_M7,P_Annee,Annee_Travail,P_Cat,$C78,P_Type,"Dépense",P_Module,"Général"))</f>
        <v/>
      </c>
      <c r="Q78" s="159">
        <f>IF($C78="",0,SUMIFS(J_Montant,J_Annee,Annee_Travail,J_Mois,7,J_Module,"Général",J_Cat,$C78,J_Type,"Dépense",J_Statut,"&lt;&gt;Annulé",J_Statut,"&lt;&gt;Prévu"))</f>
        <v/>
      </c>
      <c r="R78" s="158">
        <f>IF($C78="",0,SUMIFS(P_M8,P_Annee,Annee_Travail,P_Cat,$C78,P_Type,"Dépense",P_Module,"Général"))</f>
        <v/>
      </c>
      <c r="S78" s="159">
        <f>IF($C78="",0,SUMIFS(J_Montant,J_Annee,Annee_Travail,J_Mois,8,J_Module,"Général",J_Cat,$C78,J_Type,"Dépense",J_Statut,"&lt;&gt;Annulé",J_Statut,"&lt;&gt;Prévu"))</f>
        <v/>
      </c>
      <c r="T78" s="158">
        <f>IF($C78="",0,SUMIFS(P_M9,P_Annee,Annee_Travail,P_Cat,$C78,P_Type,"Dépense",P_Module,"Général"))</f>
        <v/>
      </c>
      <c r="U78" s="159">
        <f>IF($C78="",0,SUMIFS(J_Montant,J_Annee,Annee_Travail,J_Mois,9,J_Module,"Général",J_Cat,$C78,J_Type,"Dépense",J_Statut,"&lt;&gt;Annulé",J_Statut,"&lt;&gt;Prévu"))</f>
        <v/>
      </c>
      <c r="V78" s="158">
        <f>IF($C78="",0,SUMIFS(P_M10,P_Annee,Annee_Travail,P_Cat,$C78,P_Type,"Dépense",P_Module,"Général"))</f>
        <v/>
      </c>
      <c r="W78" s="159">
        <f>IF($C78="",0,SUMIFS(J_Montant,J_Annee,Annee_Travail,J_Mois,10,J_Module,"Général",J_Cat,$C78,J_Type,"Dépense",J_Statut,"&lt;&gt;Annulé",J_Statut,"&lt;&gt;Prévu"))</f>
        <v/>
      </c>
      <c r="X78" s="158">
        <f>IF($C78="",0,SUMIFS(P_M11,P_Annee,Annee_Travail,P_Cat,$C78,P_Type,"Dépense",P_Module,"Général"))</f>
        <v/>
      </c>
      <c r="Y78" s="159">
        <f>IF($C78="",0,SUMIFS(J_Montant,J_Annee,Annee_Travail,J_Mois,11,J_Module,"Général",J_Cat,$C78,J_Type,"Dépense",J_Statut,"&lt;&gt;Annulé",J_Statut,"&lt;&gt;Prévu"))</f>
        <v/>
      </c>
      <c r="Z78" s="158">
        <f>IF($C78="",0,SUMIFS(P_M12,P_Annee,Annee_Travail,P_Cat,$C78,P_Type,"Dépense",P_Module,"Général"))</f>
        <v/>
      </c>
      <c r="AA78" s="159">
        <f>IF($C78="",0,SUMIFS(J_Montant,J_Annee,Annee_Travail,J_Mois,12,J_Module,"Général",J_Cat,$C78,J_Type,"Dépense",J_Statut,"&lt;&gt;Annulé",J_Statut,"&lt;&gt;Prévu"))</f>
        <v/>
      </c>
      <c r="AB78" s="160">
        <f>D78+F78+H78+J78+L78+N78+P78+R78+T78+V78+X78+Z78</f>
        <v/>
      </c>
      <c r="AC78" s="160">
        <f>E78+G78+I78+K78+M78+O78+Q78+S78+U78+W78+Y78+AA78</f>
        <v/>
      </c>
      <c r="AD78" s="161">
        <f>$AB78-$AC78</f>
        <v/>
      </c>
      <c r="AE78" s="162">
        <f>IFERROR($AC78/$AB78,0)</f>
        <v/>
      </c>
    </row>
    <row r="79">
      <c r="B79" s="156" t="n">
        <v>18</v>
      </c>
      <c r="C79" s="157" t="inlineStr">
        <is>
          <t>Habillement</t>
        </is>
      </c>
      <c r="D79" s="158">
        <f>IF($C79="",0,SUMIFS(P_M1,P_Annee,Annee_Travail,P_Cat,$C79,P_Type,"Dépense",P_Module,"Général"))</f>
        <v/>
      </c>
      <c r="E79" s="159">
        <f>IF($C79="",0,SUMIFS(J_Montant,J_Annee,Annee_Travail,J_Mois,1,J_Module,"Général",J_Cat,$C79,J_Type,"Dépense",J_Statut,"&lt;&gt;Annulé",J_Statut,"&lt;&gt;Prévu"))</f>
        <v/>
      </c>
      <c r="F79" s="158">
        <f>IF($C79="",0,SUMIFS(P_M2,P_Annee,Annee_Travail,P_Cat,$C79,P_Type,"Dépense",P_Module,"Général"))</f>
        <v/>
      </c>
      <c r="G79" s="159">
        <f>IF($C79="",0,SUMIFS(J_Montant,J_Annee,Annee_Travail,J_Mois,2,J_Module,"Général",J_Cat,$C79,J_Type,"Dépense",J_Statut,"&lt;&gt;Annulé",J_Statut,"&lt;&gt;Prévu"))</f>
        <v/>
      </c>
      <c r="H79" s="158">
        <f>IF($C79="",0,SUMIFS(P_M3,P_Annee,Annee_Travail,P_Cat,$C79,P_Type,"Dépense",P_Module,"Général"))</f>
        <v/>
      </c>
      <c r="I79" s="159">
        <f>IF($C79="",0,SUMIFS(J_Montant,J_Annee,Annee_Travail,J_Mois,3,J_Module,"Général",J_Cat,$C79,J_Type,"Dépense",J_Statut,"&lt;&gt;Annulé",J_Statut,"&lt;&gt;Prévu"))</f>
        <v/>
      </c>
      <c r="J79" s="158">
        <f>IF($C79="",0,SUMIFS(P_M4,P_Annee,Annee_Travail,P_Cat,$C79,P_Type,"Dépense",P_Module,"Général"))</f>
        <v/>
      </c>
      <c r="K79" s="159">
        <f>IF($C79="",0,SUMIFS(J_Montant,J_Annee,Annee_Travail,J_Mois,4,J_Module,"Général",J_Cat,$C79,J_Type,"Dépense",J_Statut,"&lt;&gt;Annulé",J_Statut,"&lt;&gt;Prévu"))</f>
        <v/>
      </c>
      <c r="L79" s="158">
        <f>IF($C79="",0,SUMIFS(P_M5,P_Annee,Annee_Travail,P_Cat,$C79,P_Type,"Dépense",P_Module,"Général"))</f>
        <v/>
      </c>
      <c r="M79" s="159">
        <f>IF($C79="",0,SUMIFS(J_Montant,J_Annee,Annee_Travail,J_Mois,5,J_Module,"Général",J_Cat,$C79,J_Type,"Dépense",J_Statut,"&lt;&gt;Annulé",J_Statut,"&lt;&gt;Prévu"))</f>
        <v/>
      </c>
      <c r="N79" s="158">
        <f>IF($C79="",0,SUMIFS(P_M6,P_Annee,Annee_Travail,P_Cat,$C79,P_Type,"Dépense",P_Module,"Général"))</f>
        <v/>
      </c>
      <c r="O79" s="159">
        <f>IF($C79="",0,SUMIFS(J_Montant,J_Annee,Annee_Travail,J_Mois,6,J_Module,"Général",J_Cat,$C79,J_Type,"Dépense",J_Statut,"&lt;&gt;Annulé",J_Statut,"&lt;&gt;Prévu"))</f>
        <v/>
      </c>
      <c r="P79" s="158">
        <f>IF($C79="",0,SUMIFS(P_M7,P_Annee,Annee_Travail,P_Cat,$C79,P_Type,"Dépense",P_Module,"Général"))</f>
        <v/>
      </c>
      <c r="Q79" s="159">
        <f>IF($C79="",0,SUMIFS(J_Montant,J_Annee,Annee_Travail,J_Mois,7,J_Module,"Général",J_Cat,$C79,J_Type,"Dépense",J_Statut,"&lt;&gt;Annulé",J_Statut,"&lt;&gt;Prévu"))</f>
        <v/>
      </c>
      <c r="R79" s="158">
        <f>IF($C79="",0,SUMIFS(P_M8,P_Annee,Annee_Travail,P_Cat,$C79,P_Type,"Dépense",P_Module,"Général"))</f>
        <v/>
      </c>
      <c r="S79" s="159">
        <f>IF($C79="",0,SUMIFS(J_Montant,J_Annee,Annee_Travail,J_Mois,8,J_Module,"Général",J_Cat,$C79,J_Type,"Dépense",J_Statut,"&lt;&gt;Annulé",J_Statut,"&lt;&gt;Prévu"))</f>
        <v/>
      </c>
      <c r="T79" s="158">
        <f>IF($C79="",0,SUMIFS(P_M9,P_Annee,Annee_Travail,P_Cat,$C79,P_Type,"Dépense",P_Module,"Général"))</f>
        <v/>
      </c>
      <c r="U79" s="159">
        <f>IF($C79="",0,SUMIFS(J_Montant,J_Annee,Annee_Travail,J_Mois,9,J_Module,"Général",J_Cat,$C79,J_Type,"Dépense",J_Statut,"&lt;&gt;Annulé",J_Statut,"&lt;&gt;Prévu"))</f>
        <v/>
      </c>
      <c r="V79" s="158">
        <f>IF($C79="",0,SUMIFS(P_M10,P_Annee,Annee_Travail,P_Cat,$C79,P_Type,"Dépense",P_Module,"Général"))</f>
        <v/>
      </c>
      <c r="W79" s="159">
        <f>IF($C79="",0,SUMIFS(J_Montant,J_Annee,Annee_Travail,J_Mois,10,J_Module,"Général",J_Cat,$C79,J_Type,"Dépense",J_Statut,"&lt;&gt;Annulé",J_Statut,"&lt;&gt;Prévu"))</f>
        <v/>
      </c>
      <c r="X79" s="158">
        <f>IF($C79="",0,SUMIFS(P_M11,P_Annee,Annee_Travail,P_Cat,$C79,P_Type,"Dépense",P_Module,"Général"))</f>
        <v/>
      </c>
      <c r="Y79" s="159">
        <f>IF($C79="",0,SUMIFS(J_Montant,J_Annee,Annee_Travail,J_Mois,11,J_Module,"Général",J_Cat,$C79,J_Type,"Dépense",J_Statut,"&lt;&gt;Annulé",J_Statut,"&lt;&gt;Prévu"))</f>
        <v/>
      </c>
      <c r="Z79" s="158">
        <f>IF($C79="",0,SUMIFS(P_M12,P_Annee,Annee_Travail,P_Cat,$C79,P_Type,"Dépense",P_Module,"Général"))</f>
        <v/>
      </c>
      <c r="AA79" s="159">
        <f>IF($C79="",0,SUMIFS(J_Montant,J_Annee,Annee_Travail,J_Mois,12,J_Module,"Général",J_Cat,$C79,J_Type,"Dépense",J_Statut,"&lt;&gt;Annulé",J_Statut,"&lt;&gt;Prévu"))</f>
        <v/>
      </c>
      <c r="AB79" s="160">
        <f>D79+F79+H79+J79+L79+N79+P79+R79+T79+V79+X79+Z79</f>
        <v/>
      </c>
      <c r="AC79" s="160">
        <f>E79+G79+I79+K79+M79+O79+Q79+S79+U79+W79+Y79+AA79</f>
        <v/>
      </c>
      <c r="AD79" s="161">
        <f>$AB79-$AC79</f>
        <v/>
      </c>
      <c r="AE79" s="162">
        <f>IFERROR($AC79/$AB79,0)</f>
        <v/>
      </c>
    </row>
    <row r="80">
      <c r="B80" s="156" t="n">
        <v>19</v>
      </c>
      <c r="C80" s="157" t="inlineStr">
        <is>
          <t>Coiffure &amp; soins</t>
        </is>
      </c>
      <c r="D80" s="158">
        <f>IF($C80="",0,SUMIFS(P_M1,P_Annee,Annee_Travail,P_Cat,$C80,P_Type,"Dépense",P_Module,"Général"))</f>
        <v/>
      </c>
      <c r="E80" s="159">
        <f>IF($C80="",0,SUMIFS(J_Montant,J_Annee,Annee_Travail,J_Mois,1,J_Module,"Général",J_Cat,$C80,J_Type,"Dépense",J_Statut,"&lt;&gt;Annulé",J_Statut,"&lt;&gt;Prévu"))</f>
        <v/>
      </c>
      <c r="F80" s="158">
        <f>IF($C80="",0,SUMIFS(P_M2,P_Annee,Annee_Travail,P_Cat,$C80,P_Type,"Dépense",P_Module,"Général"))</f>
        <v/>
      </c>
      <c r="G80" s="159">
        <f>IF($C80="",0,SUMIFS(J_Montant,J_Annee,Annee_Travail,J_Mois,2,J_Module,"Général",J_Cat,$C80,J_Type,"Dépense",J_Statut,"&lt;&gt;Annulé",J_Statut,"&lt;&gt;Prévu"))</f>
        <v/>
      </c>
      <c r="H80" s="158">
        <f>IF($C80="",0,SUMIFS(P_M3,P_Annee,Annee_Travail,P_Cat,$C80,P_Type,"Dépense",P_Module,"Général"))</f>
        <v/>
      </c>
      <c r="I80" s="159">
        <f>IF($C80="",0,SUMIFS(J_Montant,J_Annee,Annee_Travail,J_Mois,3,J_Module,"Général",J_Cat,$C80,J_Type,"Dépense",J_Statut,"&lt;&gt;Annulé",J_Statut,"&lt;&gt;Prévu"))</f>
        <v/>
      </c>
      <c r="J80" s="158">
        <f>IF($C80="",0,SUMIFS(P_M4,P_Annee,Annee_Travail,P_Cat,$C80,P_Type,"Dépense",P_Module,"Général"))</f>
        <v/>
      </c>
      <c r="K80" s="159">
        <f>IF($C80="",0,SUMIFS(J_Montant,J_Annee,Annee_Travail,J_Mois,4,J_Module,"Général",J_Cat,$C80,J_Type,"Dépense",J_Statut,"&lt;&gt;Annulé",J_Statut,"&lt;&gt;Prévu"))</f>
        <v/>
      </c>
      <c r="L80" s="158">
        <f>IF($C80="",0,SUMIFS(P_M5,P_Annee,Annee_Travail,P_Cat,$C80,P_Type,"Dépense",P_Module,"Général"))</f>
        <v/>
      </c>
      <c r="M80" s="159">
        <f>IF($C80="",0,SUMIFS(J_Montant,J_Annee,Annee_Travail,J_Mois,5,J_Module,"Général",J_Cat,$C80,J_Type,"Dépense",J_Statut,"&lt;&gt;Annulé",J_Statut,"&lt;&gt;Prévu"))</f>
        <v/>
      </c>
      <c r="N80" s="158">
        <f>IF($C80="",0,SUMIFS(P_M6,P_Annee,Annee_Travail,P_Cat,$C80,P_Type,"Dépense",P_Module,"Général"))</f>
        <v/>
      </c>
      <c r="O80" s="159">
        <f>IF($C80="",0,SUMIFS(J_Montant,J_Annee,Annee_Travail,J_Mois,6,J_Module,"Général",J_Cat,$C80,J_Type,"Dépense",J_Statut,"&lt;&gt;Annulé",J_Statut,"&lt;&gt;Prévu"))</f>
        <v/>
      </c>
      <c r="P80" s="158">
        <f>IF($C80="",0,SUMIFS(P_M7,P_Annee,Annee_Travail,P_Cat,$C80,P_Type,"Dépense",P_Module,"Général"))</f>
        <v/>
      </c>
      <c r="Q80" s="159">
        <f>IF($C80="",0,SUMIFS(J_Montant,J_Annee,Annee_Travail,J_Mois,7,J_Module,"Général",J_Cat,$C80,J_Type,"Dépense",J_Statut,"&lt;&gt;Annulé",J_Statut,"&lt;&gt;Prévu"))</f>
        <v/>
      </c>
      <c r="R80" s="158">
        <f>IF($C80="",0,SUMIFS(P_M8,P_Annee,Annee_Travail,P_Cat,$C80,P_Type,"Dépense",P_Module,"Général"))</f>
        <v/>
      </c>
      <c r="S80" s="159">
        <f>IF($C80="",0,SUMIFS(J_Montant,J_Annee,Annee_Travail,J_Mois,8,J_Module,"Général",J_Cat,$C80,J_Type,"Dépense",J_Statut,"&lt;&gt;Annulé",J_Statut,"&lt;&gt;Prévu"))</f>
        <v/>
      </c>
      <c r="T80" s="158">
        <f>IF($C80="",0,SUMIFS(P_M9,P_Annee,Annee_Travail,P_Cat,$C80,P_Type,"Dépense",P_Module,"Général"))</f>
        <v/>
      </c>
      <c r="U80" s="159">
        <f>IF($C80="",0,SUMIFS(J_Montant,J_Annee,Annee_Travail,J_Mois,9,J_Module,"Général",J_Cat,$C80,J_Type,"Dépense",J_Statut,"&lt;&gt;Annulé",J_Statut,"&lt;&gt;Prévu"))</f>
        <v/>
      </c>
      <c r="V80" s="158">
        <f>IF($C80="",0,SUMIFS(P_M10,P_Annee,Annee_Travail,P_Cat,$C80,P_Type,"Dépense",P_Module,"Général"))</f>
        <v/>
      </c>
      <c r="W80" s="159">
        <f>IF($C80="",0,SUMIFS(J_Montant,J_Annee,Annee_Travail,J_Mois,10,J_Module,"Général",J_Cat,$C80,J_Type,"Dépense",J_Statut,"&lt;&gt;Annulé",J_Statut,"&lt;&gt;Prévu"))</f>
        <v/>
      </c>
      <c r="X80" s="158">
        <f>IF($C80="",0,SUMIFS(P_M11,P_Annee,Annee_Travail,P_Cat,$C80,P_Type,"Dépense",P_Module,"Général"))</f>
        <v/>
      </c>
      <c r="Y80" s="159">
        <f>IF($C80="",0,SUMIFS(J_Montant,J_Annee,Annee_Travail,J_Mois,11,J_Module,"Général",J_Cat,$C80,J_Type,"Dépense",J_Statut,"&lt;&gt;Annulé",J_Statut,"&lt;&gt;Prévu"))</f>
        <v/>
      </c>
      <c r="Z80" s="158">
        <f>IF($C80="",0,SUMIFS(P_M12,P_Annee,Annee_Travail,P_Cat,$C80,P_Type,"Dépense",P_Module,"Général"))</f>
        <v/>
      </c>
      <c r="AA80" s="159">
        <f>IF($C80="",0,SUMIFS(J_Montant,J_Annee,Annee_Travail,J_Mois,12,J_Module,"Général",J_Cat,$C80,J_Type,"Dépense",J_Statut,"&lt;&gt;Annulé",J_Statut,"&lt;&gt;Prévu"))</f>
        <v/>
      </c>
      <c r="AB80" s="160">
        <f>D80+F80+H80+J80+L80+N80+P80+R80+T80+V80+X80+Z80</f>
        <v/>
      </c>
      <c r="AC80" s="160">
        <f>E80+G80+I80+K80+M80+O80+Q80+S80+U80+W80+Y80+AA80</f>
        <v/>
      </c>
      <c r="AD80" s="161">
        <f>$AB80-$AC80</f>
        <v/>
      </c>
      <c r="AE80" s="162">
        <f>IFERROR($AC80/$AB80,0)</f>
        <v/>
      </c>
    </row>
    <row r="81">
      <c r="B81" s="156" t="n">
        <v>20</v>
      </c>
      <c r="C81" s="157" t="inlineStr">
        <is>
          <t>Scolarité / Éducation</t>
        </is>
      </c>
      <c r="D81" s="158">
        <f>IF($C81="",0,SUMIFS(P_M1,P_Annee,Annee_Travail,P_Cat,$C81,P_Type,"Dépense",P_Module,"Général"))</f>
        <v/>
      </c>
      <c r="E81" s="159">
        <f>IF($C81="",0,SUMIFS(J_Montant,J_Annee,Annee_Travail,J_Mois,1,J_Module,"Général",J_Cat,$C81,J_Type,"Dépense",J_Statut,"&lt;&gt;Annulé",J_Statut,"&lt;&gt;Prévu"))</f>
        <v/>
      </c>
      <c r="F81" s="158">
        <f>IF($C81="",0,SUMIFS(P_M2,P_Annee,Annee_Travail,P_Cat,$C81,P_Type,"Dépense",P_Module,"Général"))</f>
        <v/>
      </c>
      <c r="G81" s="159">
        <f>IF($C81="",0,SUMIFS(J_Montant,J_Annee,Annee_Travail,J_Mois,2,J_Module,"Général",J_Cat,$C81,J_Type,"Dépense",J_Statut,"&lt;&gt;Annulé",J_Statut,"&lt;&gt;Prévu"))</f>
        <v/>
      </c>
      <c r="H81" s="158">
        <f>IF($C81="",0,SUMIFS(P_M3,P_Annee,Annee_Travail,P_Cat,$C81,P_Type,"Dépense",P_Module,"Général"))</f>
        <v/>
      </c>
      <c r="I81" s="159">
        <f>IF($C81="",0,SUMIFS(J_Montant,J_Annee,Annee_Travail,J_Mois,3,J_Module,"Général",J_Cat,$C81,J_Type,"Dépense",J_Statut,"&lt;&gt;Annulé",J_Statut,"&lt;&gt;Prévu"))</f>
        <v/>
      </c>
      <c r="J81" s="158">
        <f>IF($C81="",0,SUMIFS(P_M4,P_Annee,Annee_Travail,P_Cat,$C81,P_Type,"Dépense",P_Module,"Général"))</f>
        <v/>
      </c>
      <c r="K81" s="159">
        <f>IF($C81="",0,SUMIFS(J_Montant,J_Annee,Annee_Travail,J_Mois,4,J_Module,"Général",J_Cat,$C81,J_Type,"Dépense",J_Statut,"&lt;&gt;Annulé",J_Statut,"&lt;&gt;Prévu"))</f>
        <v/>
      </c>
      <c r="L81" s="158">
        <f>IF($C81="",0,SUMIFS(P_M5,P_Annee,Annee_Travail,P_Cat,$C81,P_Type,"Dépense",P_Module,"Général"))</f>
        <v/>
      </c>
      <c r="M81" s="159">
        <f>IF($C81="",0,SUMIFS(J_Montant,J_Annee,Annee_Travail,J_Mois,5,J_Module,"Général",J_Cat,$C81,J_Type,"Dépense",J_Statut,"&lt;&gt;Annulé",J_Statut,"&lt;&gt;Prévu"))</f>
        <v/>
      </c>
      <c r="N81" s="158">
        <f>IF($C81="",0,SUMIFS(P_M6,P_Annee,Annee_Travail,P_Cat,$C81,P_Type,"Dépense",P_Module,"Général"))</f>
        <v/>
      </c>
      <c r="O81" s="159">
        <f>IF($C81="",0,SUMIFS(J_Montant,J_Annee,Annee_Travail,J_Mois,6,J_Module,"Général",J_Cat,$C81,J_Type,"Dépense",J_Statut,"&lt;&gt;Annulé",J_Statut,"&lt;&gt;Prévu"))</f>
        <v/>
      </c>
      <c r="P81" s="158">
        <f>IF($C81="",0,SUMIFS(P_M7,P_Annee,Annee_Travail,P_Cat,$C81,P_Type,"Dépense",P_Module,"Général"))</f>
        <v/>
      </c>
      <c r="Q81" s="159">
        <f>IF($C81="",0,SUMIFS(J_Montant,J_Annee,Annee_Travail,J_Mois,7,J_Module,"Général",J_Cat,$C81,J_Type,"Dépense",J_Statut,"&lt;&gt;Annulé",J_Statut,"&lt;&gt;Prévu"))</f>
        <v/>
      </c>
      <c r="R81" s="158">
        <f>IF($C81="",0,SUMIFS(P_M8,P_Annee,Annee_Travail,P_Cat,$C81,P_Type,"Dépense",P_Module,"Général"))</f>
        <v/>
      </c>
      <c r="S81" s="159">
        <f>IF($C81="",0,SUMIFS(J_Montant,J_Annee,Annee_Travail,J_Mois,8,J_Module,"Général",J_Cat,$C81,J_Type,"Dépense",J_Statut,"&lt;&gt;Annulé",J_Statut,"&lt;&gt;Prévu"))</f>
        <v/>
      </c>
      <c r="T81" s="158">
        <f>IF($C81="",0,SUMIFS(P_M9,P_Annee,Annee_Travail,P_Cat,$C81,P_Type,"Dépense",P_Module,"Général"))</f>
        <v/>
      </c>
      <c r="U81" s="159">
        <f>IF($C81="",0,SUMIFS(J_Montant,J_Annee,Annee_Travail,J_Mois,9,J_Module,"Général",J_Cat,$C81,J_Type,"Dépense",J_Statut,"&lt;&gt;Annulé",J_Statut,"&lt;&gt;Prévu"))</f>
        <v/>
      </c>
      <c r="V81" s="158">
        <f>IF($C81="",0,SUMIFS(P_M10,P_Annee,Annee_Travail,P_Cat,$C81,P_Type,"Dépense",P_Module,"Général"))</f>
        <v/>
      </c>
      <c r="W81" s="159">
        <f>IF($C81="",0,SUMIFS(J_Montant,J_Annee,Annee_Travail,J_Mois,10,J_Module,"Général",J_Cat,$C81,J_Type,"Dépense",J_Statut,"&lt;&gt;Annulé",J_Statut,"&lt;&gt;Prévu"))</f>
        <v/>
      </c>
      <c r="X81" s="158">
        <f>IF($C81="",0,SUMIFS(P_M11,P_Annee,Annee_Travail,P_Cat,$C81,P_Type,"Dépense",P_Module,"Général"))</f>
        <v/>
      </c>
      <c r="Y81" s="159">
        <f>IF($C81="",0,SUMIFS(J_Montant,J_Annee,Annee_Travail,J_Mois,11,J_Module,"Général",J_Cat,$C81,J_Type,"Dépense",J_Statut,"&lt;&gt;Annulé",J_Statut,"&lt;&gt;Prévu"))</f>
        <v/>
      </c>
      <c r="Z81" s="158">
        <f>IF($C81="",0,SUMIFS(P_M12,P_Annee,Annee_Travail,P_Cat,$C81,P_Type,"Dépense",P_Module,"Général"))</f>
        <v/>
      </c>
      <c r="AA81" s="159">
        <f>IF($C81="",0,SUMIFS(J_Montant,J_Annee,Annee_Travail,J_Mois,12,J_Module,"Général",J_Cat,$C81,J_Type,"Dépense",J_Statut,"&lt;&gt;Annulé",J_Statut,"&lt;&gt;Prévu"))</f>
        <v/>
      </c>
      <c r="AB81" s="160">
        <f>D81+F81+H81+J81+L81+N81+P81+R81+T81+V81+X81+Z81</f>
        <v/>
      </c>
      <c r="AC81" s="160">
        <f>E81+G81+I81+K81+M81+O81+Q81+S81+U81+W81+Y81+AA81</f>
        <v/>
      </c>
      <c r="AD81" s="161">
        <f>$AB81-$AC81</f>
        <v/>
      </c>
      <c r="AE81" s="162">
        <f>IFERROR($AC81/$AB81,0)</f>
        <v/>
      </c>
    </row>
    <row r="82">
      <c r="B82" s="156" t="n">
        <v>21</v>
      </c>
      <c r="C82" s="157" t="inlineStr">
        <is>
          <t>Garde d'enfants</t>
        </is>
      </c>
      <c r="D82" s="158">
        <f>IF($C82="",0,SUMIFS(P_M1,P_Annee,Annee_Travail,P_Cat,$C82,P_Type,"Dépense",P_Module,"Général"))</f>
        <v/>
      </c>
      <c r="E82" s="159">
        <f>IF($C82="",0,SUMIFS(J_Montant,J_Annee,Annee_Travail,J_Mois,1,J_Module,"Général",J_Cat,$C82,J_Type,"Dépense",J_Statut,"&lt;&gt;Annulé",J_Statut,"&lt;&gt;Prévu"))</f>
        <v/>
      </c>
      <c r="F82" s="158">
        <f>IF($C82="",0,SUMIFS(P_M2,P_Annee,Annee_Travail,P_Cat,$C82,P_Type,"Dépense",P_Module,"Général"))</f>
        <v/>
      </c>
      <c r="G82" s="159">
        <f>IF($C82="",0,SUMIFS(J_Montant,J_Annee,Annee_Travail,J_Mois,2,J_Module,"Général",J_Cat,$C82,J_Type,"Dépense",J_Statut,"&lt;&gt;Annulé",J_Statut,"&lt;&gt;Prévu"))</f>
        <v/>
      </c>
      <c r="H82" s="158">
        <f>IF($C82="",0,SUMIFS(P_M3,P_Annee,Annee_Travail,P_Cat,$C82,P_Type,"Dépense",P_Module,"Général"))</f>
        <v/>
      </c>
      <c r="I82" s="159">
        <f>IF($C82="",0,SUMIFS(J_Montant,J_Annee,Annee_Travail,J_Mois,3,J_Module,"Général",J_Cat,$C82,J_Type,"Dépense",J_Statut,"&lt;&gt;Annulé",J_Statut,"&lt;&gt;Prévu"))</f>
        <v/>
      </c>
      <c r="J82" s="158">
        <f>IF($C82="",0,SUMIFS(P_M4,P_Annee,Annee_Travail,P_Cat,$C82,P_Type,"Dépense",P_Module,"Général"))</f>
        <v/>
      </c>
      <c r="K82" s="159">
        <f>IF($C82="",0,SUMIFS(J_Montant,J_Annee,Annee_Travail,J_Mois,4,J_Module,"Général",J_Cat,$C82,J_Type,"Dépense",J_Statut,"&lt;&gt;Annulé",J_Statut,"&lt;&gt;Prévu"))</f>
        <v/>
      </c>
      <c r="L82" s="158">
        <f>IF($C82="",0,SUMIFS(P_M5,P_Annee,Annee_Travail,P_Cat,$C82,P_Type,"Dépense",P_Module,"Général"))</f>
        <v/>
      </c>
      <c r="M82" s="159">
        <f>IF($C82="",0,SUMIFS(J_Montant,J_Annee,Annee_Travail,J_Mois,5,J_Module,"Général",J_Cat,$C82,J_Type,"Dépense",J_Statut,"&lt;&gt;Annulé",J_Statut,"&lt;&gt;Prévu"))</f>
        <v/>
      </c>
      <c r="N82" s="158">
        <f>IF($C82="",0,SUMIFS(P_M6,P_Annee,Annee_Travail,P_Cat,$C82,P_Type,"Dépense",P_Module,"Général"))</f>
        <v/>
      </c>
      <c r="O82" s="159">
        <f>IF($C82="",0,SUMIFS(J_Montant,J_Annee,Annee_Travail,J_Mois,6,J_Module,"Général",J_Cat,$C82,J_Type,"Dépense",J_Statut,"&lt;&gt;Annulé",J_Statut,"&lt;&gt;Prévu"))</f>
        <v/>
      </c>
      <c r="P82" s="158">
        <f>IF($C82="",0,SUMIFS(P_M7,P_Annee,Annee_Travail,P_Cat,$C82,P_Type,"Dépense",P_Module,"Général"))</f>
        <v/>
      </c>
      <c r="Q82" s="159">
        <f>IF($C82="",0,SUMIFS(J_Montant,J_Annee,Annee_Travail,J_Mois,7,J_Module,"Général",J_Cat,$C82,J_Type,"Dépense",J_Statut,"&lt;&gt;Annulé",J_Statut,"&lt;&gt;Prévu"))</f>
        <v/>
      </c>
      <c r="R82" s="158">
        <f>IF($C82="",0,SUMIFS(P_M8,P_Annee,Annee_Travail,P_Cat,$C82,P_Type,"Dépense",P_Module,"Général"))</f>
        <v/>
      </c>
      <c r="S82" s="159">
        <f>IF($C82="",0,SUMIFS(J_Montant,J_Annee,Annee_Travail,J_Mois,8,J_Module,"Général",J_Cat,$C82,J_Type,"Dépense",J_Statut,"&lt;&gt;Annulé",J_Statut,"&lt;&gt;Prévu"))</f>
        <v/>
      </c>
      <c r="T82" s="158">
        <f>IF($C82="",0,SUMIFS(P_M9,P_Annee,Annee_Travail,P_Cat,$C82,P_Type,"Dépense",P_Module,"Général"))</f>
        <v/>
      </c>
      <c r="U82" s="159">
        <f>IF($C82="",0,SUMIFS(J_Montant,J_Annee,Annee_Travail,J_Mois,9,J_Module,"Général",J_Cat,$C82,J_Type,"Dépense",J_Statut,"&lt;&gt;Annulé",J_Statut,"&lt;&gt;Prévu"))</f>
        <v/>
      </c>
      <c r="V82" s="158">
        <f>IF($C82="",0,SUMIFS(P_M10,P_Annee,Annee_Travail,P_Cat,$C82,P_Type,"Dépense",P_Module,"Général"))</f>
        <v/>
      </c>
      <c r="W82" s="159">
        <f>IF($C82="",0,SUMIFS(J_Montant,J_Annee,Annee_Travail,J_Mois,10,J_Module,"Général",J_Cat,$C82,J_Type,"Dépense",J_Statut,"&lt;&gt;Annulé",J_Statut,"&lt;&gt;Prévu"))</f>
        <v/>
      </c>
      <c r="X82" s="158">
        <f>IF($C82="",0,SUMIFS(P_M11,P_Annee,Annee_Travail,P_Cat,$C82,P_Type,"Dépense",P_Module,"Général"))</f>
        <v/>
      </c>
      <c r="Y82" s="159">
        <f>IF($C82="",0,SUMIFS(J_Montant,J_Annee,Annee_Travail,J_Mois,11,J_Module,"Général",J_Cat,$C82,J_Type,"Dépense",J_Statut,"&lt;&gt;Annulé",J_Statut,"&lt;&gt;Prévu"))</f>
        <v/>
      </c>
      <c r="Z82" s="158">
        <f>IF($C82="",0,SUMIFS(P_M12,P_Annee,Annee_Travail,P_Cat,$C82,P_Type,"Dépense",P_Module,"Général"))</f>
        <v/>
      </c>
      <c r="AA82" s="159">
        <f>IF($C82="",0,SUMIFS(J_Montant,J_Annee,Annee_Travail,J_Mois,12,J_Module,"Général",J_Cat,$C82,J_Type,"Dépense",J_Statut,"&lt;&gt;Annulé",J_Statut,"&lt;&gt;Prévu"))</f>
        <v/>
      </c>
      <c r="AB82" s="160">
        <f>D82+F82+H82+J82+L82+N82+P82+R82+T82+V82+X82+Z82</f>
        <v/>
      </c>
      <c r="AC82" s="160">
        <f>E82+G82+I82+K82+M82+O82+Q82+S82+U82+W82+Y82+AA82</f>
        <v/>
      </c>
      <c r="AD82" s="161">
        <f>$AB82-$AC82</f>
        <v/>
      </c>
      <c r="AE82" s="162">
        <f>IFERROR($AC82/$AB82,0)</f>
        <v/>
      </c>
    </row>
    <row r="83">
      <c r="B83" s="156" t="n">
        <v>22</v>
      </c>
      <c r="C83" s="157" t="inlineStr">
        <is>
          <t>Sport / Fitness</t>
        </is>
      </c>
      <c r="D83" s="158">
        <f>IF($C83="",0,SUMIFS(P_M1,P_Annee,Annee_Travail,P_Cat,$C83,P_Type,"Dépense",P_Module,"Général"))</f>
        <v/>
      </c>
      <c r="E83" s="159">
        <f>IF($C83="",0,SUMIFS(J_Montant,J_Annee,Annee_Travail,J_Mois,1,J_Module,"Général",J_Cat,$C83,J_Type,"Dépense",J_Statut,"&lt;&gt;Annulé",J_Statut,"&lt;&gt;Prévu"))</f>
        <v/>
      </c>
      <c r="F83" s="158">
        <f>IF($C83="",0,SUMIFS(P_M2,P_Annee,Annee_Travail,P_Cat,$C83,P_Type,"Dépense",P_Module,"Général"))</f>
        <v/>
      </c>
      <c r="G83" s="159">
        <f>IF($C83="",0,SUMIFS(J_Montant,J_Annee,Annee_Travail,J_Mois,2,J_Module,"Général",J_Cat,$C83,J_Type,"Dépense",J_Statut,"&lt;&gt;Annulé",J_Statut,"&lt;&gt;Prévu"))</f>
        <v/>
      </c>
      <c r="H83" s="158">
        <f>IF($C83="",0,SUMIFS(P_M3,P_Annee,Annee_Travail,P_Cat,$C83,P_Type,"Dépense",P_Module,"Général"))</f>
        <v/>
      </c>
      <c r="I83" s="159">
        <f>IF($C83="",0,SUMIFS(J_Montant,J_Annee,Annee_Travail,J_Mois,3,J_Module,"Général",J_Cat,$C83,J_Type,"Dépense",J_Statut,"&lt;&gt;Annulé",J_Statut,"&lt;&gt;Prévu"))</f>
        <v/>
      </c>
      <c r="J83" s="158">
        <f>IF($C83="",0,SUMIFS(P_M4,P_Annee,Annee_Travail,P_Cat,$C83,P_Type,"Dépense",P_Module,"Général"))</f>
        <v/>
      </c>
      <c r="K83" s="159">
        <f>IF($C83="",0,SUMIFS(J_Montant,J_Annee,Annee_Travail,J_Mois,4,J_Module,"Général",J_Cat,$C83,J_Type,"Dépense",J_Statut,"&lt;&gt;Annulé",J_Statut,"&lt;&gt;Prévu"))</f>
        <v/>
      </c>
      <c r="L83" s="158">
        <f>IF($C83="",0,SUMIFS(P_M5,P_Annee,Annee_Travail,P_Cat,$C83,P_Type,"Dépense",P_Module,"Général"))</f>
        <v/>
      </c>
      <c r="M83" s="159">
        <f>IF($C83="",0,SUMIFS(J_Montant,J_Annee,Annee_Travail,J_Mois,5,J_Module,"Général",J_Cat,$C83,J_Type,"Dépense",J_Statut,"&lt;&gt;Annulé",J_Statut,"&lt;&gt;Prévu"))</f>
        <v/>
      </c>
      <c r="N83" s="158">
        <f>IF($C83="",0,SUMIFS(P_M6,P_Annee,Annee_Travail,P_Cat,$C83,P_Type,"Dépense",P_Module,"Général"))</f>
        <v/>
      </c>
      <c r="O83" s="159">
        <f>IF($C83="",0,SUMIFS(J_Montant,J_Annee,Annee_Travail,J_Mois,6,J_Module,"Général",J_Cat,$C83,J_Type,"Dépense",J_Statut,"&lt;&gt;Annulé",J_Statut,"&lt;&gt;Prévu"))</f>
        <v/>
      </c>
      <c r="P83" s="158">
        <f>IF($C83="",0,SUMIFS(P_M7,P_Annee,Annee_Travail,P_Cat,$C83,P_Type,"Dépense",P_Module,"Général"))</f>
        <v/>
      </c>
      <c r="Q83" s="159">
        <f>IF($C83="",0,SUMIFS(J_Montant,J_Annee,Annee_Travail,J_Mois,7,J_Module,"Général",J_Cat,$C83,J_Type,"Dépense",J_Statut,"&lt;&gt;Annulé",J_Statut,"&lt;&gt;Prévu"))</f>
        <v/>
      </c>
      <c r="R83" s="158">
        <f>IF($C83="",0,SUMIFS(P_M8,P_Annee,Annee_Travail,P_Cat,$C83,P_Type,"Dépense",P_Module,"Général"))</f>
        <v/>
      </c>
      <c r="S83" s="159">
        <f>IF($C83="",0,SUMIFS(J_Montant,J_Annee,Annee_Travail,J_Mois,8,J_Module,"Général",J_Cat,$C83,J_Type,"Dépense",J_Statut,"&lt;&gt;Annulé",J_Statut,"&lt;&gt;Prévu"))</f>
        <v/>
      </c>
      <c r="T83" s="158">
        <f>IF($C83="",0,SUMIFS(P_M9,P_Annee,Annee_Travail,P_Cat,$C83,P_Type,"Dépense",P_Module,"Général"))</f>
        <v/>
      </c>
      <c r="U83" s="159">
        <f>IF($C83="",0,SUMIFS(J_Montant,J_Annee,Annee_Travail,J_Mois,9,J_Module,"Général",J_Cat,$C83,J_Type,"Dépense",J_Statut,"&lt;&gt;Annulé",J_Statut,"&lt;&gt;Prévu"))</f>
        <v/>
      </c>
      <c r="V83" s="158">
        <f>IF($C83="",0,SUMIFS(P_M10,P_Annee,Annee_Travail,P_Cat,$C83,P_Type,"Dépense",P_Module,"Général"))</f>
        <v/>
      </c>
      <c r="W83" s="159">
        <f>IF($C83="",0,SUMIFS(J_Montant,J_Annee,Annee_Travail,J_Mois,10,J_Module,"Général",J_Cat,$C83,J_Type,"Dépense",J_Statut,"&lt;&gt;Annulé",J_Statut,"&lt;&gt;Prévu"))</f>
        <v/>
      </c>
      <c r="X83" s="158">
        <f>IF($C83="",0,SUMIFS(P_M11,P_Annee,Annee_Travail,P_Cat,$C83,P_Type,"Dépense",P_Module,"Général"))</f>
        <v/>
      </c>
      <c r="Y83" s="159">
        <f>IF($C83="",0,SUMIFS(J_Montant,J_Annee,Annee_Travail,J_Mois,11,J_Module,"Général",J_Cat,$C83,J_Type,"Dépense",J_Statut,"&lt;&gt;Annulé",J_Statut,"&lt;&gt;Prévu"))</f>
        <v/>
      </c>
      <c r="Z83" s="158">
        <f>IF($C83="",0,SUMIFS(P_M12,P_Annee,Annee_Travail,P_Cat,$C83,P_Type,"Dépense",P_Module,"Général"))</f>
        <v/>
      </c>
      <c r="AA83" s="159">
        <f>IF($C83="",0,SUMIFS(J_Montant,J_Annee,Annee_Travail,J_Mois,12,J_Module,"Général",J_Cat,$C83,J_Type,"Dépense",J_Statut,"&lt;&gt;Annulé",J_Statut,"&lt;&gt;Prévu"))</f>
        <v/>
      </c>
      <c r="AB83" s="160">
        <f>D83+F83+H83+J83+L83+N83+P83+R83+T83+V83+X83+Z83</f>
        <v/>
      </c>
      <c r="AC83" s="160">
        <f>E83+G83+I83+K83+M83+O83+Q83+S83+U83+W83+Y83+AA83</f>
        <v/>
      </c>
      <c r="AD83" s="161">
        <f>$AB83-$AC83</f>
        <v/>
      </c>
      <c r="AE83" s="162">
        <f>IFERROR($AC83/$AB83,0)</f>
        <v/>
      </c>
    </row>
    <row r="84">
      <c r="B84" s="156" t="n">
        <v>23</v>
      </c>
      <c r="C84" s="157" t="inlineStr">
        <is>
          <t>Loisirs &amp; sorties</t>
        </is>
      </c>
      <c r="D84" s="158">
        <f>IF($C84="",0,SUMIFS(P_M1,P_Annee,Annee_Travail,P_Cat,$C84,P_Type,"Dépense",P_Module,"Général"))</f>
        <v/>
      </c>
      <c r="E84" s="159">
        <f>IF($C84="",0,SUMIFS(J_Montant,J_Annee,Annee_Travail,J_Mois,1,J_Module,"Général",J_Cat,$C84,J_Type,"Dépense",J_Statut,"&lt;&gt;Annulé",J_Statut,"&lt;&gt;Prévu"))</f>
        <v/>
      </c>
      <c r="F84" s="158">
        <f>IF($C84="",0,SUMIFS(P_M2,P_Annee,Annee_Travail,P_Cat,$C84,P_Type,"Dépense",P_Module,"Général"))</f>
        <v/>
      </c>
      <c r="G84" s="159">
        <f>IF($C84="",0,SUMIFS(J_Montant,J_Annee,Annee_Travail,J_Mois,2,J_Module,"Général",J_Cat,$C84,J_Type,"Dépense",J_Statut,"&lt;&gt;Annulé",J_Statut,"&lt;&gt;Prévu"))</f>
        <v/>
      </c>
      <c r="H84" s="158">
        <f>IF($C84="",0,SUMIFS(P_M3,P_Annee,Annee_Travail,P_Cat,$C84,P_Type,"Dépense",P_Module,"Général"))</f>
        <v/>
      </c>
      <c r="I84" s="159">
        <f>IF($C84="",0,SUMIFS(J_Montant,J_Annee,Annee_Travail,J_Mois,3,J_Module,"Général",J_Cat,$C84,J_Type,"Dépense",J_Statut,"&lt;&gt;Annulé",J_Statut,"&lt;&gt;Prévu"))</f>
        <v/>
      </c>
      <c r="J84" s="158">
        <f>IF($C84="",0,SUMIFS(P_M4,P_Annee,Annee_Travail,P_Cat,$C84,P_Type,"Dépense",P_Module,"Général"))</f>
        <v/>
      </c>
      <c r="K84" s="159">
        <f>IF($C84="",0,SUMIFS(J_Montant,J_Annee,Annee_Travail,J_Mois,4,J_Module,"Général",J_Cat,$C84,J_Type,"Dépense",J_Statut,"&lt;&gt;Annulé",J_Statut,"&lt;&gt;Prévu"))</f>
        <v/>
      </c>
      <c r="L84" s="158">
        <f>IF($C84="",0,SUMIFS(P_M5,P_Annee,Annee_Travail,P_Cat,$C84,P_Type,"Dépense",P_Module,"Général"))</f>
        <v/>
      </c>
      <c r="M84" s="159">
        <f>IF($C84="",0,SUMIFS(J_Montant,J_Annee,Annee_Travail,J_Mois,5,J_Module,"Général",J_Cat,$C84,J_Type,"Dépense",J_Statut,"&lt;&gt;Annulé",J_Statut,"&lt;&gt;Prévu"))</f>
        <v/>
      </c>
      <c r="N84" s="158">
        <f>IF($C84="",0,SUMIFS(P_M6,P_Annee,Annee_Travail,P_Cat,$C84,P_Type,"Dépense",P_Module,"Général"))</f>
        <v/>
      </c>
      <c r="O84" s="159">
        <f>IF($C84="",0,SUMIFS(J_Montant,J_Annee,Annee_Travail,J_Mois,6,J_Module,"Général",J_Cat,$C84,J_Type,"Dépense",J_Statut,"&lt;&gt;Annulé",J_Statut,"&lt;&gt;Prévu"))</f>
        <v/>
      </c>
      <c r="P84" s="158">
        <f>IF($C84="",0,SUMIFS(P_M7,P_Annee,Annee_Travail,P_Cat,$C84,P_Type,"Dépense",P_Module,"Général"))</f>
        <v/>
      </c>
      <c r="Q84" s="159">
        <f>IF($C84="",0,SUMIFS(J_Montant,J_Annee,Annee_Travail,J_Mois,7,J_Module,"Général",J_Cat,$C84,J_Type,"Dépense",J_Statut,"&lt;&gt;Annulé",J_Statut,"&lt;&gt;Prévu"))</f>
        <v/>
      </c>
      <c r="R84" s="158">
        <f>IF($C84="",0,SUMIFS(P_M8,P_Annee,Annee_Travail,P_Cat,$C84,P_Type,"Dépense",P_Module,"Général"))</f>
        <v/>
      </c>
      <c r="S84" s="159">
        <f>IF($C84="",0,SUMIFS(J_Montant,J_Annee,Annee_Travail,J_Mois,8,J_Module,"Général",J_Cat,$C84,J_Type,"Dépense",J_Statut,"&lt;&gt;Annulé",J_Statut,"&lt;&gt;Prévu"))</f>
        <v/>
      </c>
      <c r="T84" s="158">
        <f>IF($C84="",0,SUMIFS(P_M9,P_Annee,Annee_Travail,P_Cat,$C84,P_Type,"Dépense",P_Module,"Général"))</f>
        <v/>
      </c>
      <c r="U84" s="159">
        <f>IF($C84="",0,SUMIFS(J_Montant,J_Annee,Annee_Travail,J_Mois,9,J_Module,"Général",J_Cat,$C84,J_Type,"Dépense",J_Statut,"&lt;&gt;Annulé",J_Statut,"&lt;&gt;Prévu"))</f>
        <v/>
      </c>
      <c r="V84" s="158">
        <f>IF($C84="",0,SUMIFS(P_M10,P_Annee,Annee_Travail,P_Cat,$C84,P_Type,"Dépense",P_Module,"Général"))</f>
        <v/>
      </c>
      <c r="W84" s="159">
        <f>IF($C84="",0,SUMIFS(J_Montant,J_Annee,Annee_Travail,J_Mois,10,J_Module,"Général",J_Cat,$C84,J_Type,"Dépense",J_Statut,"&lt;&gt;Annulé",J_Statut,"&lt;&gt;Prévu"))</f>
        <v/>
      </c>
      <c r="X84" s="158">
        <f>IF($C84="",0,SUMIFS(P_M11,P_Annee,Annee_Travail,P_Cat,$C84,P_Type,"Dépense",P_Module,"Général"))</f>
        <v/>
      </c>
      <c r="Y84" s="159">
        <f>IF($C84="",0,SUMIFS(J_Montant,J_Annee,Annee_Travail,J_Mois,11,J_Module,"Général",J_Cat,$C84,J_Type,"Dépense",J_Statut,"&lt;&gt;Annulé",J_Statut,"&lt;&gt;Prévu"))</f>
        <v/>
      </c>
      <c r="Z84" s="158">
        <f>IF($C84="",0,SUMIFS(P_M12,P_Annee,Annee_Travail,P_Cat,$C84,P_Type,"Dépense",P_Module,"Général"))</f>
        <v/>
      </c>
      <c r="AA84" s="159">
        <f>IF($C84="",0,SUMIFS(J_Montant,J_Annee,Annee_Travail,J_Mois,12,J_Module,"Général",J_Cat,$C84,J_Type,"Dépense",J_Statut,"&lt;&gt;Annulé",J_Statut,"&lt;&gt;Prévu"))</f>
        <v/>
      </c>
      <c r="AB84" s="160">
        <f>D84+F84+H84+J84+L84+N84+P84+R84+T84+V84+X84+Z84</f>
        <v/>
      </c>
      <c r="AC84" s="160">
        <f>E84+G84+I84+K84+M84+O84+Q84+S84+U84+W84+Y84+AA84</f>
        <v/>
      </c>
      <c r="AD84" s="161">
        <f>$AB84-$AC84</f>
        <v/>
      </c>
      <c r="AE84" s="162">
        <f>IFERROR($AC84/$AB84,0)</f>
        <v/>
      </c>
    </row>
    <row r="85">
      <c r="B85" s="156" t="n">
        <v>24</v>
      </c>
      <c r="C85" s="157" t="inlineStr">
        <is>
          <t>Abonnements (streaming, apps)</t>
        </is>
      </c>
      <c r="D85" s="158">
        <f>IF($C85="",0,SUMIFS(P_M1,P_Annee,Annee_Travail,P_Cat,$C85,P_Type,"Dépense",P_Module,"Général"))</f>
        <v/>
      </c>
      <c r="E85" s="159">
        <f>IF($C85="",0,SUMIFS(J_Montant,J_Annee,Annee_Travail,J_Mois,1,J_Module,"Général",J_Cat,$C85,J_Type,"Dépense",J_Statut,"&lt;&gt;Annulé",J_Statut,"&lt;&gt;Prévu"))</f>
        <v/>
      </c>
      <c r="F85" s="158">
        <f>IF($C85="",0,SUMIFS(P_M2,P_Annee,Annee_Travail,P_Cat,$C85,P_Type,"Dépense",P_Module,"Général"))</f>
        <v/>
      </c>
      <c r="G85" s="159">
        <f>IF($C85="",0,SUMIFS(J_Montant,J_Annee,Annee_Travail,J_Mois,2,J_Module,"Général",J_Cat,$C85,J_Type,"Dépense",J_Statut,"&lt;&gt;Annulé",J_Statut,"&lt;&gt;Prévu"))</f>
        <v/>
      </c>
      <c r="H85" s="158">
        <f>IF($C85="",0,SUMIFS(P_M3,P_Annee,Annee_Travail,P_Cat,$C85,P_Type,"Dépense",P_Module,"Général"))</f>
        <v/>
      </c>
      <c r="I85" s="159">
        <f>IF($C85="",0,SUMIFS(J_Montant,J_Annee,Annee_Travail,J_Mois,3,J_Module,"Général",J_Cat,$C85,J_Type,"Dépense",J_Statut,"&lt;&gt;Annulé",J_Statut,"&lt;&gt;Prévu"))</f>
        <v/>
      </c>
      <c r="J85" s="158">
        <f>IF($C85="",0,SUMIFS(P_M4,P_Annee,Annee_Travail,P_Cat,$C85,P_Type,"Dépense",P_Module,"Général"))</f>
        <v/>
      </c>
      <c r="K85" s="159">
        <f>IF($C85="",0,SUMIFS(J_Montant,J_Annee,Annee_Travail,J_Mois,4,J_Module,"Général",J_Cat,$C85,J_Type,"Dépense",J_Statut,"&lt;&gt;Annulé",J_Statut,"&lt;&gt;Prévu"))</f>
        <v/>
      </c>
      <c r="L85" s="158">
        <f>IF($C85="",0,SUMIFS(P_M5,P_Annee,Annee_Travail,P_Cat,$C85,P_Type,"Dépense",P_Module,"Général"))</f>
        <v/>
      </c>
      <c r="M85" s="159">
        <f>IF($C85="",0,SUMIFS(J_Montant,J_Annee,Annee_Travail,J_Mois,5,J_Module,"Général",J_Cat,$C85,J_Type,"Dépense",J_Statut,"&lt;&gt;Annulé",J_Statut,"&lt;&gt;Prévu"))</f>
        <v/>
      </c>
      <c r="N85" s="158">
        <f>IF($C85="",0,SUMIFS(P_M6,P_Annee,Annee_Travail,P_Cat,$C85,P_Type,"Dépense",P_Module,"Général"))</f>
        <v/>
      </c>
      <c r="O85" s="159">
        <f>IF($C85="",0,SUMIFS(J_Montant,J_Annee,Annee_Travail,J_Mois,6,J_Module,"Général",J_Cat,$C85,J_Type,"Dépense",J_Statut,"&lt;&gt;Annulé",J_Statut,"&lt;&gt;Prévu"))</f>
        <v/>
      </c>
      <c r="P85" s="158">
        <f>IF($C85="",0,SUMIFS(P_M7,P_Annee,Annee_Travail,P_Cat,$C85,P_Type,"Dépense",P_Module,"Général"))</f>
        <v/>
      </c>
      <c r="Q85" s="159">
        <f>IF($C85="",0,SUMIFS(J_Montant,J_Annee,Annee_Travail,J_Mois,7,J_Module,"Général",J_Cat,$C85,J_Type,"Dépense",J_Statut,"&lt;&gt;Annulé",J_Statut,"&lt;&gt;Prévu"))</f>
        <v/>
      </c>
      <c r="R85" s="158">
        <f>IF($C85="",0,SUMIFS(P_M8,P_Annee,Annee_Travail,P_Cat,$C85,P_Type,"Dépense",P_Module,"Général"))</f>
        <v/>
      </c>
      <c r="S85" s="159">
        <f>IF($C85="",0,SUMIFS(J_Montant,J_Annee,Annee_Travail,J_Mois,8,J_Module,"Général",J_Cat,$C85,J_Type,"Dépense",J_Statut,"&lt;&gt;Annulé",J_Statut,"&lt;&gt;Prévu"))</f>
        <v/>
      </c>
      <c r="T85" s="158">
        <f>IF($C85="",0,SUMIFS(P_M9,P_Annee,Annee_Travail,P_Cat,$C85,P_Type,"Dépense",P_Module,"Général"))</f>
        <v/>
      </c>
      <c r="U85" s="159">
        <f>IF($C85="",0,SUMIFS(J_Montant,J_Annee,Annee_Travail,J_Mois,9,J_Module,"Général",J_Cat,$C85,J_Type,"Dépense",J_Statut,"&lt;&gt;Annulé",J_Statut,"&lt;&gt;Prévu"))</f>
        <v/>
      </c>
      <c r="V85" s="158">
        <f>IF($C85="",0,SUMIFS(P_M10,P_Annee,Annee_Travail,P_Cat,$C85,P_Type,"Dépense",P_Module,"Général"))</f>
        <v/>
      </c>
      <c r="W85" s="159">
        <f>IF($C85="",0,SUMIFS(J_Montant,J_Annee,Annee_Travail,J_Mois,10,J_Module,"Général",J_Cat,$C85,J_Type,"Dépense",J_Statut,"&lt;&gt;Annulé",J_Statut,"&lt;&gt;Prévu"))</f>
        <v/>
      </c>
      <c r="X85" s="158">
        <f>IF($C85="",0,SUMIFS(P_M11,P_Annee,Annee_Travail,P_Cat,$C85,P_Type,"Dépense",P_Module,"Général"))</f>
        <v/>
      </c>
      <c r="Y85" s="159">
        <f>IF($C85="",0,SUMIFS(J_Montant,J_Annee,Annee_Travail,J_Mois,11,J_Module,"Général",J_Cat,$C85,J_Type,"Dépense",J_Statut,"&lt;&gt;Annulé",J_Statut,"&lt;&gt;Prévu"))</f>
        <v/>
      </c>
      <c r="Z85" s="158">
        <f>IF($C85="",0,SUMIFS(P_M12,P_Annee,Annee_Travail,P_Cat,$C85,P_Type,"Dépense",P_Module,"Général"))</f>
        <v/>
      </c>
      <c r="AA85" s="159">
        <f>IF($C85="",0,SUMIFS(J_Montant,J_Annee,Annee_Travail,J_Mois,12,J_Module,"Général",J_Cat,$C85,J_Type,"Dépense",J_Statut,"&lt;&gt;Annulé",J_Statut,"&lt;&gt;Prévu"))</f>
        <v/>
      </c>
      <c r="AB85" s="160">
        <f>D85+F85+H85+J85+L85+N85+P85+R85+T85+V85+X85+Z85</f>
        <v/>
      </c>
      <c r="AC85" s="160">
        <f>E85+G85+I85+K85+M85+O85+Q85+S85+U85+W85+Y85+AA85</f>
        <v/>
      </c>
      <c r="AD85" s="161">
        <f>$AB85-$AC85</f>
        <v/>
      </c>
      <c r="AE85" s="162">
        <f>IFERROR($AC85/$AB85,0)</f>
        <v/>
      </c>
    </row>
    <row r="86">
      <c r="B86" s="156" t="n">
        <v>25</v>
      </c>
      <c r="C86" s="157" t="inlineStr">
        <is>
          <t>Dîme / Offrandes</t>
        </is>
      </c>
      <c r="D86" s="158">
        <f>IF(Dime_Active="Oui",INDEX(Calculs!$D$308:$D$319,1),IF($C86="",0,SUMIFS(P_M1,P_Annee,Annee_Travail,P_Cat,$C86,P_Type,"Dépense",P_Module,"Général")))</f>
        <v/>
      </c>
      <c r="E86" s="159">
        <f>IF($C86="",0,SUMIFS(J_Montant,J_Annee,Annee_Travail,J_Mois,1,J_Module,"Général",J_Cat,$C86,J_Type,"Dépense",J_Statut,"&lt;&gt;Annulé",J_Statut,"&lt;&gt;Prévu"))</f>
        <v/>
      </c>
      <c r="F86" s="158">
        <f>IF(Dime_Active="Oui",INDEX(Calculs!$D$308:$D$319,2),IF($C86="",0,SUMIFS(P_M2,P_Annee,Annee_Travail,P_Cat,$C86,P_Type,"Dépense",P_Module,"Général")))</f>
        <v/>
      </c>
      <c r="G86" s="159">
        <f>IF($C86="",0,SUMIFS(J_Montant,J_Annee,Annee_Travail,J_Mois,2,J_Module,"Général",J_Cat,$C86,J_Type,"Dépense",J_Statut,"&lt;&gt;Annulé",J_Statut,"&lt;&gt;Prévu"))</f>
        <v/>
      </c>
      <c r="H86" s="158">
        <f>IF(Dime_Active="Oui",INDEX(Calculs!$D$308:$D$319,3),IF($C86="",0,SUMIFS(P_M3,P_Annee,Annee_Travail,P_Cat,$C86,P_Type,"Dépense",P_Module,"Général")))</f>
        <v/>
      </c>
      <c r="I86" s="159">
        <f>IF($C86="",0,SUMIFS(J_Montant,J_Annee,Annee_Travail,J_Mois,3,J_Module,"Général",J_Cat,$C86,J_Type,"Dépense",J_Statut,"&lt;&gt;Annulé",J_Statut,"&lt;&gt;Prévu"))</f>
        <v/>
      </c>
      <c r="J86" s="158">
        <f>IF(Dime_Active="Oui",INDEX(Calculs!$D$308:$D$319,4),IF($C86="",0,SUMIFS(P_M4,P_Annee,Annee_Travail,P_Cat,$C86,P_Type,"Dépense",P_Module,"Général")))</f>
        <v/>
      </c>
      <c r="K86" s="159">
        <f>IF($C86="",0,SUMIFS(J_Montant,J_Annee,Annee_Travail,J_Mois,4,J_Module,"Général",J_Cat,$C86,J_Type,"Dépense",J_Statut,"&lt;&gt;Annulé",J_Statut,"&lt;&gt;Prévu"))</f>
        <v/>
      </c>
      <c r="L86" s="158">
        <f>IF(Dime_Active="Oui",INDEX(Calculs!$D$308:$D$319,5),IF($C86="",0,SUMIFS(P_M5,P_Annee,Annee_Travail,P_Cat,$C86,P_Type,"Dépense",P_Module,"Général")))</f>
        <v/>
      </c>
      <c r="M86" s="159">
        <f>IF($C86="",0,SUMIFS(J_Montant,J_Annee,Annee_Travail,J_Mois,5,J_Module,"Général",J_Cat,$C86,J_Type,"Dépense",J_Statut,"&lt;&gt;Annulé",J_Statut,"&lt;&gt;Prévu"))</f>
        <v/>
      </c>
      <c r="N86" s="158">
        <f>IF(Dime_Active="Oui",INDEX(Calculs!$D$308:$D$319,6),IF($C86="",0,SUMIFS(P_M6,P_Annee,Annee_Travail,P_Cat,$C86,P_Type,"Dépense",P_Module,"Général")))</f>
        <v/>
      </c>
      <c r="O86" s="159">
        <f>IF($C86="",0,SUMIFS(J_Montant,J_Annee,Annee_Travail,J_Mois,6,J_Module,"Général",J_Cat,$C86,J_Type,"Dépense",J_Statut,"&lt;&gt;Annulé",J_Statut,"&lt;&gt;Prévu"))</f>
        <v/>
      </c>
      <c r="P86" s="158">
        <f>IF(Dime_Active="Oui",INDEX(Calculs!$D$308:$D$319,7),IF($C86="",0,SUMIFS(P_M7,P_Annee,Annee_Travail,P_Cat,$C86,P_Type,"Dépense",P_Module,"Général")))</f>
        <v/>
      </c>
      <c r="Q86" s="159">
        <f>IF($C86="",0,SUMIFS(J_Montant,J_Annee,Annee_Travail,J_Mois,7,J_Module,"Général",J_Cat,$C86,J_Type,"Dépense",J_Statut,"&lt;&gt;Annulé",J_Statut,"&lt;&gt;Prévu"))</f>
        <v/>
      </c>
      <c r="R86" s="158">
        <f>IF(Dime_Active="Oui",INDEX(Calculs!$D$308:$D$319,8),IF($C86="",0,SUMIFS(P_M8,P_Annee,Annee_Travail,P_Cat,$C86,P_Type,"Dépense",P_Module,"Général")))</f>
        <v/>
      </c>
      <c r="S86" s="159">
        <f>IF($C86="",0,SUMIFS(J_Montant,J_Annee,Annee_Travail,J_Mois,8,J_Module,"Général",J_Cat,$C86,J_Type,"Dépense",J_Statut,"&lt;&gt;Annulé",J_Statut,"&lt;&gt;Prévu"))</f>
        <v/>
      </c>
      <c r="T86" s="158">
        <f>IF(Dime_Active="Oui",INDEX(Calculs!$D$308:$D$319,9),IF($C86="",0,SUMIFS(P_M9,P_Annee,Annee_Travail,P_Cat,$C86,P_Type,"Dépense",P_Module,"Général")))</f>
        <v/>
      </c>
      <c r="U86" s="159">
        <f>IF($C86="",0,SUMIFS(J_Montant,J_Annee,Annee_Travail,J_Mois,9,J_Module,"Général",J_Cat,$C86,J_Type,"Dépense",J_Statut,"&lt;&gt;Annulé",J_Statut,"&lt;&gt;Prévu"))</f>
        <v/>
      </c>
      <c r="V86" s="158">
        <f>IF(Dime_Active="Oui",INDEX(Calculs!$D$308:$D$319,10),IF($C86="",0,SUMIFS(P_M10,P_Annee,Annee_Travail,P_Cat,$C86,P_Type,"Dépense",P_Module,"Général")))</f>
        <v/>
      </c>
      <c r="W86" s="159">
        <f>IF($C86="",0,SUMIFS(J_Montant,J_Annee,Annee_Travail,J_Mois,10,J_Module,"Général",J_Cat,$C86,J_Type,"Dépense",J_Statut,"&lt;&gt;Annulé",J_Statut,"&lt;&gt;Prévu"))</f>
        <v/>
      </c>
      <c r="X86" s="158">
        <f>IF(Dime_Active="Oui",INDEX(Calculs!$D$308:$D$319,11),IF($C86="",0,SUMIFS(P_M11,P_Annee,Annee_Travail,P_Cat,$C86,P_Type,"Dépense",P_Module,"Général")))</f>
        <v/>
      </c>
      <c r="Y86" s="159">
        <f>IF($C86="",0,SUMIFS(J_Montant,J_Annee,Annee_Travail,J_Mois,11,J_Module,"Général",J_Cat,$C86,J_Type,"Dépense",J_Statut,"&lt;&gt;Annulé",J_Statut,"&lt;&gt;Prévu"))</f>
        <v/>
      </c>
      <c r="Z86" s="158">
        <f>IF(Dime_Active="Oui",INDEX(Calculs!$D$308:$D$319,12),IF($C86="",0,SUMIFS(P_M12,P_Annee,Annee_Travail,P_Cat,$C86,P_Type,"Dépense",P_Module,"Général")))</f>
        <v/>
      </c>
      <c r="AA86" s="159">
        <f>IF($C86="",0,SUMIFS(J_Montant,J_Annee,Annee_Travail,J_Mois,12,J_Module,"Général",J_Cat,$C86,J_Type,"Dépense",J_Statut,"&lt;&gt;Annulé",J_Statut,"&lt;&gt;Prévu"))</f>
        <v/>
      </c>
      <c r="AB86" s="160">
        <f>D86+F86+H86+J86+L86+N86+P86+R86+T86+V86+X86+Z86</f>
        <v/>
      </c>
      <c r="AC86" s="160">
        <f>E86+G86+I86+K86+M86+O86+Q86+S86+U86+W86+Y86+AA86</f>
        <v/>
      </c>
      <c r="AD86" s="161">
        <f>$AB86-$AC86</f>
        <v/>
      </c>
      <c r="AE86" s="162">
        <f>IFERROR($AC86/$AB86,0)</f>
        <v/>
      </c>
    </row>
    <row r="87">
      <c r="B87" s="156" t="n">
        <v>26</v>
      </c>
      <c r="C87" s="157" t="inlineStr">
        <is>
          <t>Dons &amp; solidarité</t>
        </is>
      </c>
      <c r="D87" s="158">
        <f>IF($C87="",0,SUMIFS(P_M1,P_Annee,Annee_Travail,P_Cat,$C87,P_Type,"Dépense",P_Module,"Général"))</f>
        <v/>
      </c>
      <c r="E87" s="159">
        <f>IF($C87="",0,SUMIFS(J_Montant,J_Annee,Annee_Travail,J_Mois,1,J_Module,"Général",J_Cat,$C87,J_Type,"Dépense",J_Statut,"&lt;&gt;Annulé",J_Statut,"&lt;&gt;Prévu"))</f>
        <v/>
      </c>
      <c r="F87" s="158">
        <f>IF($C87="",0,SUMIFS(P_M2,P_Annee,Annee_Travail,P_Cat,$C87,P_Type,"Dépense",P_Module,"Général"))</f>
        <v/>
      </c>
      <c r="G87" s="159">
        <f>IF($C87="",0,SUMIFS(J_Montant,J_Annee,Annee_Travail,J_Mois,2,J_Module,"Général",J_Cat,$C87,J_Type,"Dépense",J_Statut,"&lt;&gt;Annulé",J_Statut,"&lt;&gt;Prévu"))</f>
        <v/>
      </c>
      <c r="H87" s="158">
        <f>IF($C87="",0,SUMIFS(P_M3,P_Annee,Annee_Travail,P_Cat,$C87,P_Type,"Dépense",P_Module,"Général"))</f>
        <v/>
      </c>
      <c r="I87" s="159">
        <f>IF($C87="",0,SUMIFS(J_Montant,J_Annee,Annee_Travail,J_Mois,3,J_Module,"Général",J_Cat,$C87,J_Type,"Dépense",J_Statut,"&lt;&gt;Annulé",J_Statut,"&lt;&gt;Prévu"))</f>
        <v/>
      </c>
      <c r="J87" s="158">
        <f>IF($C87="",0,SUMIFS(P_M4,P_Annee,Annee_Travail,P_Cat,$C87,P_Type,"Dépense",P_Module,"Général"))</f>
        <v/>
      </c>
      <c r="K87" s="159">
        <f>IF($C87="",0,SUMIFS(J_Montant,J_Annee,Annee_Travail,J_Mois,4,J_Module,"Général",J_Cat,$C87,J_Type,"Dépense",J_Statut,"&lt;&gt;Annulé",J_Statut,"&lt;&gt;Prévu"))</f>
        <v/>
      </c>
      <c r="L87" s="158">
        <f>IF($C87="",0,SUMIFS(P_M5,P_Annee,Annee_Travail,P_Cat,$C87,P_Type,"Dépense",P_Module,"Général"))</f>
        <v/>
      </c>
      <c r="M87" s="159">
        <f>IF($C87="",0,SUMIFS(J_Montant,J_Annee,Annee_Travail,J_Mois,5,J_Module,"Général",J_Cat,$C87,J_Type,"Dépense",J_Statut,"&lt;&gt;Annulé",J_Statut,"&lt;&gt;Prévu"))</f>
        <v/>
      </c>
      <c r="N87" s="158">
        <f>IF($C87="",0,SUMIFS(P_M6,P_Annee,Annee_Travail,P_Cat,$C87,P_Type,"Dépense",P_Module,"Général"))</f>
        <v/>
      </c>
      <c r="O87" s="159">
        <f>IF($C87="",0,SUMIFS(J_Montant,J_Annee,Annee_Travail,J_Mois,6,J_Module,"Général",J_Cat,$C87,J_Type,"Dépense",J_Statut,"&lt;&gt;Annulé",J_Statut,"&lt;&gt;Prévu"))</f>
        <v/>
      </c>
      <c r="P87" s="158">
        <f>IF($C87="",0,SUMIFS(P_M7,P_Annee,Annee_Travail,P_Cat,$C87,P_Type,"Dépense",P_Module,"Général"))</f>
        <v/>
      </c>
      <c r="Q87" s="159">
        <f>IF($C87="",0,SUMIFS(J_Montant,J_Annee,Annee_Travail,J_Mois,7,J_Module,"Général",J_Cat,$C87,J_Type,"Dépense",J_Statut,"&lt;&gt;Annulé",J_Statut,"&lt;&gt;Prévu"))</f>
        <v/>
      </c>
      <c r="R87" s="158">
        <f>IF($C87="",0,SUMIFS(P_M8,P_Annee,Annee_Travail,P_Cat,$C87,P_Type,"Dépense",P_Module,"Général"))</f>
        <v/>
      </c>
      <c r="S87" s="159">
        <f>IF($C87="",0,SUMIFS(J_Montant,J_Annee,Annee_Travail,J_Mois,8,J_Module,"Général",J_Cat,$C87,J_Type,"Dépense",J_Statut,"&lt;&gt;Annulé",J_Statut,"&lt;&gt;Prévu"))</f>
        <v/>
      </c>
      <c r="T87" s="158">
        <f>IF($C87="",0,SUMIFS(P_M9,P_Annee,Annee_Travail,P_Cat,$C87,P_Type,"Dépense",P_Module,"Général"))</f>
        <v/>
      </c>
      <c r="U87" s="159">
        <f>IF($C87="",0,SUMIFS(J_Montant,J_Annee,Annee_Travail,J_Mois,9,J_Module,"Général",J_Cat,$C87,J_Type,"Dépense",J_Statut,"&lt;&gt;Annulé",J_Statut,"&lt;&gt;Prévu"))</f>
        <v/>
      </c>
      <c r="V87" s="158">
        <f>IF($C87="",0,SUMIFS(P_M10,P_Annee,Annee_Travail,P_Cat,$C87,P_Type,"Dépense",P_Module,"Général"))</f>
        <v/>
      </c>
      <c r="W87" s="159">
        <f>IF($C87="",0,SUMIFS(J_Montant,J_Annee,Annee_Travail,J_Mois,10,J_Module,"Général",J_Cat,$C87,J_Type,"Dépense",J_Statut,"&lt;&gt;Annulé",J_Statut,"&lt;&gt;Prévu"))</f>
        <v/>
      </c>
      <c r="X87" s="158">
        <f>IF($C87="",0,SUMIFS(P_M11,P_Annee,Annee_Travail,P_Cat,$C87,P_Type,"Dépense",P_Module,"Général"))</f>
        <v/>
      </c>
      <c r="Y87" s="159">
        <f>IF($C87="",0,SUMIFS(J_Montant,J_Annee,Annee_Travail,J_Mois,11,J_Module,"Général",J_Cat,$C87,J_Type,"Dépense",J_Statut,"&lt;&gt;Annulé",J_Statut,"&lt;&gt;Prévu"))</f>
        <v/>
      </c>
      <c r="Z87" s="158">
        <f>IF($C87="",0,SUMIFS(P_M12,P_Annee,Annee_Travail,P_Cat,$C87,P_Type,"Dépense",P_Module,"Général"))</f>
        <v/>
      </c>
      <c r="AA87" s="159">
        <f>IF($C87="",0,SUMIFS(J_Montant,J_Annee,Annee_Travail,J_Mois,12,J_Module,"Général",J_Cat,$C87,J_Type,"Dépense",J_Statut,"&lt;&gt;Annulé",J_Statut,"&lt;&gt;Prévu"))</f>
        <v/>
      </c>
      <c r="AB87" s="160">
        <f>D87+F87+H87+J87+L87+N87+P87+R87+T87+V87+X87+Z87</f>
        <v/>
      </c>
      <c r="AC87" s="160">
        <f>E87+G87+I87+K87+M87+O87+Q87+S87+U87+W87+Y87+AA87</f>
        <v/>
      </c>
      <c r="AD87" s="161">
        <f>$AB87-$AC87</f>
        <v/>
      </c>
      <c r="AE87" s="162">
        <f>IFERROR($AC87/$AB87,0)</f>
        <v/>
      </c>
    </row>
    <row r="88">
      <c r="B88" s="156" t="n">
        <v>27</v>
      </c>
      <c r="C88" s="157" t="inlineStr">
        <is>
          <t>Cadeaux</t>
        </is>
      </c>
      <c r="D88" s="158">
        <f>IF($C88="",0,SUMIFS(P_M1,P_Annee,Annee_Travail,P_Cat,$C88,P_Type,"Dépense",P_Module,"Général"))</f>
        <v/>
      </c>
      <c r="E88" s="159">
        <f>IF($C88="",0,SUMIFS(J_Montant,J_Annee,Annee_Travail,J_Mois,1,J_Module,"Général",J_Cat,$C88,J_Type,"Dépense",J_Statut,"&lt;&gt;Annulé",J_Statut,"&lt;&gt;Prévu"))</f>
        <v/>
      </c>
      <c r="F88" s="158">
        <f>IF($C88="",0,SUMIFS(P_M2,P_Annee,Annee_Travail,P_Cat,$C88,P_Type,"Dépense",P_Module,"Général"))</f>
        <v/>
      </c>
      <c r="G88" s="159">
        <f>IF($C88="",0,SUMIFS(J_Montant,J_Annee,Annee_Travail,J_Mois,2,J_Module,"Général",J_Cat,$C88,J_Type,"Dépense",J_Statut,"&lt;&gt;Annulé",J_Statut,"&lt;&gt;Prévu"))</f>
        <v/>
      </c>
      <c r="H88" s="158">
        <f>IF($C88="",0,SUMIFS(P_M3,P_Annee,Annee_Travail,P_Cat,$C88,P_Type,"Dépense",P_Module,"Général"))</f>
        <v/>
      </c>
      <c r="I88" s="159">
        <f>IF($C88="",0,SUMIFS(J_Montant,J_Annee,Annee_Travail,J_Mois,3,J_Module,"Général",J_Cat,$C88,J_Type,"Dépense",J_Statut,"&lt;&gt;Annulé",J_Statut,"&lt;&gt;Prévu"))</f>
        <v/>
      </c>
      <c r="J88" s="158">
        <f>IF($C88="",0,SUMIFS(P_M4,P_Annee,Annee_Travail,P_Cat,$C88,P_Type,"Dépense",P_Module,"Général"))</f>
        <v/>
      </c>
      <c r="K88" s="159">
        <f>IF($C88="",0,SUMIFS(J_Montant,J_Annee,Annee_Travail,J_Mois,4,J_Module,"Général",J_Cat,$C88,J_Type,"Dépense",J_Statut,"&lt;&gt;Annulé",J_Statut,"&lt;&gt;Prévu"))</f>
        <v/>
      </c>
      <c r="L88" s="158">
        <f>IF($C88="",0,SUMIFS(P_M5,P_Annee,Annee_Travail,P_Cat,$C88,P_Type,"Dépense",P_Module,"Général"))</f>
        <v/>
      </c>
      <c r="M88" s="159">
        <f>IF($C88="",0,SUMIFS(J_Montant,J_Annee,Annee_Travail,J_Mois,5,J_Module,"Général",J_Cat,$C88,J_Type,"Dépense",J_Statut,"&lt;&gt;Annulé",J_Statut,"&lt;&gt;Prévu"))</f>
        <v/>
      </c>
      <c r="N88" s="158">
        <f>IF($C88="",0,SUMIFS(P_M6,P_Annee,Annee_Travail,P_Cat,$C88,P_Type,"Dépense",P_Module,"Général"))</f>
        <v/>
      </c>
      <c r="O88" s="159">
        <f>IF($C88="",0,SUMIFS(J_Montant,J_Annee,Annee_Travail,J_Mois,6,J_Module,"Général",J_Cat,$C88,J_Type,"Dépense",J_Statut,"&lt;&gt;Annulé",J_Statut,"&lt;&gt;Prévu"))</f>
        <v/>
      </c>
      <c r="P88" s="158">
        <f>IF($C88="",0,SUMIFS(P_M7,P_Annee,Annee_Travail,P_Cat,$C88,P_Type,"Dépense",P_Module,"Général"))</f>
        <v/>
      </c>
      <c r="Q88" s="159">
        <f>IF($C88="",0,SUMIFS(J_Montant,J_Annee,Annee_Travail,J_Mois,7,J_Module,"Général",J_Cat,$C88,J_Type,"Dépense",J_Statut,"&lt;&gt;Annulé",J_Statut,"&lt;&gt;Prévu"))</f>
        <v/>
      </c>
      <c r="R88" s="158">
        <f>IF($C88="",0,SUMIFS(P_M8,P_Annee,Annee_Travail,P_Cat,$C88,P_Type,"Dépense",P_Module,"Général"))</f>
        <v/>
      </c>
      <c r="S88" s="159">
        <f>IF($C88="",0,SUMIFS(J_Montant,J_Annee,Annee_Travail,J_Mois,8,J_Module,"Général",J_Cat,$C88,J_Type,"Dépense",J_Statut,"&lt;&gt;Annulé",J_Statut,"&lt;&gt;Prévu"))</f>
        <v/>
      </c>
      <c r="T88" s="158">
        <f>IF($C88="",0,SUMIFS(P_M9,P_Annee,Annee_Travail,P_Cat,$C88,P_Type,"Dépense",P_Module,"Général"))</f>
        <v/>
      </c>
      <c r="U88" s="159">
        <f>IF($C88="",0,SUMIFS(J_Montant,J_Annee,Annee_Travail,J_Mois,9,J_Module,"Général",J_Cat,$C88,J_Type,"Dépense",J_Statut,"&lt;&gt;Annulé",J_Statut,"&lt;&gt;Prévu"))</f>
        <v/>
      </c>
      <c r="V88" s="158">
        <f>IF($C88="",0,SUMIFS(P_M10,P_Annee,Annee_Travail,P_Cat,$C88,P_Type,"Dépense",P_Module,"Général"))</f>
        <v/>
      </c>
      <c r="W88" s="159">
        <f>IF($C88="",0,SUMIFS(J_Montant,J_Annee,Annee_Travail,J_Mois,10,J_Module,"Général",J_Cat,$C88,J_Type,"Dépense",J_Statut,"&lt;&gt;Annulé",J_Statut,"&lt;&gt;Prévu"))</f>
        <v/>
      </c>
      <c r="X88" s="158">
        <f>IF($C88="",0,SUMIFS(P_M11,P_Annee,Annee_Travail,P_Cat,$C88,P_Type,"Dépense",P_Module,"Général"))</f>
        <v/>
      </c>
      <c r="Y88" s="159">
        <f>IF($C88="",0,SUMIFS(J_Montant,J_Annee,Annee_Travail,J_Mois,11,J_Module,"Général",J_Cat,$C88,J_Type,"Dépense",J_Statut,"&lt;&gt;Annulé",J_Statut,"&lt;&gt;Prévu"))</f>
        <v/>
      </c>
      <c r="Z88" s="158">
        <f>IF($C88="",0,SUMIFS(P_M12,P_Annee,Annee_Travail,P_Cat,$C88,P_Type,"Dépense",P_Module,"Général"))</f>
        <v/>
      </c>
      <c r="AA88" s="159">
        <f>IF($C88="",0,SUMIFS(J_Montant,J_Annee,Annee_Travail,J_Mois,12,J_Module,"Général",J_Cat,$C88,J_Type,"Dépense",J_Statut,"&lt;&gt;Annulé",J_Statut,"&lt;&gt;Prévu"))</f>
        <v/>
      </c>
      <c r="AB88" s="160">
        <f>D88+F88+H88+J88+L88+N88+P88+R88+T88+V88+X88+Z88</f>
        <v/>
      </c>
      <c r="AC88" s="160">
        <f>E88+G88+I88+K88+M88+O88+Q88+S88+U88+W88+Y88+AA88</f>
        <v/>
      </c>
      <c r="AD88" s="161">
        <f>$AB88-$AC88</f>
        <v/>
      </c>
      <c r="AE88" s="162">
        <f>IFERROR($AC88/$AB88,0)</f>
        <v/>
      </c>
    </row>
    <row r="89">
      <c r="B89" s="156" t="n">
        <v>28</v>
      </c>
      <c r="C89" s="157" t="inlineStr">
        <is>
          <t>Voyages / Vacances</t>
        </is>
      </c>
      <c r="D89" s="158">
        <f>IF($C89="",0,SUMIFS(P_M1,P_Annee,Annee_Travail,P_Cat,$C89,P_Type,"Dépense",P_Module,"Général"))</f>
        <v/>
      </c>
      <c r="E89" s="159">
        <f>IF($C89="",0,SUMIFS(J_Montant,J_Annee,Annee_Travail,J_Mois,1,J_Module,"Général",J_Cat,$C89,J_Type,"Dépense",J_Statut,"&lt;&gt;Annulé",J_Statut,"&lt;&gt;Prévu"))</f>
        <v/>
      </c>
      <c r="F89" s="158">
        <f>IF($C89="",0,SUMIFS(P_M2,P_Annee,Annee_Travail,P_Cat,$C89,P_Type,"Dépense",P_Module,"Général"))</f>
        <v/>
      </c>
      <c r="G89" s="159">
        <f>IF($C89="",0,SUMIFS(J_Montant,J_Annee,Annee_Travail,J_Mois,2,J_Module,"Général",J_Cat,$C89,J_Type,"Dépense",J_Statut,"&lt;&gt;Annulé",J_Statut,"&lt;&gt;Prévu"))</f>
        <v/>
      </c>
      <c r="H89" s="158">
        <f>IF($C89="",0,SUMIFS(P_M3,P_Annee,Annee_Travail,P_Cat,$C89,P_Type,"Dépense",P_Module,"Général"))</f>
        <v/>
      </c>
      <c r="I89" s="159">
        <f>IF($C89="",0,SUMIFS(J_Montant,J_Annee,Annee_Travail,J_Mois,3,J_Module,"Général",J_Cat,$C89,J_Type,"Dépense",J_Statut,"&lt;&gt;Annulé",J_Statut,"&lt;&gt;Prévu"))</f>
        <v/>
      </c>
      <c r="J89" s="158">
        <f>IF($C89="",0,SUMIFS(P_M4,P_Annee,Annee_Travail,P_Cat,$C89,P_Type,"Dépense",P_Module,"Général"))</f>
        <v/>
      </c>
      <c r="K89" s="159">
        <f>IF($C89="",0,SUMIFS(J_Montant,J_Annee,Annee_Travail,J_Mois,4,J_Module,"Général",J_Cat,$C89,J_Type,"Dépense",J_Statut,"&lt;&gt;Annulé",J_Statut,"&lt;&gt;Prévu"))</f>
        <v/>
      </c>
      <c r="L89" s="158">
        <f>IF($C89="",0,SUMIFS(P_M5,P_Annee,Annee_Travail,P_Cat,$C89,P_Type,"Dépense",P_Module,"Général"))</f>
        <v/>
      </c>
      <c r="M89" s="159">
        <f>IF($C89="",0,SUMIFS(J_Montant,J_Annee,Annee_Travail,J_Mois,5,J_Module,"Général",J_Cat,$C89,J_Type,"Dépense",J_Statut,"&lt;&gt;Annulé",J_Statut,"&lt;&gt;Prévu"))</f>
        <v/>
      </c>
      <c r="N89" s="158">
        <f>IF($C89="",0,SUMIFS(P_M6,P_Annee,Annee_Travail,P_Cat,$C89,P_Type,"Dépense",P_Module,"Général"))</f>
        <v/>
      </c>
      <c r="O89" s="159">
        <f>IF($C89="",0,SUMIFS(J_Montant,J_Annee,Annee_Travail,J_Mois,6,J_Module,"Général",J_Cat,$C89,J_Type,"Dépense",J_Statut,"&lt;&gt;Annulé",J_Statut,"&lt;&gt;Prévu"))</f>
        <v/>
      </c>
      <c r="P89" s="158">
        <f>IF($C89="",0,SUMIFS(P_M7,P_Annee,Annee_Travail,P_Cat,$C89,P_Type,"Dépense",P_Module,"Général"))</f>
        <v/>
      </c>
      <c r="Q89" s="159">
        <f>IF($C89="",0,SUMIFS(J_Montant,J_Annee,Annee_Travail,J_Mois,7,J_Module,"Général",J_Cat,$C89,J_Type,"Dépense",J_Statut,"&lt;&gt;Annulé",J_Statut,"&lt;&gt;Prévu"))</f>
        <v/>
      </c>
      <c r="R89" s="158">
        <f>IF($C89="",0,SUMIFS(P_M8,P_Annee,Annee_Travail,P_Cat,$C89,P_Type,"Dépense",P_Module,"Général"))</f>
        <v/>
      </c>
      <c r="S89" s="159">
        <f>IF($C89="",0,SUMIFS(J_Montant,J_Annee,Annee_Travail,J_Mois,8,J_Module,"Général",J_Cat,$C89,J_Type,"Dépense",J_Statut,"&lt;&gt;Annulé",J_Statut,"&lt;&gt;Prévu"))</f>
        <v/>
      </c>
      <c r="T89" s="158">
        <f>IF($C89="",0,SUMIFS(P_M9,P_Annee,Annee_Travail,P_Cat,$C89,P_Type,"Dépense",P_Module,"Général"))</f>
        <v/>
      </c>
      <c r="U89" s="159">
        <f>IF($C89="",0,SUMIFS(J_Montant,J_Annee,Annee_Travail,J_Mois,9,J_Module,"Général",J_Cat,$C89,J_Type,"Dépense",J_Statut,"&lt;&gt;Annulé",J_Statut,"&lt;&gt;Prévu"))</f>
        <v/>
      </c>
      <c r="V89" s="158">
        <f>IF($C89="",0,SUMIFS(P_M10,P_Annee,Annee_Travail,P_Cat,$C89,P_Type,"Dépense",P_Module,"Général"))</f>
        <v/>
      </c>
      <c r="W89" s="159">
        <f>IF($C89="",0,SUMIFS(J_Montant,J_Annee,Annee_Travail,J_Mois,10,J_Module,"Général",J_Cat,$C89,J_Type,"Dépense",J_Statut,"&lt;&gt;Annulé",J_Statut,"&lt;&gt;Prévu"))</f>
        <v/>
      </c>
      <c r="X89" s="158">
        <f>IF($C89="",0,SUMIFS(P_M11,P_Annee,Annee_Travail,P_Cat,$C89,P_Type,"Dépense",P_Module,"Général"))</f>
        <v/>
      </c>
      <c r="Y89" s="159">
        <f>IF($C89="",0,SUMIFS(J_Montant,J_Annee,Annee_Travail,J_Mois,11,J_Module,"Général",J_Cat,$C89,J_Type,"Dépense",J_Statut,"&lt;&gt;Annulé",J_Statut,"&lt;&gt;Prévu"))</f>
        <v/>
      </c>
      <c r="Z89" s="158">
        <f>IF($C89="",0,SUMIFS(P_M12,P_Annee,Annee_Travail,P_Cat,$C89,P_Type,"Dépense",P_Module,"Général"))</f>
        <v/>
      </c>
      <c r="AA89" s="159">
        <f>IF($C89="",0,SUMIFS(J_Montant,J_Annee,Annee_Travail,J_Mois,12,J_Module,"Général",J_Cat,$C89,J_Type,"Dépense",J_Statut,"&lt;&gt;Annulé",J_Statut,"&lt;&gt;Prévu"))</f>
        <v/>
      </c>
      <c r="AB89" s="160">
        <f>D89+F89+H89+J89+L89+N89+P89+R89+T89+V89+X89+Z89</f>
        <v/>
      </c>
      <c r="AC89" s="160">
        <f>E89+G89+I89+K89+M89+O89+Q89+S89+U89+W89+Y89+AA89</f>
        <v/>
      </c>
      <c r="AD89" s="161">
        <f>$AB89-$AC89</f>
        <v/>
      </c>
      <c r="AE89" s="162">
        <f>IFERROR($AC89/$AB89,0)</f>
        <v/>
      </c>
    </row>
    <row r="90">
      <c r="B90" s="156" t="n">
        <v>29</v>
      </c>
      <c r="C90" s="157" t="inlineStr">
        <is>
          <t>Impôts &amp; taxes</t>
        </is>
      </c>
      <c r="D90" s="158">
        <f>IF($C90="",0,SUMIFS(P_M1,P_Annee,Annee_Travail,P_Cat,$C90,P_Type,"Dépense",P_Module,"Général"))</f>
        <v/>
      </c>
      <c r="E90" s="159">
        <f>IF($C90="",0,SUMIFS(J_Montant,J_Annee,Annee_Travail,J_Mois,1,J_Module,"Général",J_Cat,$C90,J_Type,"Dépense",J_Statut,"&lt;&gt;Annulé",J_Statut,"&lt;&gt;Prévu"))</f>
        <v/>
      </c>
      <c r="F90" s="158">
        <f>IF($C90="",0,SUMIFS(P_M2,P_Annee,Annee_Travail,P_Cat,$C90,P_Type,"Dépense",P_Module,"Général"))</f>
        <v/>
      </c>
      <c r="G90" s="159">
        <f>IF($C90="",0,SUMIFS(J_Montant,J_Annee,Annee_Travail,J_Mois,2,J_Module,"Général",J_Cat,$C90,J_Type,"Dépense",J_Statut,"&lt;&gt;Annulé",J_Statut,"&lt;&gt;Prévu"))</f>
        <v/>
      </c>
      <c r="H90" s="158">
        <f>IF($C90="",0,SUMIFS(P_M3,P_Annee,Annee_Travail,P_Cat,$C90,P_Type,"Dépense",P_Module,"Général"))</f>
        <v/>
      </c>
      <c r="I90" s="159">
        <f>IF($C90="",0,SUMIFS(J_Montant,J_Annee,Annee_Travail,J_Mois,3,J_Module,"Général",J_Cat,$C90,J_Type,"Dépense",J_Statut,"&lt;&gt;Annulé",J_Statut,"&lt;&gt;Prévu"))</f>
        <v/>
      </c>
      <c r="J90" s="158">
        <f>IF($C90="",0,SUMIFS(P_M4,P_Annee,Annee_Travail,P_Cat,$C90,P_Type,"Dépense",P_Module,"Général"))</f>
        <v/>
      </c>
      <c r="K90" s="159">
        <f>IF($C90="",0,SUMIFS(J_Montant,J_Annee,Annee_Travail,J_Mois,4,J_Module,"Général",J_Cat,$C90,J_Type,"Dépense",J_Statut,"&lt;&gt;Annulé",J_Statut,"&lt;&gt;Prévu"))</f>
        <v/>
      </c>
      <c r="L90" s="158">
        <f>IF($C90="",0,SUMIFS(P_M5,P_Annee,Annee_Travail,P_Cat,$C90,P_Type,"Dépense",P_Module,"Général"))</f>
        <v/>
      </c>
      <c r="M90" s="159">
        <f>IF($C90="",0,SUMIFS(J_Montant,J_Annee,Annee_Travail,J_Mois,5,J_Module,"Général",J_Cat,$C90,J_Type,"Dépense",J_Statut,"&lt;&gt;Annulé",J_Statut,"&lt;&gt;Prévu"))</f>
        <v/>
      </c>
      <c r="N90" s="158">
        <f>IF($C90="",0,SUMIFS(P_M6,P_Annee,Annee_Travail,P_Cat,$C90,P_Type,"Dépense",P_Module,"Général"))</f>
        <v/>
      </c>
      <c r="O90" s="159">
        <f>IF($C90="",0,SUMIFS(J_Montant,J_Annee,Annee_Travail,J_Mois,6,J_Module,"Général",J_Cat,$C90,J_Type,"Dépense",J_Statut,"&lt;&gt;Annulé",J_Statut,"&lt;&gt;Prévu"))</f>
        <v/>
      </c>
      <c r="P90" s="158">
        <f>IF($C90="",0,SUMIFS(P_M7,P_Annee,Annee_Travail,P_Cat,$C90,P_Type,"Dépense",P_Module,"Général"))</f>
        <v/>
      </c>
      <c r="Q90" s="159">
        <f>IF($C90="",0,SUMIFS(J_Montant,J_Annee,Annee_Travail,J_Mois,7,J_Module,"Général",J_Cat,$C90,J_Type,"Dépense",J_Statut,"&lt;&gt;Annulé",J_Statut,"&lt;&gt;Prévu"))</f>
        <v/>
      </c>
      <c r="R90" s="158">
        <f>IF($C90="",0,SUMIFS(P_M8,P_Annee,Annee_Travail,P_Cat,$C90,P_Type,"Dépense",P_Module,"Général"))</f>
        <v/>
      </c>
      <c r="S90" s="159">
        <f>IF($C90="",0,SUMIFS(J_Montant,J_Annee,Annee_Travail,J_Mois,8,J_Module,"Général",J_Cat,$C90,J_Type,"Dépense",J_Statut,"&lt;&gt;Annulé",J_Statut,"&lt;&gt;Prévu"))</f>
        <v/>
      </c>
      <c r="T90" s="158">
        <f>IF($C90="",0,SUMIFS(P_M9,P_Annee,Annee_Travail,P_Cat,$C90,P_Type,"Dépense",P_Module,"Général"))</f>
        <v/>
      </c>
      <c r="U90" s="159">
        <f>IF($C90="",0,SUMIFS(J_Montant,J_Annee,Annee_Travail,J_Mois,9,J_Module,"Général",J_Cat,$C90,J_Type,"Dépense",J_Statut,"&lt;&gt;Annulé",J_Statut,"&lt;&gt;Prévu"))</f>
        <v/>
      </c>
      <c r="V90" s="158">
        <f>IF($C90="",0,SUMIFS(P_M10,P_Annee,Annee_Travail,P_Cat,$C90,P_Type,"Dépense",P_Module,"Général"))</f>
        <v/>
      </c>
      <c r="W90" s="159">
        <f>IF($C90="",0,SUMIFS(J_Montant,J_Annee,Annee_Travail,J_Mois,10,J_Module,"Général",J_Cat,$C90,J_Type,"Dépense",J_Statut,"&lt;&gt;Annulé",J_Statut,"&lt;&gt;Prévu"))</f>
        <v/>
      </c>
      <c r="X90" s="158">
        <f>IF($C90="",0,SUMIFS(P_M11,P_Annee,Annee_Travail,P_Cat,$C90,P_Type,"Dépense",P_Module,"Général"))</f>
        <v/>
      </c>
      <c r="Y90" s="159">
        <f>IF($C90="",0,SUMIFS(J_Montant,J_Annee,Annee_Travail,J_Mois,11,J_Module,"Général",J_Cat,$C90,J_Type,"Dépense",J_Statut,"&lt;&gt;Annulé",J_Statut,"&lt;&gt;Prévu"))</f>
        <v/>
      </c>
      <c r="Z90" s="158">
        <f>IF($C90="",0,SUMIFS(P_M12,P_Annee,Annee_Travail,P_Cat,$C90,P_Type,"Dépense",P_Module,"Général"))</f>
        <v/>
      </c>
      <c r="AA90" s="159">
        <f>IF($C90="",0,SUMIFS(J_Montant,J_Annee,Annee_Travail,J_Mois,12,J_Module,"Général",J_Cat,$C90,J_Type,"Dépense",J_Statut,"&lt;&gt;Annulé",J_Statut,"&lt;&gt;Prévu"))</f>
        <v/>
      </c>
      <c r="AB90" s="160">
        <f>D90+F90+H90+J90+L90+N90+P90+R90+T90+V90+X90+Z90</f>
        <v/>
      </c>
      <c r="AC90" s="160">
        <f>E90+G90+I90+K90+M90+O90+Q90+S90+U90+W90+Y90+AA90</f>
        <v/>
      </c>
      <c r="AD90" s="161">
        <f>$AB90-$AC90</f>
        <v/>
      </c>
      <c r="AE90" s="162">
        <f>IFERROR($AC90/$AB90,0)</f>
        <v/>
      </c>
    </row>
    <row r="91">
      <c r="B91" s="156" t="n">
        <v>30</v>
      </c>
      <c r="C91" s="157" t="inlineStr">
        <is>
          <t>Frais bancaires</t>
        </is>
      </c>
      <c r="D91" s="158">
        <f>IF($C91="",0,SUMIFS(P_M1,P_Annee,Annee_Travail,P_Cat,$C91,P_Type,"Dépense",P_Module,"Général"))</f>
        <v/>
      </c>
      <c r="E91" s="159">
        <f>IF($C91="",0,SUMIFS(J_Montant,J_Annee,Annee_Travail,J_Mois,1,J_Module,"Général",J_Cat,$C91,J_Type,"Dépense",J_Statut,"&lt;&gt;Annulé",J_Statut,"&lt;&gt;Prévu"))</f>
        <v/>
      </c>
      <c r="F91" s="158">
        <f>IF($C91="",0,SUMIFS(P_M2,P_Annee,Annee_Travail,P_Cat,$C91,P_Type,"Dépense",P_Module,"Général"))</f>
        <v/>
      </c>
      <c r="G91" s="159">
        <f>IF($C91="",0,SUMIFS(J_Montant,J_Annee,Annee_Travail,J_Mois,2,J_Module,"Général",J_Cat,$C91,J_Type,"Dépense",J_Statut,"&lt;&gt;Annulé",J_Statut,"&lt;&gt;Prévu"))</f>
        <v/>
      </c>
      <c r="H91" s="158">
        <f>IF($C91="",0,SUMIFS(P_M3,P_Annee,Annee_Travail,P_Cat,$C91,P_Type,"Dépense",P_Module,"Général"))</f>
        <v/>
      </c>
      <c r="I91" s="159">
        <f>IF($C91="",0,SUMIFS(J_Montant,J_Annee,Annee_Travail,J_Mois,3,J_Module,"Général",J_Cat,$C91,J_Type,"Dépense",J_Statut,"&lt;&gt;Annulé",J_Statut,"&lt;&gt;Prévu"))</f>
        <v/>
      </c>
      <c r="J91" s="158">
        <f>IF($C91="",0,SUMIFS(P_M4,P_Annee,Annee_Travail,P_Cat,$C91,P_Type,"Dépense",P_Module,"Général"))</f>
        <v/>
      </c>
      <c r="K91" s="159">
        <f>IF($C91="",0,SUMIFS(J_Montant,J_Annee,Annee_Travail,J_Mois,4,J_Module,"Général",J_Cat,$C91,J_Type,"Dépense",J_Statut,"&lt;&gt;Annulé",J_Statut,"&lt;&gt;Prévu"))</f>
        <v/>
      </c>
      <c r="L91" s="158">
        <f>IF($C91="",0,SUMIFS(P_M5,P_Annee,Annee_Travail,P_Cat,$C91,P_Type,"Dépense",P_Module,"Général"))</f>
        <v/>
      </c>
      <c r="M91" s="159">
        <f>IF($C91="",0,SUMIFS(J_Montant,J_Annee,Annee_Travail,J_Mois,5,J_Module,"Général",J_Cat,$C91,J_Type,"Dépense",J_Statut,"&lt;&gt;Annulé",J_Statut,"&lt;&gt;Prévu"))</f>
        <v/>
      </c>
      <c r="N91" s="158">
        <f>IF($C91="",0,SUMIFS(P_M6,P_Annee,Annee_Travail,P_Cat,$C91,P_Type,"Dépense",P_Module,"Général"))</f>
        <v/>
      </c>
      <c r="O91" s="159">
        <f>IF($C91="",0,SUMIFS(J_Montant,J_Annee,Annee_Travail,J_Mois,6,J_Module,"Général",J_Cat,$C91,J_Type,"Dépense",J_Statut,"&lt;&gt;Annulé",J_Statut,"&lt;&gt;Prévu"))</f>
        <v/>
      </c>
      <c r="P91" s="158">
        <f>IF($C91="",0,SUMIFS(P_M7,P_Annee,Annee_Travail,P_Cat,$C91,P_Type,"Dépense",P_Module,"Général"))</f>
        <v/>
      </c>
      <c r="Q91" s="159">
        <f>IF($C91="",0,SUMIFS(J_Montant,J_Annee,Annee_Travail,J_Mois,7,J_Module,"Général",J_Cat,$C91,J_Type,"Dépense",J_Statut,"&lt;&gt;Annulé",J_Statut,"&lt;&gt;Prévu"))</f>
        <v/>
      </c>
      <c r="R91" s="158">
        <f>IF($C91="",0,SUMIFS(P_M8,P_Annee,Annee_Travail,P_Cat,$C91,P_Type,"Dépense",P_Module,"Général"))</f>
        <v/>
      </c>
      <c r="S91" s="159">
        <f>IF($C91="",0,SUMIFS(J_Montant,J_Annee,Annee_Travail,J_Mois,8,J_Module,"Général",J_Cat,$C91,J_Type,"Dépense",J_Statut,"&lt;&gt;Annulé",J_Statut,"&lt;&gt;Prévu"))</f>
        <v/>
      </c>
      <c r="T91" s="158">
        <f>IF($C91="",0,SUMIFS(P_M9,P_Annee,Annee_Travail,P_Cat,$C91,P_Type,"Dépense",P_Module,"Général"))</f>
        <v/>
      </c>
      <c r="U91" s="159">
        <f>IF($C91="",0,SUMIFS(J_Montant,J_Annee,Annee_Travail,J_Mois,9,J_Module,"Général",J_Cat,$C91,J_Type,"Dépense",J_Statut,"&lt;&gt;Annulé",J_Statut,"&lt;&gt;Prévu"))</f>
        <v/>
      </c>
      <c r="V91" s="158">
        <f>IF($C91="",0,SUMIFS(P_M10,P_Annee,Annee_Travail,P_Cat,$C91,P_Type,"Dépense",P_Module,"Général"))</f>
        <v/>
      </c>
      <c r="W91" s="159">
        <f>IF($C91="",0,SUMIFS(J_Montant,J_Annee,Annee_Travail,J_Mois,10,J_Module,"Général",J_Cat,$C91,J_Type,"Dépense",J_Statut,"&lt;&gt;Annulé",J_Statut,"&lt;&gt;Prévu"))</f>
        <v/>
      </c>
      <c r="X91" s="158">
        <f>IF($C91="",0,SUMIFS(P_M11,P_Annee,Annee_Travail,P_Cat,$C91,P_Type,"Dépense",P_Module,"Général"))</f>
        <v/>
      </c>
      <c r="Y91" s="159">
        <f>IF($C91="",0,SUMIFS(J_Montant,J_Annee,Annee_Travail,J_Mois,11,J_Module,"Général",J_Cat,$C91,J_Type,"Dépense",J_Statut,"&lt;&gt;Annulé",J_Statut,"&lt;&gt;Prévu"))</f>
        <v/>
      </c>
      <c r="Z91" s="158">
        <f>IF($C91="",0,SUMIFS(P_M12,P_Annee,Annee_Travail,P_Cat,$C91,P_Type,"Dépense",P_Module,"Général"))</f>
        <v/>
      </c>
      <c r="AA91" s="159">
        <f>IF($C91="",0,SUMIFS(J_Montant,J_Annee,Annee_Travail,J_Mois,12,J_Module,"Général",J_Cat,$C91,J_Type,"Dépense",J_Statut,"&lt;&gt;Annulé",J_Statut,"&lt;&gt;Prévu"))</f>
        <v/>
      </c>
      <c r="AB91" s="160">
        <f>D91+F91+H91+J91+L91+N91+P91+R91+T91+V91+X91+Z91</f>
        <v/>
      </c>
      <c r="AC91" s="160">
        <f>E91+G91+I91+K91+M91+O91+Q91+S91+U91+W91+Y91+AA91</f>
        <v/>
      </c>
      <c r="AD91" s="161">
        <f>$AB91-$AC91</f>
        <v/>
      </c>
      <c r="AE91" s="162">
        <f>IFERROR($AC91/$AB91,0)</f>
        <v/>
      </c>
    </row>
    <row r="92">
      <c r="B92" s="156" t="n">
        <v>31</v>
      </c>
      <c r="C92" s="157" t="inlineStr">
        <is>
          <t>Assurance habitation</t>
        </is>
      </c>
      <c r="D92" s="158">
        <f>IF($C92="",0,SUMIFS(P_M1,P_Annee,Annee_Travail,P_Cat,$C92,P_Type,"Dépense",P_Module,"Général"))</f>
        <v/>
      </c>
      <c r="E92" s="159">
        <f>IF($C92="",0,SUMIFS(J_Montant,J_Annee,Annee_Travail,J_Mois,1,J_Module,"Général",J_Cat,$C92,J_Type,"Dépense",J_Statut,"&lt;&gt;Annulé",J_Statut,"&lt;&gt;Prévu"))</f>
        <v/>
      </c>
      <c r="F92" s="158">
        <f>IF($C92="",0,SUMIFS(P_M2,P_Annee,Annee_Travail,P_Cat,$C92,P_Type,"Dépense",P_Module,"Général"))</f>
        <v/>
      </c>
      <c r="G92" s="159">
        <f>IF($C92="",0,SUMIFS(J_Montant,J_Annee,Annee_Travail,J_Mois,2,J_Module,"Général",J_Cat,$C92,J_Type,"Dépense",J_Statut,"&lt;&gt;Annulé",J_Statut,"&lt;&gt;Prévu"))</f>
        <v/>
      </c>
      <c r="H92" s="158">
        <f>IF($C92="",0,SUMIFS(P_M3,P_Annee,Annee_Travail,P_Cat,$C92,P_Type,"Dépense",P_Module,"Général"))</f>
        <v/>
      </c>
      <c r="I92" s="159">
        <f>IF($C92="",0,SUMIFS(J_Montant,J_Annee,Annee_Travail,J_Mois,3,J_Module,"Général",J_Cat,$C92,J_Type,"Dépense",J_Statut,"&lt;&gt;Annulé",J_Statut,"&lt;&gt;Prévu"))</f>
        <v/>
      </c>
      <c r="J92" s="158">
        <f>IF($C92="",0,SUMIFS(P_M4,P_Annee,Annee_Travail,P_Cat,$C92,P_Type,"Dépense",P_Module,"Général"))</f>
        <v/>
      </c>
      <c r="K92" s="159">
        <f>IF($C92="",0,SUMIFS(J_Montant,J_Annee,Annee_Travail,J_Mois,4,J_Module,"Général",J_Cat,$C92,J_Type,"Dépense",J_Statut,"&lt;&gt;Annulé",J_Statut,"&lt;&gt;Prévu"))</f>
        <v/>
      </c>
      <c r="L92" s="158">
        <f>IF($C92="",0,SUMIFS(P_M5,P_Annee,Annee_Travail,P_Cat,$C92,P_Type,"Dépense",P_Module,"Général"))</f>
        <v/>
      </c>
      <c r="M92" s="159">
        <f>IF($C92="",0,SUMIFS(J_Montant,J_Annee,Annee_Travail,J_Mois,5,J_Module,"Général",J_Cat,$C92,J_Type,"Dépense",J_Statut,"&lt;&gt;Annulé",J_Statut,"&lt;&gt;Prévu"))</f>
        <v/>
      </c>
      <c r="N92" s="158">
        <f>IF($C92="",0,SUMIFS(P_M6,P_Annee,Annee_Travail,P_Cat,$C92,P_Type,"Dépense",P_Module,"Général"))</f>
        <v/>
      </c>
      <c r="O92" s="159">
        <f>IF($C92="",0,SUMIFS(J_Montant,J_Annee,Annee_Travail,J_Mois,6,J_Module,"Général",J_Cat,$C92,J_Type,"Dépense",J_Statut,"&lt;&gt;Annulé",J_Statut,"&lt;&gt;Prévu"))</f>
        <v/>
      </c>
      <c r="P92" s="158">
        <f>IF($C92="",0,SUMIFS(P_M7,P_Annee,Annee_Travail,P_Cat,$C92,P_Type,"Dépense",P_Module,"Général"))</f>
        <v/>
      </c>
      <c r="Q92" s="159">
        <f>IF($C92="",0,SUMIFS(J_Montant,J_Annee,Annee_Travail,J_Mois,7,J_Module,"Général",J_Cat,$C92,J_Type,"Dépense",J_Statut,"&lt;&gt;Annulé",J_Statut,"&lt;&gt;Prévu"))</f>
        <v/>
      </c>
      <c r="R92" s="158">
        <f>IF($C92="",0,SUMIFS(P_M8,P_Annee,Annee_Travail,P_Cat,$C92,P_Type,"Dépense",P_Module,"Général"))</f>
        <v/>
      </c>
      <c r="S92" s="159">
        <f>IF($C92="",0,SUMIFS(J_Montant,J_Annee,Annee_Travail,J_Mois,8,J_Module,"Général",J_Cat,$C92,J_Type,"Dépense",J_Statut,"&lt;&gt;Annulé",J_Statut,"&lt;&gt;Prévu"))</f>
        <v/>
      </c>
      <c r="T92" s="158">
        <f>IF($C92="",0,SUMIFS(P_M9,P_Annee,Annee_Travail,P_Cat,$C92,P_Type,"Dépense",P_Module,"Général"))</f>
        <v/>
      </c>
      <c r="U92" s="159">
        <f>IF($C92="",0,SUMIFS(J_Montant,J_Annee,Annee_Travail,J_Mois,9,J_Module,"Général",J_Cat,$C92,J_Type,"Dépense",J_Statut,"&lt;&gt;Annulé",J_Statut,"&lt;&gt;Prévu"))</f>
        <v/>
      </c>
      <c r="V92" s="158">
        <f>IF($C92="",0,SUMIFS(P_M10,P_Annee,Annee_Travail,P_Cat,$C92,P_Type,"Dépense",P_Module,"Général"))</f>
        <v/>
      </c>
      <c r="W92" s="159">
        <f>IF($C92="",0,SUMIFS(J_Montant,J_Annee,Annee_Travail,J_Mois,10,J_Module,"Général",J_Cat,$C92,J_Type,"Dépense",J_Statut,"&lt;&gt;Annulé",J_Statut,"&lt;&gt;Prévu"))</f>
        <v/>
      </c>
      <c r="X92" s="158">
        <f>IF($C92="",0,SUMIFS(P_M11,P_Annee,Annee_Travail,P_Cat,$C92,P_Type,"Dépense",P_Module,"Général"))</f>
        <v/>
      </c>
      <c r="Y92" s="159">
        <f>IF($C92="",0,SUMIFS(J_Montant,J_Annee,Annee_Travail,J_Mois,11,J_Module,"Général",J_Cat,$C92,J_Type,"Dépense",J_Statut,"&lt;&gt;Annulé",J_Statut,"&lt;&gt;Prévu"))</f>
        <v/>
      </c>
      <c r="Z92" s="158">
        <f>IF($C92="",0,SUMIFS(P_M12,P_Annee,Annee_Travail,P_Cat,$C92,P_Type,"Dépense",P_Module,"Général"))</f>
        <v/>
      </c>
      <c r="AA92" s="159">
        <f>IF($C92="",0,SUMIFS(J_Montant,J_Annee,Annee_Travail,J_Mois,12,J_Module,"Général",J_Cat,$C92,J_Type,"Dépense",J_Statut,"&lt;&gt;Annulé",J_Statut,"&lt;&gt;Prévu"))</f>
        <v/>
      </c>
      <c r="AB92" s="160">
        <f>D92+F92+H92+J92+L92+N92+P92+R92+T92+V92+X92+Z92</f>
        <v/>
      </c>
      <c r="AC92" s="160">
        <f>E92+G92+I92+K92+M92+O92+Q92+S92+U92+W92+Y92+AA92</f>
        <v/>
      </c>
      <c r="AD92" s="161">
        <f>$AB92-$AC92</f>
        <v/>
      </c>
      <c r="AE92" s="162">
        <f>IFERROR($AC92/$AB92,0)</f>
        <v/>
      </c>
    </row>
    <row r="93">
      <c r="B93" s="156" t="n">
        <v>32</v>
      </c>
      <c r="C93" s="157" t="inlineStr">
        <is>
          <t>Aide à la famille élargie</t>
        </is>
      </c>
      <c r="D93" s="158">
        <f>IF($C93="",0,SUMIFS(P_M1,P_Annee,Annee_Travail,P_Cat,$C93,P_Type,"Dépense",P_Module,"Général"))</f>
        <v/>
      </c>
      <c r="E93" s="159">
        <f>IF($C93="",0,SUMIFS(J_Montant,J_Annee,Annee_Travail,J_Mois,1,J_Module,"Général",J_Cat,$C93,J_Type,"Dépense",J_Statut,"&lt;&gt;Annulé",J_Statut,"&lt;&gt;Prévu"))</f>
        <v/>
      </c>
      <c r="F93" s="158">
        <f>IF($C93="",0,SUMIFS(P_M2,P_Annee,Annee_Travail,P_Cat,$C93,P_Type,"Dépense",P_Module,"Général"))</f>
        <v/>
      </c>
      <c r="G93" s="159">
        <f>IF($C93="",0,SUMIFS(J_Montant,J_Annee,Annee_Travail,J_Mois,2,J_Module,"Général",J_Cat,$C93,J_Type,"Dépense",J_Statut,"&lt;&gt;Annulé",J_Statut,"&lt;&gt;Prévu"))</f>
        <v/>
      </c>
      <c r="H93" s="158">
        <f>IF($C93="",0,SUMIFS(P_M3,P_Annee,Annee_Travail,P_Cat,$C93,P_Type,"Dépense",P_Module,"Général"))</f>
        <v/>
      </c>
      <c r="I93" s="159">
        <f>IF($C93="",0,SUMIFS(J_Montant,J_Annee,Annee_Travail,J_Mois,3,J_Module,"Général",J_Cat,$C93,J_Type,"Dépense",J_Statut,"&lt;&gt;Annulé",J_Statut,"&lt;&gt;Prévu"))</f>
        <v/>
      </c>
      <c r="J93" s="158">
        <f>IF($C93="",0,SUMIFS(P_M4,P_Annee,Annee_Travail,P_Cat,$C93,P_Type,"Dépense",P_Module,"Général"))</f>
        <v/>
      </c>
      <c r="K93" s="159">
        <f>IF($C93="",0,SUMIFS(J_Montant,J_Annee,Annee_Travail,J_Mois,4,J_Module,"Général",J_Cat,$C93,J_Type,"Dépense",J_Statut,"&lt;&gt;Annulé",J_Statut,"&lt;&gt;Prévu"))</f>
        <v/>
      </c>
      <c r="L93" s="158">
        <f>IF($C93="",0,SUMIFS(P_M5,P_Annee,Annee_Travail,P_Cat,$C93,P_Type,"Dépense",P_Module,"Général"))</f>
        <v/>
      </c>
      <c r="M93" s="159">
        <f>IF($C93="",0,SUMIFS(J_Montant,J_Annee,Annee_Travail,J_Mois,5,J_Module,"Général",J_Cat,$C93,J_Type,"Dépense",J_Statut,"&lt;&gt;Annulé",J_Statut,"&lt;&gt;Prévu"))</f>
        <v/>
      </c>
      <c r="N93" s="158">
        <f>IF($C93="",0,SUMIFS(P_M6,P_Annee,Annee_Travail,P_Cat,$C93,P_Type,"Dépense",P_Module,"Général"))</f>
        <v/>
      </c>
      <c r="O93" s="159">
        <f>IF($C93="",0,SUMIFS(J_Montant,J_Annee,Annee_Travail,J_Mois,6,J_Module,"Général",J_Cat,$C93,J_Type,"Dépense",J_Statut,"&lt;&gt;Annulé",J_Statut,"&lt;&gt;Prévu"))</f>
        <v/>
      </c>
      <c r="P93" s="158">
        <f>IF($C93="",0,SUMIFS(P_M7,P_Annee,Annee_Travail,P_Cat,$C93,P_Type,"Dépense",P_Module,"Général"))</f>
        <v/>
      </c>
      <c r="Q93" s="159">
        <f>IF($C93="",0,SUMIFS(J_Montant,J_Annee,Annee_Travail,J_Mois,7,J_Module,"Général",J_Cat,$C93,J_Type,"Dépense",J_Statut,"&lt;&gt;Annulé",J_Statut,"&lt;&gt;Prévu"))</f>
        <v/>
      </c>
      <c r="R93" s="158">
        <f>IF($C93="",0,SUMIFS(P_M8,P_Annee,Annee_Travail,P_Cat,$C93,P_Type,"Dépense",P_Module,"Général"))</f>
        <v/>
      </c>
      <c r="S93" s="159">
        <f>IF($C93="",0,SUMIFS(J_Montant,J_Annee,Annee_Travail,J_Mois,8,J_Module,"Général",J_Cat,$C93,J_Type,"Dépense",J_Statut,"&lt;&gt;Annulé",J_Statut,"&lt;&gt;Prévu"))</f>
        <v/>
      </c>
      <c r="T93" s="158">
        <f>IF($C93="",0,SUMIFS(P_M9,P_Annee,Annee_Travail,P_Cat,$C93,P_Type,"Dépense",P_Module,"Général"))</f>
        <v/>
      </c>
      <c r="U93" s="159">
        <f>IF($C93="",0,SUMIFS(J_Montant,J_Annee,Annee_Travail,J_Mois,9,J_Module,"Général",J_Cat,$C93,J_Type,"Dépense",J_Statut,"&lt;&gt;Annulé",J_Statut,"&lt;&gt;Prévu"))</f>
        <v/>
      </c>
      <c r="V93" s="158">
        <f>IF($C93="",0,SUMIFS(P_M10,P_Annee,Annee_Travail,P_Cat,$C93,P_Type,"Dépense",P_Module,"Général"))</f>
        <v/>
      </c>
      <c r="W93" s="159">
        <f>IF($C93="",0,SUMIFS(J_Montant,J_Annee,Annee_Travail,J_Mois,10,J_Module,"Général",J_Cat,$C93,J_Type,"Dépense",J_Statut,"&lt;&gt;Annulé",J_Statut,"&lt;&gt;Prévu"))</f>
        <v/>
      </c>
      <c r="X93" s="158">
        <f>IF($C93="",0,SUMIFS(P_M11,P_Annee,Annee_Travail,P_Cat,$C93,P_Type,"Dépense",P_Module,"Général"))</f>
        <v/>
      </c>
      <c r="Y93" s="159">
        <f>IF($C93="",0,SUMIFS(J_Montant,J_Annee,Annee_Travail,J_Mois,11,J_Module,"Général",J_Cat,$C93,J_Type,"Dépense",J_Statut,"&lt;&gt;Annulé",J_Statut,"&lt;&gt;Prévu"))</f>
        <v/>
      </c>
      <c r="Z93" s="158">
        <f>IF($C93="",0,SUMIFS(P_M12,P_Annee,Annee_Travail,P_Cat,$C93,P_Type,"Dépense",P_Module,"Général"))</f>
        <v/>
      </c>
      <c r="AA93" s="159">
        <f>IF($C93="",0,SUMIFS(J_Montant,J_Annee,Annee_Travail,J_Mois,12,J_Module,"Général",J_Cat,$C93,J_Type,"Dépense",J_Statut,"&lt;&gt;Annulé",J_Statut,"&lt;&gt;Prévu"))</f>
        <v/>
      </c>
      <c r="AB93" s="160">
        <f>D93+F93+H93+J93+L93+N93+P93+R93+T93+V93+X93+Z93</f>
        <v/>
      </c>
      <c r="AC93" s="160">
        <f>E93+G93+I93+K93+M93+O93+Q93+S93+U93+W93+Y93+AA93</f>
        <v/>
      </c>
      <c r="AD93" s="161">
        <f>$AB93-$AC93</f>
        <v/>
      </c>
      <c r="AE93" s="162">
        <f>IFERROR($AC93/$AB93,0)</f>
        <v/>
      </c>
    </row>
    <row r="94">
      <c r="B94" s="156" t="n">
        <v>33</v>
      </c>
      <c r="C94" s="157" t="inlineStr">
        <is>
          <t>Frais administratifs</t>
        </is>
      </c>
      <c r="D94" s="158">
        <f>IF($C94="",0,SUMIFS(P_M1,P_Annee,Annee_Travail,P_Cat,$C94,P_Type,"Dépense",P_Module,"Général"))</f>
        <v/>
      </c>
      <c r="E94" s="159">
        <f>IF($C94="",0,SUMIFS(J_Montant,J_Annee,Annee_Travail,J_Mois,1,J_Module,"Général",J_Cat,$C94,J_Type,"Dépense",J_Statut,"&lt;&gt;Annulé",J_Statut,"&lt;&gt;Prévu"))</f>
        <v/>
      </c>
      <c r="F94" s="158">
        <f>IF($C94="",0,SUMIFS(P_M2,P_Annee,Annee_Travail,P_Cat,$C94,P_Type,"Dépense",P_Module,"Général"))</f>
        <v/>
      </c>
      <c r="G94" s="159">
        <f>IF($C94="",0,SUMIFS(J_Montant,J_Annee,Annee_Travail,J_Mois,2,J_Module,"Général",J_Cat,$C94,J_Type,"Dépense",J_Statut,"&lt;&gt;Annulé",J_Statut,"&lt;&gt;Prévu"))</f>
        <v/>
      </c>
      <c r="H94" s="158">
        <f>IF($C94="",0,SUMIFS(P_M3,P_Annee,Annee_Travail,P_Cat,$C94,P_Type,"Dépense",P_Module,"Général"))</f>
        <v/>
      </c>
      <c r="I94" s="159">
        <f>IF($C94="",0,SUMIFS(J_Montant,J_Annee,Annee_Travail,J_Mois,3,J_Module,"Général",J_Cat,$C94,J_Type,"Dépense",J_Statut,"&lt;&gt;Annulé",J_Statut,"&lt;&gt;Prévu"))</f>
        <v/>
      </c>
      <c r="J94" s="158">
        <f>IF($C94="",0,SUMIFS(P_M4,P_Annee,Annee_Travail,P_Cat,$C94,P_Type,"Dépense",P_Module,"Général"))</f>
        <v/>
      </c>
      <c r="K94" s="159">
        <f>IF($C94="",0,SUMIFS(J_Montant,J_Annee,Annee_Travail,J_Mois,4,J_Module,"Général",J_Cat,$C94,J_Type,"Dépense",J_Statut,"&lt;&gt;Annulé",J_Statut,"&lt;&gt;Prévu"))</f>
        <v/>
      </c>
      <c r="L94" s="158">
        <f>IF($C94="",0,SUMIFS(P_M5,P_Annee,Annee_Travail,P_Cat,$C94,P_Type,"Dépense",P_Module,"Général"))</f>
        <v/>
      </c>
      <c r="M94" s="159">
        <f>IF($C94="",0,SUMIFS(J_Montant,J_Annee,Annee_Travail,J_Mois,5,J_Module,"Général",J_Cat,$C94,J_Type,"Dépense",J_Statut,"&lt;&gt;Annulé",J_Statut,"&lt;&gt;Prévu"))</f>
        <v/>
      </c>
      <c r="N94" s="158">
        <f>IF($C94="",0,SUMIFS(P_M6,P_Annee,Annee_Travail,P_Cat,$C94,P_Type,"Dépense",P_Module,"Général"))</f>
        <v/>
      </c>
      <c r="O94" s="159">
        <f>IF($C94="",0,SUMIFS(J_Montant,J_Annee,Annee_Travail,J_Mois,6,J_Module,"Général",J_Cat,$C94,J_Type,"Dépense",J_Statut,"&lt;&gt;Annulé",J_Statut,"&lt;&gt;Prévu"))</f>
        <v/>
      </c>
      <c r="P94" s="158">
        <f>IF($C94="",0,SUMIFS(P_M7,P_Annee,Annee_Travail,P_Cat,$C94,P_Type,"Dépense",P_Module,"Général"))</f>
        <v/>
      </c>
      <c r="Q94" s="159">
        <f>IF($C94="",0,SUMIFS(J_Montant,J_Annee,Annee_Travail,J_Mois,7,J_Module,"Général",J_Cat,$C94,J_Type,"Dépense",J_Statut,"&lt;&gt;Annulé",J_Statut,"&lt;&gt;Prévu"))</f>
        <v/>
      </c>
      <c r="R94" s="158">
        <f>IF($C94="",0,SUMIFS(P_M8,P_Annee,Annee_Travail,P_Cat,$C94,P_Type,"Dépense",P_Module,"Général"))</f>
        <v/>
      </c>
      <c r="S94" s="159">
        <f>IF($C94="",0,SUMIFS(J_Montant,J_Annee,Annee_Travail,J_Mois,8,J_Module,"Général",J_Cat,$C94,J_Type,"Dépense",J_Statut,"&lt;&gt;Annulé",J_Statut,"&lt;&gt;Prévu"))</f>
        <v/>
      </c>
      <c r="T94" s="158">
        <f>IF($C94="",0,SUMIFS(P_M9,P_Annee,Annee_Travail,P_Cat,$C94,P_Type,"Dépense",P_Module,"Général"))</f>
        <v/>
      </c>
      <c r="U94" s="159">
        <f>IF($C94="",0,SUMIFS(J_Montant,J_Annee,Annee_Travail,J_Mois,9,J_Module,"Général",J_Cat,$C94,J_Type,"Dépense",J_Statut,"&lt;&gt;Annulé",J_Statut,"&lt;&gt;Prévu"))</f>
        <v/>
      </c>
      <c r="V94" s="158">
        <f>IF($C94="",0,SUMIFS(P_M10,P_Annee,Annee_Travail,P_Cat,$C94,P_Type,"Dépense",P_Module,"Général"))</f>
        <v/>
      </c>
      <c r="W94" s="159">
        <f>IF($C94="",0,SUMIFS(J_Montant,J_Annee,Annee_Travail,J_Mois,10,J_Module,"Général",J_Cat,$C94,J_Type,"Dépense",J_Statut,"&lt;&gt;Annulé",J_Statut,"&lt;&gt;Prévu"))</f>
        <v/>
      </c>
      <c r="X94" s="158">
        <f>IF($C94="",0,SUMIFS(P_M11,P_Annee,Annee_Travail,P_Cat,$C94,P_Type,"Dépense",P_Module,"Général"))</f>
        <v/>
      </c>
      <c r="Y94" s="159">
        <f>IF($C94="",0,SUMIFS(J_Montant,J_Annee,Annee_Travail,J_Mois,11,J_Module,"Général",J_Cat,$C94,J_Type,"Dépense",J_Statut,"&lt;&gt;Annulé",J_Statut,"&lt;&gt;Prévu"))</f>
        <v/>
      </c>
      <c r="Z94" s="158">
        <f>IF($C94="",0,SUMIFS(P_M12,P_Annee,Annee_Travail,P_Cat,$C94,P_Type,"Dépense",P_Module,"Général"))</f>
        <v/>
      </c>
      <c r="AA94" s="159">
        <f>IF($C94="",0,SUMIFS(J_Montant,J_Annee,Annee_Travail,J_Mois,12,J_Module,"Général",J_Cat,$C94,J_Type,"Dépense",J_Statut,"&lt;&gt;Annulé",J_Statut,"&lt;&gt;Prévu"))</f>
        <v/>
      </c>
      <c r="AB94" s="160">
        <f>D94+F94+H94+J94+L94+N94+P94+R94+T94+V94+X94+Z94</f>
        <v/>
      </c>
      <c r="AC94" s="160">
        <f>E94+G94+I94+K94+M94+O94+Q94+S94+U94+W94+Y94+AA94</f>
        <v/>
      </c>
      <c r="AD94" s="161">
        <f>$AB94-$AC94</f>
        <v/>
      </c>
      <c r="AE94" s="162">
        <f>IFERROR($AC94/$AB94,0)</f>
        <v/>
      </c>
    </row>
    <row r="95">
      <c r="B95" s="156" t="n">
        <v>34</v>
      </c>
      <c r="C95" s="157" t="inlineStr">
        <is>
          <t>Imprévus / Divers</t>
        </is>
      </c>
      <c r="D95" s="158">
        <f>IF($C95="",0,SUMIFS(P_M1,P_Annee,Annee_Travail,P_Cat,$C95,P_Type,"Dépense",P_Module,"Général"))</f>
        <v/>
      </c>
      <c r="E95" s="159">
        <f>IF($C95="",0,SUMIFS(J_Montant,J_Annee,Annee_Travail,J_Mois,1,J_Module,"Général",J_Cat,$C95,J_Type,"Dépense",J_Statut,"&lt;&gt;Annulé",J_Statut,"&lt;&gt;Prévu"))</f>
        <v/>
      </c>
      <c r="F95" s="158">
        <f>IF($C95="",0,SUMIFS(P_M2,P_Annee,Annee_Travail,P_Cat,$C95,P_Type,"Dépense",P_Module,"Général"))</f>
        <v/>
      </c>
      <c r="G95" s="159">
        <f>IF($C95="",0,SUMIFS(J_Montant,J_Annee,Annee_Travail,J_Mois,2,J_Module,"Général",J_Cat,$C95,J_Type,"Dépense",J_Statut,"&lt;&gt;Annulé",J_Statut,"&lt;&gt;Prévu"))</f>
        <v/>
      </c>
      <c r="H95" s="158">
        <f>IF($C95="",0,SUMIFS(P_M3,P_Annee,Annee_Travail,P_Cat,$C95,P_Type,"Dépense",P_Module,"Général"))</f>
        <v/>
      </c>
      <c r="I95" s="159">
        <f>IF($C95="",0,SUMIFS(J_Montant,J_Annee,Annee_Travail,J_Mois,3,J_Module,"Général",J_Cat,$C95,J_Type,"Dépense",J_Statut,"&lt;&gt;Annulé",J_Statut,"&lt;&gt;Prévu"))</f>
        <v/>
      </c>
      <c r="J95" s="158">
        <f>IF($C95="",0,SUMIFS(P_M4,P_Annee,Annee_Travail,P_Cat,$C95,P_Type,"Dépense",P_Module,"Général"))</f>
        <v/>
      </c>
      <c r="K95" s="159">
        <f>IF($C95="",0,SUMIFS(J_Montant,J_Annee,Annee_Travail,J_Mois,4,J_Module,"Général",J_Cat,$C95,J_Type,"Dépense",J_Statut,"&lt;&gt;Annulé",J_Statut,"&lt;&gt;Prévu"))</f>
        <v/>
      </c>
      <c r="L95" s="158">
        <f>IF($C95="",0,SUMIFS(P_M5,P_Annee,Annee_Travail,P_Cat,$C95,P_Type,"Dépense",P_Module,"Général"))</f>
        <v/>
      </c>
      <c r="M95" s="159">
        <f>IF($C95="",0,SUMIFS(J_Montant,J_Annee,Annee_Travail,J_Mois,5,J_Module,"Général",J_Cat,$C95,J_Type,"Dépense",J_Statut,"&lt;&gt;Annulé",J_Statut,"&lt;&gt;Prévu"))</f>
        <v/>
      </c>
      <c r="N95" s="158">
        <f>IF($C95="",0,SUMIFS(P_M6,P_Annee,Annee_Travail,P_Cat,$C95,P_Type,"Dépense",P_Module,"Général"))</f>
        <v/>
      </c>
      <c r="O95" s="159">
        <f>IF($C95="",0,SUMIFS(J_Montant,J_Annee,Annee_Travail,J_Mois,6,J_Module,"Général",J_Cat,$C95,J_Type,"Dépense",J_Statut,"&lt;&gt;Annulé",J_Statut,"&lt;&gt;Prévu"))</f>
        <v/>
      </c>
      <c r="P95" s="158">
        <f>IF($C95="",0,SUMIFS(P_M7,P_Annee,Annee_Travail,P_Cat,$C95,P_Type,"Dépense",P_Module,"Général"))</f>
        <v/>
      </c>
      <c r="Q95" s="159">
        <f>IF($C95="",0,SUMIFS(J_Montant,J_Annee,Annee_Travail,J_Mois,7,J_Module,"Général",J_Cat,$C95,J_Type,"Dépense",J_Statut,"&lt;&gt;Annulé",J_Statut,"&lt;&gt;Prévu"))</f>
        <v/>
      </c>
      <c r="R95" s="158">
        <f>IF($C95="",0,SUMIFS(P_M8,P_Annee,Annee_Travail,P_Cat,$C95,P_Type,"Dépense",P_Module,"Général"))</f>
        <v/>
      </c>
      <c r="S95" s="159">
        <f>IF($C95="",0,SUMIFS(J_Montant,J_Annee,Annee_Travail,J_Mois,8,J_Module,"Général",J_Cat,$C95,J_Type,"Dépense",J_Statut,"&lt;&gt;Annulé",J_Statut,"&lt;&gt;Prévu"))</f>
        <v/>
      </c>
      <c r="T95" s="158">
        <f>IF($C95="",0,SUMIFS(P_M9,P_Annee,Annee_Travail,P_Cat,$C95,P_Type,"Dépense",P_Module,"Général"))</f>
        <v/>
      </c>
      <c r="U95" s="159">
        <f>IF($C95="",0,SUMIFS(J_Montant,J_Annee,Annee_Travail,J_Mois,9,J_Module,"Général",J_Cat,$C95,J_Type,"Dépense",J_Statut,"&lt;&gt;Annulé",J_Statut,"&lt;&gt;Prévu"))</f>
        <v/>
      </c>
      <c r="V95" s="158">
        <f>IF($C95="",0,SUMIFS(P_M10,P_Annee,Annee_Travail,P_Cat,$C95,P_Type,"Dépense",P_Module,"Général"))</f>
        <v/>
      </c>
      <c r="W95" s="159">
        <f>IF($C95="",0,SUMIFS(J_Montant,J_Annee,Annee_Travail,J_Mois,10,J_Module,"Général",J_Cat,$C95,J_Type,"Dépense",J_Statut,"&lt;&gt;Annulé",J_Statut,"&lt;&gt;Prévu"))</f>
        <v/>
      </c>
      <c r="X95" s="158">
        <f>IF($C95="",0,SUMIFS(P_M11,P_Annee,Annee_Travail,P_Cat,$C95,P_Type,"Dépense",P_Module,"Général"))</f>
        <v/>
      </c>
      <c r="Y95" s="159">
        <f>IF($C95="",0,SUMIFS(J_Montant,J_Annee,Annee_Travail,J_Mois,11,J_Module,"Général",J_Cat,$C95,J_Type,"Dépense",J_Statut,"&lt;&gt;Annulé",J_Statut,"&lt;&gt;Prévu"))</f>
        <v/>
      </c>
      <c r="Z95" s="158">
        <f>IF($C95="",0,SUMIFS(P_M12,P_Annee,Annee_Travail,P_Cat,$C95,P_Type,"Dépense",P_Module,"Général"))</f>
        <v/>
      </c>
      <c r="AA95" s="159">
        <f>IF($C95="",0,SUMIFS(J_Montant,J_Annee,Annee_Travail,J_Mois,12,J_Module,"Général",J_Cat,$C95,J_Type,"Dépense",J_Statut,"&lt;&gt;Annulé",J_Statut,"&lt;&gt;Prévu"))</f>
        <v/>
      </c>
      <c r="AB95" s="160">
        <f>D95+F95+H95+J95+L95+N95+P95+R95+T95+V95+X95+Z95</f>
        <v/>
      </c>
      <c r="AC95" s="160">
        <f>E95+G95+I95+K95+M95+O95+Q95+S95+U95+W95+Y95+AA95</f>
        <v/>
      </c>
      <c r="AD95" s="161">
        <f>$AB95-$AC95</f>
        <v/>
      </c>
      <c r="AE95" s="162">
        <f>IFERROR($AC95/$AB95,0)</f>
        <v/>
      </c>
    </row>
    <row r="96">
      <c r="B96" s="156" t="n">
        <v>35</v>
      </c>
      <c r="C96" s="157" t="inlineStr">
        <is>
          <t>Autres dépenses (catégorie non renseignée)</t>
        </is>
      </c>
      <c r="D96" s="158">
        <f>MAX(0,SUMIFS(P_M1,P_Annee,Annee_Travail,P_Type,"Dépense",P_Module,"Général")-SUM(D62:D95))</f>
        <v/>
      </c>
      <c r="E96" s="159">
        <f>MAX(0,SUMIFS(J_Montant,J_Annee,Annee_Travail,J_Mois,1,J_Module,"Général",J_Type,"Dépense",J_Statut,"&lt;&gt;Annulé",J_Statut,"&lt;&gt;Prévu")-SUM(E62:E95))</f>
        <v/>
      </c>
      <c r="F96" s="158">
        <f>MAX(0,SUMIFS(P_M2,P_Annee,Annee_Travail,P_Type,"Dépense",P_Module,"Général")-SUM(F62:F95))</f>
        <v/>
      </c>
      <c r="G96" s="159">
        <f>MAX(0,SUMIFS(J_Montant,J_Annee,Annee_Travail,J_Mois,2,J_Module,"Général",J_Type,"Dépense",J_Statut,"&lt;&gt;Annulé",J_Statut,"&lt;&gt;Prévu")-SUM(G62:G95))</f>
        <v/>
      </c>
      <c r="H96" s="158">
        <f>MAX(0,SUMIFS(P_M3,P_Annee,Annee_Travail,P_Type,"Dépense",P_Module,"Général")-SUM(H62:H95))</f>
        <v/>
      </c>
      <c r="I96" s="159">
        <f>MAX(0,SUMIFS(J_Montant,J_Annee,Annee_Travail,J_Mois,3,J_Module,"Général",J_Type,"Dépense",J_Statut,"&lt;&gt;Annulé",J_Statut,"&lt;&gt;Prévu")-SUM(I62:I95))</f>
        <v/>
      </c>
      <c r="J96" s="158">
        <f>MAX(0,SUMIFS(P_M4,P_Annee,Annee_Travail,P_Type,"Dépense",P_Module,"Général")-SUM(J62:J95))</f>
        <v/>
      </c>
      <c r="K96" s="159">
        <f>MAX(0,SUMIFS(J_Montant,J_Annee,Annee_Travail,J_Mois,4,J_Module,"Général",J_Type,"Dépense",J_Statut,"&lt;&gt;Annulé",J_Statut,"&lt;&gt;Prévu")-SUM(K62:K95))</f>
        <v/>
      </c>
      <c r="L96" s="158">
        <f>MAX(0,SUMIFS(P_M5,P_Annee,Annee_Travail,P_Type,"Dépense",P_Module,"Général")-SUM(L62:L95))</f>
        <v/>
      </c>
      <c r="M96" s="159">
        <f>MAX(0,SUMIFS(J_Montant,J_Annee,Annee_Travail,J_Mois,5,J_Module,"Général",J_Type,"Dépense",J_Statut,"&lt;&gt;Annulé",J_Statut,"&lt;&gt;Prévu")-SUM(M62:M95))</f>
        <v/>
      </c>
      <c r="N96" s="158">
        <f>MAX(0,SUMIFS(P_M6,P_Annee,Annee_Travail,P_Type,"Dépense",P_Module,"Général")-SUM(N62:N95))</f>
        <v/>
      </c>
      <c r="O96" s="159">
        <f>MAX(0,SUMIFS(J_Montant,J_Annee,Annee_Travail,J_Mois,6,J_Module,"Général",J_Type,"Dépense",J_Statut,"&lt;&gt;Annulé",J_Statut,"&lt;&gt;Prévu")-SUM(O62:O95))</f>
        <v/>
      </c>
      <c r="P96" s="158">
        <f>MAX(0,SUMIFS(P_M7,P_Annee,Annee_Travail,P_Type,"Dépense",P_Module,"Général")-SUM(P62:P95))</f>
        <v/>
      </c>
      <c r="Q96" s="159">
        <f>MAX(0,SUMIFS(J_Montant,J_Annee,Annee_Travail,J_Mois,7,J_Module,"Général",J_Type,"Dépense",J_Statut,"&lt;&gt;Annulé",J_Statut,"&lt;&gt;Prévu")-SUM(Q62:Q95))</f>
        <v/>
      </c>
      <c r="R96" s="158">
        <f>MAX(0,SUMIFS(P_M8,P_Annee,Annee_Travail,P_Type,"Dépense",P_Module,"Général")-SUM(R62:R95))</f>
        <v/>
      </c>
      <c r="S96" s="159">
        <f>MAX(0,SUMIFS(J_Montant,J_Annee,Annee_Travail,J_Mois,8,J_Module,"Général",J_Type,"Dépense",J_Statut,"&lt;&gt;Annulé",J_Statut,"&lt;&gt;Prévu")-SUM(S62:S95))</f>
        <v/>
      </c>
      <c r="T96" s="158">
        <f>MAX(0,SUMIFS(P_M9,P_Annee,Annee_Travail,P_Type,"Dépense",P_Module,"Général")-SUM(T62:T95))</f>
        <v/>
      </c>
      <c r="U96" s="159">
        <f>MAX(0,SUMIFS(J_Montant,J_Annee,Annee_Travail,J_Mois,9,J_Module,"Général",J_Type,"Dépense",J_Statut,"&lt;&gt;Annulé",J_Statut,"&lt;&gt;Prévu")-SUM(U62:U95))</f>
        <v/>
      </c>
      <c r="V96" s="158">
        <f>MAX(0,SUMIFS(P_M10,P_Annee,Annee_Travail,P_Type,"Dépense",P_Module,"Général")-SUM(V62:V95))</f>
        <v/>
      </c>
      <c r="W96" s="159">
        <f>MAX(0,SUMIFS(J_Montant,J_Annee,Annee_Travail,J_Mois,10,J_Module,"Général",J_Type,"Dépense",J_Statut,"&lt;&gt;Annulé",J_Statut,"&lt;&gt;Prévu")-SUM(W62:W95))</f>
        <v/>
      </c>
      <c r="X96" s="158">
        <f>MAX(0,SUMIFS(P_M11,P_Annee,Annee_Travail,P_Type,"Dépense",P_Module,"Général")-SUM(X62:X95))</f>
        <v/>
      </c>
      <c r="Y96" s="159">
        <f>MAX(0,SUMIFS(J_Montant,J_Annee,Annee_Travail,J_Mois,11,J_Module,"Général",J_Type,"Dépense",J_Statut,"&lt;&gt;Annulé",J_Statut,"&lt;&gt;Prévu")-SUM(Y62:Y95))</f>
        <v/>
      </c>
      <c r="Z96" s="158">
        <f>MAX(0,SUMIFS(P_M12,P_Annee,Annee_Travail,P_Type,"Dépense",P_Module,"Général")-SUM(Z62:Z95))</f>
        <v/>
      </c>
      <c r="AA96" s="159">
        <f>MAX(0,SUMIFS(J_Montant,J_Annee,Annee_Travail,J_Mois,12,J_Module,"Général",J_Type,"Dépense",J_Statut,"&lt;&gt;Annulé",J_Statut,"&lt;&gt;Prévu")-SUM(AA62:AA95))</f>
        <v/>
      </c>
      <c r="AB96" s="160">
        <f>D96+F96+H96+J96+L96+N96+P96+R96+T96+V96+X96+Z96</f>
        <v/>
      </c>
      <c r="AC96" s="160">
        <f>E96+G96+I96+K96+M96+O96+Q96+S96+U96+W96+Y96+AA96</f>
        <v/>
      </c>
      <c r="AD96" s="161">
        <f>$AB96-$AC96</f>
        <v/>
      </c>
      <c r="AE96" s="162">
        <f>IFERROR($AC96/$AB96,0)</f>
        <v/>
      </c>
    </row>
    <row r="97">
      <c r="B97" s="183" t="n"/>
      <c r="C97" s="183" t="inlineStr">
        <is>
          <t>TOTAL DÉPENSES COURANTES</t>
        </is>
      </c>
      <c r="D97" s="184">
        <f>SUM(D62:D96)</f>
        <v/>
      </c>
      <c r="E97" s="184">
        <f>SUM(E62:E96)</f>
        <v/>
      </c>
      <c r="F97" s="184">
        <f>SUM(F62:F96)</f>
        <v/>
      </c>
      <c r="G97" s="184">
        <f>SUM(G62:G96)</f>
        <v/>
      </c>
      <c r="H97" s="184">
        <f>SUM(H62:H96)</f>
        <v/>
      </c>
      <c r="I97" s="184">
        <f>SUM(I62:I96)</f>
        <v/>
      </c>
      <c r="J97" s="184">
        <f>SUM(J62:J96)</f>
        <v/>
      </c>
      <c r="K97" s="184">
        <f>SUM(K62:K96)</f>
        <v/>
      </c>
      <c r="L97" s="184">
        <f>SUM(L62:L96)</f>
        <v/>
      </c>
      <c r="M97" s="184">
        <f>SUM(M62:M96)</f>
        <v/>
      </c>
      <c r="N97" s="184">
        <f>SUM(N62:N96)</f>
        <v/>
      </c>
      <c r="O97" s="184">
        <f>SUM(O62:O96)</f>
        <v/>
      </c>
      <c r="P97" s="184">
        <f>SUM(P62:P96)</f>
        <v/>
      </c>
      <c r="Q97" s="184">
        <f>SUM(Q62:Q96)</f>
        <v/>
      </c>
      <c r="R97" s="184">
        <f>SUM(R62:R96)</f>
        <v/>
      </c>
      <c r="S97" s="184">
        <f>SUM(S62:S96)</f>
        <v/>
      </c>
      <c r="T97" s="184">
        <f>SUM(T62:T96)</f>
        <v/>
      </c>
      <c r="U97" s="184">
        <f>SUM(U62:U96)</f>
        <v/>
      </c>
      <c r="V97" s="184">
        <f>SUM(V62:V96)</f>
        <v/>
      </c>
      <c r="W97" s="184">
        <f>SUM(W62:W96)</f>
        <v/>
      </c>
      <c r="X97" s="184">
        <f>SUM(X62:X96)</f>
        <v/>
      </c>
      <c r="Y97" s="184">
        <f>SUM(Y62:Y96)</f>
        <v/>
      </c>
      <c r="Z97" s="184">
        <f>SUM(Z62:Z96)</f>
        <v/>
      </c>
      <c r="AA97" s="184">
        <f>SUM(AA62:AA96)</f>
        <v/>
      </c>
      <c r="AB97" s="165">
        <f>D97+F97+H97+J97+L97+N97+P97+R97+T97+V97+X97+Z97</f>
        <v/>
      </c>
      <c r="AC97" s="165">
        <f>E97+G97+I97+K97+M97+O97+Q97+S97+U97+W97+Y97+AA97</f>
        <v/>
      </c>
      <c r="AD97" s="166">
        <f>$AB97-$AC97</f>
        <v/>
      </c>
      <c r="AE97" s="167">
        <f>IFERROR($AC97/$AB97,0)</f>
        <v/>
      </c>
    </row>
    <row r="98">
      <c r="B98" s="131" t="n"/>
      <c r="C98" s="131" t="n"/>
      <c r="D98" s="168" t="n"/>
      <c r="E98" s="169" t="n"/>
      <c r="F98" s="168" t="n"/>
      <c r="G98" s="169" t="n"/>
      <c r="H98" s="168" t="n"/>
      <c r="I98" s="169" t="n"/>
      <c r="J98" s="168" t="n"/>
      <c r="K98" s="169" t="n"/>
      <c r="L98" s="168" t="n"/>
      <c r="M98" s="169" t="n"/>
      <c r="N98" s="168" t="n"/>
      <c r="O98" s="169" t="n"/>
      <c r="P98" s="168" t="n"/>
      <c r="Q98" s="169" t="n"/>
      <c r="R98" s="168" t="n"/>
      <c r="S98" s="169" t="n"/>
      <c r="T98" s="168" t="n"/>
      <c r="U98" s="169" t="n"/>
      <c r="V98" s="168" t="n"/>
      <c r="W98" s="169" t="n"/>
      <c r="X98" s="168" t="n"/>
      <c r="Y98" s="169" t="n"/>
      <c r="Z98" s="168" t="n"/>
      <c r="AA98" s="169" t="n"/>
      <c r="AB98" s="154" t="n"/>
      <c r="AC98" s="154" t="n"/>
      <c r="AD98" s="155" t="n"/>
      <c r="AE98" s="155" t="n"/>
    </row>
    <row r="99" ht="24" customHeight="1">
      <c r="B99" s="185" t="inlineStr">
        <is>
          <t>E ▸ DÉPENSES DES MODULES  (mariage, immobilier &amp; terrain, business)</t>
        </is>
      </c>
      <c r="C99" s="186" t="n"/>
      <c r="D99" s="187" t="n"/>
      <c r="E99" s="187" t="n"/>
      <c r="F99" s="187" t="n"/>
      <c r="G99" s="187" t="n"/>
      <c r="H99" s="187" t="n"/>
      <c r="I99" s="187" t="n"/>
      <c r="J99" s="187" t="n"/>
      <c r="K99" s="187" t="n"/>
      <c r="L99" s="187" t="n"/>
      <c r="M99" s="187" t="n"/>
      <c r="N99" s="187" t="n"/>
      <c r="O99" s="187" t="n"/>
      <c r="P99" s="187" t="n"/>
      <c r="Q99" s="187" t="n"/>
      <c r="R99" s="187" t="n"/>
      <c r="S99" s="187" t="n"/>
      <c r="T99" s="187" t="n"/>
      <c r="U99" s="187" t="n"/>
      <c r="V99" s="187" t="n"/>
      <c r="W99" s="187" t="n"/>
      <c r="X99" s="187" t="n"/>
      <c r="Y99" s="187" t="n"/>
      <c r="Z99" s="187" t="n"/>
      <c r="AA99" s="187" t="n"/>
      <c r="AB99" s="154" t="n"/>
      <c r="AC99" s="154" t="n"/>
      <c r="AD99" s="155" t="n"/>
      <c r="AE99" s="155" t="n"/>
    </row>
    <row r="100">
      <c r="B100" s="156" t="n">
        <v>1</v>
      </c>
      <c r="C100" s="157" t="inlineStr">
        <is>
          <t>Module Mariage</t>
        </is>
      </c>
      <c r="D100" s="158">
        <f>SUMPRODUCT((P_Annee=Annee_Travail)*(P_Module="Mariage")*(P_Type="Dépense")*INDEX(P_Mois,0,1))</f>
        <v/>
      </c>
      <c r="E100" s="159">
        <f>SUMIFS(J_Montant,J_Annee,Annee_Travail,J_Mois,1,J_Module,"Mariage",J_Type,"Dépense",J_Statut,"&lt;&gt;Annulé",J_Statut,"&lt;&gt;Prévu")</f>
        <v/>
      </c>
      <c r="F100" s="158">
        <f>SUMPRODUCT((P_Annee=Annee_Travail)*(P_Module="Mariage")*(P_Type="Dépense")*INDEX(P_Mois,0,2))</f>
        <v/>
      </c>
      <c r="G100" s="159">
        <f>SUMIFS(J_Montant,J_Annee,Annee_Travail,J_Mois,2,J_Module,"Mariage",J_Type,"Dépense",J_Statut,"&lt;&gt;Annulé",J_Statut,"&lt;&gt;Prévu")</f>
        <v/>
      </c>
      <c r="H100" s="158">
        <f>SUMPRODUCT((P_Annee=Annee_Travail)*(P_Module="Mariage")*(P_Type="Dépense")*INDEX(P_Mois,0,3))</f>
        <v/>
      </c>
      <c r="I100" s="159">
        <f>SUMIFS(J_Montant,J_Annee,Annee_Travail,J_Mois,3,J_Module,"Mariage",J_Type,"Dépense",J_Statut,"&lt;&gt;Annulé",J_Statut,"&lt;&gt;Prévu")</f>
        <v/>
      </c>
      <c r="J100" s="158">
        <f>SUMPRODUCT((P_Annee=Annee_Travail)*(P_Module="Mariage")*(P_Type="Dépense")*INDEX(P_Mois,0,4))</f>
        <v/>
      </c>
      <c r="K100" s="159">
        <f>SUMIFS(J_Montant,J_Annee,Annee_Travail,J_Mois,4,J_Module,"Mariage",J_Type,"Dépense",J_Statut,"&lt;&gt;Annulé",J_Statut,"&lt;&gt;Prévu")</f>
        <v/>
      </c>
      <c r="L100" s="158">
        <f>SUMPRODUCT((P_Annee=Annee_Travail)*(P_Module="Mariage")*(P_Type="Dépense")*INDEX(P_Mois,0,5))</f>
        <v/>
      </c>
      <c r="M100" s="159">
        <f>SUMIFS(J_Montant,J_Annee,Annee_Travail,J_Mois,5,J_Module,"Mariage",J_Type,"Dépense",J_Statut,"&lt;&gt;Annulé",J_Statut,"&lt;&gt;Prévu")</f>
        <v/>
      </c>
      <c r="N100" s="158">
        <f>SUMPRODUCT((P_Annee=Annee_Travail)*(P_Module="Mariage")*(P_Type="Dépense")*INDEX(P_Mois,0,6))</f>
        <v/>
      </c>
      <c r="O100" s="159">
        <f>SUMIFS(J_Montant,J_Annee,Annee_Travail,J_Mois,6,J_Module,"Mariage",J_Type,"Dépense",J_Statut,"&lt;&gt;Annulé",J_Statut,"&lt;&gt;Prévu")</f>
        <v/>
      </c>
      <c r="P100" s="158">
        <f>SUMPRODUCT((P_Annee=Annee_Travail)*(P_Module="Mariage")*(P_Type="Dépense")*INDEX(P_Mois,0,7))</f>
        <v/>
      </c>
      <c r="Q100" s="159">
        <f>SUMIFS(J_Montant,J_Annee,Annee_Travail,J_Mois,7,J_Module,"Mariage",J_Type,"Dépense",J_Statut,"&lt;&gt;Annulé",J_Statut,"&lt;&gt;Prévu")</f>
        <v/>
      </c>
      <c r="R100" s="158">
        <f>SUMPRODUCT((P_Annee=Annee_Travail)*(P_Module="Mariage")*(P_Type="Dépense")*INDEX(P_Mois,0,8))</f>
        <v/>
      </c>
      <c r="S100" s="159">
        <f>SUMIFS(J_Montant,J_Annee,Annee_Travail,J_Mois,8,J_Module,"Mariage",J_Type,"Dépense",J_Statut,"&lt;&gt;Annulé",J_Statut,"&lt;&gt;Prévu")</f>
        <v/>
      </c>
      <c r="T100" s="158">
        <f>SUMPRODUCT((P_Annee=Annee_Travail)*(P_Module="Mariage")*(P_Type="Dépense")*INDEX(P_Mois,0,9))</f>
        <v/>
      </c>
      <c r="U100" s="159">
        <f>SUMIFS(J_Montant,J_Annee,Annee_Travail,J_Mois,9,J_Module,"Mariage",J_Type,"Dépense",J_Statut,"&lt;&gt;Annulé",J_Statut,"&lt;&gt;Prévu")</f>
        <v/>
      </c>
      <c r="V100" s="158">
        <f>SUMPRODUCT((P_Annee=Annee_Travail)*(P_Module="Mariage")*(P_Type="Dépense")*INDEX(P_Mois,0,10))</f>
        <v/>
      </c>
      <c r="W100" s="159">
        <f>SUMIFS(J_Montant,J_Annee,Annee_Travail,J_Mois,10,J_Module,"Mariage",J_Type,"Dépense",J_Statut,"&lt;&gt;Annulé",J_Statut,"&lt;&gt;Prévu")</f>
        <v/>
      </c>
      <c r="X100" s="158">
        <f>SUMPRODUCT((P_Annee=Annee_Travail)*(P_Module="Mariage")*(P_Type="Dépense")*INDEX(P_Mois,0,11))</f>
        <v/>
      </c>
      <c r="Y100" s="159">
        <f>SUMIFS(J_Montant,J_Annee,Annee_Travail,J_Mois,11,J_Module,"Mariage",J_Type,"Dépense",J_Statut,"&lt;&gt;Annulé",J_Statut,"&lt;&gt;Prévu")</f>
        <v/>
      </c>
      <c r="Z100" s="158">
        <f>SUMPRODUCT((P_Annee=Annee_Travail)*(P_Module="Mariage")*(P_Type="Dépense")*INDEX(P_Mois,0,12))</f>
        <v/>
      </c>
      <c r="AA100" s="159">
        <f>SUMIFS(J_Montant,J_Annee,Annee_Travail,J_Mois,12,J_Module,"Mariage",J_Type,"Dépense",J_Statut,"&lt;&gt;Annulé",J_Statut,"&lt;&gt;Prévu")</f>
        <v/>
      </c>
      <c r="AB100" s="160">
        <f>D100+F100+H100+J100+L100+N100+P100+R100+T100+V100+X100+Z100</f>
        <v/>
      </c>
      <c r="AC100" s="160">
        <f>E100+G100+I100+K100+M100+O100+Q100+S100+U100+W100+Y100+AA100</f>
        <v/>
      </c>
      <c r="AD100" s="161">
        <f>$AB100-$AC100</f>
        <v/>
      </c>
      <c r="AE100" s="162">
        <f>IFERROR($AC100/$AB100,0)</f>
        <v/>
      </c>
    </row>
    <row r="101">
      <c r="B101" s="156" t="n">
        <v>2</v>
      </c>
      <c r="C101" s="157" t="inlineStr">
        <is>
          <t>Module Immobilier</t>
        </is>
      </c>
      <c r="D101" s="158">
        <f>SUMPRODUCT((P_Annee=Annee_Travail)*(P_Module="Immobilier")*(P_Type="Dépense")*INDEX(P_Mois,0,1))</f>
        <v/>
      </c>
      <c r="E101" s="159">
        <f>SUMIFS(J_Montant,J_Annee,Annee_Travail,J_Mois,1,J_Module,"Immobilier",J_Type,"Dépense",J_Statut,"&lt;&gt;Annulé",J_Statut,"&lt;&gt;Prévu")</f>
        <v/>
      </c>
      <c r="F101" s="158">
        <f>SUMPRODUCT((P_Annee=Annee_Travail)*(P_Module="Immobilier")*(P_Type="Dépense")*INDEX(P_Mois,0,2))</f>
        <v/>
      </c>
      <c r="G101" s="159">
        <f>SUMIFS(J_Montant,J_Annee,Annee_Travail,J_Mois,2,J_Module,"Immobilier",J_Type,"Dépense",J_Statut,"&lt;&gt;Annulé",J_Statut,"&lt;&gt;Prévu")</f>
        <v/>
      </c>
      <c r="H101" s="158">
        <f>SUMPRODUCT((P_Annee=Annee_Travail)*(P_Module="Immobilier")*(P_Type="Dépense")*INDEX(P_Mois,0,3))</f>
        <v/>
      </c>
      <c r="I101" s="159">
        <f>SUMIFS(J_Montant,J_Annee,Annee_Travail,J_Mois,3,J_Module,"Immobilier",J_Type,"Dépense",J_Statut,"&lt;&gt;Annulé",J_Statut,"&lt;&gt;Prévu")</f>
        <v/>
      </c>
      <c r="J101" s="158">
        <f>SUMPRODUCT((P_Annee=Annee_Travail)*(P_Module="Immobilier")*(P_Type="Dépense")*INDEX(P_Mois,0,4))</f>
        <v/>
      </c>
      <c r="K101" s="159">
        <f>SUMIFS(J_Montant,J_Annee,Annee_Travail,J_Mois,4,J_Module,"Immobilier",J_Type,"Dépense",J_Statut,"&lt;&gt;Annulé",J_Statut,"&lt;&gt;Prévu")</f>
        <v/>
      </c>
      <c r="L101" s="158">
        <f>SUMPRODUCT((P_Annee=Annee_Travail)*(P_Module="Immobilier")*(P_Type="Dépense")*INDEX(P_Mois,0,5))</f>
        <v/>
      </c>
      <c r="M101" s="159">
        <f>SUMIFS(J_Montant,J_Annee,Annee_Travail,J_Mois,5,J_Module,"Immobilier",J_Type,"Dépense",J_Statut,"&lt;&gt;Annulé",J_Statut,"&lt;&gt;Prévu")</f>
        <v/>
      </c>
      <c r="N101" s="158">
        <f>SUMPRODUCT((P_Annee=Annee_Travail)*(P_Module="Immobilier")*(P_Type="Dépense")*INDEX(P_Mois,0,6))</f>
        <v/>
      </c>
      <c r="O101" s="159">
        <f>SUMIFS(J_Montant,J_Annee,Annee_Travail,J_Mois,6,J_Module,"Immobilier",J_Type,"Dépense",J_Statut,"&lt;&gt;Annulé",J_Statut,"&lt;&gt;Prévu")</f>
        <v/>
      </c>
      <c r="P101" s="158">
        <f>SUMPRODUCT((P_Annee=Annee_Travail)*(P_Module="Immobilier")*(P_Type="Dépense")*INDEX(P_Mois,0,7))</f>
        <v/>
      </c>
      <c r="Q101" s="159">
        <f>SUMIFS(J_Montant,J_Annee,Annee_Travail,J_Mois,7,J_Module,"Immobilier",J_Type,"Dépense",J_Statut,"&lt;&gt;Annulé",J_Statut,"&lt;&gt;Prévu")</f>
        <v/>
      </c>
      <c r="R101" s="158">
        <f>SUMPRODUCT((P_Annee=Annee_Travail)*(P_Module="Immobilier")*(P_Type="Dépense")*INDEX(P_Mois,0,8))</f>
        <v/>
      </c>
      <c r="S101" s="159">
        <f>SUMIFS(J_Montant,J_Annee,Annee_Travail,J_Mois,8,J_Module,"Immobilier",J_Type,"Dépense",J_Statut,"&lt;&gt;Annulé",J_Statut,"&lt;&gt;Prévu")</f>
        <v/>
      </c>
      <c r="T101" s="158">
        <f>SUMPRODUCT((P_Annee=Annee_Travail)*(P_Module="Immobilier")*(P_Type="Dépense")*INDEX(P_Mois,0,9))</f>
        <v/>
      </c>
      <c r="U101" s="159">
        <f>SUMIFS(J_Montant,J_Annee,Annee_Travail,J_Mois,9,J_Module,"Immobilier",J_Type,"Dépense",J_Statut,"&lt;&gt;Annulé",J_Statut,"&lt;&gt;Prévu")</f>
        <v/>
      </c>
      <c r="V101" s="158">
        <f>SUMPRODUCT((P_Annee=Annee_Travail)*(P_Module="Immobilier")*(P_Type="Dépense")*INDEX(P_Mois,0,10))</f>
        <v/>
      </c>
      <c r="W101" s="159">
        <f>SUMIFS(J_Montant,J_Annee,Annee_Travail,J_Mois,10,J_Module,"Immobilier",J_Type,"Dépense",J_Statut,"&lt;&gt;Annulé",J_Statut,"&lt;&gt;Prévu")</f>
        <v/>
      </c>
      <c r="X101" s="158">
        <f>SUMPRODUCT((P_Annee=Annee_Travail)*(P_Module="Immobilier")*(P_Type="Dépense")*INDEX(P_Mois,0,11))</f>
        <v/>
      </c>
      <c r="Y101" s="159">
        <f>SUMIFS(J_Montant,J_Annee,Annee_Travail,J_Mois,11,J_Module,"Immobilier",J_Type,"Dépense",J_Statut,"&lt;&gt;Annulé",J_Statut,"&lt;&gt;Prévu")</f>
        <v/>
      </c>
      <c r="Z101" s="158">
        <f>SUMPRODUCT((P_Annee=Annee_Travail)*(P_Module="Immobilier")*(P_Type="Dépense")*INDEX(P_Mois,0,12))</f>
        <v/>
      </c>
      <c r="AA101" s="159">
        <f>SUMIFS(J_Montant,J_Annee,Annee_Travail,J_Mois,12,J_Module,"Immobilier",J_Type,"Dépense",J_Statut,"&lt;&gt;Annulé",J_Statut,"&lt;&gt;Prévu")</f>
        <v/>
      </c>
      <c r="AB101" s="160">
        <f>D101+F101+H101+J101+L101+N101+P101+R101+T101+V101+X101+Z101</f>
        <v/>
      </c>
      <c r="AC101" s="160">
        <f>E101+G101+I101+K101+M101+O101+Q101+S101+U101+W101+Y101+AA101</f>
        <v/>
      </c>
      <c r="AD101" s="161">
        <f>$AB101-$AC101</f>
        <v/>
      </c>
      <c r="AE101" s="162">
        <f>IFERROR($AC101/$AB101,0)</f>
        <v/>
      </c>
    </row>
    <row r="102">
      <c r="B102" s="156" t="n">
        <v>3</v>
      </c>
      <c r="C102" s="157" t="inlineStr">
        <is>
          <t>Module Business</t>
        </is>
      </c>
      <c r="D102" s="158">
        <f>SUMPRODUCT((P_Annee=Annee_Travail)*(P_Module="Business")*(P_Type="Dépense")*INDEX(P_Mois,0,1))</f>
        <v/>
      </c>
      <c r="E102" s="159">
        <f>SUMIFS(J_Montant,J_Annee,Annee_Travail,J_Mois,1,J_Module,"Business",J_Type,"Dépense",J_Statut,"&lt;&gt;Annulé",J_Statut,"&lt;&gt;Prévu")</f>
        <v/>
      </c>
      <c r="F102" s="158">
        <f>SUMPRODUCT((P_Annee=Annee_Travail)*(P_Module="Business")*(P_Type="Dépense")*INDEX(P_Mois,0,2))</f>
        <v/>
      </c>
      <c r="G102" s="159">
        <f>SUMIFS(J_Montant,J_Annee,Annee_Travail,J_Mois,2,J_Module,"Business",J_Type,"Dépense",J_Statut,"&lt;&gt;Annulé",J_Statut,"&lt;&gt;Prévu")</f>
        <v/>
      </c>
      <c r="H102" s="158">
        <f>SUMPRODUCT((P_Annee=Annee_Travail)*(P_Module="Business")*(P_Type="Dépense")*INDEX(P_Mois,0,3))</f>
        <v/>
      </c>
      <c r="I102" s="159">
        <f>SUMIFS(J_Montant,J_Annee,Annee_Travail,J_Mois,3,J_Module,"Business",J_Type,"Dépense",J_Statut,"&lt;&gt;Annulé",J_Statut,"&lt;&gt;Prévu")</f>
        <v/>
      </c>
      <c r="J102" s="158">
        <f>SUMPRODUCT((P_Annee=Annee_Travail)*(P_Module="Business")*(P_Type="Dépense")*INDEX(P_Mois,0,4))</f>
        <v/>
      </c>
      <c r="K102" s="159">
        <f>SUMIFS(J_Montant,J_Annee,Annee_Travail,J_Mois,4,J_Module,"Business",J_Type,"Dépense",J_Statut,"&lt;&gt;Annulé",J_Statut,"&lt;&gt;Prévu")</f>
        <v/>
      </c>
      <c r="L102" s="158">
        <f>SUMPRODUCT((P_Annee=Annee_Travail)*(P_Module="Business")*(P_Type="Dépense")*INDEX(P_Mois,0,5))</f>
        <v/>
      </c>
      <c r="M102" s="159">
        <f>SUMIFS(J_Montant,J_Annee,Annee_Travail,J_Mois,5,J_Module,"Business",J_Type,"Dépense",J_Statut,"&lt;&gt;Annulé",J_Statut,"&lt;&gt;Prévu")</f>
        <v/>
      </c>
      <c r="N102" s="158">
        <f>SUMPRODUCT((P_Annee=Annee_Travail)*(P_Module="Business")*(P_Type="Dépense")*INDEX(P_Mois,0,6))</f>
        <v/>
      </c>
      <c r="O102" s="159">
        <f>SUMIFS(J_Montant,J_Annee,Annee_Travail,J_Mois,6,J_Module,"Business",J_Type,"Dépense",J_Statut,"&lt;&gt;Annulé",J_Statut,"&lt;&gt;Prévu")</f>
        <v/>
      </c>
      <c r="P102" s="158">
        <f>SUMPRODUCT((P_Annee=Annee_Travail)*(P_Module="Business")*(P_Type="Dépense")*INDEX(P_Mois,0,7))</f>
        <v/>
      </c>
      <c r="Q102" s="159">
        <f>SUMIFS(J_Montant,J_Annee,Annee_Travail,J_Mois,7,J_Module,"Business",J_Type,"Dépense",J_Statut,"&lt;&gt;Annulé",J_Statut,"&lt;&gt;Prévu")</f>
        <v/>
      </c>
      <c r="R102" s="158">
        <f>SUMPRODUCT((P_Annee=Annee_Travail)*(P_Module="Business")*(P_Type="Dépense")*INDEX(P_Mois,0,8))</f>
        <v/>
      </c>
      <c r="S102" s="159">
        <f>SUMIFS(J_Montant,J_Annee,Annee_Travail,J_Mois,8,J_Module,"Business",J_Type,"Dépense",J_Statut,"&lt;&gt;Annulé",J_Statut,"&lt;&gt;Prévu")</f>
        <v/>
      </c>
      <c r="T102" s="158">
        <f>SUMPRODUCT((P_Annee=Annee_Travail)*(P_Module="Business")*(P_Type="Dépense")*INDEX(P_Mois,0,9))</f>
        <v/>
      </c>
      <c r="U102" s="159">
        <f>SUMIFS(J_Montant,J_Annee,Annee_Travail,J_Mois,9,J_Module,"Business",J_Type,"Dépense",J_Statut,"&lt;&gt;Annulé",J_Statut,"&lt;&gt;Prévu")</f>
        <v/>
      </c>
      <c r="V102" s="158">
        <f>SUMPRODUCT((P_Annee=Annee_Travail)*(P_Module="Business")*(P_Type="Dépense")*INDEX(P_Mois,0,10))</f>
        <v/>
      </c>
      <c r="W102" s="159">
        <f>SUMIFS(J_Montant,J_Annee,Annee_Travail,J_Mois,10,J_Module,"Business",J_Type,"Dépense",J_Statut,"&lt;&gt;Annulé",J_Statut,"&lt;&gt;Prévu")</f>
        <v/>
      </c>
      <c r="X102" s="158">
        <f>SUMPRODUCT((P_Annee=Annee_Travail)*(P_Module="Business")*(P_Type="Dépense")*INDEX(P_Mois,0,11))</f>
        <v/>
      </c>
      <c r="Y102" s="159">
        <f>SUMIFS(J_Montant,J_Annee,Annee_Travail,J_Mois,11,J_Module,"Business",J_Type,"Dépense",J_Statut,"&lt;&gt;Annulé",J_Statut,"&lt;&gt;Prévu")</f>
        <v/>
      </c>
      <c r="Z102" s="158">
        <f>SUMPRODUCT((P_Annee=Annee_Travail)*(P_Module="Business")*(P_Type="Dépense")*INDEX(P_Mois,0,12))</f>
        <v/>
      </c>
      <c r="AA102" s="159">
        <f>SUMIFS(J_Montant,J_Annee,Annee_Travail,J_Mois,12,J_Module,"Business",J_Type,"Dépense",J_Statut,"&lt;&gt;Annulé",J_Statut,"&lt;&gt;Prévu")</f>
        <v/>
      </c>
      <c r="AB102" s="160">
        <f>D102+F102+H102+J102+L102+N102+P102+R102+T102+V102+X102+Z102</f>
        <v/>
      </c>
      <c r="AC102" s="160">
        <f>E102+G102+I102+K102+M102+O102+Q102+S102+U102+W102+Y102+AA102</f>
        <v/>
      </c>
      <c r="AD102" s="161">
        <f>$AB102-$AC102</f>
        <v/>
      </c>
      <c r="AE102" s="162">
        <f>IFERROR($AC102/$AB102,0)</f>
        <v/>
      </c>
    </row>
    <row r="103">
      <c r="B103" s="188" t="n"/>
      <c r="C103" s="188" t="inlineStr">
        <is>
          <t>TOTAL DÉPENSES DES MODULES</t>
        </is>
      </c>
      <c r="D103" s="189">
        <f>SUM(D100:D102)</f>
        <v/>
      </c>
      <c r="E103" s="189">
        <f>SUM(E100:E102)</f>
        <v/>
      </c>
      <c r="F103" s="189">
        <f>SUM(F100:F102)</f>
        <v/>
      </c>
      <c r="G103" s="189">
        <f>SUM(G100:G102)</f>
        <v/>
      </c>
      <c r="H103" s="189">
        <f>SUM(H100:H102)</f>
        <v/>
      </c>
      <c r="I103" s="189">
        <f>SUM(I100:I102)</f>
        <v/>
      </c>
      <c r="J103" s="189">
        <f>SUM(J100:J102)</f>
        <v/>
      </c>
      <c r="K103" s="189">
        <f>SUM(K100:K102)</f>
        <v/>
      </c>
      <c r="L103" s="189">
        <f>SUM(L100:L102)</f>
        <v/>
      </c>
      <c r="M103" s="189">
        <f>SUM(M100:M102)</f>
        <v/>
      </c>
      <c r="N103" s="189">
        <f>SUM(N100:N102)</f>
        <v/>
      </c>
      <c r="O103" s="189">
        <f>SUM(O100:O102)</f>
        <v/>
      </c>
      <c r="P103" s="189">
        <f>SUM(P100:P102)</f>
        <v/>
      </c>
      <c r="Q103" s="189">
        <f>SUM(Q100:Q102)</f>
        <v/>
      </c>
      <c r="R103" s="189">
        <f>SUM(R100:R102)</f>
        <v/>
      </c>
      <c r="S103" s="189">
        <f>SUM(S100:S102)</f>
        <v/>
      </c>
      <c r="T103" s="189">
        <f>SUM(T100:T102)</f>
        <v/>
      </c>
      <c r="U103" s="189">
        <f>SUM(U100:U102)</f>
        <v/>
      </c>
      <c r="V103" s="189">
        <f>SUM(V100:V102)</f>
        <v/>
      </c>
      <c r="W103" s="189">
        <f>SUM(W100:W102)</f>
        <v/>
      </c>
      <c r="X103" s="189">
        <f>SUM(X100:X102)</f>
        <v/>
      </c>
      <c r="Y103" s="189">
        <f>SUM(Y100:Y102)</f>
        <v/>
      </c>
      <c r="Z103" s="189">
        <f>SUM(Z100:Z102)</f>
        <v/>
      </c>
      <c r="AA103" s="189">
        <f>SUM(AA100:AA102)</f>
        <v/>
      </c>
      <c r="AB103" s="165">
        <f>D103+F103+H103+J103+L103+N103+P103+R103+T103+V103+X103+Z103</f>
        <v/>
      </c>
      <c r="AC103" s="165">
        <f>E103+G103+I103+K103+M103+O103+Q103+S103+U103+W103+Y103+AA103</f>
        <v/>
      </c>
      <c r="AD103" s="166">
        <f>$AB103-$AC103</f>
        <v/>
      </c>
      <c r="AE103" s="167">
        <f>IFERROR($AC103/$AB103,0)</f>
        <v/>
      </c>
    </row>
    <row r="104">
      <c r="B104" s="131" t="n"/>
      <c r="C104" s="131" t="n"/>
      <c r="D104" s="168" t="n"/>
      <c r="E104" s="169" t="n"/>
      <c r="F104" s="168" t="n"/>
      <c r="G104" s="169" t="n"/>
      <c r="H104" s="168" t="n"/>
      <c r="I104" s="169" t="n"/>
      <c r="J104" s="168" t="n"/>
      <c r="K104" s="169" t="n"/>
      <c r="L104" s="168" t="n"/>
      <c r="M104" s="169" t="n"/>
      <c r="N104" s="168" t="n"/>
      <c r="O104" s="169" t="n"/>
      <c r="P104" s="168" t="n"/>
      <c r="Q104" s="169" t="n"/>
      <c r="R104" s="168" t="n"/>
      <c r="S104" s="169" t="n"/>
      <c r="T104" s="168" t="n"/>
      <c r="U104" s="169" t="n"/>
      <c r="V104" s="168" t="n"/>
      <c r="W104" s="169" t="n"/>
      <c r="X104" s="168" t="n"/>
      <c r="Y104" s="169" t="n"/>
      <c r="Z104" s="168" t="n"/>
      <c r="AA104" s="169" t="n"/>
      <c r="AB104" s="154" t="n"/>
      <c r="AC104" s="154" t="n"/>
      <c r="AD104" s="155" t="n"/>
      <c r="AE104" s="155" t="n"/>
    </row>
    <row r="105" ht="24" customHeight="1">
      <c r="B105" s="151" t="inlineStr">
        <is>
          <t>F ▸ SYNTHÈSE DU MOIS</t>
        </is>
      </c>
      <c r="C105" s="152" t="n"/>
      <c r="D105" s="153" t="n"/>
      <c r="E105" s="153" t="n"/>
      <c r="F105" s="153" t="n"/>
      <c r="G105" s="153" t="n"/>
      <c r="H105" s="153" t="n"/>
      <c r="I105" s="153" t="n"/>
      <c r="J105" s="153" t="n"/>
      <c r="K105" s="153" t="n"/>
      <c r="L105" s="153" t="n"/>
      <c r="M105" s="153" t="n"/>
      <c r="N105" s="153" t="n"/>
      <c r="O105" s="153" t="n"/>
      <c r="P105" s="153" t="n"/>
      <c r="Q105" s="153" t="n"/>
      <c r="R105" s="153" t="n"/>
      <c r="S105" s="153" t="n"/>
      <c r="T105" s="153" t="n"/>
      <c r="U105" s="153" t="n"/>
      <c r="V105" s="153" t="n"/>
      <c r="W105" s="153" t="n"/>
      <c r="X105" s="153" t="n"/>
      <c r="Y105" s="153" t="n"/>
      <c r="Z105" s="153" t="n"/>
      <c r="AA105" s="153" t="n"/>
      <c r="AB105" s="154" t="n"/>
      <c r="AC105" s="154" t="n"/>
      <c r="AD105" s="155" t="n"/>
      <c r="AE105" s="155" t="n"/>
    </row>
    <row r="106" ht="20" customHeight="1">
      <c r="B106" s="163" t="n"/>
      <c r="C106" s="163" t="inlineStr">
        <is>
          <t>TOTAL DES ENTRÉES</t>
        </is>
      </c>
      <c r="D106" s="190">
        <f>D29</f>
        <v/>
      </c>
      <c r="E106" s="190">
        <f>E29</f>
        <v/>
      </c>
      <c r="F106" s="190">
        <f>F29</f>
        <v/>
      </c>
      <c r="G106" s="190">
        <f>G29</f>
        <v/>
      </c>
      <c r="H106" s="190">
        <f>H29</f>
        <v/>
      </c>
      <c r="I106" s="190">
        <f>I29</f>
        <v/>
      </c>
      <c r="J106" s="190">
        <f>J29</f>
        <v/>
      </c>
      <c r="K106" s="190">
        <f>K29</f>
        <v/>
      </c>
      <c r="L106" s="190">
        <f>L29</f>
        <v/>
      </c>
      <c r="M106" s="190">
        <f>M29</f>
        <v/>
      </c>
      <c r="N106" s="190">
        <f>N29</f>
        <v/>
      </c>
      <c r="O106" s="190">
        <f>O29</f>
        <v/>
      </c>
      <c r="P106" s="190">
        <f>P29</f>
        <v/>
      </c>
      <c r="Q106" s="190">
        <f>Q29</f>
        <v/>
      </c>
      <c r="R106" s="190">
        <f>R29</f>
        <v/>
      </c>
      <c r="S106" s="190">
        <f>S29</f>
        <v/>
      </c>
      <c r="T106" s="190">
        <f>T29</f>
        <v/>
      </c>
      <c r="U106" s="190">
        <f>U29</f>
        <v/>
      </c>
      <c r="V106" s="190">
        <f>V29</f>
        <v/>
      </c>
      <c r="W106" s="190">
        <f>W29</f>
        <v/>
      </c>
      <c r="X106" s="190">
        <f>X29</f>
        <v/>
      </c>
      <c r="Y106" s="190">
        <f>Y29</f>
        <v/>
      </c>
      <c r="Z106" s="190">
        <f>Z29</f>
        <v/>
      </c>
      <c r="AA106" s="190">
        <f>AA29</f>
        <v/>
      </c>
      <c r="AB106" s="190">
        <f>AB29</f>
        <v/>
      </c>
      <c r="AC106" s="190">
        <f>AC29</f>
        <v/>
      </c>
      <c r="AD106" s="163" t="n"/>
      <c r="AE106" s="163" t="n"/>
    </row>
    <row r="107" ht="20" customHeight="1">
      <c r="B107" s="178" t="n"/>
      <c r="C107" s="178" t="inlineStr">
        <is>
          <t>TOTAL DES SORTIES</t>
        </is>
      </c>
      <c r="D107" s="191">
        <f>D45+D59+D97+D103</f>
        <v/>
      </c>
      <c r="E107" s="191">
        <f>E45+E59+E97+E103</f>
        <v/>
      </c>
      <c r="F107" s="191">
        <f>F45+F59+F97+F103</f>
        <v/>
      </c>
      <c r="G107" s="191">
        <f>G45+G59+G97+G103</f>
        <v/>
      </c>
      <c r="H107" s="191">
        <f>H45+H59+H97+H103</f>
        <v/>
      </c>
      <c r="I107" s="191">
        <f>I45+I59+I97+I103</f>
        <v/>
      </c>
      <c r="J107" s="191">
        <f>J45+J59+J97+J103</f>
        <v/>
      </c>
      <c r="K107" s="191">
        <f>K45+K59+K97+K103</f>
        <v/>
      </c>
      <c r="L107" s="191">
        <f>L45+L59+L97+L103</f>
        <v/>
      </c>
      <c r="M107" s="191">
        <f>M45+M59+M97+M103</f>
        <v/>
      </c>
      <c r="N107" s="191">
        <f>N45+N59+N97+N103</f>
        <v/>
      </c>
      <c r="O107" s="191">
        <f>O45+O59+O97+O103</f>
        <v/>
      </c>
      <c r="P107" s="191">
        <f>P45+P59+P97+P103</f>
        <v/>
      </c>
      <c r="Q107" s="191">
        <f>Q45+Q59+Q97+Q103</f>
        <v/>
      </c>
      <c r="R107" s="191">
        <f>R45+R59+R97+R103</f>
        <v/>
      </c>
      <c r="S107" s="191">
        <f>S45+S59+S97+S103</f>
        <v/>
      </c>
      <c r="T107" s="191">
        <f>T45+T59+T97+T103</f>
        <v/>
      </c>
      <c r="U107" s="191">
        <f>U45+U59+U97+U103</f>
        <v/>
      </c>
      <c r="V107" s="191">
        <f>V45+V59+V97+V103</f>
        <v/>
      </c>
      <c r="W107" s="191">
        <f>W45+W59+W97+W103</f>
        <v/>
      </c>
      <c r="X107" s="191">
        <f>X45+X59+X97+X103</f>
        <v/>
      </c>
      <c r="Y107" s="191">
        <f>Y45+Y59+Y97+Y103</f>
        <v/>
      </c>
      <c r="Z107" s="191">
        <f>Z45+Z59+Z97+Z103</f>
        <v/>
      </c>
      <c r="AA107" s="191">
        <f>AA45+AA59+AA97+AA103</f>
        <v/>
      </c>
      <c r="AB107" s="191">
        <f>AB45+AB59+AB97+AB103</f>
        <v/>
      </c>
      <c r="AC107" s="191">
        <f>AC45+AC59+AC97+AC103</f>
        <v/>
      </c>
      <c r="AD107" s="178" t="n"/>
      <c r="AE107" s="178" t="n"/>
    </row>
    <row r="108" ht="20" customHeight="1">
      <c r="B108" s="134" t="n"/>
      <c r="C108" s="134" t="inlineStr">
        <is>
          <t>BALANCE DU MOIS</t>
        </is>
      </c>
      <c r="D108" s="135">
        <f>D106-D107</f>
        <v/>
      </c>
      <c r="E108" s="135">
        <f>E106-E107</f>
        <v/>
      </c>
      <c r="F108" s="135">
        <f>F106-F107</f>
        <v/>
      </c>
      <c r="G108" s="135">
        <f>G106-G107</f>
        <v/>
      </c>
      <c r="H108" s="135">
        <f>H106-H107</f>
        <v/>
      </c>
      <c r="I108" s="135">
        <f>I106-I107</f>
        <v/>
      </c>
      <c r="J108" s="135">
        <f>J106-J107</f>
        <v/>
      </c>
      <c r="K108" s="135">
        <f>K106-K107</f>
        <v/>
      </c>
      <c r="L108" s="135">
        <f>L106-L107</f>
        <v/>
      </c>
      <c r="M108" s="135">
        <f>M106-M107</f>
        <v/>
      </c>
      <c r="N108" s="135">
        <f>N106-N107</f>
        <v/>
      </c>
      <c r="O108" s="135">
        <f>O106-O107</f>
        <v/>
      </c>
      <c r="P108" s="135">
        <f>P106-P107</f>
        <v/>
      </c>
      <c r="Q108" s="135">
        <f>Q106-Q107</f>
        <v/>
      </c>
      <c r="R108" s="135">
        <f>R106-R107</f>
        <v/>
      </c>
      <c r="S108" s="135">
        <f>S106-S107</f>
        <v/>
      </c>
      <c r="T108" s="135">
        <f>T106-T107</f>
        <v/>
      </c>
      <c r="U108" s="135">
        <f>U106-U107</f>
        <v/>
      </c>
      <c r="V108" s="135">
        <f>V106-V107</f>
        <v/>
      </c>
      <c r="W108" s="135">
        <f>W106-W107</f>
        <v/>
      </c>
      <c r="X108" s="135">
        <f>X106-X107</f>
        <v/>
      </c>
      <c r="Y108" s="135">
        <f>Y106-Y107</f>
        <v/>
      </c>
      <c r="Z108" s="135">
        <f>Z106-Z107</f>
        <v/>
      </c>
      <c r="AA108" s="135">
        <f>AA106-AA107</f>
        <v/>
      </c>
      <c r="AB108" s="135">
        <f>AB106-AB107</f>
        <v/>
      </c>
      <c r="AC108" s="135">
        <f>AC106-AC107</f>
        <v/>
      </c>
      <c r="AD108" s="134" t="n"/>
      <c r="AE108" s="134" t="n"/>
    </row>
    <row r="109" ht="20" customHeight="1">
      <c r="B109" s="192" t="n"/>
      <c r="C109" s="192" t="inlineStr">
        <is>
          <t>TRÉSORERIE CUMULÉE</t>
        </is>
      </c>
      <c r="D109" s="193">
        <f>Solde_Initial+D108</f>
        <v/>
      </c>
      <c r="E109" s="193">
        <f>Solde_Initial+E108</f>
        <v/>
      </c>
      <c r="F109" s="193">
        <f>D109+F108</f>
        <v/>
      </c>
      <c r="G109" s="193">
        <f>E109+G108</f>
        <v/>
      </c>
      <c r="H109" s="193">
        <f>F109+H108</f>
        <v/>
      </c>
      <c r="I109" s="193">
        <f>G109+I108</f>
        <v/>
      </c>
      <c r="J109" s="193">
        <f>H109+J108</f>
        <v/>
      </c>
      <c r="K109" s="193">
        <f>I109+K108</f>
        <v/>
      </c>
      <c r="L109" s="193">
        <f>J109+L108</f>
        <v/>
      </c>
      <c r="M109" s="193">
        <f>K109+M108</f>
        <v/>
      </c>
      <c r="N109" s="193">
        <f>L109+N108</f>
        <v/>
      </c>
      <c r="O109" s="193">
        <f>M109+O108</f>
        <v/>
      </c>
      <c r="P109" s="193">
        <f>N109+P108</f>
        <v/>
      </c>
      <c r="Q109" s="193">
        <f>O109+Q108</f>
        <v/>
      </c>
      <c r="R109" s="193">
        <f>P109+R108</f>
        <v/>
      </c>
      <c r="S109" s="193">
        <f>Q109+S108</f>
        <v/>
      </c>
      <c r="T109" s="193">
        <f>R109+T108</f>
        <v/>
      </c>
      <c r="U109" s="193">
        <f>S109+U108</f>
        <v/>
      </c>
      <c r="V109" s="193">
        <f>T109+V108</f>
        <v/>
      </c>
      <c r="W109" s="193">
        <f>U109+W108</f>
        <v/>
      </c>
      <c r="X109" s="193">
        <f>V109+X108</f>
        <v/>
      </c>
      <c r="Y109" s="193">
        <f>W109+Y108</f>
        <v/>
      </c>
      <c r="Z109" s="193">
        <f>X109+Z108</f>
        <v/>
      </c>
      <c r="AA109" s="193">
        <f>Y109+AA108</f>
        <v/>
      </c>
      <c r="AB109" s="193">
        <f>Z109</f>
        <v/>
      </c>
      <c r="AC109" s="193">
        <f>AA109</f>
        <v/>
      </c>
      <c r="AD109" s="192" t="n"/>
      <c r="AE109" s="192" t="n"/>
    </row>
    <row r="110" ht="20" customHeight="1">
      <c r="B110" s="173" t="n"/>
      <c r="C110" s="173" t="inlineStr">
        <is>
          <t>TAUX D'ÉPARGNE</t>
        </is>
      </c>
      <c r="D110" s="194">
        <f>IFERROR(D45/D106,0)</f>
        <v/>
      </c>
      <c r="E110" s="194">
        <f>IFERROR(E45/E106,0)</f>
        <v/>
      </c>
      <c r="F110" s="194">
        <f>IFERROR(F45/F106,0)</f>
        <v/>
      </c>
      <c r="G110" s="194">
        <f>IFERROR(G45/G106,0)</f>
        <v/>
      </c>
      <c r="H110" s="194">
        <f>IFERROR(H45/H106,0)</f>
        <v/>
      </c>
      <c r="I110" s="194">
        <f>IFERROR(I45/I106,0)</f>
        <v/>
      </c>
      <c r="J110" s="194">
        <f>IFERROR(J45/J106,0)</f>
        <v/>
      </c>
      <c r="K110" s="194">
        <f>IFERROR(K45/K106,0)</f>
        <v/>
      </c>
      <c r="L110" s="194">
        <f>IFERROR(L45/L106,0)</f>
        <v/>
      </c>
      <c r="M110" s="194">
        <f>IFERROR(M45/M106,0)</f>
        <v/>
      </c>
      <c r="N110" s="194">
        <f>IFERROR(N45/N106,0)</f>
        <v/>
      </c>
      <c r="O110" s="194">
        <f>IFERROR(O45/O106,0)</f>
        <v/>
      </c>
      <c r="P110" s="194">
        <f>IFERROR(P45/P106,0)</f>
        <v/>
      </c>
      <c r="Q110" s="194">
        <f>IFERROR(Q45/Q106,0)</f>
        <v/>
      </c>
      <c r="R110" s="194">
        <f>IFERROR(R45/R106,0)</f>
        <v/>
      </c>
      <c r="S110" s="194">
        <f>IFERROR(S45/S106,0)</f>
        <v/>
      </c>
      <c r="T110" s="194">
        <f>IFERROR(T45/T106,0)</f>
        <v/>
      </c>
      <c r="U110" s="194">
        <f>IFERROR(U45/U106,0)</f>
        <v/>
      </c>
      <c r="V110" s="194">
        <f>IFERROR(V45/V106,0)</f>
        <v/>
      </c>
      <c r="W110" s="194">
        <f>IFERROR(W45/W106,0)</f>
        <v/>
      </c>
      <c r="X110" s="194">
        <f>IFERROR(X45/X106,0)</f>
        <v/>
      </c>
      <c r="Y110" s="194">
        <f>IFERROR(Y45/Y106,0)</f>
        <v/>
      </c>
      <c r="Z110" s="194">
        <f>IFERROR(Z45/Z106,0)</f>
        <v/>
      </c>
      <c r="AA110" s="194">
        <f>IFERROR(AA45/AA106,0)</f>
        <v/>
      </c>
      <c r="AB110" s="194">
        <f>IFERROR(AB45/AB106,0)</f>
        <v/>
      </c>
      <c r="AC110" s="194">
        <f>IFERROR(AC45/AC106,0)</f>
        <v/>
      </c>
      <c r="AD110" s="173" t="n"/>
      <c r="AE110" s="173" t="n"/>
    </row>
    <row r="111" ht="20" customHeight="1">
      <c r="B111" s="195" t="n"/>
      <c r="C111" s="195" t="inlineStr">
        <is>
          <t>BUDGET CONSOMMÉ (sorties réel / prévu)</t>
        </is>
      </c>
      <c r="D111" s="196">
        <f>IFERROR(E107/D107,0)</f>
        <v/>
      </c>
      <c r="E111" s="196">
        <f>IFERROR(E107/D107,0)</f>
        <v/>
      </c>
      <c r="F111" s="196">
        <f>IFERROR(G107/F107,0)</f>
        <v/>
      </c>
      <c r="G111" s="196">
        <f>IFERROR(G107/F107,0)</f>
        <v/>
      </c>
      <c r="H111" s="196">
        <f>IFERROR(I107/H107,0)</f>
        <v/>
      </c>
      <c r="I111" s="196">
        <f>IFERROR(I107/H107,0)</f>
        <v/>
      </c>
      <c r="J111" s="196">
        <f>IFERROR(K107/J107,0)</f>
        <v/>
      </c>
      <c r="K111" s="196">
        <f>IFERROR(K107/J107,0)</f>
        <v/>
      </c>
      <c r="L111" s="196">
        <f>IFERROR(M107/L107,0)</f>
        <v/>
      </c>
      <c r="M111" s="196">
        <f>IFERROR(M107/L107,0)</f>
        <v/>
      </c>
      <c r="N111" s="196">
        <f>IFERROR(O107/N107,0)</f>
        <v/>
      </c>
      <c r="O111" s="196">
        <f>IFERROR(O107/N107,0)</f>
        <v/>
      </c>
      <c r="P111" s="196">
        <f>IFERROR(Q107/P107,0)</f>
        <v/>
      </c>
      <c r="Q111" s="196">
        <f>IFERROR(Q107/P107,0)</f>
        <v/>
      </c>
      <c r="R111" s="196">
        <f>IFERROR(S107/R107,0)</f>
        <v/>
      </c>
      <c r="S111" s="196">
        <f>IFERROR(S107/R107,0)</f>
        <v/>
      </c>
      <c r="T111" s="196">
        <f>IFERROR(U107/T107,0)</f>
        <v/>
      </c>
      <c r="U111" s="196">
        <f>IFERROR(U107/T107,0)</f>
        <v/>
      </c>
      <c r="V111" s="196">
        <f>IFERROR(W107/V107,0)</f>
        <v/>
      </c>
      <c r="W111" s="196">
        <f>IFERROR(W107/V107,0)</f>
        <v/>
      </c>
      <c r="X111" s="196">
        <f>IFERROR(Y107/X107,0)</f>
        <v/>
      </c>
      <c r="Y111" s="196">
        <f>IFERROR(Y107/X107,0)</f>
        <v/>
      </c>
      <c r="Z111" s="196">
        <f>IFERROR(AA107/Z107,0)</f>
        <v/>
      </c>
      <c r="AA111" s="196">
        <f>IFERROR(AA107/Z107,0)</f>
        <v/>
      </c>
      <c r="AB111" s="196">
        <f>IFERROR($AC107/$AB107,0)</f>
        <v/>
      </c>
      <c r="AC111" s="196">
        <f>IFERROR($AC107/$AB107,0)</f>
        <v/>
      </c>
      <c r="AD111" s="195" t="n"/>
      <c r="AE111" s="195" t="n"/>
    </row>
    <row r="112"/>
    <row r="113"/>
    <row r="114"/>
    <row r="115"/>
    <row r="116"/>
    <row r="117"/>
    <row r="118"/>
    <row r="119"/>
    <row r="120"/>
    <row r="121"/>
    <row r="122"/>
    <row r="123"/>
    <row r="124"/>
    <row r="125"/>
    <row r="126"/>
    <row r="127"/>
    <row r="128"/>
    <row r="129"/>
    <row r="130"/>
    <row r="131"/>
    <row r="132"/>
    <row r="133"/>
    <row r="134"/>
    <row r="135"/>
    <row r="136" ht="26" customHeight="1">
      <c r="B136" s="41" t="inlineStr">
        <is>
          <t>Pour modifier un montant PRÉVU : allez dans « Estimation annuelle ». Pour corriger un montant RÉEL : allez dans « Journal ». Cette feuille est le miroir des deux, mois par mois.</t>
        </is>
      </c>
      <c r="C136" s="42" t="n"/>
      <c r="D136" s="42" t="n"/>
      <c r="E136" s="42" t="n"/>
      <c r="F136" s="42" t="n"/>
      <c r="G136" s="42" t="n"/>
      <c r="H136" s="42" t="n"/>
      <c r="I136" s="42" t="n"/>
      <c r="J136" s="42" t="n"/>
      <c r="K136" s="42" t="n"/>
      <c r="L136" s="42" t="n"/>
      <c r="M136" s="42" t="n"/>
      <c r="N136" s="42" t="n"/>
      <c r="O136" s="42" t="n"/>
      <c r="P136" s="42" t="n"/>
      <c r="Q136" s="42" t="n"/>
      <c r="R136" s="42" t="n"/>
      <c r="S136" s="42" t="n"/>
      <c r="T136" s="42" t="n"/>
      <c r="U136" s="42" t="n"/>
      <c r="V136" s="42" t="n"/>
      <c r="W136" s="42" t="n"/>
      <c r="X136" s="42" t="n"/>
      <c r="Y136" s="42" t="n"/>
      <c r="Z136" s="42" t="n"/>
      <c r="AA136" s="42" t="n"/>
      <c r="AB136" s="42" t="n"/>
      <c r="AC136" s="42" t="n"/>
      <c r="AD136" s="42" t="n"/>
      <c r="AE136" s="42" t="n"/>
    </row>
  </sheetData>
  <sheetProtection selectLockedCells="0" selectUnlockedCells="0" sheet="1" objects="1" insertRows="1" insertHyperlinks="1" autoFilter="0" scenarios="1" formatColumns="0" deleteColumns="1" insertColumns="1" pivotTables="1" deleteRows="1" formatCells="0" formatRows="0" sort="0" password="8708"/>
  <mergeCells count="30">
    <mergeCell ref="V3:Z3"/>
    <mergeCell ref="B105:AE105"/>
    <mergeCell ref="AB8:AE8"/>
    <mergeCell ref="Q3:U3"/>
    <mergeCell ref="B3:F3"/>
    <mergeCell ref="B2:AE2"/>
    <mergeCell ref="V8:W8"/>
    <mergeCell ref="X8:Y8"/>
    <mergeCell ref="B136:AE136"/>
    <mergeCell ref="B61:AE61"/>
    <mergeCell ref="B1:AE1"/>
    <mergeCell ref="L3:P3"/>
    <mergeCell ref="P8:Q8"/>
    <mergeCell ref="B10:AE10"/>
    <mergeCell ref="L8:M8"/>
    <mergeCell ref="B99:AE99"/>
    <mergeCell ref="N8:O8"/>
    <mergeCell ref="F8:G8"/>
    <mergeCell ref="G3:K3"/>
    <mergeCell ref="B31:AE31"/>
    <mergeCell ref="Z8:AA8"/>
    <mergeCell ref="B5:AE5"/>
    <mergeCell ref="T8:U8"/>
    <mergeCell ref="D8:E8"/>
    <mergeCell ref="B8:C9"/>
    <mergeCell ref="AA3:AE3"/>
    <mergeCell ref="B47:AE47"/>
    <mergeCell ref="H8:I8"/>
    <mergeCell ref="J8:K8"/>
    <mergeCell ref="R8:S8"/>
  </mergeCells>
  <conditionalFormatting sqref="AD10:AD111">
    <cfRule type="cellIs" priority="1" operator="greaterThan" dxfId="76">
      <formula>0</formula>
    </cfRule>
    <cfRule type="cellIs" priority="2" operator="lessThan" dxfId="77">
      <formula>0</formula>
    </cfRule>
  </conditionalFormatting>
  <conditionalFormatting sqref="D10:E105">
    <cfRule type="expression" priority="3" dxfId="462" stopIfTrue="1">
      <formula>Devise_Base="XOF"</formula>
    </cfRule>
    <cfRule type="expression" priority="4" dxfId="463" stopIfTrue="1">
      <formula>Devise_Base="XAF"</formula>
    </cfRule>
    <cfRule type="expression" priority="5" dxfId="464" stopIfTrue="1">
      <formula>Devise_Base="EUR"</formula>
    </cfRule>
    <cfRule type="expression" priority="6" dxfId="465" stopIfTrue="1">
      <formula>Devise_Base="USD"</formula>
    </cfRule>
    <cfRule type="expression" priority="7" dxfId="466" stopIfTrue="1">
      <formula>Devise_Base="GBP"</formula>
    </cfRule>
    <cfRule type="expression" priority="8" dxfId="467" stopIfTrue="1">
      <formula>Devise_Base="CAD"</formula>
    </cfRule>
    <cfRule type="expression" priority="9" dxfId="468" stopIfTrue="1">
      <formula>Devise_Base="CHF"</formula>
    </cfRule>
    <cfRule type="expression" priority="10" dxfId="469" stopIfTrue="1">
      <formula>Devise_Base="MAD"</formula>
    </cfRule>
    <cfRule type="expression" priority="11" dxfId="470" stopIfTrue="1">
      <formula>Devise_Base="NGN"</formula>
    </cfRule>
    <cfRule type="expression" priority="12" dxfId="471" stopIfTrue="1">
      <formula>Devise_Base="GHS"</formula>
    </cfRule>
    <cfRule type="expression" priority="13" dxfId="472" stopIfTrue="1">
      <formula>Devise_Base="CDF"</formula>
    </cfRule>
    <cfRule type="expression" priority="14" dxfId="473" stopIfTrue="1">
      <formula>Devise_Base="ZAR"</formula>
    </cfRule>
    <cfRule type="expression" priority="15" dxfId="474" stopIfTrue="1">
      <formula>Devise_Base="AED"</formula>
    </cfRule>
    <cfRule type="expression" priority="16" dxfId="475" stopIfTrue="1">
      <formula>Devise_Base="MRU"</formula>
    </cfRule>
    <cfRule type="expression" priority="17" dxfId="476" stopIfTrue="1">
      <formula>Devise_Base="GNF"</formula>
    </cfRule>
  </conditionalFormatting>
  <conditionalFormatting sqref="D106:E108">
    <cfRule type="expression" priority="18" dxfId="477" stopIfTrue="1">
      <formula>Devise_Base="XOF"</formula>
    </cfRule>
    <cfRule type="expression" priority="19" dxfId="478" stopIfTrue="1">
      <formula>Devise_Base="XAF"</formula>
    </cfRule>
    <cfRule type="expression" priority="20" dxfId="479" stopIfTrue="1">
      <formula>Devise_Base="EUR"</formula>
    </cfRule>
    <cfRule type="expression" priority="21" dxfId="480" stopIfTrue="1">
      <formula>Devise_Base="USD"</formula>
    </cfRule>
    <cfRule type="expression" priority="22" dxfId="481" stopIfTrue="1">
      <formula>Devise_Base="GBP"</formula>
    </cfRule>
    <cfRule type="expression" priority="23" dxfId="482" stopIfTrue="1">
      <formula>Devise_Base="CAD"</formula>
    </cfRule>
    <cfRule type="expression" priority="24" dxfId="483" stopIfTrue="1">
      <formula>Devise_Base="CHF"</formula>
    </cfRule>
    <cfRule type="expression" priority="25" dxfId="484" stopIfTrue="1">
      <formula>Devise_Base="MAD"</formula>
    </cfRule>
    <cfRule type="expression" priority="26" dxfId="485" stopIfTrue="1">
      <formula>Devise_Base="NGN"</formula>
    </cfRule>
    <cfRule type="expression" priority="27" dxfId="486" stopIfTrue="1">
      <formula>Devise_Base="GHS"</formula>
    </cfRule>
    <cfRule type="expression" priority="28" dxfId="487" stopIfTrue="1">
      <formula>Devise_Base="CDF"</formula>
    </cfRule>
    <cfRule type="expression" priority="29" dxfId="488" stopIfTrue="1">
      <formula>Devise_Base="ZAR"</formula>
    </cfRule>
    <cfRule type="expression" priority="30" dxfId="489" stopIfTrue="1">
      <formula>Devise_Base="AED"</formula>
    </cfRule>
    <cfRule type="expression" priority="31" dxfId="490" stopIfTrue="1">
      <formula>Devise_Base="MRU"</formula>
    </cfRule>
    <cfRule type="expression" priority="32" dxfId="491" stopIfTrue="1">
      <formula>Devise_Base="GNF"</formula>
    </cfRule>
  </conditionalFormatting>
  <conditionalFormatting sqref="F10:G105">
    <cfRule type="expression" priority="33" dxfId="492" stopIfTrue="1">
      <formula>Devise_Base="XOF"</formula>
    </cfRule>
    <cfRule type="expression" priority="34" dxfId="493" stopIfTrue="1">
      <formula>Devise_Base="XAF"</formula>
    </cfRule>
    <cfRule type="expression" priority="35" dxfId="494" stopIfTrue="1">
      <formula>Devise_Base="EUR"</formula>
    </cfRule>
    <cfRule type="expression" priority="36" dxfId="495" stopIfTrue="1">
      <formula>Devise_Base="USD"</formula>
    </cfRule>
    <cfRule type="expression" priority="37" dxfId="496" stopIfTrue="1">
      <formula>Devise_Base="GBP"</formula>
    </cfRule>
    <cfRule type="expression" priority="38" dxfId="497" stopIfTrue="1">
      <formula>Devise_Base="CAD"</formula>
    </cfRule>
    <cfRule type="expression" priority="39" dxfId="498" stopIfTrue="1">
      <formula>Devise_Base="CHF"</formula>
    </cfRule>
    <cfRule type="expression" priority="40" dxfId="499" stopIfTrue="1">
      <formula>Devise_Base="MAD"</formula>
    </cfRule>
    <cfRule type="expression" priority="41" dxfId="500" stopIfTrue="1">
      <formula>Devise_Base="NGN"</formula>
    </cfRule>
    <cfRule type="expression" priority="42" dxfId="501" stopIfTrue="1">
      <formula>Devise_Base="GHS"</formula>
    </cfRule>
    <cfRule type="expression" priority="43" dxfId="502" stopIfTrue="1">
      <formula>Devise_Base="CDF"</formula>
    </cfRule>
    <cfRule type="expression" priority="44" dxfId="503" stopIfTrue="1">
      <formula>Devise_Base="ZAR"</formula>
    </cfRule>
    <cfRule type="expression" priority="45" dxfId="504" stopIfTrue="1">
      <formula>Devise_Base="AED"</formula>
    </cfRule>
    <cfRule type="expression" priority="46" dxfId="505" stopIfTrue="1">
      <formula>Devise_Base="MRU"</formula>
    </cfRule>
    <cfRule type="expression" priority="47" dxfId="506" stopIfTrue="1">
      <formula>Devise_Base="GNF"</formula>
    </cfRule>
  </conditionalFormatting>
  <conditionalFormatting sqref="F106:G108">
    <cfRule type="expression" priority="48" dxfId="507" stopIfTrue="1">
      <formula>Devise_Base="XOF"</formula>
    </cfRule>
    <cfRule type="expression" priority="49" dxfId="508" stopIfTrue="1">
      <formula>Devise_Base="XAF"</formula>
    </cfRule>
    <cfRule type="expression" priority="50" dxfId="509" stopIfTrue="1">
      <formula>Devise_Base="EUR"</formula>
    </cfRule>
    <cfRule type="expression" priority="51" dxfId="510" stopIfTrue="1">
      <formula>Devise_Base="USD"</formula>
    </cfRule>
    <cfRule type="expression" priority="52" dxfId="511" stopIfTrue="1">
      <formula>Devise_Base="GBP"</formula>
    </cfRule>
    <cfRule type="expression" priority="53" dxfId="512" stopIfTrue="1">
      <formula>Devise_Base="CAD"</formula>
    </cfRule>
    <cfRule type="expression" priority="54" dxfId="513" stopIfTrue="1">
      <formula>Devise_Base="CHF"</formula>
    </cfRule>
    <cfRule type="expression" priority="55" dxfId="514" stopIfTrue="1">
      <formula>Devise_Base="MAD"</formula>
    </cfRule>
    <cfRule type="expression" priority="56" dxfId="515" stopIfTrue="1">
      <formula>Devise_Base="NGN"</formula>
    </cfRule>
    <cfRule type="expression" priority="57" dxfId="516" stopIfTrue="1">
      <formula>Devise_Base="GHS"</formula>
    </cfRule>
    <cfRule type="expression" priority="58" dxfId="517" stopIfTrue="1">
      <formula>Devise_Base="CDF"</formula>
    </cfRule>
    <cfRule type="expression" priority="59" dxfId="518" stopIfTrue="1">
      <formula>Devise_Base="ZAR"</formula>
    </cfRule>
    <cfRule type="expression" priority="60" dxfId="519" stopIfTrue="1">
      <formula>Devise_Base="AED"</formula>
    </cfRule>
    <cfRule type="expression" priority="61" dxfId="520" stopIfTrue="1">
      <formula>Devise_Base="MRU"</formula>
    </cfRule>
    <cfRule type="expression" priority="62" dxfId="521" stopIfTrue="1">
      <formula>Devise_Base="GNF"</formula>
    </cfRule>
  </conditionalFormatting>
  <conditionalFormatting sqref="H10:I105">
    <cfRule type="expression" priority="63" dxfId="522" stopIfTrue="1">
      <formula>Devise_Base="XOF"</formula>
    </cfRule>
    <cfRule type="expression" priority="64" dxfId="523" stopIfTrue="1">
      <formula>Devise_Base="XAF"</formula>
    </cfRule>
    <cfRule type="expression" priority="65" dxfId="524" stopIfTrue="1">
      <formula>Devise_Base="EUR"</formula>
    </cfRule>
    <cfRule type="expression" priority="66" dxfId="525" stopIfTrue="1">
      <formula>Devise_Base="USD"</formula>
    </cfRule>
    <cfRule type="expression" priority="67" dxfId="526" stopIfTrue="1">
      <formula>Devise_Base="GBP"</formula>
    </cfRule>
    <cfRule type="expression" priority="68" dxfId="527" stopIfTrue="1">
      <formula>Devise_Base="CAD"</formula>
    </cfRule>
    <cfRule type="expression" priority="69" dxfId="528" stopIfTrue="1">
      <formula>Devise_Base="CHF"</formula>
    </cfRule>
    <cfRule type="expression" priority="70" dxfId="529" stopIfTrue="1">
      <formula>Devise_Base="MAD"</formula>
    </cfRule>
    <cfRule type="expression" priority="71" dxfId="530" stopIfTrue="1">
      <formula>Devise_Base="NGN"</formula>
    </cfRule>
    <cfRule type="expression" priority="72" dxfId="531" stopIfTrue="1">
      <formula>Devise_Base="GHS"</formula>
    </cfRule>
    <cfRule type="expression" priority="73" dxfId="532" stopIfTrue="1">
      <formula>Devise_Base="CDF"</formula>
    </cfRule>
    <cfRule type="expression" priority="74" dxfId="533" stopIfTrue="1">
      <formula>Devise_Base="ZAR"</formula>
    </cfRule>
    <cfRule type="expression" priority="75" dxfId="534" stopIfTrue="1">
      <formula>Devise_Base="AED"</formula>
    </cfRule>
    <cfRule type="expression" priority="76" dxfId="535" stopIfTrue="1">
      <formula>Devise_Base="MRU"</formula>
    </cfRule>
    <cfRule type="expression" priority="77" dxfId="536" stopIfTrue="1">
      <formula>Devise_Base="GNF"</formula>
    </cfRule>
  </conditionalFormatting>
  <conditionalFormatting sqref="H106:I108">
    <cfRule type="expression" priority="78" dxfId="537" stopIfTrue="1">
      <formula>Devise_Base="XOF"</formula>
    </cfRule>
    <cfRule type="expression" priority="79" dxfId="538" stopIfTrue="1">
      <formula>Devise_Base="XAF"</formula>
    </cfRule>
    <cfRule type="expression" priority="80" dxfId="539" stopIfTrue="1">
      <formula>Devise_Base="EUR"</formula>
    </cfRule>
    <cfRule type="expression" priority="81" dxfId="540" stopIfTrue="1">
      <formula>Devise_Base="USD"</formula>
    </cfRule>
    <cfRule type="expression" priority="82" dxfId="541" stopIfTrue="1">
      <formula>Devise_Base="GBP"</formula>
    </cfRule>
    <cfRule type="expression" priority="83" dxfId="542" stopIfTrue="1">
      <formula>Devise_Base="CAD"</formula>
    </cfRule>
    <cfRule type="expression" priority="84" dxfId="543" stopIfTrue="1">
      <formula>Devise_Base="CHF"</formula>
    </cfRule>
    <cfRule type="expression" priority="85" dxfId="544" stopIfTrue="1">
      <formula>Devise_Base="MAD"</formula>
    </cfRule>
    <cfRule type="expression" priority="86" dxfId="545" stopIfTrue="1">
      <formula>Devise_Base="NGN"</formula>
    </cfRule>
    <cfRule type="expression" priority="87" dxfId="546" stopIfTrue="1">
      <formula>Devise_Base="GHS"</formula>
    </cfRule>
    <cfRule type="expression" priority="88" dxfId="547" stopIfTrue="1">
      <formula>Devise_Base="CDF"</formula>
    </cfRule>
    <cfRule type="expression" priority="89" dxfId="548" stopIfTrue="1">
      <formula>Devise_Base="ZAR"</formula>
    </cfRule>
    <cfRule type="expression" priority="90" dxfId="549" stopIfTrue="1">
      <formula>Devise_Base="AED"</formula>
    </cfRule>
    <cfRule type="expression" priority="91" dxfId="550" stopIfTrue="1">
      <formula>Devise_Base="MRU"</formula>
    </cfRule>
    <cfRule type="expression" priority="92" dxfId="551" stopIfTrue="1">
      <formula>Devise_Base="GNF"</formula>
    </cfRule>
  </conditionalFormatting>
  <conditionalFormatting sqref="J10:K105">
    <cfRule type="expression" priority="93" dxfId="552" stopIfTrue="1">
      <formula>Devise_Base="XOF"</formula>
    </cfRule>
    <cfRule type="expression" priority="94" dxfId="553" stopIfTrue="1">
      <formula>Devise_Base="XAF"</formula>
    </cfRule>
    <cfRule type="expression" priority="95" dxfId="554" stopIfTrue="1">
      <formula>Devise_Base="EUR"</formula>
    </cfRule>
    <cfRule type="expression" priority="96" dxfId="555" stopIfTrue="1">
      <formula>Devise_Base="USD"</formula>
    </cfRule>
    <cfRule type="expression" priority="97" dxfId="556" stopIfTrue="1">
      <formula>Devise_Base="GBP"</formula>
    </cfRule>
    <cfRule type="expression" priority="98" dxfId="557" stopIfTrue="1">
      <formula>Devise_Base="CAD"</formula>
    </cfRule>
    <cfRule type="expression" priority="99" dxfId="558" stopIfTrue="1">
      <formula>Devise_Base="CHF"</formula>
    </cfRule>
    <cfRule type="expression" priority="100" dxfId="559" stopIfTrue="1">
      <formula>Devise_Base="MAD"</formula>
    </cfRule>
    <cfRule type="expression" priority="101" dxfId="560" stopIfTrue="1">
      <formula>Devise_Base="NGN"</formula>
    </cfRule>
    <cfRule type="expression" priority="102" dxfId="561" stopIfTrue="1">
      <formula>Devise_Base="GHS"</formula>
    </cfRule>
    <cfRule type="expression" priority="103" dxfId="562" stopIfTrue="1">
      <formula>Devise_Base="CDF"</formula>
    </cfRule>
    <cfRule type="expression" priority="104" dxfId="563" stopIfTrue="1">
      <formula>Devise_Base="ZAR"</formula>
    </cfRule>
    <cfRule type="expression" priority="105" dxfId="564" stopIfTrue="1">
      <formula>Devise_Base="AED"</formula>
    </cfRule>
    <cfRule type="expression" priority="106" dxfId="565" stopIfTrue="1">
      <formula>Devise_Base="MRU"</formula>
    </cfRule>
    <cfRule type="expression" priority="107" dxfId="566" stopIfTrue="1">
      <formula>Devise_Base="GNF"</formula>
    </cfRule>
  </conditionalFormatting>
  <conditionalFormatting sqref="J106:K108">
    <cfRule type="expression" priority="108" dxfId="567" stopIfTrue="1">
      <formula>Devise_Base="XOF"</formula>
    </cfRule>
    <cfRule type="expression" priority="109" dxfId="568" stopIfTrue="1">
      <formula>Devise_Base="XAF"</formula>
    </cfRule>
    <cfRule type="expression" priority="110" dxfId="569" stopIfTrue="1">
      <formula>Devise_Base="EUR"</formula>
    </cfRule>
    <cfRule type="expression" priority="111" dxfId="570" stopIfTrue="1">
      <formula>Devise_Base="USD"</formula>
    </cfRule>
    <cfRule type="expression" priority="112" dxfId="571" stopIfTrue="1">
      <formula>Devise_Base="GBP"</formula>
    </cfRule>
    <cfRule type="expression" priority="113" dxfId="572" stopIfTrue="1">
      <formula>Devise_Base="CAD"</formula>
    </cfRule>
    <cfRule type="expression" priority="114" dxfId="573" stopIfTrue="1">
      <formula>Devise_Base="CHF"</formula>
    </cfRule>
    <cfRule type="expression" priority="115" dxfId="574" stopIfTrue="1">
      <formula>Devise_Base="MAD"</formula>
    </cfRule>
    <cfRule type="expression" priority="116" dxfId="575" stopIfTrue="1">
      <formula>Devise_Base="NGN"</formula>
    </cfRule>
    <cfRule type="expression" priority="117" dxfId="576" stopIfTrue="1">
      <formula>Devise_Base="GHS"</formula>
    </cfRule>
    <cfRule type="expression" priority="118" dxfId="577" stopIfTrue="1">
      <formula>Devise_Base="CDF"</formula>
    </cfRule>
    <cfRule type="expression" priority="119" dxfId="578" stopIfTrue="1">
      <formula>Devise_Base="ZAR"</formula>
    </cfRule>
    <cfRule type="expression" priority="120" dxfId="579" stopIfTrue="1">
      <formula>Devise_Base="AED"</formula>
    </cfRule>
    <cfRule type="expression" priority="121" dxfId="580" stopIfTrue="1">
      <formula>Devise_Base="MRU"</formula>
    </cfRule>
    <cfRule type="expression" priority="122" dxfId="581" stopIfTrue="1">
      <formula>Devise_Base="GNF"</formula>
    </cfRule>
  </conditionalFormatting>
  <conditionalFormatting sqref="L10:M105">
    <cfRule type="expression" priority="123" dxfId="582" stopIfTrue="1">
      <formula>Devise_Base="XOF"</formula>
    </cfRule>
    <cfRule type="expression" priority="124" dxfId="583" stopIfTrue="1">
      <formula>Devise_Base="XAF"</formula>
    </cfRule>
    <cfRule type="expression" priority="125" dxfId="584" stopIfTrue="1">
      <formula>Devise_Base="EUR"</formula>
    </cfRule>
    <cfRule type="expression" priority="126" dxfId="585" stopIfTrue="1">
      <formula>Devise_Base="USD"</formula>
    </cfRule>
    <cfRule type="expression" priority="127" dxfId="586" stopIfTrue="1">
      <formula>Devise_Base="GBP"</formula>
    </cfRule>
    <cfRule type="expression" priority="128" dxfId="587" stopIfTrue="1">
      <formula>Devise_Base="CAD"</formula>
    </cfRule>
    <cfRule type="expression" priority="129" dxfId="588" stopIfTrue="1">
      <formula>Devise_Base="CHF"</formula>
    </cfRule>
    <cfRule type="expression" priority="130" dxfId="589" stopIfTrue="1">
      <formula>Devise_Base="MAD"</formula>
    </cfRule>
    <cfRule type="expression" priority="131" dxfId="590" stopIfTrue="1">
      <formula>Devise_Base="NGN"</formula>
    </cfRule>
    <cfRule type="expression" priority="132" dxfId="591" stopIfTrue="1">
      <formula>Devise_Base="GHS"</formula>
    </cfRule>
    <cfRule type="expression" priority="133" dxfId="592" stopIfTrue="1">
      <formula>Devise_Base="CDF"</formula>
    </cfRule>
    <cfRule type="expression" priority="134" dxfId="593" stopIfTrue="1">
      <formula>Devise_Base="ZAR"</formula>
    </cfRule>
    <cfRule type="expression" priority="135" dxfId="594" stopIfTrue="1">
      <formula>Devise_Base="AED"</formula>
    </cfRule>
    <cfRule type="expression" priority="136" dxfId="595" stopIfTrue="1">
      <formula>Devise_Base="MRU"</formula>
    </cfRule>
    <cfRule type="expression" priority="137" dxfId="596" stopIfTrue="1">
      <formula>Devise_Base="GNF"</formula>
    </cfRule>
  </conditionalFormatting>
  <conditionalFormatting sqref="L106:M108">
    <cfRule type="expression" priority="138" dxfId="597" stopIfTrue="1">
      <formula>Devise_Base="XOF"</formula>
    </cfRule>
    <cfRule type="expression" priority="139" dxfId="598" stopIfTrue="1">
      <formula>Devise_Base="XAF"</formula>
    </cfRule>
    <cfRule type="expression" priority="140" dxfId="599" stopIfTrue="1">
      <formula>Devise_Base="EUR"</formula>
    </cfRule>
    <cfRule type="expression" priority="141" dxfId="600" stopIfTrue="1">
      <formula>Devise_Base="USD"</formula>
    </cfRule>
    <cfRule type="expression" priority="142" dxfId="601" stopIfTrue="1">
      <formula>Devise_Base="GBP"</formula>
    </cfRule>
    <cfRule type="expression" priority="143" dxfId="602" stopIfTrue="1">
      <formula>Devise_Base="CAD"</formula>
    </cfRule>
    <cfRule type="expression" priority="144" dxfId="603" stopIfTrue="1">
      <formula>Devise_Base="CHF"</formula>
    </cfRule>
    <cfRule type="expression" priority="145" dxfId="604" stopIfTrue="1">
      <formula>Devise_Base="MAD"</formula>
    </cfRule>
    <cfRule type="expression" priority="146" dxfId="605" stopIfTrue="1">
      <formula>Devise_Base="NGN"</formula>
    </cfRule>
    <cfRule type="expression" priority="147" dxfId="606" stopIfTrue="1">
      <formula>Devise_Base="GHS"</formula>
    </cfRule>
    <cfRule type="expression" priority="148" dxfId="607" stopIfTrue="1">
      <formula>Devise_Base="CDF"</formula>
    </cfRule>
    <cfRule type="expression" priority="149" dxfId="608" stopIfTrue="1">
      <formula>Devise_Base="ZAR"</formula>
    </cfRule>
    <cfRule type="expression" priority="150" dxfId="609" stopIfTrue="1">
      <formula>Devise_Base="AED"</formula>
    </cfRule>
    <cfRule type="expression" priority="151" dxfId="610" stopIfTrue="1">
      <formula>Devise_Base="MRU"</formula>
    </cfRule>
    <cfRule type="expression" priority="152" dxfId="611" stopIfTrue="1">
      <formula>Devise_Base="GNF"</formula>
    </cfRule>
  </conditionalFormatting>
  <conditionalFormatting sqref="N10:O105">
    <cfRule type="expression" priority="153" dxfId="612" stopIfTrue="1">
      <formula>Devise_Base="XOF"</formula>
    </cfRule>
    <cfRule type="expression" priority="154" dxfId="613" stopIfTrue="1">
      <formula>Devise_Base="XAF"</formula>
    </cfRule>
    <cfRule type="expression" priority="155" dxfId="614" stopIfTrue="1">
      <formula>Devise_Base="EUR"</formula>
    </cfRule>
    <cfRule type="expression" priority="156" dxfId="615" stopIfTrue="1">
      <formula>Devise_Base="USD"</formula>
    </cfRule>
    <cfRule type="expression" priority="157" dxfId="616" stopIfTrue="1">
      <formula>Devise_Base="GBP"</formula>
    </cfRule>
    <cfRule type="expression" priority="158" dxfId="617" stopIfTrue="1">
      <formula>Devise_Base="CAD"</formula>
    </cfRule>
    <cfRule type="expression" priority="159" dxfId="618" stopIfTrue="1">
      <formula>Devise_Base="CHF"</formula>
    </cfRule>
    <cfRule type="expression" priority="160" dxfId="619" stopIfTrue="1">
      <formula>Devise_Base="MAD"</formula>
    </cfRule>
    <cfRule type="expression" priority="161" dxfId="620" stopIfTrue="1">
      <formula>Devise_Base="NGN"</formula>
    </cfRule>
    <cfRule type="expression" priority="162" dxfId="621" stopIfTrue="1">
      <formula>Devise_Base="GHS"</formula>
    </cfRule>
    <cfRule type="expression" priority="163" dxfId="622" stopIfTrue="1">
      <formula>Devise_Base="CDF"</formula>
    </cfRule>
    <cfRule type="expression" priority="164" dxfId="623" stopIfTrue="1">
      <formula>Devise_Base="ZAR"</formula>
    </cfRule>
    <cfRule type="expression" priority="165" dxfId="624" stopIfTrue="1">
      <formula>Devise_Base="AED"</formula>
    </cfRule>
    <cfRule type="expression" priority="166" dxfId="625" stopIfTrue="1">
      <formula>Devise_Base="MRU"</formula>
    </cfRule>
    <cfRule type="expression" priority="167" dxfId="626" stopIfTrue="1">
      <formula>Devise_Base="GNF"</formula>
    </cfRule>
  </conditionalFormatting>
  <conditionalFormatting sqref="N106:O108">
    <cfRule type="expression" priority="168" dxfId="627" stopIfTrue="1">
      <formula>Devise_Base="XOF"</formula>
    </cfRule>
    <cfRule type="expression" priority="169" dxfId="628" stopIfTrue="1">
      <formula>Devise_Base="XAF"</formula>
    </cfRule>
    <cfRule type="expression" priority="170" dxfId="629" stopIfTrue="1">
      <formula>Devise_Base="EUR"</formula>
    </cfRule>
    <cfRule type="expression" priority="171" dxfId="630" stopIfTrue="1">
      <formula>Devise_Base="USD"</formula>
    </cfRule>
    <cfRule type="expression" priority="172" dxfId="631" stopIfTrue="1">
      <formula>Devise_Base="GBP"</formula>
    </cfRule>
    <cfRule type="expression" priority="173" dxfId="632" stopIfTrue="1">
      <formula>Devise_Base="CAD"</formula>
    </cfRule>
    <cfRule type="expression" priority="174" dxfId="633" stopIfTrue="1">
      <formula>Devise_Base="CHF"</formula>
    </cfRule>
    <cfRule type="expression" priority="175" dxfId="634" stopIfTrue="1">
      <formula>Devise_Base="MAD"</formula>
    </cfRule>
    <cfRule type="expression" priority="176" dxfId="635" stopIfTrue="1">
      <formula>Devise_Base="NGN"</formula>
    </cfRule>
    <cfRule type="expression" priority="177" dxfId="636" stopIfTrue="1">
      <formula>Devise_Base="GHS"</formula>
    </cfRule>
    <cfRule type="expression" priority="178" dxfId="637" stopIfTrue="1">
      <formula>Devise_Base="CDF"</formula>
    </cfRule>
    <cfRule type="expression" priority="179" dxfId="638" stopIfTrue="1">
      <formula>Devise_Base="ZAR"</formula>
    </cfRule>
    <cfRule type="expression" priority="180" dxfId="639" stopIfTrue="1">
      <formula>Devise_Base="AED"</formula>
    </cfRule>
    <cfRule type="expression" priority="181" dxfId="640" stopIfTrue="1">
      <formula>Devise_Base="MRU"</formula>
    </cfRule>
    <cfRule type="expression" priority="182" dxfId="641" stopIfTrue="1">
      <formula>Devise_Base="GNF"</formula>
    </cfRule>
  </conditionalFormatting>
  <conditionalFormatting sqref="P10:Q105">
    <cfRule type="expression" priority="183" dxfId="642" stopIfTrue="1">
      <formula>Devise_Base="XOF"</formula>
    </cfRule>
    <cfRule type="expression" priority="184" dxfId="643" stopIfTrue="1">
      <formula>Devise_Base="XAF"</formula>
    </cfRule>
    <cfRule type="expression" priority="185" dxfId="644" stopIfTrue="1">
      <formula>Devise_Base="EUR"</formula>
    </cfRule>
    <cfRule type="expression" priority="186" dxfId="645" stopIfTrue="1">
      <formula>Devise_Base="USD"</formula>
    </cfRule>
    <cfRule type="expression" priority="187" dxfId="646" stopIfTrue="1">
      <formula>Devise_Base="GBP"</formula>
    </cfRule>
    <cfRule type="expression" priority="188" dxfId="647" stopIfTrue="1">
      <formula>Devise_Base="CAD"</formula>
    </cfRule>
    <cfRule type="expression" priority="189" dxfId="648" stopIfTrue="1">
      <formula>Devise_Base="CHF"</formula>
    </cfRule>
    <cfRule type="expression" priority="190" dxfId="649" stopIfTrue="1">
      <formula>Devise_Base="MAD"</formula>
    </cfRule>
    <cfRule type="expression" priority="191" dxfId="650" stopIfTrue="1">
      <formula>Devise_Base="NGN"</formula>
    </cfRule>
    <cfRule type="expression" priority="192" dxfId="651" stopIfTrue="1">
      <formula>Devise_Base="GHS"</formula>
    </cfRule>
    <cfRule type="expression" priority="193" dxfId="652" stopIfTrue="1">
      <formula>Devise_Base="CDF"</formula>
    </cfRule>
    <cfRule type="expression" priority="194" dxfId="653" stopIfTrue="1">
      <formula>Devise_Base="ZAR"</formula>
    </cfRule>
    <cfRule type="expression" priority="195" dxfId="654" stopIfTrue="1">
      <formula>Devise_Base="AED"</formula>
    </cfRule>
    <cfRule type="expression" priority="196" dxfId="655" stopIfTrue="1">
      <formula>Devise_Base="MRU"</formula>
    </cfRule>
    <cfRule type="expression" priority="197" dxfId="656" stopIfTrue="1">
      <formula>Devise_Base="GNF"</formula>
    </cfRule>
  </conditionalFormatting>
  <conditionalFormatting sqref="P106:Q108">
    <cfRule type="expression" priority="198" dxfId="657" stopIfTrue="1">
      <formula>Devise_Base="XOF"</formula>
    </cfRule>
    <cfRule type="expression" priority="199" dxfId="658" stopIfTrue="1">
      <formula>Devise_Base="XAF"</formula>
    </cfRule>
    <cfRule type="expression" priority="200" dxfId="659" stopIfTrue="1">
      <formula>Devise_Base="EUR"</formula>
    </cfRule>
    <cfRule type="expression" priority="201" dxfId="660" stopIfTrue="1">
      <formula>Devise_Base="USD"</formula>
    </cfRule>
    <cfRule type="expression" priority="202" dxfId="661" stopIfTrue="1">
      <formula>Devise_Base="GBP"</formula>
    </cfRule>
    <cfRule type="expression" priority="203" dxfId="662" stopIfTrue="1">
      <formula>Devise_Base="CAD"</formula>
    </cfRule>
    <cfRule type="expression" priority="204" dxfId="663" stopIfTrue="1">
      <formula>Devise_Base="CHF"</formula>
    </cfRule>
    <cfRule type="expression" priority="205" dxfId="664" stopIfTrue="1">
      <formula>Devise_Base="MAD"</formula>
    </cfRule>
    <cfRule type="expression" priority="206" dxfId="665" stopIfTrue="1">
      <formula>Devise_Base="NGN"</formula>
    </cfRule>
    <cfRule type="expression" priority="207" dxfId="666" stopIfTrue="1">
      <formula>Devise_Base="GHS"</formula>
    </cfRule>
    <cfRule type="expression" priority="208" dxfId="667" stopIfTrue="1">
      <formula>Devise_Base="CDF"</formula>
    </cfRule>
    <cfRule type="expression" priority="209" dxfId="668" stopIfTrue="1">
      <formula>Devise_Base="ZAR"</formula>
    </cfRule>
    <cfRule type="expression" priority="210" dxfId="669" stopIfTrue="1">
      <formula>Devise_Base="AED"</formula>
    </cfRule>
    <cfRule type="expression" priority="211" dxfId="670" stopIfTrue="1">
      <formula>Devise_Base="MRU"</formula>
    </cfRule>
    <cfRule type="expression" priority="212" dxfId="671" stopIfTrue="1">
      <formula>Devise_Base="GNF"</formula>
    </cfRule>
  </conditionalFormatting>
  <conditionalFormatting sqref="R10:S105">
    <cfRule type="expression" priority="213" dxfId="672" stopIfTrue="1">
      <formula>Devise_Base="XOF"</formula>
    </cfRule>
    <cfRule type="expression" priority="214" dxfId="673" stopIfTrue="1">
      <formula>Devise_Base="XAF"</formula>
    </cfRule>
    <cfRule type="expression" priority="215" dxfId="674" stopIfTrue="1">
      <formula>Devise_Base="EUR"</formula>
    </cfRule>
    <cfRule type="expression" priority="216" dxfId="675" stopIfTrue="1">
      <formula>Devise_Base="USD"</formula>
    </cfRule>
    <cfRule type="expression" priority="217" dxfId="676" stopIfTrue="1">
      <formula>Devise_Base="GBP"</formula>
    </cfRule>
    <cfRule type="expression" priority="218" dxfId="677" stopIfTrue="1">
      <formula>Devise_Base="CAD"</formula>
    </cfRule>
    <cfRule type="expression" priority="219" dxfId="678" stopIfTrue="1">
      <formula>Devise_Base="CHF"</formula>
    </cfRule>
    <cfRule type="expression" priority="220" dxfId="679" stopIfTrue="1">
      <formula>Devise_Base="MAD"</formula>
    </cfRule>
    <cfRule type="expression" priority="221" dxfId="680" stopIfTrue="1">
      <formula>Devise_Base="NGN"</formula>
    </cfRule>
    <cfRule type="expression" priority="222" dxfId="681" stopIfTrue="1">
      <formula>Devise_Base="GHS"</formula>
    </cfRule>
    <cfRule type="expression" priority="223" dxfId="682" stopIfTrue="1">
      <formula>Devise_Base="CDF"</formula>
    </cfRule>
    <cfRule type="expression" priority="224" dxfId="683" stopIfTrue="1">
      <formula>Devise_Base="ZAR"</formula>
    </cfRule>
    <cfRule type="expression" priority="225" dxfId="684" stopIfTrue="1">
      <formula>Devise_Base="AED"</formula>
    </cfRule>
    <cfRule type="expression" priority="226" dxfId="685" stopIfTrue="1">
      <formula>Devise_Base="MRU"</formula>
    </cfRule>
    <cfRule type="expression" priority="227" dxfId="686" stopIfTrue="1">
      <formula>Devise_Base="GNF"</formula>
    </cfRule>
  </conditionalFormatting>
  <conditionalFormatting sqref="R106:S108">
    <cfRule type="expression" priority="228" dxfId="687" stopIfTrue="1">
      <formula>Devise_Base="XOF"</formula>
    </cfRule>
    <cfRule type="expression" priority="229" dxfId="688" stopIfTrue="1">
      <formula>Devise_Base="XAF"</formula>
    </cfRule>
    <cfRule type="expression" priority="230" dxfId="689" stopIfTrue="1">
      <formula>Devise_Base="EUR"</formula>
    </cfRule>
    <cfRule type="expression" priority="231" dxfId="690" stopIfTrue="1">
      <formula>Devise_Base="USD"</formula>
    </cfRule>
    <cfRule type="expression" priority="232" dxfId="691" stopIfTrue="1">
      <formula>Devise_Base="GBP"</formula>
    </cfRule>
    <cfRule type="expression" priority="233" dxfId="692" stopIfTrue="1">
      <formula>Devise_Base="CAD"</formula>
    </cfRule>
    <cfRule type="expression" priority="234" dxfId="693" stopIfTrue="1">
      <formula>Devise_Base="CHF"</formula>
    </cfRule>
    <cfRule type="expression" priority="235" dxfId="694" stopIfTrue="1">
      <formula>Devise_Base="MAD"</formula>
    </cfRule>
    <cfRule type="expression" priority="236" dxfId="695" stopIfTrue="1">
      <formula>Devise_Base="NGN"</formula>
    </cfRule>
    <cfRule type="expression" priority="237" dxfId="696" stopIfTrue="1">
      <formula>Devise_Base="GHS"</formula>
    </cfRule>
    <cfRule type="expression" priority="238" dxfId="697" stopIfTrue="1">
      <formula>Devise_Base="CDF"</formula>
    </cfRule>
    <cfRule type="expression" priority="239" dxfId="698" stopIfTrue="1">
      <formula>Devise_Base="ZAR"</formula>
    </cfRule>
    <cfRule type="expression" priority="240" dxfId="699" stopIfTrue="1">
      <formula>Devise_Base="AED"</formula>
    </cfRule>
    <cfRule type="expression" priority="241" dxfId="700" stopIfTrue="1">
      <formula>Devise_Base="MRU"</formula>
    </cfRule>
    <cfRule type="expression" priority="242" dxfId="701" stopIfTrue="1">
      <formula>Devise_Base="GNF"</formula>
    </cfRule>
  </conditionalFormatting>
  <conditionalFormatting sqref="T10:U105">
    <cfRule type="expression" priority="243" dxfId="702" stopIfTrue="1">
      <formula>Devise_Base="XOF"</formula>
    </cfRule>
    <cfRule type="expression" priority="244" dxfId="703" stopIfTrue="1">
      <formula>Devise_Base="XAF"</formula>
    </cfRule>
    <cfRule type="expression" priority="245" dxfId="704" stopIfTrue="1">
      <formula>Devise_Base="EUR"</formula>
    </cfRule>
    <cfRule type="expression" priority="246" dxfId="705" stopIfTrue="1">
      <formula>Devise_Base="USD"</formula>
    </cfRule>
    <cfRule type="expression" priority="247" dxfId="706" stopIfTrue="1">
      <formula>Devise_Base="GBP"</formula>
    </cfRule>
    <cfRule type="expression" priority="248" dxfId="707" stopIfTrue="1">
      <formula>Devise_Base="CAD"</formula>
    </cfRule>
    <cfRule type="expression" priority="249" dxfId="708" stopIfTrue="1">
      <formula>Devise_Base="CHF"</formula>
    </cfRule>
    <cfRule type="expression" priority="250" dxfId="709" stopIfTrue="1">
      <formula>Devise_Base="MAD"</formula>
    </cfRule>
    <cfRule type="expression" priority="251" dxfId="710" stopIfTrue="1">
      <formula>Devise_Base="NGN"</formula>
    </cfRule>
    <cfRule type="expression" priority="252" dxfId="711" stopIfTrue="1">
      <formula>Devise_Base="GHS"</formula>
    </cfRule>
    <cfRule type="expression" priority="253" dxfId="712" stopIfTrue="1">
      <formula>Devise_Base="CDF"</formula>
    </cfRule>
    <cfRule type="expression" priority="254" dxfId="713" stopIfTrue="1">
      <formula>Devise_Base="ZAR"</formula>
    </cfRule>
    <cfRule type="expression" priority="255" dxfId="714" stopIfTrue="1">
      <formula>Devise_Base="AED"</formula>
    </cfRule>
    <cfRule type="expression" priority="256" dxfId="715" stopIfTrue="1">
      <formula>Devise_Base="MRU"</formula>
    </cfRule>
    <cfRule type="expression" priority="257" dxfId="716" stopIfTrue="1">
      <formula>Devise_Base="GNF"</formula>
    </cfRule>
  </conditionalFormatting>
  <conditionalFormatting sqref="T106:U108">
    <cfRule type="expression" priority="258" dxfId="717" stopIfTrue="1">
      <formula>Devise_Base="XOF"</formula>
    </cfRule>
    <cfRule type="expression" priority="259" dxfId="718" stopIfTrue="1">
      <formula>Devise_Base="XAF"</formula>
    </cfRule>
    <cfRule type="expression" priority="260" dxfId="719" stopIfTrue="1">
      <formula>Devise_Base="EUR"</formula>
    </cfRule>
    <cfRule type="expression" priority="261" dxfId="720" stopIfTrue="1">
      <formula>Devise_Base="USD"</formula>
    </cfRule>
    <cfRule type="expression" priority="262" dxfId="721" stopIfTrue="1">
      <formula>Devise_Base="GBP"</formula>
    </cfRule>
    <cfRule type="expression" priority="263" dxfId="722" stopIfTrue="1">
      <formula>Devise_Base="CAD"</formula>
    </cfRule>
    <cfRule type="expression" priority="264" dxfId="723" stopIfTrue="1">
      <formula>Devise_Base="CHF"</formula>
    </cfRule>
    <cfRule type="expression" priority="265" dxfId="724" stopIfTrue="1">
      <formula>Devise_Base="MAD"</formula>
    </cfRule>
    <cfRule type="expression" priority="266" dxfId="725" stopIfTrue="1">
      <formula>Devise_Base="NGN"</formula>
    </cfRule>
    <cfRule type="expression" priority="267" dxfId="726" stopIfTrue="1">
      <formula>Devise_Base="GHS"</formula>
    </cfRule>
    <cfRule type="expression" priority="268" dxfId="727" stopIfTrue="1">
      <formula>Devise_Base="CDF"</formula>
    </cfRule>
    <cfRule type="expression" priority="269" dxfId="728" stopIfTrue="1">
      <formula>Devise_Base="ZAR"</formula>
    </cfRule>
    <cfRule type="expression" priority="270" dxfId="729" stopIfTrue="1">
      <formula>Devise_Base="AED"</formula>
    </cfRule>
    <cfRule type="expression" priority="271" dxfId="730" stopIfTrue="1">
      <formula>Devise_Base="MRU"</formula>
    </cfRule>
    <cfRule type="expression" priority="272" dxfId="731" stopIfTrue="1">
      <formula>Devise_Base="GNF"</formula>
    </cfRule>
  </conditionalFormatting>
  <conditionalFormatting sqref="V10:W105">
    <cfRule type="expression" priority="273" dxfId="732" stopIfTrue="1">
      <formula>Devise_Base="XOF"</formula>
    </cfRule>
    <cfRule type="expression" priority="274" dxfId="733" stopIfTrue="1">
      <formula>Devise_Base="XAF"</formula>
    </cfRule>
    <cfRule type="expression" priority="275" dxfId="734" stopIfTrue="1">
      <formula>Devise_Base="EUR"</formula>
    </cfRule>
    <cfRule type="expression" priority="276" dxfId="735" stopIfTrue="1">
      <formula>Devise_Base="USD"</formula>
    </cfRule>
    <cfRule type="expression" priority="277" dxfId="736" stopIfTrue="1">
      <formula>Devise_Base="GBP"</formula>
    </cfRule>
    <cfRule type="expression" priority="278" dxfId="737" stopIfTrue="1">
      <formula>Devise_Base="CAD"</formula>
    </cfRule>
    <cfRule type="expression" priority="279" dxfId="738" stopIfTrue="1">
      <formula>Devise_Base="CHF"</formula>
    </cfRule>
    <cfRule type="expression" priority="280" dxfId="739" stopIfTrue="1">
      <formula>Devise_Base="MAD"</formula>
    </cfRule>
    <cfRule type="expression" priority="281" dxfId="740" stopIfTrue="1">
      <formula>Devise_Base="NGN"</formula>
    </cfRule>
    <cfRule type="expression" priority="282" dxfId="741" stopIfTrue="1">
      <formula>Devise_Base="GHS"</formula>
    </cfRule>
    <cfRule type="expression" priority="283" dxfId="742" stopIfTrue="1">
      <formula>Devise_Base="CDF"</formula>
    </cfRule>
    <cfRule type="expression" priority="284" dxfId="743" stopIfTrue="1">
      <formula>Devise_Base="ZAR"</formula>
    </cfRule>
    <cfRule type="expression" priority="285" dxfId="744" stopIfTrue="1">
      <formula>Devise_Base="AED"</formula>
    </cfRule>
    <cfRule type="expression" priority="286" dxfId="745" stopIfTrue="1">
      <formula>Devise_Base="MRU"</formula>
    </cfRule>
    <cfRule type="expression" priority="287" dxfId="746" stopIfTrue="1">
      <formula>Devise_Base="GNF"</formula>
    </cfRule>
  </conditionalFormatting>
  <conditionalFormatting sqref="V106:W108">
    <cfRule type="expression" priority="288" dxfId="747" stopIfTrue="1">
      <formula>Devise_Base="XOF"</formula>
    </cfRule>
    <cfRule type="expression" priority="289" dxfId="748" stopIfTrue="1">
      <formula>Devise_Base="XAF"</formula>
    </cfRule>
    <cfRule type="expression" priority="290" dxfId="749" stopIfTrue="1">
      <formula>Devise_Base="EUR"</formula>
    </cfRule>
    <cfRule type="expression" priority="291" dxfId="750" stopIfTrue="1">
      <formula>Devise_Base="USD"</formula>
    </cfRule>
    <cfRule type="expression" priority="292" dxfId="751" stopIfTrue="1">
      <formula>Devise_Base="GBP"</formula>
    </cfRule>
    <cfRule type="expression" priority="293" dxfId="752" stopIfTrue="1">
      <formula>Devise_Base="CAD"</formula>
    </cfRule>
    <cfRule type="expression" priority="294" dxfId="753" stopIfTrue="1">
      <formula>Devise_Base="CHF"</formula>
    </cfRule>
    <cfRule type="expression" priority="295" dxfId="754" stopIfTrue="1">
      <formula>Devise_Base="MAD"</formula>
    </cfRule>
    <cfRule type="expression" priority="296" dxfId="755" stopIfTrue="1">
      <formula>Devise_Base="NGN"</formula>
    </cfRule>
    <cfRule type="expression" priority="297" dxfId="756" stopIfTrue="1">
      <formula>Devise_Base="GHS"</formula>
    </cfRule>
    <cfRule type="expression" priority="298" dxfId="757" stopIfTrue="1">
      <formula>Devise_Base="CDF"</formula>
    </cfRule>
    <cfRule type="expression" priority="299" dxfId="758" stopIfTrue="1">
      <formula>Devise_Base="ZAR"</formula>
    </cfRule>
    <cfRule type="expression" priority="300" dxfId="759" stopIfTrue="1">
      <formula>Devise_Base="AED"</formula>
    </cfRule>
    <cfRule type="expression" priority="301" dxfId="760" stopIfTrue="1">
      <formula>Devise_Base="MRU"</formula>
    </cfRule>
    <cfRule type="expression" priority="302" dxfId="761" stopIfTrue="1">
      <formula>Devise_Base="GNF"</formula>
    </cfRule>
  </conditionalFormatting>
  <conditionalFormatting sqref="X10:Y105">
    <cfRule type="expression" priority="303" dxfId="762" stopIfTrue="1">
      <formula>Devise_Base="XOF"</formula>
    </cfRule>
    <cfRule type="expression" priority="304" dxfId="763" stopIfTrue="1">
      <formula>Devise_Base="XAF"</formula>
    </cfRule>
    <cfRule type="expression" priority="305" dxfId="764" stopIfTrue="1">
      <formula>Devise_Base="EUR"</formula>
    </cfRule>
    <cfRule type="expression" priority="306" dxfId="765" stopIfTrue="1">
      <formula>Devise_Base="USD"</formula>
    </cfRule>
    <cfRule type="expression" priority="307" dxfId="766" stopIfTrue="1">
      <formula>Devise_Base="GBP"</formula>
    </cfRule>
    <cfRule type="expression" priority="308" dxfId="767" stopIfTrue="1">
      <formula>Devise_Base="CAD"</formula>
    </cfRule>
    <cfRule type="expression" priority="309" dxfId="768" stopIfTrue="1">
      <formula>Devise_Base="CHF"</formula>
    </cfRule>
    <cfRule type="expression" priority="310" dxfId="769" stopIfTrue="1">
      <formula>Devise_Base="MAD"</formula>
    </cfRule>
    <cfRule type="expression" priority="311" dxfId="770" stopIfTrue="1">
      <formula>Devise_Base="NGN"</formula>
    </cfRule>
    <cfRule type="expression" priority="312" dxfId="771" stopIfTrue="1">
      <formula>Devise_Base="GHS"</formula>
    </cfRule>
    <cfRule type="expression" priority="313" dxfId="772" stopIfTrue="1">
      <formula>Devise_Base="CDF"</formula>
    </cfRule>
    <cfRule type="expression" priority="314" dxfId="773" stopIfTrue="1">
      <formula>Devise_Base="ZAR"</formula>
    </cfRule>
    <cfRule type="expression" priority="315" dxfId="774" stopIfTrue="1">
      <formula>Devise_Base="AED"</formula>
    </cfRule>
    <cfRule type="expression" priority="316" dxfId="775" stopIfTrue="1">
      <formula>Devise_Base="MRU"</formula>
    </cfRule>
    <cfRule type="expression" priority="317" dxfId="776" stopIfTrue="1">
      <formula>Devise_Base="GNF"</formula>
    </cfRule>
  </conditionalFormatting>
  <conditionalFormatting sqref="X106:Y108">
    <cfRule type="expression" priority="318" dxfId="777" stopIfTrue="1">
      <formula>Devise_Base="XOF"</formula>
    </cfRule>
    <cfRule type="expression" priority="319" dxfId="778" stopIfTrue="1">
      <formula>Devise_Base="XAF"</formula>
    </cfRule>
    <cfRule type="expression" priority="320" dxfId="779" stopIfTrue="1">
      <formula>Devise_Base="EUR"</formula>
    </cfRule>
    <cfRule type="expression" priority="321" dxfId="780" stopIfTrue="1">
      <formula>Devise_Base="USD"</formula>
    </cfRule>
    <cfRule type="expression" priority="322" dxfId="781" stopIfTrue="1">
      <formula>Devise_Base="GBP"</formula>
    </cfRule>
    <cfRule type="expression" priority="323" dxfId="782" stopIfTrue="1">
      <formula>Devise_Base="CAD"</formula>
    </cfRule>
    <cfRule type="expression" priority="324" dxfId="783" stopIfTrue="1">
      <formula>Devise_Base="CHF"</formula>
    </cfRule>
    <cfRule type="expression" priority="325" dxfId="784" stopIfTrue="1">
      <formula>Devise_Base="MAD"</formula>
    </cfRule>
    <cfRule type="expression" priority="326" dxfId="785" stopIfTrue="1">
      <formula>Devise_Base="NGN"</formula>
    </cfRule>
    <cfRule type="expression" priority="327" dxfId="786" stopIfTrue="1">
      <formula>Devise_Base="GHS"</formula>
    </cfRule>
    <cfRule type="expression" priority="328" dxfId="787" stopIfTrue="1">
      <formula>Devise_Base="CDF"</formula>
    </cfRule>
    <cfRule type="expression" priority="329" dxfId="788" stopIfTrue="1">
      <formula>Devise_Base="ZAR"</formula>
    </cfRule>
    <cfRule type="expression" priority="330" dxfId="789" stopIfTrue="1">
      <formula>Devise_Base="AED"</formula>
    </cfRule>
    <cfRule type="expression" priority="331" dxfId="790" stopIfTrue="1">
      <formula>Devise_Base="MRU"</formula>
    </cfRule>
    <cfRule type="expression" priority="332" dxfId="791" stopIfTrue="1">
      <formula>Devise_Base="GNF"</formula>
    </cfRule>
  </conditionalFormatting>
  <conditionalFormatting sqref="Z10:AA105">
    <cfRule type="expression" priority="333" dxfId="792" stopIfTrue="1">
      <formula>Devise_Base="XOF"</formula>
    </cfRule>
    <cfRule type="expression" priority="334" dxfId="793" stopIfTrue="1">
      <formula>Devise_Base="XAF"</formula>
    </cfRule>
    <cfRule type="expression" priority="335" dxfId="794" stopIfTrue="1">
      <formula>Devise_Base="EUR"</formula>
    </cfRule>
    <cfRule type="expression" priority="336" dxfId="795" stopIfTrue="1">
      <formula>Devise_Base="USD"</formula>
    </cfRule>
    <cfRule type="expression" priority="337" dxfId="796" stopIfTrue="1">
      <formula>Devise_Base="GBP"</formula>
    </cfRule>
    <cfRule type="expression" priority="338" dxfId="797" stopIfTrue="1">
      <formula>Devise_Base="CAD"</formula>
    </cfRule>
    <cfRule type="expression" priority="339" dxfId="798" stopIfTrue="1">
      <formula>Devise_Base="CHF"</formula>
    </cfRule>
    <cfRule type="expression" priority="340" dxfId="799" stopIfTrue="1">
      <formula>Devise_Base="MAD"</formula>
    </cfRule>
    <cfRule type="expression" priority="341" dxfId="800" stopIfTrue="1">
      <formula>Devise_Base="NGN"</formula>
    </cfRule>
    <cfRule type="expression" priority="342" dxfId="801" stopIfTrue="1">
      <formula>Devise_Base="GHS"</formula>
    </cfRule>
    <cfRule type="expression" priority="343" dxfId="802" stopIfTrue="1">
      <formula>Devise_Base="CDF"</formula>
    </cfRule>
    <cfRule type="expression" priority="344" dxfId="803" stopIfTrue="1">
      <formula>Devise_Base="ZAR"</formula>
    </cfRule>
    <cfRule type="expression" priority="345" dxfId="804" stopIfTrue="1">
      <formula>Devise_Base="AED"</formula>
    </cfRule>
    <cfRule type="expression" priority="346" dxfId="805" stopIfTrue="1">
      <formula>Devise_Base="MRU"</formula>
    </cfRule>
    <cfRule type="expression" priority="347" dxfId="806" stopIfTrue="1">
      <formula>Devise_Base="GNF"</formula>
    </cfRule>
  </conditionalFormatting>
  <conditionalFormatting sqref="Z106:AA108">
    <cfRule type="expression" priority="348" dxfId="807" stopIfTrue="1">
      <formula>Devise_Base="XOF"</formula>
    </cfRule>
    <cfRule type="expression" priority="349" dxfId="808" stopIfTrue="1">
      <formula>Devise_Base="XAF"</formula>
    </cfRule>
    <cfRule type="expression" priority="350" dxfId="809" stopIfTrue="1">
      <formula>Devise_Base="EUR"</formula>
    </cfRule>
    <cfRule type="expression" priority="351" dxfId="810" stopIfTrue="1">
      <formula>Devise_Base="USD"</formula>
    </cfRule>
    <cfRule type="expression" priority="352" dxfId="811" stopIfTrue="1">
      <formula>Devise_Base="GBP"</formula>
    </cfRule>
    <cfRule type="expression" priority="353" dxfId="812" stopIfTrue="1">
      <formula>Devise_Base="CAD"</formula>
    </cfRule>
    <cfRule type="expression" priority="354" dxfId="813" stopIfTrue="1">
      <formula>Devise_Base="CHF"</formula>
    </cfRule>
    <cfRule type="expression" priority="355" dxfId="814" stopIfTrue="1">
      <formula>Devise_Base="MAD"</formula>
    </cfRule>
    <cfRule type="expression" priority="356" dxfId="815" stopIfTrue="1">
      <formula>Devise_Base="NGN"</formula>
    </cfRule>
    <cfRule type="expression" priority="357" dxfId="816" stopIfTrue="1">
      <formula>Devise_Base="GHS"</formula>
    </cfRule>
    <cfRule type="expression" priority="358" dxfId="817" stopIfTrue="1">
      <formula>Devise_Base="CDF"</formula>
    </cfRule>
    <cfRule type="expression" priority="359" dxfId="818" stopIfTrue="1">
      <formula>Devise_Base="ZAR"</formula>
    </cfRule>
    <cfRule type="expression" priority="360" dxfId="819" stopIfTrue="1">
      <formula>Devise_Base="AED"</formula>
    </cfRule>
    <cfRule type="expression" priority="361" dxfId="820" stopIfTrue="1">
      <formula>Devise_Base="MRU"</formula>
    </cfRule>
    <cfRule type="expression" priority="362" dxfId="821" stopIfTrue="1">
      <formula>Devise_Base="GNF"</formula>
    </cfRule>
  </conditionalFormatting>
  <conditionalFormatting sqref="AB10:AC105">
    <cfRule type="expression" priority="363" dxfId="822" stopIfTrue="1">
      <formula>Devise_Base="XOF"</formula>
    </cfRule>
    <cfRule type="expression" priority="364" dxfId="823" stopIfTrue="1">
      <formula>Devise_Base="XAF"</formula>
    </cfRule>
    <cfRule type="expression" priority="365" dxfId="824" stopIfTrue="1">
      <formula>Devise_Base="EUR"</formula>
    </cfRule>
    <cfRule type="expression" priority="366" dxfId="825" stopIfTrue="1">
      <formula>Devise_Base="USD"</formula>
    </cfRule>
    <cfRule type="expression" priority="367" dxfId="826" stopIfTrue="1">
      <formula>Devise_Base="GBP"</formula>
    </cfRule>
    <cfRule type="expression" priority="368" dxfId="827" stopIfTrue="1">
      <formula>Devise_Base="CAD"</formula>
    </cfRule>
    <cfRule type="expression" priority="369" dxfId="828" stopIfTrue="1">
      <formula>Devise_Base="CHF"</formula>
    </cfRule>
    <cfRule type="expression" priority="370" dxfId="829" stopIfTrue="1">
      <formula>Devise_Base="MAD"</formula>
    </cfRule>
    <cfRule type="expression" priority="371" dxfId="830" stopIfTrue="1">
      <formula>Devise_Base="NGN"</formula>
    </cfRule>
    <cfRule type="expression" priority="372" dxfId="831" stopIfTrue="1">
      <formula>Devise_Base="GHS"</formula>
    </cfRule>
    <cfRule type="expression" priority="373" dxfId="832" stopIfTrue="1">
      <formula>Devise_Base="CDF"</formula>
    </cfRule>
    <cfRule type="expression" priority="374" dxfId="833" stopIfTrue="1">
      <formula>Devise_Base="ZAR"</formula>
    </cfRule>
    <cfRule type="expression" priority="375" dxfId="834" stopIfTrue="1">
      <formula>Devise_Base="AED"</formula>
    </cfRule>
    <cfRule type="expression" priority="376" dxfId="835" stopIfTrue="1">
      <formula>Devise_Base="MRU"</formula>
    </cfRule>
    <cfRule type="expression" priority="377" dxfId="836" stopIfTrue="1">
      <formula>Devise_Base="GNF"</formula>
    </cfRule>
  </conditionalFormatting>
  <conditionalFormatting sqref="AB106:AC108">
    <cfRule type="expression" priority="378" dxfId="837" stopIfTrue="1">
      <formula>Devise_Base="XOF"</formula>
    </cfRule>
    <cfRule type="expression" priority="379" dxfId="838" stopIfTrue="1">
      <formula>Devise_Base="XAF"</formula>
    </cfRule>
    <cfRule type="expression" priority="380" dxfId="839" stopIfTrue="1">
      <formula>Devise_Base="EUR"</formula>
    </cfRule>
    <cfRule type="expression" priority="381" dxfId="840" stopIfTrue="1">
      <formula>Devise_Base="USD"</formula>
    </cfRule>
    <cfRule type="expression" priority="382" dxfId="841" stopIfTrue="1">
      <formula>Devise_Base="GBP"</formula>
    </cfRule>
    <cfRule type="expression" priority="383" dxfId="842" stopIfTrue="1">
      <formula>Devise_Base="CAD"</formula>
    </cfRule>
    <cfRule type="expression" priority="384" dxfId="843" stopIfTrue="1">
      <formula>Devise_Base="CHF"</formula>
    </cfRule>
    <cfRule type="expression" priority="385" dxfId="844" stopIfTrue="1">
      <formula>Devise_Base="MAD"</formula>
    </cfRule>
    <cfRule type="expression" priority="386" dxfId="845" stopIfTrue="1">
      <formula>Devise_Base="NGN"</formula>
    </cfRule>
    <cfRule type="expression" priority="387" dxfId="846" stopIfTrue="1">
      <formula>Devise_Base="GHS"</formula>
    </cfRule>
    <cfRule type="expression" priority="388" dxfId="847" stopIfTrue="1">
      <formula>Devise_Base="CDF"</formula>
    </cfRule>
    <cfRule type="expression" priority="389" dxfId="848" stopIfTrue="1">
      <formula>Devise_Base="ZAR"</formula>
    </cfRule>
    <cfRule type="expression" priority="390" dxfId="849" stopIfTrue="1">
      <formula>Devise_Base="AED"</formula>
    </cfRule>
    <cfRule type="expression" priority="391" dxfId="850" stopIfTrue="1">
      <formula>Devise_Base="MRU"</formula>
    </cfRule>
    <cfRule type="expression" priority="392" dxfId="851" stopIfTrue="1">
      <formula>Devise_Base="GNF"</formula>
    </cfRule>
  </conditionalFormatting>
  <hyperlinks>
    <hyperlink ref="B3" location="'Accueil'!A1"/>
    <hyperlink ref="G3" location="'Paramètres'!A1"/>
    <hyperlink ref="L3" location="'Estimation Annuelle'!A1"/>
    <hyperlink ref="Q3" location="'Journal'!A1"/>
    <hyperlink ref="V3" location="'Tableau de Bord'!A1"/>
  </hyperlink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B8860B"/>
    <outlinePr summaryBelow="1" summaryRight="1"/>
    <pageSetUpPr/>
  </sheetPr>
  <dimension ref="A1:P94"/>
  <sheetViews>
    <sheetView showGridLines="0" zoomScale="85" workbookViewId="0">
      <pane ySplit="5" topLeftCell="A6" activePane="bottomLeft" state="frozen"/>
      <selection pane="bottomLeft" activeCell="A1" sqref="A1"/>
    </sheetView>
  </sheetViews>
  <sheetFormatPr baseColWidth="8" defaultRowHeight="15"/>
  <cols>
    <col width="2" customWidth="1" min="1" max="1"/>
    <col width="5" customWidth="1" min="2" max="2"/>
    <col width="1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ht="52" customHeight="1">
      <c r="B1" s="46" t="inlineStr">
        <is>
          <t>SYNTHÈSE ANNUELLE</t>
        </is>
      </c>
      <c r="C1" s="47" t="n"/>
      <c r="D1" s="47" t="n"/>
      <c r="E1" s="47" t="n"/>
      <c r="F1" s="47" t="n"/>
      <c r="G1" s="47" t="n"/>
      <c r="H1" s="47" t="n"/>
      <c r="I1" s="47" t="n"/>
      <c r="J1" s="47" t="n"/>
      <c r="K1" s="47" t="n"/>
      <c r="L1" s="47" t="n"/>
      <c r="M1" s="47" t="n"/>
      <c r="N1" s="47" t="n"/>
      <c r="O1" s="47" t="n"/>
      <c r="P1" s="47" t="n"/>
    </row>
    <row r="2" ht="20" customHeight="1">
      <c r="B2" s="114">
        <f>"Année "&amp;Annee_Travail&amp;"  •  "&amp;Nom_Foyer&amp;"  •  montants en "&amp;Devise_Base</f>
        <v/>
      </c>
      <c r="C2" s="7" t="n"/>
      <c r="D2" s="7" t="n"/>
      <c r="E2" s="7" t="n"/>
      <c r="F2" s="7" t="n"/>
      <c r="G2" s="7" t="n"/>
      <c r="H2" s="7" t="n"/>
      <c r="I2" s="7" t="n"/>
      <c r="J2" s="7" t="n"/>
      <c r="K2" s="7" t="n"/>
      <c r="L2" s="7" t="n"/>
      <c r="M2" s="7" t="n"/>
      <c r="N2" s="7" t="n"/>
      <c r="O2" s="7" t="n"/>
      <c r="P2" s="7" t="n"/>
    </row>
    <row r="3" ht="20" customHeight="1">
      <c r="B3" s="49" t="inlineStr">
        <is>
          <t>⌂  ACCUEIL</t>
        </is>
      </c>
      <c r="C3" s="42" t="n"/>
      <c r="D3" s="49" t="inlineStr">
        <is>
          <t>①  MES INFOS</t>
        </is>
      </c>
      <c r="E3" s="42" t="n"/>
      <c r="F3" s="49" t="inlineStr">
        <is>
          <t>②  ESTIMATION</t>
        </is>
      </c>
      <c r="G3" s="42" t="n"/>
      <c r="H3" s="49" t="inlineStr">
        <is>
          <t>③  BUDGET SMART</t>
        </is>
      </c>
      <c r="I3" s="42" t="n"/>
      <c r="J3" s="49" t="inlineStr">
        <is>
          <t>TABLEAU DE BORD</t>
        </is>
      </c>
      <c r="K3" s="42" t="n"/>
      <c r="L3" s="49" t="inlineStr">
        <is>
          <t>BUDGET 12 MOIS</t>
        </is>
      </c>
      <c r="M3" s="42" t="n"/>
    </row>
    <row r="4" ht="6" customHeight="1"/>
    <row r="5" ht="18" customHeight="1">
      <c r="B5" s="31" t="inlineStr">
        <is>
          <t>REVENUS DE L'ANNÉE</t>
        </is>
      </c>
      <c r="C5" s="74" t="n"/>
      <c r="D5" s="32" t="n"/>
      <c r="E5" s="29" t="inlineStr">
        <is>
          <t>DÉPENSES DE L'ANNÉE</t>
        </is>
      </c>
      <c r="F5" s="75" t="n"/>
      <c r="G5" s="30" t="n"/>
      <c r="H5" s="76" t="inlineStr">
        <is>
          <t>ÉPARGNE + INVESTISSEMENT</t>
        </is>
      </c>
      <c r="I5" s="77" t="n"/>
      <c r="J5" s="78" t="n"/>
      <c r="K5" s="27" t="inlineStr">
        <is>
          <t>SOLDE ANNUEL</t>
        </is>
      </c>
      <c r="L5" s="79" t="n"/>
      <c r="M5" s="28" t="n"/>
      <c r="N5" s="120" t="inlineStr">
        <is>
          <t>TAUX D'ÉPARGNE MOYEN</t>
        </is>
      </c>
      <c r="O5" s="121" t="n"/>
      <c r="P5" s="122" t="n"/>
    </row>
    <row r="6" ht="30" customHeight="1">
      <c r="B6" s="36">
        <f>Calculs!$D$18</f>
        <v/>
      </c>
      <c r="C6" s="83" t="n"/>
      <c r="D6" s="34" t="n"/>
      <c r="E6" s="35">
        <f>Calculs!$E$18</f>
        <v/>
      </c>
      <c r="F6" s="83" t="n"/>
      <c r="G6" s="34" t="n"/>
      <c r="H6" s="84">
        <f>Calculs!$F$18+Calculs!$G$18</f>
        <v/>
      </c>
      <c r="I6" s="83" t="n"/>
      <c r="J6" s="34" t="n"/>
      <c r="K6" s="33">
        <f>Calculs!$J$18</f>
        <v/>
      </c>
      <c r="L6" s="83" t="n"/>
      <c r="M6" s="34" t="n"/>
      <c r="N6" s="123">
        <f>Calculs!$L$18</f>
        <v/>
      </c>
      <c r="O6" s="83" t="n"/>
      <c r="P6" s="34" t="n"/>
    </row>
    <row r="7" ht="16" customHeight="1">
      <c r="B7" s="37" t="inlineStr"/>
      <c r="C7" s="86" t="n"/>
      <c r="D7" s="38" t="n"/>
      <c r="E7" s="37" t="inlineStr"/>
      <c r="F7" s="86" t="n"/>
      <c r="G7" s="38" t="n"/>
      <c r="H7" s="37" t="inlineStr"/>
      <c r="I7" s="86" t="n"/>
      <c r="J7" s="38" t="n"/>
      <c r="K7" s="37" t="inlineStr"/>
      <c r="L7" s="86" t="n"/>
      <c r="M7" s="38" t="n"/>
      <c r="N7" s="37" t="inlineStr"/>
      <c r="O7" s="86" t="n"/>
      <c r="P7" s="38" t="n"/>
    </row>
    <row r="8"/>
    <row r="9" ht="18" customHeight="1">
      <c r="B9" s="93" t="inlineStr">
        <is>
          <t>TRÉSORERIE FIN D'ANNÉE</t>
        </is>
      </c>
      <c r="C9" s="94" t="n"/>
      <c r="D9" s="95" t="n"/>
      <c r="E9" s="80" t="inlineStr">
        <is>
          <t>DÉPENSE MOYENNE / MOIS</t>
        </is>
      </c>
      <c r="F9" s="81" t="n"/>
      <c r="G9" s="82" t="n"/>
      <c r="H9" s="31" t="inlineStr">
        <is>
          <t>MEILLEUR MOIS</t>
        </is>
      </c>
      <c r="I9" s="74" t="n"/>
      <c r="J9" s="32" t="n"/>
      <c r="K9" s="29" t="inlineStr">
        <is>
          <t>MOIS LE PLUS TENDU</t>
        </is>
      </c>
      <c r="L9" s="75" t="n"/>
      <c r="M9" s="30" t="n"/>
      <c r="N9" s="124" t="inlineStr">
        <is>
          <t>ÉCART AU BUDGET</t>
        </is>
      </c>
      <c r="O9" s="125" t="n"/>
      <c r="P9" s="126" t="n"/>
    </row>
    <row r="10" ht="30" customHeight="1">
      <c r="B10" s="127">
        <f>Calculs!$K$18</f>
        <v/>
      </c>
      <c r="C10" s="83" t="n"/>
      <c r="D10" s="34" t="n"/>
      <c r="E10" s="97">
        <f>IFERROR(Calculs!$E$18/12,0)</f>
        <v/>
      </c>
      <c r="F10" s="83" t="n"/>
      <c r="G10" s="34" t="n"/>
      <c r="H10" s="197">
        <f>IFERROR(INDEX(Calculs!$C$6:$C$17,MATCH(MAX(Calculs!$J$6:$J$17),Calculs!$J$6:$J$17,0)),"—")</f>
        <v/>
      </c>
      <c r="I10" s="83" t="n"/>
      <c r="J10" s="34" t="n"/>
      <c r="K10" s="198">
        <f>IFERROR(INDEX(Calculs!$C$6:$C$17,MATCH(MIN(Calculs!$J$6:$J$17),Calculs!$J$6:$J$17,0)),"—")</f>
        <v/>
      </c>
      <c r="L10" s="83" t="n"/>
      <c r="M10" s="34" t="n"/>
      <c r="N10" s="128">
        <f>Calculs!$N$18</f>
        <v/>
      </c>
      <c r="O10" s="83" t="n"/>
      <c r="P10" s="34" t="n"/>
    </row>
    <row r="11" ht="16" customHeight="1">
      <c r="B11" s="37" t="inlineStr"/>
      <c r="C11" s="86" t="n"/>
      <c r="D11" s="38" t="n"/>
      <c r="E11" s="37" t="inlineStr"/>
      <c r="F11" s="86" t="n"/>
      <c r="G11" s="38" t="n"/>
      <c r="H11" s="98">
        <f>"Solde : "&amp;FIXED(MAX(Calculs!$J$6:$J$17),0)</f>
        <v/>
      </c>
      <c r="I11" s="86" t="n"/>
      <c r="J11" s="38" t="n"/>
      <c r="K11" s="98">
        <f>"Solde : "&amp;FIXED(MIN(Calculs!$J$6:$J$17),0)</f>
        <v/>
      </c>
      <c r="L11" s="86" t="n"/>
      <c r="M11" s="38" t="n"/>
      <c r="N11" s="37" t="inlineStr">
        <is>
          <t>Positif = dépenses inférieures au plan</t>
        </is>
      </c>
      <c r="O11" s="86" t="n"/>
      <c r="P11" s="38" t="n"/>
    </row>
    <row r="12"/>
    <row r="13" ht="24" customHeight="1">
      <c r="B13" s="6" t="inlineStr">
        <is>
          <t>TABLEAU ANNUEL DÉTAILLÉ</t>
        </is>
      </c>
      <c r="C13" s="7" t="n"/>
      <c r="D13" s="7" t="n"/>
      <c r="E13" s="7" t="n"/>
      <c r="F13" s="7" t="n"/>
      <c r="G13" s="7" t="n"/>
      <c r="H13" s="7" t="n"/>
      <c r="I13" s="7" t="n"/>
      <c r="J13" s="7" t="n"/>
      <c r="K13" s="7" t="n"/>
      <c r="L13" s="7" t="n"/>
      <c r="M13" s="7" t="n"/>
      <c r="N13" s="7" t="n"/>
      <c r="O13" s="7" t="n"/>
      <c r="P13" s="7" t="n"/>
    </row>
    <row r="14" ht="30" customHeight="1">
      <c r="B14" s="63" t="inlineStr"/>
      <c r="C14" s="63" t="inlineStr">
        <is>
          <t>Mois</t>
        </is>
      </c>
      <c r="D14" s="63" t="inlineStr">
        <is>
          <t>Revenus</t>
        </is>
      </c>
      <c r="E14" s="63" t="inlineStr">
        <is>
          <t>Dépenses</t>
        </is>
      </c>
      <c r="F14" s="63" t="inlineStr">
        <is>
          <t>Épargne</t>
        </is>
      </c>
      <c r="G14" s="63" t="inlineStr">
        <is>
          <t>Investissement</t>
        </is>
      </c>
      <c r="H14" s="63" t="inlineStr">
        <is>
          <t>Remb. crédit</t>
        </is>
      </c>
      <c r="I14" s="63" t="inlineStr">
        <is>
          <t>Total sorties</t>
        </is>
      </c>
      <c r="J14" s="63" t="inlineStr">
        <is>
          <t>Solde</t>
        </is>
      </c>
      <c r="K14" s="63" t="inlineStr">
        <is>
          <t>Trésorerie cumulée</t>
        </is>
      </c>
      <c r="L14" s="63" t="inlineStr">
        <is>
          <t>Taux d'épargne</t>
        </is>
      </c>
      <c r="M14" s="63" t="inlineStr">
        <is>
          <t>Dépenses prévues</t>
        </is>
      </c>
      <c r="N14" s="63" t="inlineStr">
        <is>
          <t>Écart budget</t>
        </is>
      </c>
      <c r="O14" s="63" t="inlineStr">
        <is>
          <t>Revenus prévus</t>
        </is>
      </c>
      <c r="P14" s="63" t="inlineStr">
        <is>
          <t>Écart revenus</t>
        </is>
      </c>
    </row>
    <row r="15">
      <c r="B15" s="131" t="n"/>
      <c r="C15" s="199">
        <f>Calculs!$C$6</f>
        <v/>
      </c>
      <c r="D15" s="66">
        <f>Calculs!$D$6</f>
        <v/>
      </c>
      <c r="E15" s="66">
        <f>Calculs!$E$6</f>
        <v/>
      </c>
      <c r="F15" s="66">
        <f>Calculs!$F$6</f>
        <v/>
      </c>
      <c r="G15" s="66">
        <f>Calculs!$G$6</f>
        <v/>
      </c>
      <c r="H15" s="66">
        <f>Calculs!$H$6</f>
        <v/>
      </c>
      <c r="I15" s="66">
        <f>Calculs!$I$6</f>
        <v/>
      </c>
      <c r="J15" s="66">
        <f>Calculs!$J$6</f>
        <v/>
      </c>
      <c r="K15" s="66">
        <f>Calculs!$K$6</f>
        <v/>
      </c>
      <c r="L15" s="132">
        <f>Calculs!$L$6</f>
        <v/>
      </c>
      <c r="M15" s="66">
        <f>Calculs!$M$6</f>
        <v/>
      </c>
      <c r="N15" s="66">
        <f>Calculs!$N$6</f>
        <v/>
      </c>
      <c r="O15" s="66">
        <f>Calculs!$O$6</f>
        <v/>
      </c>
      <c r="P15" s="66">
        <f>Calculs!$D$6-Calculs!$O$6</f>
        <v/>
      </c>
    </row>
    <row r="16">
      <c r="B16" s="131" t="n"/>
      <c r="C16" s="199">
        <f>Calculs!$C$7</f>
        <v/>
      </c>
      <c r="D16" s="66">
        <f>Calculs!$D$7</f>
        <v/>
      </c>
      <c r="E16" s="66">
        <f>Calculs!$E$7</f>
        <v/>
      </c>
      <c r="F16" s="66">
        <f>Calculs!$F$7</f>
        <v/>
      </c>
      <c r="G16" s="66">
        <f>Calculs!$G$7</f>
        <v/>
      </c>
      <c r="H16" s="66">
        <f>Calculs!$H$7</f>
        <v/>
      </c>
      <c r="I16" s="66">
        <f>Calculs!$I$7</f>
        <v/>
      </c>
      <c r="J16" s="66">
        <f>Calculs!$J$7</f>
        <v/>
      </c>
      <c r="K16" s="66">
        <f>Calculs!$K$7</f>
        <v/>
      </c>
      <c r="L16" s="132">
        <f>Calculs!$L$7</f>
        <v/>
      </c>
      <c r="M16" s="66">
        <f>Calculs!$M$7</f>
        <v/>
      </c>
      <c r="N16" s="66">
        <f>Calculs!$N$7</f>
        <v/>
      </c>
      <c r="O16" s="66">
        <f>Calculs!$O$7</f>
        <v/>
      </c>
      <c r="P16" s="66">
        <f>Calculs!$D$7-Calculs!$O$7</f>
        <v/>
      </c>
    </row>
    <row r="17">
      <c r="B17" s="131" t="n"/>
      <c r="C17" s="199">
        <f>Calculs!$C$8</f>
        <v/>
      </c>
      <c r="D17" s="66">
        <f>Calculs!$D$8</f>
        <v/>
      </c>
      <c r="E17" s="66">
        <f>Calculs!$E$8</f>
        <v/>
      </c>
      <c r="F17" s="66">
        <f>Calculs!$F$8</f>
        <v/>
      </c>
      <c r="G17" s="66">
        <f>Calculs!$G$8</f>
        <v/>
      </c>
      <c r="H17" s="66">
        <f>Calculs!$H$8</f>
        <v/>
      </c>
      <c r="I17" s="66">
        <f>Calculs!$I$8</f>
        <v/>
      </c>
      <c r="J17" s="66">
        <f>Calculs!$J$8</f>
        <v/>
      </c>
      <c r="K17" s="66">
        <f>Calculs!$K$8</f>
        <v/>
      </c>
      <c r="L17" s="132">
        <f>Calculs!$L$8</f>
        <v/>
      </c>
      <c r="M17" s="66">
        <f>Calculs!$M$8</f>
        <v/>
      </c>
      <c r="N17" s="66">
        <f>Calculs!$N$8</f>
        <v/>
      </c>
      <c r="O17" s="66">
        <f>Calculs!$O$8</f>
        <v/>
      </c>
      <c r="P17" s="66">
        <f>Calculs!$D$8-Calculs!$O$8</f>
        <v/>
      </c>
    </row>
    <row r="18">
      <c r="B18" s="131" t="n"/>
      <c r="C18" s="199">
        <f>Calculs!$C$9</f>
        <v/>
      </c>
      <c r="D18" s="66">
        <f>Calculs!$D$9</f>
        <v/>
      </c>
      <c r="E18" s="66">
        <f>Calculs!$E$9</f>
        <v/>
      </c>
      <c r="F18" s="66">
        <f>Calculs!$F$9</f>
        <v/>
      </c>
      <c r="G18" s="66">
        <f>Calculs!$G$9</f>
        <v/>
      </c>
      <c r="H18" s="66">
        <f>Calculs!$H$9</f>
        <v/>
      </c>
      <c r="I18" s="66">
        <f>Calculs!$I$9</f>
        <v/>
      </c>
      <c r="J18" s="66">
        <f>Calculs!$J$9</f>
        <v/>
      </c>
      <c r="K18" s="66">
        <f>Calculs!$K$9</f>
        <v/>
      </c>
      <c r="L18" s="132">
        <f>Calculs!$L$9</f>
        <v/>
      </c>
      <c r="M18" s="66">
        <f>Calculs!$M$9</f>
        <v/>
      </c>
      <c r="N18" s="66">
        <f>Calculs!$N$9</f>
        <v/>
      </c>
      <c r="O18" s="66">
        <f>Calculs!$O$9</f>
        <v/>
      </c>
      <c r="P18" s="66">
        <f>Calculs!$D$9-Calculs!$O$9</f>
        <v/>
      </c>
    </row>
    <row r="19">
      <c r="B19" s="131" t="n"/>
      <c r="C19" s="199">
        <f>Calculs!$C$10</f>
        <v/>
      </c>
      <c r="D19" s="66">
        <f>Calculs!$D$10</f>
        <v/>
      </c>
      <c r="E19" s="66">
        <f>Calculs!$E$10</f>
        <v/>
      </c>
      <c r="F19" s="66">
        <f>Calculs!$F$10</f>
        <v/>
      </c>
      <c r="G19" s="66">
        <f>Calculs!$G$10</f>
        <v/>
      </c>
      <c r="H19" s="66">
        <f>Calculs!$H$10</f>
        <v/>
      </c>
      <c r="I19" s="66">
        <f>Calculs!$I$10</f>
        <v/>
      </c>
      <c r="J19" s="66">
        <f>Calculs!$J$10</f>
        <v/>
      </c>
      <c r="K19" s="66">
        <f>Calculs!$K$10</f>
        <v/>
      </c>
      <c r="L19" s="132">
        <f>Calculs!$L$10</f>
        <v/>
      </c>
      <c r="M19" s="66">
        <f>Calculs!$M$10</f>
        <v/>
      </c>
      <c r="N19" s="66">
        <f>Calculs!$N$10</f>
        <v/>
      </c>
      <c r="O19" s="66">
        <f>Calculs!$O$10</f>
        <v/>
      </c>
      <c r="P19" s="66">
        <f>Calculs!$D$10-Calculs!$O$10</f>
        <v/>
      </c>
    </row>
    <row r="20">
      <c r="B20" s="131" t="n"/>
      <c r="C20" s="199">
        <f>Calculs!$C$11</f>
        <v/>
      </c>
      <c r="D20" s="66">
        <f>Calculs!$D$11</f>
        <v/>
      </c>
      <c r="E20" s="66">
        <f>Calculs!$E$11</f>
        <v/>
      </c>
      <c r="F20" s="66">
        <f>Calculs!$F$11</f>
        <v/>
      </c>
      <c r="G20" s="66">
        <f>Calculs!$G$11</f>
        <v/>
      </c>
      <c r="H20" s="66">
        <f>Calculs!$H$11</f>
        <v/>
      </c>
      <c r="I20" s="66">
        <f>Calculs!$I$11</f>
        <v/>
      </c>
      <c r="J20" s="66">
        <f>Calculs!$J$11</f>
        <v/>
      </c>
      <c r="K20" s="66">
        <f>Calculs!$K$11</f>
        <v/>
      </c>
      <c r="L20" s="132">
        <f>Calculs!$L$11</f>
        <v/>
      </c>
      <c r="M20" s="66">
        <f>Calculs!$M$11</f>
        <v/>
      </c>
      <c r="N20" s="66">
        <f>Calculs!$N$11</f>
        <v/>
      </c>
      <c r="O20" s="66">
        <f>Calculs!$O$11</f>
        <v/>
      </c>
      <c r="P20" s="66">
        <f>Calculs!$D$11-Calculs!$O$11</f>
        <v/>
      </c>
    </row>
    <row r="21">
      <c r="B21" s="131" t="n"/>
      <c r="C21" s="199">
        <f>Calculs!$C$12</f>
        <v/>
      </c>
      <c r="D21" s="66">
        <f>Calculs!$D$12</f>
        <v/>
      </c>
      <c r="E21" s="66">
        <f>Calculs!$E$12</f>
        <v/>
      </c>
      <c r="F21" s="66">
        <f>Calculs!$F$12</f>
        <v/>
      </c>
      <c r="G21" s="66">
        <f>Calculs!$G$12</f>
        <v/>
      </c>
      <c r="H21" s="66">
        <f>Calculs!$H$12</f>
        <v/>
      </c>
      <c r="I21" s="66">
        <f>Calculs!$I$12</f>
        <v/>
      </c>
      <c r="J21" s="66">
        <f>Calculs!$J$12</f>
        <v/>
      </c>
      <c r="K21" s="66">
        <f>Calculs!$K$12</f>
        <v/>
      </c>
      <c r="L21" s="132">
        <f>Calculs!$L$12</f>
        <v/>
      </c>
      <c r="M21" s="66">
        <f>Calculs!$M$12</f>
        <v/>
      </c>
      <c r="N21" s="66">
        <f>Calculs!$N$12</f>
        <v/>
      </c>
      <c r="O21" s="66">
        <f>Calculs!$O$12</f>
        <v/>
      </c>
      <c r="P21" s="66">
        <f>Calculs!$D$12-Calculs!$O$12</f>
        <v/>
      </c>
    </row>
    <row r="22">
      <c r="B22" s="131" t="n"/>
      <c r="C22" s="199">
        <f>Calculs!$C$13</f>
        <v/>
      </c>
      <c r="D22" s="66">
        <f>Calculs!$D$13</f>
        <v/>
      </c>
      <c r="E22" s="66">
        <f>Calculs!$E$13</f>
        <v/>
      </c>
      <c r="F22" s="66">
        <f>Calculs!$F$13</f>
        <v/>
      </c>
      <c r="G22" s="66">
        <f>Calculs!$G$13</f>
        <v/>
      </c>
      <c r="H22" s="66">
        <f>Calculs!$H$13</f>
        <v/>
      </c>
      <c r="I22" s="66">
        <f>Calculs!$I$13</f>
        <v/>
      </c>
      <c r="J22" s="66">
        <f>Calculs!$J$13</f>
        <v/>
      </c>
      <c r="K22" s="66">
        <f>Calculs!$K$13</f>
        <v/>
      </c>
      <c r="L22" s="132">
        <f>Calculs!$L$13</f>
        <v/>
      </c>
      <c r="M22" s="66">
        <f>Calculs!$M$13</f>
        <v/>
      </c>
      <c r="N22" s="66">
        <f>Calculs!$N$13</f>
        <v/>
      </c>
      <c r="O22" s="66">
        <f>Calculs!$O$13</f>
        <v/>
      </c>
      <c r="P22" s="66">
        <f>Calculs!$D$13-Calculs!$O$13</f>
        <v/>
      </c>
    </row>
    <row r="23">
      <c r="B23" s="131" t="n"/>
      <c r="C23" s="199">
        <f>Calculs!$C$14</f>
        <v/>
      </c>
      <c r="D23" s="66">
        <f>Calculs!$D$14</f>
        <v/>
      </c>
      <c r="E23" s="66">
        <f>Calculs!$E$14</f>
        <v/>
      </c>
      <c r="F23" s="66">
        <f>Calculs!$F$14</f>
        <v/>
      </c>
      <c r="G23" s="66">
        <f>Calculs!$G$14</f>
        <v/>
      </c>
      <c r="H23" s="66">
        <f>Calculs!$H$14</f>
        <v/>
      </c>
      <c r="I23" s="66">
        <f>Calculs!$I$14</f>
        <v/>
      </c>
      <c r="J23" s="66">
        <f>Calculs!$J$14</f>
        <v/>
      </c>
      <c r="K23" s="66">
        <f>Calculs!$K$14</f>
        <v/>
      </c>
      <c r="L23" s="132">
        <f>Calculs!$L$14</f>
        <v/>
      </c>
      <c r="M23" s="66">
        <f>Calculs!$M$14</f>
        <v/>
      </c>
      <c r="N23" s="66">
        <f>Calculs!$N$14</f>
        <v/>
      </c>
      <c r="O23" s="66">
        <f>Calculs!$O$14</f>
        <v/>
      </c>
      <c r="P23" s="66">
        <f>Calculs!$D$14-Calculs!$O$14</f>
        <v/>
      </c>
    </row>
    <row r="24">
      <c r="B24" s="131" t="n"/>
      <c r="C24" s="199">
        <f>Calculs!$C$15</f>
        <v/>
      </c>
      <c r="D24" s="66">
        <f>Calculs!$D$15</f>
        <v/>
      </c>
      <c r="E24" s="66">
        <f>Calculs!$E$15</f>
        <v/>
      </c>
      <c r="F24" s="66">
        <f>Calculs!$F$15</f>
        <v/>
      </c>
      <c r="G24" s="66">
        <f>Calculs!$G$15</f>
        <v/>
      </c>
      <c r="H24" s="66">
        <f>Calculs!$H$15</f>
        <v/>
      </c>
      <c r="I24" s="66">
        <f>Calculs!$I$15</f>
        <v/>
      </c>
      <c r="J24" s="66">
        <f>Calculs!$J$15</f>
        <v/>
      </c>
      <c r="K24" s="66">
        <f>Calculs!$K$15</f>
        <v/>
      </c>
      <c r="L24" s="132">
        <f>Calculs!$L$15</f>
        <v/>
      </c>
      <c r="M24" s="66">
        <f>Calculs!$M$15</f>
        <v/>
      </c>
      <c r="N24" s="66">
        <f>Calculs!$N$15</f>
        <v/>
      </c>
      <c r="O24" s="66">
        <f>Calculs!$O$15</f>
        <v/>
      </c>
      <c r="P24" s="66">
        <f>Calculs!$D$15-Calculs!$O$15</f>
        <v/>
      </c>
    </row>
    <row r="25">
      <c r="B25" s="131" t="n"/>
      <c r="C25" s="199">
        <f>Calculs!$C$16</f>
        <v/>
      </c>
      <c r="D25" s="66">
        <f>Calculs!$D$16</f>
        <v/>
      </c>
      <c r="E25" s="66">
        <f>Calculs!$E$16</f>
        <v/>
      </c>
      <c r="F25" s="66">
        <f>Calculs!$F$16</f>
        <v/>
      </c>
      <c r="G25" s="66">
        <f>Calculs!$G$16</f>
        <v/>
      </c>
      <c r="H25" s="66">
        <f>Calculs!$H$16</f>
        <v/>
      </c>
      <c r="I25" s="66">
        <f>Calculs!$I$16</f>
        <v/>
      </c>
      <c r="J25" s="66">
        <f>Calculs!$J$16</f>
        <v/>
      </c>
      <c r="K25" s="66">
        <f>Calculs!$K$16</f>
        <v/>
      </c>
      <c r="L25" s="132">
        <f>Calculs!$L$16</f>
        <v/>
      </c>
      <c r="M25" s="66">
        <f>Calculs!$M$16</f>
        <v/>
      </c>
      <c r="N25" s="66">
        <f>Calculs!$N$16</f>
        <v/>
      </c>
      <c r="O25" s="66">
        <f>Calculs!$O$16</f>
        <v/>
      </c>
      <c r="P25" s="66">
        <f>Calculs!$D$16-Calculs!$O$16</f>
        <v/>
      </c>
    </row>
    <row r="26">
      <c r="B26" s="131" t="n"/>
      <c r="C26" s="199">
        <f>Calculs!$C$17</f>
        <v/>
      </c>
      <c r="D26" s="66">
        <f>Calculs!$D$17</f>
        <v/>
      </c>
      <c r="E26" s="66">
        <f>Calculs!$E$17</f>
        <v/>
      </c>
      <c r="F26" s="66">
        <f>Calculs!$F$17</f>
        <v/>
      </c>
      <c r="G26" s="66">
        <f>Calculs!$G$17</f>
        <v/>
      </c>
      <c r="H26" s="66">
        <f>Calculs!$H$17</f>
        <v/>
      </c>
      <c r="I26" s="66">
        <f>Calculs!$I$17</f>
        <v/>
      </c>
      <c r="J26" s="66">
        <f>Calculs!$J$17</f>
        <v/>
      </c>
      <c r="K26" s="66">
        <f>Calculs!$K$17</f>
        <v/>
      </c>
      <c r="L26" s="132">
        <f>Calculs!$L$17</f>
        <v/>
      </c>
      <c r="M26" s="66">
        <f>Calculs!$M$17</f>
        <v/>
      </c>
      <c r="N26" s="66">
        <f>Calculs!$N$17</f>
        <v/>
      </c>
      <c r="O26" s="66">
        <f>Calculs!$O$17</f>
        <v/>
      </c>
      <c r="P26" s="66">
        <f>Calculs!$D$17-Calculs!$O$17</f>
        <v/>
      </c>
    </row>
    <row r="27">
      <c r="B27" s="134" t="n"/>
      <c r="C27" s="134" t="inlineStr">
        <is>
          <t>TOTAL</t>
        </is>
      </c>
      <c r="D27" s="135">
        <f>SUM(D15:D26)</f>
        <v/>
      </c>
      <c r="E27" s="135">
        <f>SUM(E15:E26)</f>
        <v/>
      </c>
      <c r="F27" s="135">
        <f>SUM(F15:F26)</f>
        <v/>
      </c>
      <c r="G27" s="135">
        <f>SUM(G15:G26)</f>
        <v/>
      </c>
      <c r="H27" s="135">
        <f>SUM(H15:H26)</f>
        <v/>
      </c>
      <c r="I27" s="135">
        <f>SUM(I15:I26)</f>
        <v/>
      </c>
      <c r="J27" s="135">
        <f>SUM(J15:J26)</f>
        <v/>
      </c>
      <c r="K27" s="135">
        <f>K26</f>
        <v/>
      </c>
      <c r="L27" s="136">
        <f>Calculs!$L$18</f>
        <v/>
      </c>
      <c r="M27" s="135">
        <f>SUM(M15:M26)</f>
        <v/>
      </c>
      <c r="N27" s="135">
        <f>SUM(N15:N26)</f>
        <v/>
      </c>
      <c r="O27" s="135">
        <f>SUM(O15:O26)</f>
        <v/>
      </c>
      <c r="P27" s="135">
        <f>SUM(P15:P26)</f>
        <v/>
      </c>
    </row>
    <row r="28"/>
    <row r="29"/>
    <row r="30" ht="24" customHeight="1">
      <c r="B30" s="6" t="inlineStr">
        <is>
          <t>GRAPHIQUES DE L'ANNÉE</t>
        </is>
      </c>
      <c r="C30" s="7" t="n"/>
      <c r="D30" s="7" t="n"/>
      <c r="E30" s="7" t="n"/>
      <c r="F30" s="7" t="n"/>
      <c r="G30" s="7" t="n"/>
      <c r="H30" s="7" t="n"/>
      <c r="I30" s="7" t="n"/>
      <c r="J30" s="7" t="n"/>
      <c r="K30" s="7" t="n"/>
      <c r="L30" s="7" t="n"/>
      <c r="M30" s="7" t="n"/>
      <c r="N30" s="7" t="n"/>
      <c r="O30" s="7" t="n"/>
      <c r="P30" s="7" t="n"/>
    </row>
    <row r="31"/>
    <row r="32"/>
    <row r="33"/>
    <row r="34"/>
    <row r="35"/>
    <row r="36"/>
    <row r="37"/>
    <row r="38"/>
    <row r="39"/>
    <row r="40"/>
    <row r="41"/>
    <row r="42"/>
    <row r="43"/>
    <row r="44"/>
    <row r="45"/>
    <row r="46"/>
    <row r="47"/>
    <row r="48"/>
    <row r="49"/>
    <row r="50" ht="24" customHeight="1">
      <c r="B50" s="6" t="inlineStr">
        <is>
          <t>COMPARAISON AVEC L'ANNÉE PRÉCÉDENTE</t>
        </is>
      </c>
      <c r="C50" s="7" t="n"/>
      <c r="D50" s="7" t="n"/>
      <c r="E50" s="7" t="n"/>
      <c r="F50" s="7" t="n"/>
      <c r="G50" s="7" t="n"/>
      <c r="H50" s="7" t="n"/>
      <c r="I50" s="7" t="n"/>
      <c r="J50" s="7" t="n"/>
      <c r="K50" s="7" t="n"/>
      <c r="L50" s="7" t="n"/>
      <c r="M50" s="7" t="n"/>
      <c r="N50" s="7" t="n"/>
      <c r="O50" s="7" t="n"/>
      <c r="P50" s="7" t="n"/>
    </row>
    <row r="51" ht="30" customHeight="1">
      <c r="B51" s="63" t="inlineStr"/>
      <c r="C51" s="63" t="inlineStr">
        <is>
          <t>Mois</t>
        </is>
      </c>
      <c r="D51" s="63" t="inlineStr">
        <is>
          <t>Dépenses N</t>
        </is>
      </c>
      <c r="E51" s="63" t="inlineStr">
        <is>
          <t>Dépenses N-1</t>
        </is>
      </c>
      <c r="F51" s="63" t="inlineStr">
        <is>
          <t>Variation</t>
        </is>
      </c>
      <c r="G51" s="63" t="inlineStr">
        <is>
          <t>Revenus N</t>
        </is>
      </c>
      <c r="H51" s="63" t="inlineStr">
        <is>
          <t>Revenus N-1</t>
        </is>
      </c>
      <c r="I51" s="63" t="inlineStr">
        <is>
          <t>Variation</t>
        </is>
      </c>
    </row>
    <row r="52">
      <c r="B52" s="131" t="n"/>
      <c r="C52" s="199">
        <f>Calculs!$B$232</f>
        <v/>
      </c>
      <c r="D52" s="66">
        <f>Calculs!$C$232</f>
        <v/>
      </c>
      <c r="E52" s="66">
        <f>Calculs!$D$232</f>
        <v/>
      </c>
      <c r="F52" s="132">
        <f>IFERROR($D52/$E52-1,0)</f>
        <v/>
      </c>
      <c r="G52" s="66">
        <f>Calculs!$E$232</f>
        <v/>
      </c>
      <c r="H52" s="66">
        <f>Calculs!$F$232</f>
        <v/>
      </c>
      <c r="I52" s="132">
        <f>IFERROR($G52/$H52-1,0)</f>
        <v/>
      </c>
    </row>
    <row r="53">
      <c r="B53" s="131" t="n"/>
      <c r="C53" s="199">
        <f>Calculs!$B$233</f>
        <v/>
      </c>
      <c r="D53" s="66">
        <f>Calculs!$C$233</f>
        <v/>
      </c>
      <c r="E53" s="66">
        <f>Calculs!$D$233</f>
        <v/>
      </c>
      <c r="F53" s="132">
        <f>IFERROR($D53/$E53-1,0)</f>
        <v/>
      </c>
      <c r="G53" s="66">
        <f>Calculs!$E$233</f>
        <v/>
      </c>
      <c r="H53" s="66">
        <f>Calculs!$F$233</f>
        <v/>
      </c>
      <c r="I53" s="132">
        <f>IFERROR($G53/$H53-1,0)</f>
        <v/>
      </c>
    </row>
    <row r="54">
      <c r="B54" s="131" t="n"/>
      <c r="C54" s="199">
        <f>Calculs!$B$234</f>
        <v/>
      </c>
      <c r="D54" s="66">
        <f>Calculs!$C$234</f>
        <v/>
      </c>
      <c r="E54" s="66">
        <f>Calculs!$D$234</f>
        <v/>
      </c>
      <c r="F54" s="132">
        <f>IFERROR($D54/$E54-1,0)</f>
        <v/>
      </c>
      <c r="G54" s="66">
        <f>Calculs!$E$234</f>
        <v/>
      </c>
      <c r="H54" s="66">
        <f>Calculs!$F$234</f>
        <v/>
      </c>
      <c r="I54" s="132">
        <f>IFERROR($G54/$H54-1,0)</f>
        <v/>
      </c>
    </row>
    <row r="55">
      <c r="B55" s="131" t="n"/>
      <c r="C55" s="199">
        <f>Calculs!$B$235</f>
        <v/>
      </c>
      <c r="D55" s="66">
        <f>Calculs!$C$235</f>
        <v/>
      </c>
      <c r="E55" s="66">
        <f>Calculs!$D$235</f>
        <v/>
      </c>
      <c r="F55" s="132">
        <f>IFERROR($D55/$E55-1,0)</f>
        <v/>
      </c>
      <c r="G55" s="66">
        <f>Calculs!$E$235</f>
        <v/>
      </c>
      <c r="H55" s="66">
        <f>Calculs!$F$235</f>
        <v/>
      </c>
      <c r="I55" s="132">
        <f>IFERROR($G55/$H55-1,0)</f>
        <v/>
      </c>
    </row>
    <row r="56">
      <c r="B56" s="131" t="n"/>
      <c r="C56" s="199">
        <f>Calculs!$B$236</f>
        <v/>
      </c>
      <c r="D56" s="66">
        <f>Calculs!$C$236</f>
        <v/>
      </c>
      <c r="E56" s="66">
        <f>Calculs!$D$236</f>
        <v/>
      </c>
      <c r="F56" s="132">
        <f>IFERROR($D56/$E56-1,0)</f>
        <v/>
      </c>
      <c r="G56" s="66">
        <f>Calculs!$E$236</f>
        <v/>
      </c>
      <c r="H56" s="66">
        <f>Calculs!$F$236</f>
        <v/>
      </c>
      <c r="I56" s="132">
        <f>IFERROR($G56/$H56-1,0)</f>
        <v/>
      </c>
    </row>
    <row r="57">
      <c r="B57" s="131" t="n"/>
      <c r="C57" s="199">
        <f>Calculs!$B$237</f>
        <v/>
      </c>
      <c r="D57" s="66">
        <f>Calculs!$C$237</f>
        <v/>
      </c>
      <c r="E57" s="66">
        <f>Calculs!$D$237</f>
        <v/>
      </c>
      <c r="F57" s="132">
        <f>IFERROR($D57/$E57-1,0)</f>
        <v/>
      </c>
      <c r="G57" s="66">
        <f>Calculs!$E$237</f>
        <v/>
      </c>
      <c r="H57" s="66">
        <f>Calculs!$F$237</f>
        <v/>
      </c>
      <c r="I57" s="132">
        <f>IFERROR($G57/$H57-1,0)</f>
        <v/>
      </c>
    </row>
    <row r="58">
      <c r="B58" s="131" t="n"/>
      <c r="C58" s="199">
        <f>Calculs!$B$238</f>
        <v/>
      </c>
      <c r="D58" s="66">
        <f>Calculs!$C$238</f>
        <v/>
      </c>
      <c r="E58" s="66">
        <f>Calculs!$D$238</f>
        <v/>
      </c>
      <c r="F58" s="132">
        <f>IFERROR($D58/$E58-1,0)</f>
        <v/>
      </c>
      <c r="G58" s="66">
        <f>Calculs!$E$238</f>
        <v/>
      </c>
      <c r="H58" s="66">
        <f>Calculs!$F$238</f>
        <v/>
      </c>
      <c r="I58" s="132">
        <f>IFERROR($G58/$H58-1,0)</f>
        <v/>
      </c>
    </row>
    <row r="59">
      <c r="B59" s="131" t="n"/>
      <c r="C59" s="199">
        <f>Calculs!$B$239</f>
        <v/>
      </c>
      <c r="D59" s="66">
        <f>Calculs!$C$239</f>
        <v/>
      </c>
      <c r="E59" s="66">
        <f>Calculs!$D$239</f>
        <v/>
      </c>
      <c r="F59" s="132">
        <f>IFERROR($D59/$E59-1,0)</f>
        <v/>
      </c>
      <c r="G59" s="66">
        <f>Calculs!$E$239</f>
        <v/>
      </c>
      <c r="H59" s="66">
        <f>Calculs!$F$239</f>
        <v/>
      </c>
      <c r="I59" s="132">
        <f>IFERROR($G59/$H59-1,0)</f>
        <v/>
      </c>
    </row>
    <row r="60">
      <c r="B60" s="131" t="n"/>
      <c r="C60" s="199">
        <f>Calculs!$B$240</f>
        <v/>
      </c>
      <c r="D60" s="66">
        <f>Calculs!$C$240</f>
        <v/>
      </c>
      <c r="E60" s="66">
        <f>Calculs!$D$240</f>
        <v/>
      </c>
      <c r="F60" s="132">
        <f>IFERROR($D60/$E60-1,0)</f>
        <v/>
      </c>
      <c r="G60" s="66">
        <f>Calculs!$E$240</f>
        <v/>
      </c>
      <c r="H60" s="66">
        <f>Calculs!$F$240</f>
        <v/>
      </c>
      <c r="I60" s="132">
        <f>IFERROR($G60/$H60-1,0)</f>
        <v/>
      </c>
    </row>
    <row r="61">
      <c r="B61" s="131" t="n"/>
      <c r="C61" s="199">
        <f>Calculs!$B$241</f>
        <v/>
      </c>
      <c r="D61" s="66">
        <f>Calculs!$C$241</f>
        <v/>
      </c>
      <c r="E61" s="66">
        <f>Calculs!$D$241</f>
        <v/>
      </c>
      <c r="F61" s="132">
        <f>IFERROR($D61/$E61-1,0)</f>
        <v/>
      </c>
      <c r="G61" s="66">
        <f>Calculs!$E$241</f>
        <v/>
      </c>
      <c r="H61" s="66">
        <f>Calculs!$F$241</f>
        <v/>
      </c>
      <c r="I61" s="132">
        <f>IFERROR($G61/$H61-1,0)</f>
        <v/>
      </c>
    </row>
    <row r="62">
      <c r="B62" s="131" t="n"/>
      <c r="C62" s="199">
        <f>Calculs!$B$242</f>
        <v/>
      </c>
      <c r="D62" s="66">
        <f>Calculs!$C$242</f>
        <v/>
      </c>
      <c r="E62" s="66">
        <f>Calculs!$D$242</f>
        <v/>
      </c>
      <c r="F62" s="132">
        <f>IFERROR($D62/$E62-1,0)</f>
        <v/>
      </c>
      <c r="G62" s="66">
        <f>Calculs!$E$242</f>
        <v/>
      </c>
      <c r="H62" s="66">
        <f>Calculs!$F$242</f>
        <v/>
      </c>
      <c r="I62" s="132">
        <f>IFERROR($G62/$H62-1,0)</f>
        <v/>
      </c>
    </row>
    <row r="63">
      <c r="B63" s="131" t="n"/>
      <c r="C63" s="199">
        <f>Calculs!$B$243</f>
        <v/>
      </c>
      <c r="D63" s="66">
        <f>Calculs!$C$243</f>
        <v/>
      </c>
      <c r="E63" s="66">
        <f>Calculs!$D$243</f>
        <v/>
      </c>
      <c r="F63" s="132">
        <f>IFERROR($D63/$E63-1,0)</f>
        <v/>
      </c>
      <c r="G63" s="66">
        <f>Calculs!$E$243</f>
        <v/>
      </c>
      <c r="H63" s="66">
        <f>Calculs!$F$243</f>
        <v/>
      </c>
      <c r="I63" s="132">
        <f>IFERROR($G63/$H63-1,0)</f>
        <v/>
      </c>
    </row>
    <row r="64"/>
    <row r="65"/>
    <row r="66"/>
    <row r="67"/>
    <row r="68" ht="24" customHeight="1">
      <c r="B68" s="6" t="inlineStr">
        <is>
          <t>TOP 10 DES POSTES DE DÉPENSE DE L'ANNÉE</t>
        </is>
      </c>
      <c r="C68" s="7" t="n"/>
      <c r="D68" s="7" t="n"/>
      <c r="E68" s="7" t="n"/>
      <c r="F68" s="7" t="n"/>
      <c r="G68" s="7" t="n"/>
      <c r="H68" s="7" t="n"/>
      <c r="I68" s="7" t="n"/>
      <c r="J68" s="7" t="n"/>
      <c r="K68" s="7" t="n"/>
      <c r="L68" s="7" t="n"/>
      <c r="M68" s="7" t="n"/>
      <c r="N68" s="7" t="n"/>
      <c r="O68" s="7" t="n"/>
      <c r="P68" s="7" t="n"/>
    </row>
    <row r="69" ht="30" customHeight="1">
      <c r="B69" s="63" t="inlineStr">
        <is>
          <t>Rang</t>
        </is>
      </c>
      <c r="C69" s="63" t="inlineStr">
        <is>
          <t>Catégorie</t>
        </is>
      </c>
      <c r="D69" s="63" t="inlineStr">
        <is>
          <t>Montant annuel</t>
        </is>
      </c>
      <c r="E69" s="63" t="inlineStr">
        <is>
          <t>Part</t>
        </is>
      </c>
      <c r="F69" s="63" t="inlineStr"/>
    </row>
    <row r="70">
      <c r="B70" s="156" t="n">
        <v>1</v>
      </c>
      <c r="C70" s="199">
        <f>IF(Calculs!$C$196="","—",Calculs!$C$196)</f>
        <v/>
      </c>
      <c r="D70" s="66">
        <f>Calculs!$D$196</f>
        <v/>
      </c>
      <c r="E70" s="132">
        <f>Calculs!$E$196</f>
        <v/>
      </c>
      <c r="F70" s="200">
        <f>IF($D70=0,"",REPT("█",ROUND($E70*40,0)))</f>
        <v/>
      </c>
    </row>
    <row r="71">
      <c r="B71" s="156" t="n">
        <v>2</v>
      </c>
      <c r="C71" s="199">
        <f>IF(Calculs!$C$197="","—",Calculs!$C$197)</f>
        <v/>
      </c>
      <c r="D71" s="66">
        <f>Calculs!$D$197</f>
        <v/>
      </c>
      <c r="E71" s="132">
        <f>Calculs!$E$197</f>
        <v/>
      </c>
      <c r="F71" s="200">
        <f>IF($D71=0,"",REPT("█",ROUND($E71*40,0)))</f>
        <v/>
      </c>
    </row>
    <row r="72">
      <c r="B72" s="156" t="n">
        <v>3</v>
      </c>
      <c r="C72" s="199">
        <f>IF(Calculs!$C$198="","—",Calculs!$C$198)</f>
        <v/>
      </c>
      <c r="D72" s="66">
        <f>Calculs!$D$198</f>
        <v/>
      </c>
      <c r="E72" s="132">
        <f>Calculs!$E$198</f>
        <v/>
      </c>
      <c r="F72" s="200">
        <f>IF($D72=0,"",REPT("█",ROUND($E72*40,0)))</f>
        <v/>
      </c>
    </row>
    <row r="73">
      <c r="B73" s="156" t="n">
        <v>4</v>
      </c>
      <c r="C73" s="199">
        <f>IF(Calculs!$C$199="","—",Calculs!$C$199)</f>
        <v/>
      </c>
      <c r="D73" s="66">
        <f>Calculs!$D$199</f>
        <v/>
      </c>
      <c r="E73" s="132">
        <f>Calculs!$E$199</f>
        <v/>
      </c>
      <c r="F73" s="200">
        <f>IF($D73=0,"",REPT("█",ROUND($E73*40,0)))</f>
        <v/>
      </c>
    </row>
    <row r="74">
      <c r="B74" s="156" t="n">
        <v>5</v>
      </c>
      <c r="C74" s="199">
        <f>IF(Calculs!$C$200="","—",Calculs!$C$200)</f>
        <v/>
      </c>
      <c r="D74" s="66">
        <f>Calculs!$D$200</f>
        <v/>
      </c>
      <c r="E74" s="132">
        <f>Calculs!$E$200</f>
        <v/>
      </c>
      <c r="F74" s="200">
        <f>IF($D74=0,"",REPT("█",ROUND($E74*40,0)))</f>
        <v/>
      </c>
    </row>
    <row r="75">
      <c r="B75" s="156" t="n">
        <v>6</v>
      </c>
      <c r="C75" s="199">
        <f>IF(Calculs!$C$201="","—",Calculs!$C$201)</f>
        <v/>
      </c>
      <c r="D75" s="66">
        <f>Calculs!$D$201</f>
        <v/>
      </c>
      <c r="E75" s="132">
        <f>Calculs!$E$201</f>
        <v/>
      </c>
      <c r="F75" s="200">
        <f>IF($D75=0,"",REPT("█",ROUND($E75*40,0)))</f>
        <v/>
      </c>
    </row>
    <row r="76">
      <c r="B76" s="156" t="n">
        <v>7</v>
      </c>
      <c r="C76" s="199">
        <f>IF(Calculs!$C$202="","—",Calculs!$C$202)</f>
        <v/>
      </c>
      <c r="D76" s="66">
        <f>Calculs!$D$202</f>
        <v/>
      </c>
      <c r="E76" s="132">
        <f>Calculs!$E$202</f>
        <v/>
      </c>
      <c r="F76" s="200">
        <f>IF($D76=0,"",REPT("█",ROUND($E76*40,0)))</f>
        <v/>
      </c>
    </row>
    <row r="77">
      <c r="B77" s="156" t="n">
        <v>8</v>
      </c>
      <c r="C77" s="199">
        <f>IF(Calculs!$C$203="","—",Calculs!$C$203)</f>
        <v/>
      </c>
      <c r="D77" s="66">
        <f>Calculs!$D$203</f>
        <v/>
      </c>
      <c r="E77" s="132">
        <f>Calculs!$E$203</f>
        <v/>
      </c>
      <c r="F77" s="200">
        <f>IF($D77=0,"",REPT("█",ROUND($E77*40,0)))</f>
        <v/>
      </c>
    </row>
    <row r="78">
      <c r="B78" s="156" t="n">
        <v>9</v>
      </c>
      <c r="C78" s="199">
        <f>IF(Calculs!$C$204="","—",Calculs!$C$204)</f>
        <v/>
      </c>
      <c r="D78" s="66">
        <f>Calculs!$D$204</f>
        <v/>
      </c>
      <c r="E78" s="132">
        <f>Calculs!$E$204</f>
        <v/>
      </c>
      <c r="F78" s="200">
        <f>IF($D78=0,"",REPT("█",ROUND($E78*40,0)))</f>
        <v/>
      </c>
    </row>
    <row r="79">
      <c r="B79" s="156" t="n">
        <v>10</v>
      </c>
      <c r="C79" s="199">
        <f>IF(Calculs!$C$205="","—",Calculs!$C$205)</f>
        <v/>
      </c>
      <c r="D79" s="66">
        <f>Calculs!$D$205</f>
        <v/>
      </c>
      <c r="E79" s="132">
        <f>Calculs!$E$205</f>
        <v/>
      </c>
      <c r="F79" s="200">
        <f>IF($D79=0,"",REPT("█",ROUND($E79*40,0)))</f>
        <v/>
      </c>
    </row>
    <row r="80"/>
    <row r="81"/>
    <row r="82"/>
    <row r="83" ht="24" customHeight="1">
      <c r="B83" s="6" t="inlineStr">
        <is>
          <t>SOLDES PAR COMPTE</t>
        </is>
      </c>
      <c r="C83" s="7" t="n"/>
      <c r="D83" s="7" t="n"/>
      <c r="E83" s="7" t="n"/>
      <c r="F83" s="7" t="n"/>
      <c r="G83" s="7" t="n"/>
      <c r="H83" s="7" t="n"/>
      <c r="I83" s="7" t="n"/>
      <c r="J83" s="7" t="n"/>
      <c r="K83" s="7" t="n"/>
      <c r="L83" s="7" t="n"/>
      <c r="M83" s="7" t="n"/>
      <c r="N83" s="7" t="n"/>
      <c r="O83" s="7" t="n"/>
      <c r="P83" s="7" t="n"/>
    </row>
    <row r="84" ht="30" customHeight="1">
      <c r="B84" s="63" t="inlineStr"/>
      <c r="C84" s="63" t="inlineStr">
        <is>
          <t>Compte</t>
        </is>
      </c>
      <c r="D84" s="63" t="inlineStr">
        <is>
          <t>Solde actuel</t>
        </is>
      </c>
      <c r="E84" s="63" t="inlineStr">
        <is>
          <t>Part</t>
        </is>
      </c>
    </row>
    <row r="85">
      <c r="B85" s="131" t="n"/>
      <c r="C85" s="199">
        <f>Calculs!$B$209</f>
        <v/>
      </c>
      <c r="D85" s="66">
        <f>Calculs!$C$209</f>
        <v/>
      </c>
      <c r="E85" s="132">
        <f>Calculs!$D$209</f>
        <v/>
      </c>
    </row>
    <row r="86">
      <c r="B86" s="131" t="n"/>
      <c r="C86" s="199">
        <f>Calculs!$B$210</f>
        <v/>
      </c>
      <c r="D86" s="66">
        <f>Calculs!$C$210</f>
        <v/>
      </c>
      <c r="E86" s="132">
        <f>Calculs!$D$210</f>
        <v/>
      </c>
    </row>
    <row r="87">
      <c r="B87" s="131" t="n"/>
      <c r="C87" s="199">
        <f>Calculs!$B$211</f>
        <v/>
      </c>
      <c r="D87" s="66">
        <f>Calculs!$C$211</f>
        <v/>
      </c>
      <c r="E87" s="132">
        <f>Calculs!$D$211</f>
        <v/>
      </c>
    </row>
    <row r="88">
      <c r="B88" s="131" t="n"/>
      <c r="C88" s="199">
        <f>Calculs!$B$212</f>
        <v/>
      </c>
      <c r="D88" s="66">
        <f>Calculs!$C$212</f>
        <v/>
      </c>
      <c r="E88" s="132">
        <f>Calculs!$D$212</f>
        <v/>
      </c>
    </row>
    <row r="89">
      <c r="B89" s="131" t="n"/>
      <c r="C89" s="199">
        <f>Calculs!$B$213</f>
        <v/>
      </c>
      <c r="D89" s="66">
        <f>Calculs!$C$213</f>
        <v/>
      </c>
      <c r="E89" s="132">
        <f>Calculs!$D$213</f>
        <v/>
      </c>
    </row>
    <row r="90">
      <c r="B90" s="131" t="n"/>
      <c r="C90" s="199">
        <f>Calculs!$B$214</f>
        <v/>
      </c>
      <c r="D90" s="66">
        <f>Calculs!$C$214</f>
        <v/>
      </c>
      <c r="E90" s="132">
        <f>Calculs!$D$214</f>
        <v/>
      </c>
    </row>
    <row r="91">
      <c r="B91" s="131" t="n"/>
      <c r="C91" s="199">
        <f>Calculs!$B$215</f>
        <v/>
      </c>
      <c r="D91" s="66">
        <f>Calculs!$C$215</f>
        <v/>
      </c>
      <c r="E91" s="132">
        <f>Calculs!$D$215</f>
        <v/>
      </c>
    </row>
    <row r="92">
      <c r="B92" s="131" t="n"/>
      <c r="C92" s="199">
        <f>Calculs!$B$216</f>
        <v/>
      </c>
      <c r="D92" s="66">
        <f>Calculs!$C$216</f>
        <v/>
      </c>
      <c r="E92" s="132">
        <f>Calculs!$D$216</f>
        <v/>
      </c>
    </row>
    <row r="93">
      <c r="B93" s="131" t="n"/>
      <c r="C93" s="199">
        <f>Calculs!$B$217</f>
        <v/>
      </c>
      <c r="D93" s="66">
        <f>Calculs!$C$217</f>
        <v/>
      </c>
      <c r="E93" s="132">
        <f>Calculs!$D$217</f>
        <v/>
      </c>
    </row>
    <row r="94">
      <c r="B94" s="131" t="n"/>
      <c r="C94" s="199">
        <f>Calculs!$B$218</f>
        <v/>
      </c>
      <c r="D94" s="66">
        <f>Calculs!$C$218</f>
        <v/>
      </c>
      <c r="E94" s="132">
        <f>Calculs!$D$218</f>
        <v/>
      </c>
    </row>
    <row r="95"/>
    <row r="96"/>
    <row r="97"/>
    <row r="98"/>
    <row r="99"/>
    <row r="100"/>
    <row r="101"/>
    <row r="102"/>
    <row r="103"/>
    <row r="104"/>
    <row r="105"/>
    <row r="106"/>
    <row r="107"/>
    <row r="108"/>
    <row r="109"/>
    <row r="110"/>
    <row r="111"/>
    <row r="112"/>
    <row r="113"/>
    <row r="114"/>
    <row r="115"/>
    <row r="116"/>
    <row r="117"/>
    <row r="118"/>
    <row r="119"/>
    <row r="120"/>
  </sheetData>
  <sheetProtection selectLockedCells="0" selectUnlockedCells="0" sheet="1" objects="1" insertRows="1" insertHyperlinks="1" autoFilter="0" scenarios="1" formatColumns="0" deleteColumns="1" insertColumns="1" pivotTables="1" deleteRows="1" formatCells="0" formatRows="0" sort="0" password="8708"/>
  <mergeCells count="43">
    <mergeCell ref="B11:D11"/>
    <mergeCell ref="E10:G10"/>
    <mergeCell ref="B2:P2"/>
    <mergeCell ref="B3:C3"/>
    <mergeCell ref="N5:P5"/>
    <mergeCell ref="E9:G9"/>
    <mergeCell ref="B1:P1"/>
    <mergeCell ref="H11:J11"/>
    <mergeCell ref="B13:P13"/>
    <mergeCell ref="H7:J7"/>
    <mergeCell ref="E6:G6"/>
    <mergeCell ref="F3:G3"/>
    <mergeCell ref="L3:M3"/>
    <mergeCell ref="B10:D10"/>
    <mergeCell ref="E11:G11"/>
    <mergeCell ref="N10:P10"/>
    <mergeCell ref="B9:D9"/>
    <mergeCell ref="N9:P9"/>
    <mergeCell ref="E7:G7"/>
    <mergeCell ref="B6:D6"/>
    <mergeCell ref="K7:M7"/>
    <mergeCell ref="N6:P6"/>
    <mergeCell ref="B30:P30"/>
    <mergeCell ref="B68:P68"/>
    <mergeCell ref="B83:P83"/>
    <mergeCell ref="B5:D5"/>
    <mergeCell ref="K10:M10"/>
    <mergeCell ref="K6:M6"/>
    <mergeCell ref="H5:J5"/>
    <mergeCell ref="B50:P50"/>
    <mergeCell ref="B7:D7"/>
    <mergeCell ref="D3:E3"/>
    <mergeCell ref="H3:I3"/>
    <mergeCell ref="N11:P11"/>
    <mergeCell ref="J3:K3"/>
    <mergeCell ref="N7:P7"/>
    <mergeCell ref="H10:J10"/>
    <mergeCell ref="K9:M9"/>
    <mergeCell ref="E5:G5"/>
    <mergeCell ref="K5:M5"/>
    <mergeCell ref="H9:J9"/>
    <mergeCell ref="K11:M11"/>
    <mergeCell ref="H6:J6"/>
  </mergeCells>
  <conditionalFormatting sqref="B6:D6">
    <cfRule type="expression" priority="1" dxfId="852" stopIfTrue="1">
      <formula>Devise_Base="XOF"</formula>
    </cfRule>
    <cfRule type="expression" priority="2" dxfId="853" stopIfTrue="1">
      <formula>Devise_Base="XAF"</formula>
    </cfRule>
    <cfRule type="expression" priority="3" dxfId="854" stopIfTrue="1">
      <formula>Devise_Base="EUR"</formula>
    </cfRule>
    <cfRule type="expression" priority="4" dxfId="855" stopIfTrue="1">
      <formula>Devise_Base="USD"</formula>
    </cfRule>
    <cfRule type="expression" priority="5" dxfId="856" stopIfTrue="1">
      <formula>Devise_Base="GBP"</formula>
    </cfRule>
    <cfRule type="expression" priority="6" dxfId="857" stopIfTrue="1">
      <formula>Devise_Base="CAD"</formula>
    </cfRule>
    <cfRule type="expression" priority="7" dxfId="858" stopIfTrue="1">
      <formula>Devise_Base="CHF"</formula>
    </cfRule>
    <cfRule type="expression" priority="8" dxfId="859" stopIfTrue="1">
      <formula>Devise_Base="MAD"</formula>
    </cfRule>
    <cfRule type="expression" priority="9" dxfId="860" stopIfTrue="1">
      <formula>Devise_Base="NGN"</formula>
    </cfRule>
    <cfRule type="expression" priority="10" dxfId="861" stopIfTrue="1">
      <formula>Devise_Base="GHS"</formula>
    </cfRule>
    <cfRule type="expression" priority="11" dxfId="862" stopIfTrue="1">
      <formula>Devise_Base="CDF"</formula>
    </cfRule>
    <cfRule type="expression" priority="12" dxfId="863" stopIfTrue="1">
      <formula>Devise_Base="ZAR"</formula>
    </cfRule>
    <cfRule type="expression" priority="13" dxfId="864" stopIfTrue="1">
      <formula>Devise_Base="AED"</formula>
    </cfRule>
    <cfRule type="expression" priority="14" dxfId="865" stopIfTrue="1">
      <formula>Devise_Base="MRU"</formula>
    </cfRule>
    <cfRule type="expression" priority="15" dxfId="866" stopIfTrue="1">
      <formula>Devise_Base="GNF"</formula>
    </cfRule>
  </conditionalFormatting>
  <conditionalFormatting sqref="E6:G6">
    <cfRule type="expression" priority="16" dxfId="867" stopIfTrue="1">
      <formula>Devise_Base="XOF"</formula>
    </cfRule>
    <cfRule type="expression" priority="17" dxfId="868" stopIfTrue="1">
      <formula>Devise_Base="XAF"</formula>
    </cfRule>
    <cfRule type="expression" priority="18" dxfId="869" stopIfTrue="1">
      <formula>Devise_Base="EUR"</formula>
    </cfRule>
    <cfRule type="expression" priority="19" dxfId="870" stopIfTrue="1">
      <formula>Devise_Base="USD"</formula>
    </cfRule>
    <cfRule type="expression" priority="20" dxfId="871" stopIfTrue="1">
      <formula>Devise_Base="GBP"</formula>
    </cfRule>
    <cfRule type="expression" priority="21" dxfId="872" stopIfTrue="1">
      <formula>Devise_Base="CAD"</formula>
    </cfRule>
    <cfRule type="expression" priority="22" dxfId="873" stopIfTrue="1">
      <formula>Devise_Base="CHF"</formula>
    </cfRule>
    <cfRule type="expression" priority="23" dxfId="874" stopIfTrue="1">
      <formula>Devise_Base="MAD"</formula>
    </cfRule>
    <cfRule type="expression" priority="24" dxfId="875" stopIfTrue="1">
      <formula>Devise_Base="NGN"</formula>
    </cfRule>
    <cfRule type="expression" priority="25" dxfId="876" stopIfTrue="1">
      <formula>Devise_Base="GHS"</formula>
    </cfRule>
    <cfRule type="expression" priority="26" dxfId="877" stopIfTrue="1">
      <formula>Devise_Base="CDF"</formula>
    </cfRule>
    <cfRule type="expression" priority="27" dxfId="878" stopIfTrue="1">
      <formula>Devise_Base="ZAR"</formula>
    </cfRule>
    <cfRule type="expression" priority="28" dxfId="879" stopIfTrue="1">
      <formula>Devise_Base="AED"</formula>
    </cfRule>
    <cfRule type="expression" priority="29" dxfId="880" stopIfTrue="1">
      <formula>Devise_Base="MRU"</formula>
    </cfRule>
    <cfRule type="expression" priority="30" dxfId="881" stopIfTrue="1">
      <formula>Devise_Base="GNF"</formula>
    </cfRule>
  </conditionalFormatting>
  <conditionalFormatting sqref="H6:J6">
    <cfRule type="expression" priority="31" dxfId="882" stopIfTrue="1">
      <formula>Devise_Base="XOF"</formula>
    </cfRule>
    <cfRule type="expression" priority="32" dxfId="883" stopIfTrue="1">
      <formula>Devise_Base="XAF"</formula>
    </cfRule>
    <cfRule type="expression" priority="33" dxfId="884" stopIfTrue="1">
      <formula>Devise_Base="EUR"</formula>
    </cfRule>
    <cfRule type="expression" priority="34" dxfId="885" stopIfTrue="1">
      <formula>Devise_Base="USD"</formula>
    </cfRule>
    <cfRule type="expression" priority="35" dxfId="886" stopIfTrue="1">
      <formula>Devise_Base="GBP"</formula>
    </cfRule>
    <cfRule type="expression" priority="36" dxfId="887" stopIfTrue="1">
      <formula>Devise_Base="CAD"</formula>
    </cfRule>
    <cfRule type="expression" priority="37" dxfId="888" stopIfTrue="1">
      <formula>Devise_Base="CHF"</formula>
    </cfRule>
    <cfRule type="expression" priority="38" dxfId="889" stopIfTrue="1">
      <formula>Devise_Base="MAD"</formula>
    </cfRule>
    <cfRule type="expression" priority="39" dxfId="890" stopIfTrue="1">
      <formula>Devise_Base="NGN"</formula>
    </cfRule>
    <cfRule type="expression" priority="40" dxfId="891" stopIfTrue="1">
      <formula>Devise_Base="GHS"</formula>
    </cfRule>
    <cfRule type="expression" priority="41" dxfId="892" stopIfTrue="1">
      <formula>Devise_Base="CDF"</formula>
    </cfRule>
    <cfRule type="expression" priority="42" dxfId="893" stopIfTrue="1">
      <formula>Devise_Base="ZAR"</formula>
    </cfRule>
    <cfRule type="expression" priority="43" dxfId="894" stopIfTrue="1">
      <formula>Devise_Base="AED"</formula>
    </cfRule>
    <cfRule type="expression" priority="44" dxfId="895" stopIfTrue="1">
      <formula>Devise_Base="MRU"</formula>
    </cfRule>
    <cfRule type="expression" priority="45" dxfId="896" stopIfTrue="1">
      <formula>Devise_Base="GNF"</formula>
    </cfRule>
  </conditionalFormatting>
  <conditionalFormatting sqref="K6:M6">
    <cfRule type="expression" priority="46" dxfId="897" stopIfTrue="1">
      <formula>Devise_Base="XOF"</formula>
    </cfRule>
    <cfRule type="expression" priority="47" dxfId="898" stopIfTrue="1">
      <formula>Devise_Base="XAF"</formula>
    </cfRule>
    <cfRule type="expression" priority="48" dxfId="899" stopIfTrue="1">
      <formula>Devise_Base="EUR"</formula>
    </cfRule>
    <cfRule type="expression" priority="49" dxfId="900" stopIfTrue="1">
      <formula>Devise_Base="USD"</formula>
    </cfRule>
    <cfRule type="expression" priority="50" dxfId="901" stopIfTrue="1">
      <formula>Devise_Base="GBP"</formula>
    </cfRule>
    <cfRule type="expression" priority="51" dxfId="902" stopIfTrue="1">
      <formula>Devise_Base="CAD"</formula>
    </cfRule>
    <cfRule type="expression" priority="52" dxfId="903" stopIfTrue="1">
      <formula>Devise_Base="CHF"</formula>
    </cfRule>
    <cfRule type="expression" priority="53" dxfId="904" stopIfTrue="1">
      <formula>Devise_Base="MAD"</formula>
    </cfRule>
    <cfRule type="expression" priority="54" dxfId="905" stopIfTrue="1">
      <formula>Devise_Base="NGN"</formula>
    </cfRule>
    <cfRule type="expression" priority="55" dxfId="906" stopIfTrue="1">
      <formula>Devise_Base="GHS"</formula>
    </cfRule>
    <cfRule type="expression" priority="56" dxfId="907" stopIfTrue="1">
      <formula>Devise_Base="CDF"</formula>
    </cfRule>
    <cfRule type="expression" priority="57" dxfId="908" stopIfTrue="1">
      <formula>Devise_Base="ZAR"</formula>
    </cfRule>
    <cfRule type="expression" priority="58" dxfId="909" stopIfTrue="1">
      <formula>Devise_Base="AED"</formula>
    </cfRule>
    <cfRule type="expression" priority="59" dxfId="910" stopIfTrue="1">
      <formula>Devise_Base="MRU"</formula>
    </cfRule>
    <cfRule type="expression" priority="60" dxfId="911" stopIfTrue="1">
      <formula>Devise_Base="GNF"</formula>
    </cfRule>
  </conditionalFormatting>
  <conditionalFormatting sqref="B10:D10">
    <cfRule type="expression" priority="61" dxfId="912" stopIfTrue="1">
      <formula>Devise_Base="XOF"</formula>
    </cfRule>
    <cfRule type="expression" priority="62" dxfId="913" stopIfTrue="1">
      <formula>Devise_Base="XAF"</formula>
    </cfRule>
    <cfRule type="expression" priority="63" dxfId="914" stopIfTrue="1">
      <formula>Devise_Base="EUR"</formula>
    </cfRule>
    <cfRule type="expression" priority="64" dxfId="915" stopIfTrue="1">
      <formula>Devise_Base="USD"</formula>
    </cfRule>
    <cfRule type="expression" priority="65" dxfId="916" stopIfTrue="1">
      <formula>Devise_Base="GBP"</formula>
    </cfRule>
    <cfRule type="expression" priority="66" dxfId="917" stopIfTrue="1">
      <formula>Devise_Base="CAD"</formula>
    </cfRule>
    <cfRule type="expression" priority="67" dxfId="918" stopIfTrue="1">
      <formula>Devise_Base="CHF"</formula>
    </cfRule>
    <cfRule type="expression" priority="68" dxfId="919" stopIfTrue="1">
      <formula>Devise_Base="MAD"</formula>
    </cfRule>
    <cfRule type="expression" priority="69" dxfId="920" stopIfTrue="1">
      <formula>Devise_Base="NGN"</formula>
    </cfRule>
    <cfRule type="expression" priority="70" dxfId="921" stopIfTrue="1">
      <formula>Devise_Base="GHS"</formula>
    </cfRule>
    <cfRule type="expression" priority="71" dxfId="922" stopIfTrue="1">
      <formula>Devise_Base="CDF"</formula>
    </cfRule>
    <cfRule type="expression" priority="72" dxfId="923" stopIfTrue="1">
      <formula>Devise_Base="ZAR"</formula>
    </cfRule>
    <cfRule type="expression" priority="73" dxfId="924" stopIfTrue="1">
      <formula>Devise_Base="AED"</formula>
    </cfRule>
    <cfRule type="expression" priority="74" dxfId="925" stopIfTrue="1">
      <formula>Devise_Base="MRU"</formula>
    </cfRule>
    <cfRule type="expression" priority="75" dxfId="926" stopIfTrue="1">
      <formula>Devise_Base="GNF"</formula>
    </cfRule>
  </conditionalFormatting>
  <conditionalFormatting sqref="E10:G10">
    <cfRule type="expression" priority="76" dxfId="927" stopIfTrue="1">
      <formula>Devise_Base="XOF"</formula>
    </cfRule>
    <cfRule type="expression" priority="77" dxfId="928" stopIfTrue="1">
      <formula>Devise_Base="XAF"</formula>
    </cfRule>
    <cfRule type="expression" priority="78" dxfId="929" stopIfTrue="1">
      <formula>Devise_Base="EUR"</formula>
    </cfRule>
    <cfRule type="expression" priority="79" dxfId="930" stopIfTrue="1">
      <formula>Devise_Base="USD"</formula>
    </cfRule>
    <cfRule type="expression" priority="80" dxfId="931" stopIfTrue="1">
      <formula>Devise_Base="GBP"</formula>
    </cfRule>
    <cfRule type="expression" priority="81" dxfId="932" stopIfTrue="1">
      <formula>Devise_Base="CAD"</formula>
    </cfRule>
    <cfRule type="expression" priority="82" dxfId="933" stopIfTrue="1">
      <formula>Devise_Base="CHF"</formula>
    </cfRule>
    <cfRule type="expression" priority="83" dxfId="934" stopIfTrue="1">
      <formula>Devise_Base="MAD"</formula>
    </cfRule>
    <cfRule type="expression" priority="84" dxfId="935" stopIfTrue="1">
      <formula>Devise_Base="NGN"</formula>
    </cfRule>
    <cfRule type="expression" priority="85" dxfId="936" stopIfTrue="1">
      <formula>Devise_Base="GHS"</formula>
    </cfRule>
    <cfRule type="expression" priority="86" dxfId="937" stopIfTrue="1">
      <formula>Devise_Base="CDF"</formula>
    </cfRule>
    <cfRule type="expression" priority="87" dxfId="938" stopIfTrue="1">
      <formula>Devise_Base="ZAR"</formula>
    </cfRule>
    <cfRule type="expression" priority="88" dxfId="939" stopIfTrue="1">
      <formula>Devise_Base="AED"</formula>
    </cfRule>
    <cfRule type="expression" priority="89" dxfId="940" stopIfTrue="1">
      <formula>Devise_Base="MRU"</formula>
    </cfRule>
    <cfRule type="expression" priority="90" dxfId="941" stopIfTrue="1">
      <formula>Devise_Base="GNF"</formula>
    </cfRule>
  </conditionalFormatting>
  <conditionalFormatting sqref="N10:P10">
    <cfRule type="expression" priority="91" dxfId="942" stopIfTrue="1">
      <formula>Devise_Base="XOF"</formula>
    </cfRule>
    <cfRule type="expression" priority="92" dxfId="943" stopIfTrue="1">
      <formula>Devise_Base="XAF"</formula>
    </cfRule>
    <cfRule type="expression" priority="93" dxfId="944" stopIfTrue="1">
      <formula>Devise_Base="EUR"</formula>
    </cfRule>
    <cfRule type="expression" priority="94" dxfId="945" stopIfTrue="1">
      <formula>Devise_Base="USD"</formula>
    </cfRule>
    <cfRule type="expression" priority="95" dxfId="946" stopIfTrue="1">
      <formula>Devise_Base="GBP"</formula>
    </cfRule>
    <cfRule type="expression" priority="96" dxfId="947" stopIfTrue="1">
      <formula>Devise_Base="CAD"</formula>
    </cfRule>
    <cfRule type="expression" priority="97" dxfId="948" stopIfTrue="1">
      <formula>Devise_Base="CHF"</formula>
    </cfRule>
    <cfRule type="expression" priority="98" dxfId="949" stopIfTrue="1">
      <formula>Devise_Base="MAD"</formula>
    </cfRule>
    <cfRule type="expression" priority="99" dxfId="950" stopIfTrue="1">
      <formula>Devise_Base="NGN"</formula>
    </cfRule>
    <cfRule type="expression" priority="100" dxfId="951" stopIfTrue="1">
      <formula>Devise_Base="GHS"</formula>
    </cfRule>
    <cfRule type="expression" priority="101" dxfId="952" stopIfTrue="1">
      <formula>Devise_Base="CDF"</formula>
    </cfRule>
    <cfRule type="expression" priority="102" dxfId="953" stopIfTrue="1">
      <formula>Devise_Base="ZAR"</formula>
    </cfRule>
    <cfRule type="expression" priority="103" dxfId="954" stopIfTrue="1">
      <formula>Devise_Base="AED"</formula>
    </cfRule>
    <cfRule type="expression" priority="104" dxfId="955" stopIfTrue="1">
      <formula>Devise_Base="MRU"</formula>
    </cfRule>
    <cfRule type="expression" priority="105" dxfId="956" stopIfTrue="1">
      <formula>Devise_Base="GNF"</formula>
    </cfRule>
  </conditionalFormatting>
  <conditionalFormatting sqref="B15:P26">
    <cfRule type="expression" priority="106" dxfId="75" stopIfTrue="0">
      <formula>MOD(ROW()-15,2)=1</formula>
    </cfRule>
  </conditionalFormatting>
  <conditionalFormatting sqref="J15:J26">
    <cfRule type="cellIs" priority="107" operator="greaterThan" dxfId="76">
      <formula>0</formula>
    </cfRule>
    <cfRule type="cellIs" priority="108" operator="lessThan" dxfId="77">
      <formula>0</formula>
    </cfRule>
  </conditionalFormatting>
  <conditionalFormatting sqref="N15:N26">
    <cfRule type="cellIs" priority="109" operator="greaterThan" dxfId="76">
      <formula>0</formula>
    </cfRule>
    <cfRule type="cellIs" priority="110" operator="lessThan" dxfId="77">
      <formula>0</formula>
    </cfRule>
  </conditionalFormatting>
  <conditionalFormatting sqref="D15:K27">
    <cfRule type="expression" priority="111" dxfId="957" stopIfTrue="1">
      <formula>Devise_Base="XOF"</formula>
    </cfRule>
    <cfRule type="expression" priority="112" dxfId="958" stopIfTrue="1">
      <formula>Devise_Base="XAF"</formula>
    </cfRule>
    <cfRule type="expression" priority="113" dxfId="959" stopIfTrue="1">
      <formula>Devise_Base="EUR"</formula>
    </cfRule>
    <cfRule type="expression" priority="114" dxfId="960" stopIfTrue="1">
      <formula>Devise_Base="USD"</formula>
    </cfRule>
    <cfRule type="expression" priority="115" dxfId="961" stopIfTrue="1">
      <formula>Devise_Base="GBP"</formula>
    </cfRule>
    <cfRule type="expression" priority="116" dxfId="962" stopIfTrue="1">
      <formula>Devise_Base="CAD"</formula>
    </cfRule>
    <cfRule type="expression" priority="117" dxfId="963" stopIfTrue="1">
      <formula>Devise_Base="CHF"</formula>
    </cfRule>
    <cfRule type="expression" priority="118" dxfId="964" stopIfTrue="1">
      <formula>Devise_Base="MAD"</formula>
    </cfRule>
    <cfRule type="expression" priority="119" dxfId="965" stopIfTrue="1">
      <formula>Devise_Base="NGN"</formula>
    </cfRule>
    <cfRule type="expression" priority="120" dxfId="966" stopIfTrue="1">
      <formula>Devise_Base="GHS"</formula>
    </cfRule>
    <cfRule type="expression" priority="121" dxfId="967" stopIfTrue="1">
      <formula>Devise_Base="CDF"</formula>
    </cfRule>
    <cfRule type="expression" priority="122" dxfId="968" stopIfTrue="1">
      <formula>Devise_Base="ZAR"</formula>
    </cfRule>
    <cfRule type="expression" priority="123" dxfId="969" stopIfTrue="1">
      <formula>Devise_Base="AED"</formula>
    </cfRule>
    <cfRule type="expression" priority="124" dxfId="970" stopIfTrue="1">
      <formula>Devise_Base="MRU"</formula>
    </cfRule>
    <cfRule type="expression" priority="125" dxfId="971" stopIfTrue="1">
      <formula>Devise_Base="GNF"</formula>
    </cfRule>
  </conditionalFormatting>
  <conditionalFormatting sqref="M15:P27">
    <cfRule type="expression" priority="126" dxfId="972" stopIfTrue="1">
      <formula>Devise_Base="XOF"</formula>
    </cfRule>
    <cfRule type="expression" priority="127" dxfId="973" stopIfTrue="1">
      <formula>Devise_Base="XAF"</formula>
    </cfRule>
    <cfRule type="expression" priority="128" dxfId="974" stopIfTrue="1">
      <formula>Devise_Base="EUR"</formula>
    </cfRule>
    <cfRule type="expression" priority="129" dxfId="975" stopIfTrue="1">
      <formula>Devise_Base="USD"</formula>
    </cfRule>
    <cfRule type="expression" priority="130" dxfId="976" stopIfTrue="1">
      <formula>Devise_Base="GBP"</formula>
    </cfRule>
    <cfRule type="expression" priority="131" dxfId="977" stopIfTrue="1">
      <formula>Devise_Base="CAD"</formula>
    </cfRule>
    <cfRule type="expression" priority="132" dxfId="978" stopIfTrue="1">
      <formula>Devise_Base="CHF"</formula>
    </cfRule>
    <cfRule type="expression" priority="133" dxfId="979" stopIfTrue="1">
      <formula>Devise_Base="MAD"</formula>
    </cfRule>
    <cfRule type="expression" priority="134" dxfId="980" stopIfTrue="1">
      <formula>Devise_Base="NGN"</formula>
    </cfRule>
    <cfRule type="expression" priority="135" dxfId="981" stopIfTrue="1">
      <formula>Devise_Base="GHS"</formula>
    </cfRule>
    <cfRule type="expression" priority="136" dxfId="982" stopIfTrue="1">
      <formula>Devise_Base="CDF"</formula>
    </cfRule>
    <cfRule type="expression" priority="137" dxfId="983" stopIfTrue="1">
      <formula>Devise_Base="ZAR"</formula>
    </cfRule>
    <cfRule type="expression" priority="138" dxfId="984" stopIfTrue="1">
      <formula>Devise_Base="AED"</formula>
    </cfRule>
    <cfRule type="expression" priority="139" dxfId="985" stopIfTrue="1">
      <formula>Devise_Base="MRU"</formula>
    </cfRule>
    <cfRule type="expression" priority="140" dxfId="986" stopIfTrue="1">
      <formula>Devise_Base="GNF"</formula>
    </cfRule>
  </conditionalFormatting>
  <conditionalFormatting sqref="B52:I63">
    <cfRule type="expression" priority="141" dxfId="75" stopIfTrue="0">
      <formula>MOD(ROW()-52,2)=1</formula>
    </cfRule>
  </conditionalFormatting>
  <conditionalFormatting sqref="D52:E63">
    <cfRule type="expression" priority="142" dxfId="987" stopIfTrue="1">
      <formula>Devise_Base="XOF"</formula>
    </cfRule>
    <cfRule type="expression" priority="143" dxfId="988" stopIfTrue="1">
      <formula>Devise_Base="XAF"</formula>
    </cfRule>
    <cfRule type="expression" priority="144" dxfId="989" stopIfTrue="1">
      <formula>Devise_Base="EUR"</formula>
    </cfRule>
    <cfRule type="expression" priority="145" dxfId="990" stopIfTrue="1">
      <formula>Devise_Base="USD"</formula>
    </cfRule>
    <cfRule type="expression" priority="146" dxfId="991" stopIfTrue="1">
      <formula>Devise_Base="GBP"</formula>
    </cfRule>
    <cfRule type="expression" priority="147" dxfId="992" stopIfTrue="1">
      <formula>Devise_Base="CAD"</formula>
    </cfRule>
    <cfRule type="expression" priority="148" dxfId="993" stopIfTrue="1">
      <formula>Devise_Base="CHF"</formula>
    </cfRule>
    <cfRule type="expression" priority="149" dxfId="994" stopIfTrue="1">
      <formula>Devise_Base="MAD"</formula>
    </cfRule>
    <cfRule type="expression" priority="150" dxfId="995" stopIfTrue="1">
      <formula>Devise_Base="NGN"</formula>
    </cfRule>
    <cfRule type="expression" priority="151" dxfId="996" stopIfTrue="1">
      <formula>Devise_Base="GHS"</formula>
    </cfRule>
    <cfRule type="expression" priority="152" dxfId="997" stopIfTrue="1">
      <formula>Devise_Base="CDF"</formula>
    </cfRule>
    <cfRule type="expression" priority="153" dxfId="998" stopIfTrue="1">
      <formula>Devise_Base="ZAR"</formula>
    </cfRule>
    <cfRule type="expression" priority="154" dxfId="999" stopIfTrue="1">
      <formula>Devise_Base="AED"</formula>
    </cfRule>
    <cfRule type="expression" priority="155" dxfId="1000" stopIfTrue="1">
      <formula>Devise_Base="MRU"</formula>
    </cfRule>
    <cfRule type="expression" priority="156" dxfId="1001" stopIfTrue="1">
      <formula>Devise_Base="GNF"</formula>
    </cfRule>
  </conditionalFormatting>
  <conditionalFormatting sqref="G52:H63">
    <cfRule type="expression" priority="157" dxfId="1002" stopIfTrue="1">
      <formula>Devise_Base="XOF"</formula>
    </cfRule>
    <cfRule type="expression" priority="158" dxfId="1003" stopIfTrue="1">
      <formula>Devise_Base="XAF"</formula>
    </cfRule>
    <cfRule type="expression" priority="159" dxfId="1004" stopIfTrue="1">
      <formula>Devise_Base="EUR"</formula>
    </cfRule>
    <cfRule type="expression" priority="160" dxfId="1005" stopIfTrue="1">
      <formula>Devise_Base="USD"</formula>
    </cfRule>
    <cfRule type="expression" priority="161" dxfId="1006" stopIfTrue="1">
      <formula>Devise_Base="GBP"</formula>
    </cfRule>
    <cfRule type="expression" priority="162" dxfId="1007" stopIfTrue="1">
      <formula>Devise_Base="CAD"</formula>
    </cfRule>
    <cfRule type="expression" priority="163" dxfId="1008" stopIfTrue="1">
      <formula>Devise_Base="CHF"</formula>
    </cfRule>
    <cfRule type="expression" priority="164" dxfId="1009" stopIfTrue="1">
      <formula>Devise_Base="MAD"</formula>
    </cfRule>
    <cfRule type="expression" priority="165" dxfId="1010" stopIfTrue="1">
      <formula>Devise_Base="NGN"</formula>
    </cfRule>
    <cfRule type="expression" priority="166" dxfId="1011" stopIfTrue="1">
      <formula>Devise_Base="GHS"</formula>
    </cfRule>
    <cfRule type="expression" priority="167" dxfId="1012" stopIfTrue="1">
      <formula>Devise_Base="CDF"</formula>
    </cfRule>
    <cfRule type="expression" priority="168" dxfId="1013" stopIfTrue="1">
      <formula>Devise_Base="ZAR"</formula>
    </cfRule>
    <cfRule type="expression" priority="169" dxfId="1014" stopIfTrue="1">
      <formula>Devise_Base="AED"</formula>
    </cfRule>
    <cfRule type="expression" priority="170" dxfId="1015" stopIfTrue="1">
      <formula>Devise_Base="MRU"</formula>
    </cfRule>
    <cfRule type="expression" priority="171" dxfId="1016" stopIfTrue="1">
      <formula>Devise_Base="GNF"</formula>
    </cfRule>
  </conditionalFormatting>
  <conditionalFormatting sqref="B70:F79">
    <cfRule type="expression" priority="172" dxfId="75" stopIfTrue="0">
      <formula>MOD(ROW()-70,2)=1</formula>
    </cfRule>
  </conditionalFormatting>
  <conditionalFormatting sqref="D70:D79">
    <cfRule type="expression" priority="173" dxfId="1017" stopIfTrue="1">
      <formula>Devise_Base="XOF"</formula>
    </cfRule>
    <cfRule type="expression" priority="174" dxfId="1018" stopIfTrue="1">
      <formula>Devise_Base="XAF"</formula>
    </cfRule>
    <cfRule type="expression" priority="175" dxfId="1019" stopIfTrue="1">
      <formula>Devise_Base="EUR"</formula>
    </cfRule>
    <cfRule type="expression" priority="176" dxfId="1020" stopIfTrue="1">
      <formula>Devise_Base="USD"</formula>
    </cfRule>
    <cfRule type="expression" priority="177" dxfId="1021" stopIfTrue="1">
      <formula>Devise_Base="GBP"</formula>
    </cfRule>
    <cfRule type="expression" priority="178" dxfId="1022" stopIfTrue="1">
      <formula>Devise_Base="CAD"</formula>
    </cfRule>
    <cfRule type="expression" priority="179" dxfId="1023" stopIfTrue="1">
      <formula>Devise_Base="CHF"</formula>
    </cfRule>
    <cfRule type="expression" priority="180" dxfId="1024" stopIfTrue="1">
      <formula>Devise_Base="MAD"</formula>
    </cfRule>
    <cfRule type="expression" priority="181" dxfId="1025" stopIfTrue="1">
      <formula>Devise_Base="NGN"</formula>
    </cfRule>
    <cfRule type="expression" priority="182" dxfId="1026" stopIfTrue="1">
      <formula>Devise_Base="GHS"</formula>
    </cfRule>
    <cfRule type="expression" priority="183" dxfId="1027" stopIfTrue="1">
      <formula>Devise_Base="CDF"</formula>
    </cfRule>
    <cfRule type="expression" priority="184" dxfId="1028" stopIfTrue="1">
      <formula>Devise_Base="ZAR"</formula>
    </cfRule>
    <cfRule type="expression" priority="185" dxfId="1029" stopIfTrue="1">
      <formula>Devise_Base="AED"</formula>
    </cfRule>
    <cfRule type="expression" priority="186" dxfId="1030" stopIfTrue="1">
      <formula>Devise_Base="MRU"</formula>
    </cfRule>
    <cfRule type="expression" priority="187" dxfId="1031" stopIfTrue="1">
      <formula>Devise_Base="GNF"</formula>
    </cfRule>
  </conditionalFormatting>
  <conditionalFormatting sqref="B85:E94">
    <cfRule type="expression" priority="188" dxfId="75" stopIfTrue="0">
      <formula>MOD(ROW()-85,2)=1</formula>
    </cfRule>
  </conditionalFormatting>
  <conditionalFormatting sqref="E85:E94">
    <cfRule type="dataBar" priority="189">
      <dataBar showValue="1">
        <cfvo type="num" val="0"/>
        <cfvo type="num" val="1"/>
        <color rgb="0010706B"/>
      </dataBar>
    </cfRule>
  </conditionalFormatting>
  <conditionalFormatting sqref="D85:D94">
    <cfRule type="expression" priority="190" dxfId="1032" stopIfTrue="1">
      <formula>Devise_Base="XOF"</formula>
    </cfRule>
    <cfRule type="expression" priority="191" dxfId="1033" stopIfTrue="1">
      <formula>Devise_Base="XAF"</formula>
    </cfRule>
    <cfRule type="expression" priority="192" dxfId="1034" stopIfTrue="1">
      <formula>Devise_Base="EUR"</formula>
    </cfRule>
    <cfRule type="expression" priority="193" dxfId="1035" stopIfTrue="1">
      <formula>Devise_Base="USD"</formula>
    </cfRule>
    <cfRule type="expression" priority="194" dxfId="1036" stopIfTrue="1">
      <formula>Devise_Base="GBP"</formula>
    </cfRule>
    <cfRule type="expression" priority="195" dxfId="1037" stopIfTrue="1">
      <formula>Devise_Base="CAD"</formula>
    </cfRule>
    <cfRule type="expression" priority="196" dxfId="1038" stopIfTrue="1">
      <formula>Devise_Base="CHF"</formula>
    </cfRule>
    <cfRule type="expression" priority="197" dxfId="1039" stopIfTrue="1">
      <formula>Devise_Base="MAD"</formula>
    </cfRule>
    <cfRule type="expression" priority="198" dxfId="1040" stopIfTrue="1">
      <formula>Devise_Base="NGN"</formula>
    </cfRule>
    <cfRule type="expression" priority="199" dxfId="1041" stopIfTrue="1">
      <formula>Devise_Base="GHS"</formula>
    </cfRule>
    <cfRule type="expression" priority="200" dxfId="1042" stopIfTrue="1">
      <formula>Devise_Base="CDF"</formula>
    </cfRule>
    <cfRule type="expression" priority="201" dxfId="1043" stopIfTrue="1">
      <formula>Devise_Base="ZAR"</formula>
    </cfRule>
    <cfRule type="expression" priority="202" dxfId="1044" stopIfTrue="1">
      <formula>Devise_Base="AED"</formula>
    </cfRule>
    <cfRule type="expression" priority="203" dxfId="1045" stopIfTrue="1">
      <formula>Devise_Base="MRU"</formula>
    </cfRule>
    <cfRule type="expression" priority="204" dxfId="1046" stopIfTrue="1">
      <formula>Devise_Base="GNF"</formula>
    </cfRule>
  </conditionalFormatting>
  <hyperlinks>
    <hyperlink ref="B3" location="'Accueil'!A1"/>
    <hyperlink ref="D3" location="'Paramètres'!A1"/>
    <hyperlink ref="F3" location="'Estimation Annuelle'!A1"/>
    <hyperlink ref="H3" location="'Journal'!A1"/>
    <hyperlink ref="J3" location="'Tableau de Bord'!A1"/>
    <hyperlink ref="L3" location="'Budget 12 Mois'!A1"/>
  </hyperlink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9C3A5F"/>
    <outlinePr summaryBelow="1" summaryRight="1"/>
    <pageSetUpPr/>
  </sheetPr>
  <dimension ref="A1:P76"/>
  <sheetViews>
    <sheetView showGridLines="0" zoomScale="85" workbookViewId="0">
      <pane ySplit="18" topLeftCell="A19" activePane="bottomLeft" state="frozen"/>
      <selection pane="bottomLeft" activeCell="A1" sqref="A1"/>
    </sheetView>
  </sheetViews>
  <sheetFormatPr baseColWidth="8" defaultRowHeight="15"/>
  <cols>
    <col width="2" customWidth="1" min="1" max="1"/>
    <col width="5" customWidth="1" min="2" max="2"/>
    <col width="30" customWidth="1" min="3" max="3"/>
    <col width="22" customWidth="1" min="4" max="4"/>
    <col width="15" customWidth="1" min="5" max="5"/>
    <col width="14" customWidth="1" min="6" max="6"/>
    <col width="14" customWidth="1" min="7" max="7"/>
    <col width="14" customWidth="1" min="8" max="8"/>
    <col width="13" customWidth="1" min="9" max="9"/>
    <col width="15" customWidth="1" min="10" max="10"/>
    <col width="15" customWidth="1" min="11" max="11"/>
    <col width="15" customWidth="1" min="12" max="12"/>
    <col width="11" customWidth="1" min="13" max="13"/>
    <col width="13" customWidth="1" min="14" max="14"/>
    <col width="14" customWidth="1" min="15" max="15"/>
    <col width="26" customWidth="1" min="16" max="16"/>
  </cols>
  <sheetData>
    <row r="1" ht="52" customHeight="1">
      <c r="B1" s="46" t="inlineStr">
        <is>
          <t>BUDGET MARIAGE</t>
        </is>
      </c>
      <c r="C1" s="47" t="n"/>
      <c r="D1" s="47" t="n"/>
      <c r="E1" s="47" t="n"/>
      <c r="F1" s="47" t="n"/>
      <c r="G1" s="47" t="n"/>
      <c r="H1" s="47" t="n"/>
      <c r="I1" s="47" t="n"/>
      <c r="J1" s="47" t="n"/>
      <c r="K1" s="47" t="n"/>
      <c r="L1" s="47" t="n"/>
      <c r="M1" s="47" t="n"/>
      <c r="N1" s="47" t="n"/>
      <c r="O1" s="47" t="n"/>
      <c r="P1" s="47" t="n"/>
    </row>
    <row r="2" ht="20" customHeight="1">
      <c r="B2" s="48" t="inlineStr">
        <is>
          <t>Estimations, devis comparés, paiements réels et plan de financement</t>
        </is>
      </c>
      <c r="C2" s="7" t="n"/>
      <c r="D2" s="7" t="n"/>
      <c r="E2" s="7" t="n"/>
      <c r="F2" s="7" t="n"/>
      <c r="G2" s="7" t="n"/>
      <c r="H2" s="7" t="n"/>
      <c r="I2" s="7" t="n"/>
      <c r="J2" s="7" t="n"/>
      <c r="K2" s="7" t="n"/>
      <c r="L2" s="7" t="n"/>
      <c r="M2" s="7" t="n"/>
      <c r="N2" s="7" t="n"/>
      <c r="O2" s="7" t="n"/>
      <c r="P2" s="7" t="n"/>
    </row>
    <row r="3" ht="20" customHeight="1">
      <c r="B3" s="49" t="inlineStr">
        <is>
          <t>⌂  ACCUEIL</t>
        </is>
      </c>
      <c r="C3" s="42" t="n"/>
      <c r="D3" s="49" t="inlineStr">
        <is>
          <t>①  MES INFOS</t>
        </is>
      </c>
      <c r="E3" s="42" t="n"/>
      <c r="F3" s="49" t="inlineStr">
        <is>
          <t>②  ESTIMATION</t>
        </is>
      </c>
      <c r="G3" s="42" t="n"/>
      <c r="H3" s="49" t="inlineStr">
        <is>
          <t>③  BUDGET SMART</t>
        </is>
      </c>
      <c r="I3" s="42" t="n"/>
      <c r="J3" s="49" t="inlineStr">
        <is>
          <t>TABLEAU DE BORD</t>
        </is>
      </c>
      <c r="K3" s="42" t="n"/>
      <c r="L3" s="49" t="inlineStr">
        <is>
          <t>BUDGET 12 MOIS</t>
        </is>
      </c>
      <c r="M3" s="42" t="n"/>
    </row>
    <row r="4" ht="24" customHeight="1">
      <c r="C4" s="6" t="inlineStr">
        <is>
          <t>①  LE MARIAGE</t>
        </is>
      </c>
      <c r="D4" s="7" t="n"/>
      <c r="E4" s="7" t="n"/>
      <c r="F4" s="7" t="n"/>
      <c r="G4" s="7" t="n"/>
      <c r="H4" s="7" t="n"/>
      <c r="I4" s="7" t="n"/>
      <c r="J4" s="7" t="n"/>
      <c r="K4" s="7" t="n"/>
      <c r="L4" s="7" t="n"/>
      <c r="M4" s="7" t="n"/>
      <c r="N4" s="7" t="n"/>
      <c r="O4" s="7" t="n"/>
      <c r="P4" s="7" t="n"/>
    </row>
    <row r="5"/>
    <row r="6" ht="22" customHeight="1">
      <c r="C6" s="52" t="inlineStr">
        <is>
          <t>Les mariés</t>
        </is>
      </c>
      <c r="E6" s="53" t="inlineStr">
        <is>
          <t>Prénom &amp; Prénom</t>
        </is>
      </c>
      <c r="F6" s="54" t="n"/>
    </row>
    <row r="7" ht="22" customHeight="1">
      <c r="C7" s="52" t="inlineStr">
        <is>
          <t>Date du mariage</t>
        </is>
      </c>
      <c r="E7" s="201" t="n"/>
      <c r="F7" s="54" t="n"/>
      <c r="G7" s="55" t="inlineStr">
        <is>
          <t>Alimente le compte à rebours ci-dessous.</t>
        </is>
      </c>
    </row>
    <row r="8" ht="22" customHeight="1">
      <c r="C8" s="52" t="inlineStr">
        <is>
          <t>Lieu de la réception</t>
        </is>
      </c>
      <c r="E8" s="53" t="inlineStr"/>
      <c r="F8" s="54" t="n"/>
    </row>
    <row r="9" ht="22" customHeight="1">
      <c r="C9" s="52" t="inlineStr">
        <is>
          <t>Nombre d'invités</t>
        </is>
      </c>
      <c r="E9" s="57" t="n">
        <v>100</v>
      </c>
      <c r="F9" s="54" t="n"/>
    </row>
    <row r="10" ht="22" customHeight="1">
      <c r="C10" s="52" t="inlineStr">
        <is>
          <t>Budget cible</t>
        </is>
      </c>
      <c r="E10" s="61" t="n">
        <v>0</v>
      </c>
      <c r="F10" s="54" t="n"/>
      <c r="G10" s="55" t="inlineStr">
        <is>
          <t>Le montant que vous ne souhaitez pas dépasser.</t>
        </is>
      </c>
    </row>
    <row r="11" ht="22" customHeight="1">
      <c r="C11" s="52" t="inlineStr">
        <is>
          <t>Jours restants</t>
        </is>
      </c>
      <c r="E11" s="202">
        <f>IF($E$7="","—",MAX(0,$E$7-TODAY()))</f>
        <v/>
      </c>
      <c r="F11" s="59" t="n"/>
    </row>
    <row r="12"/>
    <row r="13" ht="18" customHeight="1">
      <c r="B13" s="203" t="inlineStr">
        <is>
          <t>COÛT ESTIMÉ</t>
        </is>
      </c>
      <c r="C13" s="204" t="n"/>
      <c r="D13" s="205" t="n"/>
      <c r="E13" s="93" t="inlineStr">
        <is>
          <t>COÛT RETENU</t>
        </is>
      </c>
      <c r="F13" s="94" t="n"/>
      <c r="G13" s="95" t="n"/>
      <c r="H13" s="31" t="inlineStr">
        <is>
          <t>DÉJÀ PAYÉ</t>
        </is>
      </c>
      <c r="I13" s="74" t="n"/>
      <c r="J13" s="32" t="n"/>
      <c r="K13" s="80" t="inlineStr">
        <is>
          <t>RESTE À PAYER</t>
        </is>
      </c>
      <c r="L13" s="81" t="n"/>
      <c r="M13" s="82" t="n"/>
      <c r="N13" s="120" t="inlineStr">
        <is>
          <t>COÛT PAR INVITÉ</t>
        </is>
      </c>
      <c r="O13" s="121" t="n"/>
      <c r="P13" s="122" t="n"/>
    </row>
    <row r="14" ht="30" customHeight="1">
      <c r="B14" s="206">
        <f>SUM($E$20:$E$49)</f>
        <v/>
      </c>
      <c r="C14" s="83" t="n"/>
      <c r="D14" s="34" t="n"/>
      <c r="E14" s="127">
        <f>SUM($J$20:$J$49)</f>
        <v/>
      </c>
      <c r="F14" s="83" t="n"/>
      <c r="G14" s="34" t="n"/>
      <c r="H14" s="36">
        <f>SUM($K$20:$K$49)</f>
        <v/>
      </c>
      <c r="I14" s="83" t="n"/>
      <c r="J14" s="34" t="n"/>
      <c r="K14" s="97">
        <f>SUM($J$20:$J$49)-SUM($K$20:$K$49)</f>
        <v/>
      </c>
      <c r="L14" s="83" t="n"/>
      <c r="M14" s="34" t="n"/>
      <c r="N14" s="207">
        <f>IFERROR(SUM($J$20:$J$49)/$E$9,0)</f>
        <v/>
      </c>
      <c r="O14" s="83" t="n"/>
      <c r="P14" s="34" t="n"/>
    </row>
    <row r="15" ht="16" customHeight="1">
      <c r="B15" s="37" t="inlineStr">
        <is>
          <t>Somme des estimations initiales</t>
        </is>
      </c>
      <c r="C15" s="86" t="n"/>
      <c r="D15" s="38" t="n"/>
      <c r="E15" s="37" t="inlineStr">
        <is>
          <t>Devis retenus ou estimations</t>
        </is>
      </c>
      <c r="F15" s="86" t="n"/>
      <c r="G15" s="38" t="n"/>
      <c r="H15" s="98">
        <f>"Soit "&amp;ROUND(IFERROR(SUM($K$20:$K$49)/SUM($J$20:$J$49),0)*100,0)&amp;" %"&amp;" du coût retenu"</f>
        <v/>
      </c>
      <c r="I15" s="86" t="n"/>
      <c r="J15" s="38" t="n"/>
      <c r="K15" s="37" t="inlineStr"/>
      <c r="L15" s="86" t="n"/>
      <c r="M15" s="38" t="n"/>
      <c r="N15" s="98">
        <f>IF($E$10=0,"Aucun budget cible saisi",IF(SUM($J$20:$J$49)&gt;$E$10,"⚠ Budget cible dépassé de "&amp;FIXED(SUM($J$20:$J$49)-$E$10,0),"✓ Dans le budget cible"))</f>
        <v/>
      </c>
      <c r="O15" s="86" t="n"/>
      <c r="P15" s="38" t="n"/>
    </row>
    <row r="16"/>
    <row r="17" ht="24" customHeight="1">
      <c r="B17" s="6" t="inlineStr">
        <is>
          <t>②  POSTES DE DÉPENSE — ESTIMATION, DEVIS, RÉALISÉ</t>
        </is>
      </c>
      <c r="C17" s="7" t="n"/>
      <c r="D17" s="7" t="n"/>
      <c r="E17" s="7" t="n"/>
      <c r="F17" s="7" t="n"/>
      <c r="G17" s="7" t="n"/>
      <c r="H17" s="7" t="n"/>
      <c r="I17" s="7" t="n"/>
      <c r="J17" s="7" t="n"/>
      <c r="K17" s="7" t="n"/>
      <c r="L17" s="7" t="n"/>
      <c r="M17" s="7" t="n"/>
      <c r="N17" s="7" t="n"/>
      <c r="O17" s="7" t="n"/>
      <c r="P17" s="7" t="n"/>
    </row>
    <row r="18" ht="28" customHeight="1">
      <c r="B18" s="41" t="inlineStr">
        <is>
          <t>Les colonnes « Déjà payé » se remplissent toutes seules : enregistrez vos paiements dans le Journal avec le module « Mariage » et la même catégorie que le poste. Comparez jusqu'à trois devis et choisissez celui retenu.</t>
        </is>
      </c>
      <c r="C18" s="42" t="n"/>
      <c r="D18" s="42" t="n"/>
      <c r="E18" s="42" t="n"/>
      <c r="F18" s="42" t="n"/>
      <c r="G18" s="42" t="n"/>
      <c r="H18" s="42" t="n"/>
      <c r="I18" s="42" t="n"/>
      <c r="J18" s="42" t="n"/>
      <c r="K18" s="42" t="n"/>
      <c r="L18" s="42" t="n"/>
      <c r="M18" s="42" t="n"/>
      <c r="N18" s="42" t="n"/>
      <c r="O18" s="42" t="n"/>
      <c r="P18" s="42" t="n"/>
    </row>
    <row r="19" ht="34" customHeight="1">
      <c r="B19" s="63" t="inlineStr">
        <is>
          <t>N°</t>
        </is>
      </c>
      <c r="C19" s="63" t="inlineStr">
        <is>
          <t>Poste</t>
        </is>
      </c>
      <c r="D19" s="63" t="inlineStr">
        <is>
          <t>Prestataire retenu</t>
        </is>
      </c>
      <c r="E19" s="63" t="inlineStr">
        <is>
          <t>Estimation</t>
        </is>
      </c>
      <c r="F19" s="63" t="inlineStr">
        <is>
          <t>Devis 1</t>
        </is>
      </c>
      <c r="G19" s="63" t="inlineStr">
        <is>
          <t>Devis 2</t>
        </is>
      </c>
      <c r="H19" s="63" t="inlineStr">
        <is>
          <t>Devis 3</t>
        </is>
      </c>
      <c r="I19" s="63" t="inlineStr">
        <is>
          <t>Devis retenu</t>
        </is>
      </c>
      <c r="J19" s="63" t="inlineStr">
        <is>
          <t>Coût retenu</t>
        </is>
      </c>
      <c r="K19" s="63" t="inlineStr">
        <is>
          <t>Déjà payé</t>
        </is>
      </c>
      <c r="L19" s="63" t="inlineStr">
        <is>
          <t>Reste à payer</t>
        </is>
      </c>
      <c r="M19" s="63" t="inlineStr">
        <is>
          <t>% payé</t>
        </is>
      </c>
      <c r="N19" s="63" t="inlineStr">
        <is>
          <t>Échéance</t>
        </is>
      </c>
      <c r="O19" s="63" t="inlineStr">
        <is>
          <t>Statut</t>
        </is>
      </c>
      <c r="P19" s="63" t="inlineStr">
        <is>
          <t>Notes</t>
        </is>
      </c>
    </row>
    <row r="20">
      <c r="B20" s="208" t="n">
        <v>1</v>
      </c>
      <c r="C20" s="54" t="inlineStr">
        <is>
          <t>Dot &amp; coutume</t>
        </is>
      </c>
      <c r="D20" s="54" t="n"/>
      <c r="E20" s="88" t="n"/>
      <c r="F20" s="88" t="n"/>
      <c r="G20" s="88" t="n"/>
      <c r="H20" s="88" t="n"/>
      <c r="I20" s="88" t="n"/>
      <c r="J20" s="90">
        <f>IF($I20="Devis 1",$F20,IF($I20="Devis 2",$G20,IF($I20="Devis 3",$H20,N($E20))))</f>
        <v/>
      </c>
      <c r="K20" s="90">
        <f>IF($C20="",0,SUMIFS(J_Montant,J_Module,"Mariage",J_Cat,$C20,J_Type,"&lt;&gt;Revenu",J_Type,"&lt;&gt;Transfert",J_Statut,"&lt;&gt;Annulé",J_Statut,"&lt;&gt;Prévu"))</f>
        <v/>
      </c>
      <c r="L20" s="90">
        <f>N($J20)-N($K20)</f>
        <v/>
      </c>
      <c r="M20" s="91">
        <f>IFERROR($K20/$J20,0)</f>
        <v/>
      </c>
      <c r="N20" s="105" t="n"/>
      <c r="O20" s="209">
        <f>IF($C20="","",IF($J20=0,"À chiffrer",IF($M20&gt;=1,"✓ Soldé",IF($M20&gt;0,"Acompte versé",IF(AND($N20&lt;&gt;"",$N20&lt;TODAY()),"⚠ Échéance passée","À payer")))))</f>
        <v/>
      </c>
      <c r="P20" s="54" t="n"/>
    </row>
    <row r="21">
      <c r="B21" s="208" t="n">
        <v>2</v>
      </c>
      <c r="C21" s="54" t="inlineStr">
        <is>
          <t>Mairie / État civil</t>
        </is>
      </c>
      <c r="D21" s="54" t="n"/>
      <c r="E21" s="88" t="n"/>
      <c r="F21" s="88" t="n"/>
      <c r="G21" s="88" t="n"/>
      <c r="H21" s="88" t="n"/>
      <c r="I21" s="88" t="n"/>
      <c r="J21" s="90">
        <f>IF($I21="Devis 1",$F21,IF($I21="Devis 2",$G21,IF($I21="Devis 3",$H21,N($E21))))</f>
        <v/>
      </c>
      <c r="K21" s="90">
        <f>IF($C21="",0,SUMIFS(J_Montant,J_Module,"Mariage",J_Cat,$C21,J_Type,"&lt;&gt;Revenu",J_Type,"&lt;&gt;Transfert",J_Statut,"&lt;&gt;Annulé",J_Statut,"&lt;&gt;Prévu"))</f>
        <v/>
      </c>
      <c r="L21" s="90">
        <f>N($J21)-N($K21)</f>
        <v/>
      </c>
      <c r="M21" s="91">
        <f>IFERROR($K21/$J21,0)</f>
        <v/>
      </c>
      <c r="N21" s="105" t="n"/>
      <c r="O21" s="209">
        <f>IF($C21="","",IF($J21=0,"À chiffrer",IF($M21&gt;=1,"✓ Soldé",IF($M21&gt;0,"Acompte versé",IF(AND($N21&lt;&gt;"",$N21&lt;TODAY()),"⚠ Échéance passée","À payer")))))</f>
        <v/>
      </c>
      <c r="P21" s="54" t="n"/>
    </row>
    <row r="22">
      <c r="B22" s="208" t="n">
        <v>3</v>
      </c>
      <c r="C22" s="54" t="inlineStr">
        <is>
          <t>Cérémonie religieuse</t>
        </is>
      </c>
      <c r="D22" s="54" t="n"/>
      <c r="E22" s="88" t="n"/>
      <c r="F22" s="88" t="n"/>
      <c r="G22" s="88" t="n"/>
      <c r="H22" s="88" t="n"/>
      <c r="I22" s="88" t="n"/>
      <c r="J22" s="90">
        <f>IF($I22="Devis 1",$F22,IF($I22="Devis 2",$G22,IF($I22="Devis 3",$H22,N($E22))))</f>
        <v/>
      </c>
      <c r="K22" s="90">
        <f>IF($C22="",0,SUMIFS(J_Montant,J_Module,"Mariage",J_Cat,$C22,J_Type,"&lt;&gt;Revenu",J_Type,"&lt;&gt;Transfert",J_Statut,"&lt;&gt;Annulé",J_Statut,"&lt;&gt;Prévu"))</f>
        <v/>
      </c>
      <c r="L22" s="90">
        <f>N($J22)-N($K22)</f>
        <v/>
      </c>
      <c r="M22" s="91">
        <f>IFERROR($K22/$J22,0)</f>
        <v/>
      </c>
      <c r="N22" s="105" t="n"/>
      <c r="O22" s="209">
        <f>IF($C22="","",IF($J22=0,"À chiffrer",IF($M22&gt;=1,"✓ Soldé",IF($M22&gt;0,"Acompte versé",IF(AND($N22&lt;&gt;"",$N22&lt;TODAY()),"⚠ Échéance passée","À payer")))))</f>
        <v/>
      </c>
      <c r="P22" s="54" t="n"/>
    </row>
    <row r="23">
      <c r="B23" s="208" t="n">
        <v>4</v>
      </c>
      <c r="C23" s="54" t="inlineStr">
        <is>
          <t>Tenue de la mariée</t>
        </is>
      </c>
      <c r="D23" s="54" t="n"/>
      <c r="E23" s="88" t="n"/>
      <c r="F23" s="88" t="n"/>
      <c r="G23" s="88" t="n"/>
      <c r="H23" s="88" t="n"/>
      <c r="I23" s="88" t="n"/>
      <c r="J23" s="90">
        <f>IF($I23="Devis 1",$F23,IF($I23="Devis 2",$G23,IF($I23="Devis 3",$H23,N($E23))))</f>
        <v/>
      </c>
      <c r="K23" s="90">
        <f>IF($C23="",0,SUMIFS(J_Montant,J_Module,"Mariage",J_Cat,$C23,J_Type,"&lt;&gt;Revenu",J_Type,"&lt;&gt;Transfert",J_Statut,"&lt;&gt;Annulé",J_Statut,"&lt;&gt;Prévu"))</f>
        <v/>
      </c>
      <c r="L23" s="90">
        <f>N($J23)-N($K23)</f>
        <v/>
      </c>
      <c r="M23" s="91">
        <f>IFERROR($K23/$J23,0)</f>
        <v/>
      </c>
      <c r="N23" s="105" t="n"/>
      <c r="O23" s="209">
        <f>IF($C23="","",IF($J23=0,"À chiffrer",IF($M23&gt;=1,"✓ Soldé",IF($M23&gt;0,"Acompte versé",IF(AND($N23&lt;&gt;"",$N23&lt;TODAY()),"⚠ Échéance passée","À payer")))))</f>
        <v/>
      </c>
      <c r="P23" s="54" t="n"/>
    </row>
    <row r="24">
      <c r="B24" s="208" t="n">
        <v>5</v>
      </c>
      <c r="C24" s="54" t="inlineStr">
        <is>
          <t>Tenue du marié</t>
        </is>
      </c>
      <c r="D24" s="54" t="n"/>
      <c r="E24" s="88" t="n"/>
      <c r="F24" s="88" t="n"/>
      <c r="G24" s="88" t="n"/>
      <c r="H24" s="88" t="n"/>
      <c r="I24" s="88" t="n"/>
      <c r="J24" s="90">
        <f>IF($I24="Devis 1",$F24,IF($I24="Devis 2",$G24,IF($I24="Devis 3",$H24,N($E24))))</f>
        <v/>
      </c>
      <c r="K24" s="90">
        <f>IF($C24="",0,SUMIFS(J_Montant,J_Module,"Mariage",J_Cat,$C24,J_Type,"&lt;&gt;Revenu",J_Type,"&lt;&gt;Transfert",J_Statut,"&lt;&gt;Annulé",J_Statut,"&lt;&gt;Prévu"))</f>
        <v/>
      </c>
      <c r="L24" s="90">
        <f>N($J24)-N($K24)</f>
        <v/>
      </c>
      <c r="M24" s="91">
        <f>IFERROR($K24/$J24,0)</f>
        <v/>
      </c>
      <c r="N24" s="105" t="n"/>
      <c r="O24" s="209">
        <f>IF($C24="","",IF($J24=0,"À chiffrer",IF($M24&gt;=1,"✓ Soldé",IF($M24&gt;0,"Acompte versé",IF(AND($N24&lt;&gt;"",$N24&lt;TODAY()),"⚠ Échéance passée","À payer")))))</f>
        <v/>
      </c>
      <c r="P24" s="54" t="n"/>
    </row>
    <row r="25">
      <c r="B25" s="208" t="n">
        <v>6</v>
      </c>
      <c r="C25" s="54" t="inlineStr">
        <is>
          <t>Tenues des cortèges</t>
        </is>
      </c>
      <c r="D25" s="54" t="n"/>
      <c r="E25" s="88" t="n"/>
      <c r="F25" s="88" t="n"/>
      <c r="G25" s="88" t="n"/>
      <c r="H25" s="88" t="n"/>
      <c r="I25" s="88" t="n"/>
      <c r="J25" s="90">
        <f>IF($I25="Devis 1",$F25,IF($I25="Devis 2",$G25,IF($I25="Devis 3",$H25,N($E25))))</f>
        <v/>
      </c>
      <c r="K25" s="90">
        <f>IF($C25="",0,SUMIFS(J_Montant,J_Module,"Mariage",J_Cat,$C25,J_Type,"&lt;&gt;Revenu",J_Type,"&lt;&gt;Transfert",J_Statut,"&lt;&gt;Annulé",J_Statut,"&lt;&gt;Prévu"))</f>
        <v/>
      </c>
      <c r="L25" s="90">
        <f>N($J25)-N($K25)</f>
        <v/>
      </c>
      <c r="M25" s="91">
        <f>IFERROR($K25/$J25,0)</f>
        <v/>
      </c>
      <c r="N25" s="105" t="n"/>
      <c r="O25" s="209">
        <f>IF($C25="","",IF($J25=0,"À chiffrer",IF($M25&gt;=1,"✓ Soldé",IF($M25&gt;0,"Acompte versé",IF(AND($N25&lt;&gt;"",$N25&lt;TODAY()),"⚠ Échéance passée","À payer")))))</f>
        <v/>
      </c>
      <c r="P25" s="54" t="n"/>
    </row>
    <row r="26">
      <c r="B26" s="208" t="n">
        <v>7</v>
      </c>
      <c r="C26" s="54" t="inlineStr">
        <is>
          <t>Beauté, coiffure &amp; maquillage</t>
        </is>
      </c>
      <c r="D26" s="54" t="n"/>
      <c r="E26" s="88" t="n"/>
      <c r="F26" s="88" t="n"/>
      <c r="G26" s="88" t="n"/>
      <c r="H26" s="88" t="n"/>
      <c r="I26" s="88" t="n"/>
      <c r="J26" s="90">
        <f>IF($I26="Devis 1",$F26,IF($I26="Devis 2",$G26,IF($I26="Devis 3",$H26,N($E26))))</f>
        <v/>
      </c>
      <c r="K26" s="90">
        <f>IF($C26="",0,SUMIFS(J_Montant,J_Module,"Mariage",J_Cat,$C26,J_Type,"&lt;&gt;Revenu",J_Type,"&lt;&gt;Transfert",J_Statut,"&lt;&gt;Annulé",J_Statut,"&lt;&gt;Prévu"))</f>
        <v/>
      </c>
      <c r="L26" s="90">
        <f>N($J26)-N($K26)</f>
        <v/>
      </c>
      <c r="M26" s="91">
        <f>IFERROR($K26/$J26,0)</f>
        <v/>
      </c>
      <c r="N26" s="105" t="n"/>
      <c r="O26" s="209">
        <f>IF($C26="","",IF($J26=0,"À chiffrer",IF($M26&gt;=1,"✓ Soldé",IF($M26&gt;0,"Acompte versé",IF(AND($N26&lt;&gt;"",$N26&lt;TODAY()),"⚠ Échéance passée","À payer")))))</f>
        <v/>
      </c>
      <c r="P26" s="54" t="n"/>
    </row>
    <row r="27">
      <c r="B27" s="208" t="n">
        <v>8</v>
      </c>
      <c r="C27" s="54" t="inlineStr">
        <is>
          <t>Alliances &amp; bijoux</t>
        </is>
      </c>
      <c r="D27" s="54" t="n"/>
      <c r="E27" s="88" t="n"/>
      <c r="F27" s="88" t="n"/>
      <c r="G27" s="88" t="n"/>
      <c r="H27" s="88" t="n"/>
      <c r="I27" s="88" t="n"/>
      <c r="J27" s="90">
        <f>IF($I27="Devis 1",$F27,IF($I27="Devis 2",$G27,IF($I27="Devis 3",$H27,N($E27))))</f>
        <v/>
      </c>
      <c r="K27" s="90">
        <f>IF($C27="",0,SUMIFS(J_Montant,J_Module,"Mariage",J_Cat,$C27,J_Type,"&lt;&gt;Revenu",J_Type,"&lt;&gt;Transfert",J_Statut,"&lt;&gt;Annulé",J_Statut,"&lt;&gt;Prévu"))</f>
        <v/>
      </c>
      <c r="L27" s="90">
        <f>N($J27)-N($K27)</f>
        <v/>
      </c>
      <c r="M27" s="91">
        <f>IFERROR($K27/$J27,0)</f>
        <v/>
      </c>
      <c r="N27" s="105" t="n"/>
      <c r="O27" s="209">
        <f>IF($C27="","",IF($J27=0,"À chiffrer",IF($M27&gt;=1,"✓ Soldé",IF($M27&gt;0,"Acompte versé",IF(AND($N27&lt;&gt;"",$N27&lt;TODAY()),"⚠ Échéance passée","À payer")))))</f>
        <v/>
      </c>
      <c r="P27" s="54" t="n"/>
    </row>
    <row r="28">
      <c r="B28" s="208" t="n">
        <v>9</v>
      </c>
      <c r="C28" s="54" t="inlineStr">
        <is>
          <t>Salle &amp; mobilier</t>
        </is>
      </c>
      <c r="D28" s="54" t="n"/>
      <c r="E28" s="88" t="n"/>
      <c r="F28" s="88" t="n"/>
      <c r="G28" s="88" t="n"/>
      <c r="H28" s="88" t="n"/>
      <c r="I28" s="88" t="n"/>
      <c r="J28" s="90">
        <f>IF($I28="Devis 1",$F28,IF($I28="Devis 2",$G28,IF($I28="Devis 3",$H28,N($E28))))</f>
        <v/>
      </c>
      <c r="K28" s="90">
        <f>IF($C28="",0,SUMIFS(J_Montant,J_Module,"Mariage",J_Cat,$C28,J_Type,"&lt;&gt;Revenu",J_Type,"&lt;&gt;Transfert",J_Statut,"&lt;&gt;Annulé",J_Statut,"&lt;&gt;Prévu"))</f>
        <v/>
      </c>
      <c r="L28" s="90">
        <f>N($J28)-N($K28)</f>
        <v/>
      </c>
      <c r="M28" s="91">
        <f>IFERROR($K28/$J28,0)</f>
        <v/>
      </c>
      <c r="N28" s="105" t="n"/>
      <c r="O28" s="209">
        <f>IF($C28="","",IF($J28=0,"À chiffrer",IF($M28&gt;=1,"✓ Soldé",IF($M28&gt;0,"Acompte versé",IF(AND($N28&lt;&gt;"",$N28&lt;TODAY()),"⚠ Échéance passée","À payer")))))</f>
        <v/>
      </c>
      <c r="P28" s="54" t="n"/>
    </row>
    <row r="29">
      <c r="B29" s="208" t="n">
        <v>10</v>
      </c>
      <c r="C29" s="54" t="inlineStr">
        <is>
          <t>Décoration</t>
        </is>
      </c>
      <c r="D29" s="54" t="n"/>
      <c r="E29" s="88" t="n"/>
      <c r="F29" s="88" t="n"/>
      <c r="G29" s="88" t="n"/>
      <c r="H29" s="88" t="n"/>
      <c r="I29" s="88" t="n"/>
      <c r="J29" s="90">
        <f>IF($I29="Devis 1",$F29,IF($I29="Devis 2",$G29,IF($I29="Devis 3",$H29,N($E29))))</f>
        <v/>
      </c>
      <c r="K29" s="90">
        <f>IF($C29="",0,SUMIFS(J_Montant,J_Module,"Mariage",J_Cat,$C29,J_Type,"&lt;&gt;Revenu",J_Type,"&lt;&gt;Transfert",J_Statut,"&lt;&gt;Annulé",J_Statut,"&lt;&gt;Prévu"))</f>
        <v/>
      </c>
      <c r="L29" s="90">
        <f>N($J29)-N($K29)</f>
        <v/>
      </c>
      <c r="M29" s="91">
        <f>IFERROR($K29/$J29,0)</f>
        <v/>
      </c>
      <c r="N29" s="105" t="n"/>
      <c r="O29" s="209">
        <f>IF($C29="","",IF($J29=0,"À chiffrer",IF($M29&gt;=1,"✓ Soldé",IF($M29&gt;0,"Acompte versé",IF(AND($N29&lt;&gt;"",$N29&lt;TODAY()),"⚠ Échéance passée","À payer")))))</f>
        <v/>
      </c>
      <c r="P29" s="54" t="n"/>
    </row>
    <row r="30">
      <c r="B30" s="208" t="n">
        <v>11</v>
      </c>
      <c r="C30" s="54" t="inlineStr">
        <is>
          <t>Traiteur &amp; repas</t>
        </is>
      </c>
      <c r="D30" s="54" t="n"/>
      <c r="E30" s="88" t="n"/>
      <c r="F30" s="88" t="n"/>
      <c r="G30" s="88" t="n"/>
      <c r="H30" s="88" t="n"/>
      <c r="I30" s="88" t="n"/>
      <c r="J30" s="90">
        <f>IF($I30="Devis 1",$F30,IF($I30="Devis 2",$G30,IF($I30="Devis 3",$H30,N($E30))))</f>
        <v/>
      </c>
      <c r="K30" s="90">
        <f>IF($C30="",0,SUMIFS(J_Montant,J_Module,"Mariage",J_Cat,$C30,J_Type,"&lt;&gt;Revenu",J_Type,"&lt;&gt;Transfert",J_Statut,"&lt;&gt;Annulé",J_Statut,"&lt;&gt;Prévu"))</f>
        <v/>
      </c>
      <c r="L30" s="90">
        <f>N($J30)-N($K30)</f>
        <v/>
      </c>
      <c r="M30" s="91">
        <f>IFERROR($K30/$J30,0)</f>
        <v/>
      </c>
      <c r="N30" s="105" t="n"/>
      <c r="O30" s="209">
        <f>IF($C30="","",IF($J30=0,"À chiffrer",IF($M30&gt;=1,"✓ Soldé",IF($M30&gt;0,"Acompte versé",IF(AND($N30&lt;&gt;"",$N30&lt;TODAY()),"⚠ Échéance passée","À payer")))))</f>
        <v/>
      </c>
      <c r="P30" s="54" t="n"/>
    </row>
    <row r="31">
      <c r="B31" s="208" t="n">
        <v>12</v>
      </c>
      <c r="C31" s="54" t="inlineStr">
        <is>
          <t>Boissons</t>
        </is>
      </c>
      <c r="D31" s="54" t="n"/>
      <c r="E31" s="88" t="n"/>
      <c r="F31" s="88" t="n"/>
      <c r="G31" s="88" t="n"/>
      <c r="H31" s="88" t="n"/>
      <c r="I31" s="88" t="n"/>
      <c r="J31" s="90">
        <f>IF($I31="Devis 1",$F31,IF($I31="Devis 2",$G31,IF($I31="Devis 3",$H31,N($E31))))</f>
        <v/>
      </c>
      <c r="K31" s="90">
        <f>IF($C31="",0,SUMIFS(J_Montant,J_Module,"Mariage",J_Cat,$C31,J_Type,"&lt;&gt;Revenu",J_Type,"&lt;&gt;Transfert",J_Statut,"&lt;&gt;Annulé",J_Statut,"&lt;&gt;Prévu"))</f>
        <v/>
      </c>
      <c r="L31" s="90">
        <f>N($J31)-N($K31)</f>
        <v/>
      </c>
      <c r="M31" s="91">
        <f>IFERROR($K31/$J31,0)</f>
        <v/>
      </c>
      <c r="N31" s="105" t="n"/>
      <c r="O31" s="209">
        <f>IF($C31="","",IF($J31=0,"À chiffrer",IF($M31&gt;=1,"✓ Soldé",IF($M31&gt;0,"Acompte versé",IF(AND($N31&lt;&gt;"",$N31&lt;TODAY()),"⚠ Échéance passée","À payer")))))</f>
        <v/>
      </c>
      <c r="P31" s="54" t="n"/>
    </row>
    <row r="32">
      <c r="B32" s="208" t="n">
        <v>13</v>
      </c>
      <c r="C32" s="54" t="inlineStr">
        <is>
          <t>Gâteau / pièce montée</t>
        </is>
      </c>
      <c r="D32" s="54" t="n"/>
      <c r="E32" s="88" t="n"/>
      <c r="F32" s="88" t="n"/>
      <c r="G32" s="88" t="n"/>
      <c r="H32" s="88" t="n"/>
      <c r="I32" s="88" t="n"/>
      <c r="J32" s="90">
        <f>IF($I32="Devis 1",$F32,IF($I32="Devis 2",$G32,IF($I32="Devis 3",$H32,N($E32))))</f>
        <v/>
      </c>
      <c r="K32" s="90">
        <f>IF($C32="",0,SUMIFS(J_Montant,J_Module,"Mariage",J_Cat,$C32,J_Type,"&lt;&gt;Revenu",J_Type,"&lt;&gt;Transfert",J_Statut,"&lt;&gt;Annulé",J_Statut,"&lt;&gt;Prévu"))</f>
        <v/>
      </c>
      <c r="L32" s="90">
        <f>N($J32)-N($K32)</f>
        <v/>
      </c>
      <c r="M32" s="91">
        <f>IFERROR($K32/$J32,0)</f>
        <v/>
      </c>
      <c r="N32" s="105" t="n"/>
      <c r="O32" s="209">
        <f>IF($C32="","",IF($J32=0,"À chiffrer",IF($M32&gt;=1,"✓ Soldé",IF($M32&gt;0,"Acompte versé",IF(AND($N32&lt;&gt;"",$N32&lt;TODAY()),"⚠ Échéance passée","À payer")))))</f>
        <v/>
      </c>
      <c r="P32" s="54" t="n"/>
    </row>
    <row r="33">
      <c r="B33" s="208" t="n">
        <v>14</v>
      </c>
      <c r="C33" s="54" t="inlineStr">
        <is>
          <t>Photographe</t>
        </is>
      </c>
      <c r="D33" s="54" t="n"/>
      <c r="E33" s="88" t="n"/>
      <c r="F33" s="88" t="n"/>
      <c r="G33" s="88" t="n"/>
      <c r="H33" s="88" t="n"/>
      <c r="I33" s="88" t="n"/>
      <c r="J33" s="90">
        <f>IF($I33="Devis 1",$F33,IF($I33="Devis 2",$G33,IF($I33="Devis 3",$H33,N($E33))))</f>
        <v/>
      </c>
      <c r="K33" s="90">
        <f>IF($C33="",0,SUMIFS(J_Montant,J_Module,"Mariage",J_Cat,$C33,J_Type,"&lt;&gt;Revenu",J_Type,"&lt;&gt;Transfert",J_Statut,"&lt;&gt;Annulé",J_Statut,"&lt;&gt;Prévu"))</f>
        <v/>
      </c>
      <c r="L33" s="90">
        <f>N($J33)-N($K33)</f>
        <v/>
      </c>
      <c r="M33" s="91">
        <f>IFERROR($K33/$J33,0)</f>
        <v/>
      </c>
      <c r="N33" s="105" t="n"/>
      <c r="O33" s="209">
        <f>IF($C33="","",IF($J33=0,"À chiffrer",IF($M33&gt;=1,"✓ Soldé",IF($M33&gt;0,"Acompte versé",IF(AND($N33&lt;&gt;"",$N33&lt;TODAY()),"⚠ Échéance passée","À payer")))))</f>
        <v/>
      </c>
      <c r="P33" s="54" t="n"/>
    </row>
    <row r="34">
      <c r="B34" s="208" t="n">
        <v>15</v>
      </c>
      <c r="C34" s="54" t="inlineStr">
        <is>
          <t>Vidéaste / Drone</t>
        </is>
      </c>
      <c r="D34" s="54" t="n"/>
      <c r="E34" s="88" t="n"/>
      <c r="F34" s="88" t="n"/>
      <c r="G34" s="88" t="n"/>
      <c r="H34" s="88" t="n"/>
      <c r="I34" s="88" t="n"/>
      <c r="J34" s="90">
        <f>IF($I34="Devis 1",$F34,IF($I34="Devis 2",$G34,IF($I34="Devis 3",$H34,N($E34))))</f>
        <v/>
      </c>
      <c r="K34" s="90">
        <f>IF($C34="",0,SUMIFS(J_Montant,J_Module,"Mariage",J_Cat,$C34,J_Type,"&lt;&gt;Revenu",J_Type,"&lt;&gt;Transfert",J_Statut,"&lt;&gt;Annulé",J_Statut,"&lt;&gt;Prévu"))</f>
        <v/>
      </c>
      <c r="L34" s="90">
        <f>N($J34)-N($K34)</f>
        <v/>
      </c>
      <c r="M34" s="91">
        <f>IFERROR($K34/$J34,0)</f>
        <v/>
      </c>
      <c r="N34" s="105" t="n"/>
      <c r="O34" s="209">
        <f>IF($C34="","",IF($J34=0,"À chiffrer",IF($M34&gt;=1,"✓ Soldé",IF($M34&gt;0,"Acompte versé",IF(AND($N34&lt;&gt;"",$N34&lt;TODAY()),"⚠ Échéance passée","À payer")))))</f>
        <v/>
      </c>
      <c r="P34" s="54" t="n"/>
    </row>
    <row r="35">
      <c r="B35" s="208" t="n">
        <v>16</v>
      </c>
      <c r="C35" s="54" t="inlineStr">
        <is>
          <t>DJ &amp; animation</t>
        </is>
      </c>
      <c r="D35" s="54" t="n"/>
      <c r="E35" s="88" t="n"/>
      <c r="F35" s="88" t="n"/>
      <c r="G35" s="88" t="n"/>
      <c r="H35" s="88" t="n"/>
      <c r="I35" s="88" t="n"/>
      <c r="J35" s="90">
        <f>IF($I35="Devis 1",$F35,IF($I35="Devis 2",$G35,IF($I35="Devis 3",$H35,N($E35))))</f>
        <v/>
      </c>
      <c r="K35" s="90">
        <f>IF($C35="",0,SUMIFS(J_Montant,J_Module,"Mariage",J_Cat,$C35,J_Type,"&lt;&gt;Revenu",J_Type,"&lt;&gt;Transfert",J_Statut,"&lt;&gt;Annulé",J_Statut,"&lt;&gt;Prévu"))</f>
        <v/>
      </c>
      <c r="L35" s="90">
        <f>N($J35)-N($K35)</f>
        <v/>
      </c>
      <c r="M35" s="91">
        <f>IFERROR($K35/$J35,0)</f>
        <v/>
      </c>
      <c r="N35" s="105" t="n"/>
      <c r="O35" s="209">
        <f>IF($C35="","",IF($J35=0,"À chiffrer",IF($M35&gt;=1,"✓ Soldé",IF($M35&gt;0,"Acompte versé",IF(AND($N35&lt;&gt;"",$N35&lt;TODAY()),"⚠ Échéance passée","À payer")))))</f>
        <v/>
      </c>
      <c r="P35" s="54" t="n"/>
    </row>
    <row r="36">
      <c r="B36" s="208" t="n">
        <v>17</v>
      </c>
      <c r="C36" s="54" t="inlineStr">
        <is>
          <t>Orchestre / Chorale</t>
        </is>
      </c>
      <c r="D36" s="54" t="n"/>
      <c r="E36" s="88" t="n"/>
      <c r="F36" s="88" t="n"/>
      <c r="G36" s="88" t="n"/>
      <c r="H36" s="88" t="n"/>
      <c r="I36" s="88" t="n"/>
      <c r="J36" s="90">
        <f>IF($I36="Devis 1",$F36,IF($I36="Devis 2",$G36,IF($I36="Devis 3",$H36,N($E36))))</f>
        <v/>
      </c>
      <c r="K36" s="90">
        <f>IF($C36="",0,SUMIFS(J_Montant,J_Module,"Mariage",J_Cat,$C36,J_Type,"&lt;&gt;Revenu",J_Type,"&lt;&gt;Transfert",J_Statut,"&lt;&gt;Annulé",J_Statut,"&lt;&gt;Prévu"))</f>
        <v/>
      </c>
      <c r="L36" s="90">
        <f>N($J36)-N($K36)</f>
        <v/>
      </c>
      <c r="M36" s="91">
        <f>IFERROR($K36/$J36,0)</f>
        <v/>
      </c>
      <c r="N36" s="105" t="n"/>
      <c r="O36" s="209">
        <f>IF($C36="","",IF($J36=0,"À chiffrer",IF($M36&gt;=1,"✓ Soldé",IF($M36&gt;0,"Acompte versé",IF(AND($N36&lt;&gt;"",$N36&lt;TODAY()),"⚠ Échéance passée","À payer")))))</f>
        <v/>
      </c>
      <c r="P36" s="54" t="n"/>
    </row>
    <row r="37">
      <c r="B37" s="208" t="n">
        <v>18</v>
      </c>
      <c r="C37" s="54" t="inlineStr">
        <is>
          <t>Transport &amp; location de voitures</t>
        </is>
      </c>
      <c r="D37" s="54" t="n"/>
      <c r="E37" s="88" t="n"/>
      <c r="F37" s="88" t="n"/>
      <c r="G37" s="88" t="n"/>
      <c r="H37" s="88" t="n"/>
      <c r="I37" s="88" t="n"/>
      <c r="J37" s="90">
        <f>IF($I37="Devis 1",$F37,IF($I37="Devis 2",$G37,IF($I37="Devis 3",$H37,N($E37))))</f>
        <v/>
      </c>
      <c r="K37" s="90">
        <f>IF($C37="",0,SUMIFS(J_Montant,J_Module,"Mariage",J_Cat,$C37,J_Type,"&lt;&gt;Revenu",J_Type,"&lt;&gt;Transfert",J_Statut,"&lt;&gt;Annulé",J_Statut,"&lt;&gt;Prévu"))</f>
        <v/>
      </c>
      <c r="L37" s="90">
        <f>N($J37)-N($K37)</f>
        <v/>
      </c>
      <c r="M37" s="91">
        <f>IFERROR($K37/$J37,0)</f>
        <v/>
      </c>
      <c r="N37" s="105" t="n"/>
      <c r="O37" s="209">
        <f>IF($C37="","",IF($J37=0,"À chiffrer",IF($M37&gt;=1,"✓ Soldé",IF($M37&gt;0,"Acompte versé",IF(AND($N37&lt;&gt;"",$N37&lt;TODAY()),"⚠ Échéance passée","À payer")))))</f>
        <v/>
      </c>
      <c r="P37" s="54" t="n"/>
    </row>
    <row r="38">
      <c r="B38" s="208" t="n">
        <v>19</v>
      </c>
      <c r="C38" s="54" t="inlineStr">
        <is>
          <t>Faire-parts &amp; papeterie</t>
        </is>
      </c>
      <c r="D38" s="54" t="n"/>
      <c r="E38" s="88" t="n"/>
      <c r="F38" s="88" t="n"/>
      <c r="G38" s="88" t="n"/>
      <c r="H38" s="88" t="n"/>
      <c r="I38" s="88" t="n"/>
      <c r="J38" s="90">
        <f>IF($I38="Devis 1",$F38,IF($I38="Devis 2",$G38,IF($I38="Devis 3",$H38,N($E38))))</f>
        <v/>
      </c>
      <c r="K38" s="90">
        <f>IF($C38="",0,SUMIFS(J_Montant,J_Module,"Mariage",J_Cat,$C38,J_Type,"&lt;&gt;Revenu",J_Type,"&lt;&gt;Transfert",J_Statut,"&lt;&gt;Annulé",J_Statut,"&lt;&gt;Prévu"))</f>
        <v/>
      </c>
      <c r="L38" s="90">
        <f>N($J38)-N($K38)</f>
        <v/>
      </c>
      <c r="M38" s="91">
        <f>IFERROR($K38/$J38,0)</f>
        <v/>
      </c>
      <c r="N38" s="105" t="n"/>
      <c r="O38" s="209">
        <f>IF($C38="","",IF($J38=0,"À chiffrer",IF($M38&gt;=1,"✓ Soldé",IF($M38&gt;0,"Acompte versé",IF(AND($N38&lt;&gt;"",$N38&lt;TODAY()),"⚠ Échéance passée","À payer")))))</f>
        <v/>
      </c>
      <c r="P38" s="54" t="n"/>
    </row>
    <row r="39">
      <c r="B39" s="208" t="n">
        <v>20</v>
      </c>
      <c r="C39" s="54" t="inlineStr">
        <is>
          <t>Cadeaux invités</t>
        </is>
      </c>
      <c r="D39" s="54" t="n"/>
      <c r="E39" s="88" t="n"/>
      <c r="F39" s="88" t="n"/>
      <c r="G39" s="88" t="n"/>
      <c r="H39" s="88" t="n"/>
      <c r="I39" s="88" t="n"/>
      <c r="J39" s="90">
        <f>IF($I39="Devis 1",$F39,IF($I39="Devis 2",$G39,IF($I39="Devis 3",$H39,N($E39))))</f>
        <v/>
      </c>
      <c r="K39" s="90">
        <f>IF($C39="",0,SUMIFS(J_Montant,J_Module,"Mariage",J_Cat,$C39,J_Type,"&lt;&gt;Revenu",J_Type,"&lt;&gt;Transfert",J_Statut,"&lt;&gt;Annulé",J_Statut,"&lt;&gt;Prévu"))</f>
        <v/>
      </c>
      <c r="L39" s="90">
        <f>N($J39)-N($K39)</f>
        <v/>
      </c>
      <c r="M39" s="91">
        <f>IFERROR($K39/$J39,0)</f>
        <v/>
      </c>
      <c r="N39" s="105" t="n"/>
      <c r="O39" s="209">
        <f>IF($C39="","",IF($J39=0,"À chiffrer",IF($M39&gt;=1,"✓ Soldé",IF($M39&gt;0,"Acompte versé",IF(AND($N39&lt;&gt;"",$N39&lt;TODAY()),"⚠ Échéance passée","À payer")))))</f>
        <v/>
      </c>
      <c r="P39" s="54" t="n"/>
    </row>
    <row r="40">
      <c r="B40" s="208" t="n">
        <v>21</v>
      </c>
      <c r="C40" s="54" t="inlineStr">
        <is>
          <t>Hébergement invités</t>
        </is>
      </c>
      <c r="D40" s="54" t="n"/>
      <c r="E40" s="88" t="n"/>
      <c r="F40" s="88" t="n"/>
      <c r="G40" s="88" t="n"/>
      <c r="H40" s="88" t="n"/>
      <c r="I40" s="88" t="n"/>
      <c r="J40" s="90">
        <f>IF($I40="Devis 1",$F40,IF($I40="Devis 2",$G40,IF($I40="Devis 3",$H40,N($E40))))</f>
        <v/>
      </c>
      <c r="K40" s="90">
        <f>IF($C40="",0,SUMIFS(J_Montant,J_Module,"Mariage",J_Cat,$C40,J_Type,"&lt;&gt;Revenu",J_Type,"&lt;&gt;Transfert",J_Statut,"&lt;&gt;Annulé",J_Statut,"&lt;&gt;Prévu"))</f>
        <v/>
      </c>
      <c r="L40" s="90">
        <f>N($J40)-N($K40)</f>
        <v/>
      </c>
      <c r="M40" s="91">
        <f>IFERROR($K40/$J40,0)</f>
        <v/>
      </c>
      <c r="N40" s="105" t="n"/>
      <c r="O40" s="209">
        <f>IF($C40="","",IF($J40=0,"À chiffrer",IF($M40&gt;=1,"✓ Soldé",IF($M40&gt;0,"Acompte versé",IF(AND($N40&lt;&gt;"",$N40&lt;TODAY()),"⚠ Échéance passée","À payer")))))</f>
        <v/>
      </c>
      <c r="P40" s="54" t="n"/>
    </row>
    <row r="41">
      <c r="B41" s="208" t="n">
        <v>22</v>
      </c>
      <c r="C41" s="54" t="inlineStr">
        <is>
          <t>Wedding planner</t>
        </is>
      </c>
      <c r="D41" s="54" t="n"/>
      <c r="E41" s="88" t="n"/>
      <c r="F41" s="88" t="n"/>
      <c r="G41" s="88" t="n"/>
      <c r="H41" s="88" t="n"/>
      <c r="I41" s="88" t="n"/>
      <c r="J41" s="90">
        <f>IF($I41="Devis 1",$F41,IF($I41="Devis 2",$G41,IF($I41="Devis 3",$H41,N($E41))))</f>
        <v/>
      </c>
      <c r="K41" s="90">
        <f>IF($C41="",0,SUMIFS(J_Montant,J_Module,"Mariage",J_Cat,$C41,J_Type,"&lt;&gt;Revenu",J_Type,"&lt;&gt;Transfert",J_Statut,"&lt;&gt;Annulé",J_Statut,"&lt;&gt;Prévu"))</f>
        <v/>
      </c>
      <c r="L41" s="90">
        <f>N($J41)-N($K41)</f>
        <v/>
      </c>
      <c r="M41" s="91">
        <f>IFERROR($K41/$J41,0)</f>
        <v/>
      </c>
      <c r="N41" s="105" t="n"/>
      <c r="O41" s="209">
        <f>IF($C41="","",IF($J41=0,"À chiffrer",IF($M41&gt;=1,"✓ Soldé",IF($M41&gt;0,"Acompte versé",IF(AND($N41&lt;&gt;"",$N41&lt;TODAY()),"⚠ Échéance passée","À payer")))))</f>
        <v/>
      </c>
      <c r="P41" s="54" t="n"/>
    </row>
    <row r="42">
      <c r="B42" s="208" t="n">
        <v>23</v>
      </c>
      <c r="C42" s="54" t="inlineStr">
        <is>
          <t>Sécurité &amp; service d'ordre</t>
        </is>
      </c>
      <c r="D42" s="54" t="n"/>
      <c r="E42" s="88" t="n"/>
      <c r="F42" s="88" t="n"/>
      <c r="G42" s="88" t="n"/>
      <c r="H42" s="88" t="n"/>
      <c r="I42" s="88" t="n"/>
      <c r="J42" s="90">
        <f>IF($I42="Devis 1",$F42,IF($I42="Devis 2",$G42,IF($I42="Devis 3",$H42,N($E42))))</f>
        <v/>
      </c>
      <c r="K42" s="90">
        <f>IF($C42="",0,SUMIFS(J_Montant,J_Module,"Mariage",J_Cat,$C42,J_Type,"&lt;&gt;Revenu",J_Type,"&lt;&gt;Transfert",J_Statut,"&lt;&gt;Annulé",J_Statut,"&lt;&gt;Prévu"))</f>
        <v/>
      </c>
      <c r="L42" s="90">
        <f>N($J42)-N($K42)</f>
        <v/>
      </c>
      <c r="M42" s="91">
        <f>IFERROR($K42/$J42,0)</f>
        <v/>
      </c>
      <c r="N42" s="105" t="n"/>
      <c r="O42" s="209">
        <f>IF($C42="","",IF($J42=0,"À chiffrer",IF($M42&gt;=1,"✓ Soldé",IF($M42&gt;0,"Acompte versé",IF(AND($N42&lt;&gt;"",$N42&lt;TODAY()),"⚠ Échéance passée","À payer")))))</f>
        <v/>
      </c>
      <c r="P42" s="54" t="n"/>
    </row>
    <row r="43">
      <c r="B43" s="208" t="n">
        <v>24</v>
      </c>
      <c r="C43" s="54" t="inlineStr">
        <is>
          <t>Sonorisation &amp; éclairage</t>
        </is>
      </c>
      <c r="D43" s="54" t="n"/>
      <c r="E43" s="88" t="n"/>
      <c r="F43" s="88" t="n"/>
      <c r="G43" s="88" t="n"/>
      <c r="H43" s="88" t="n"/>
      <c r="I43" s="88" t="n"/>
      <c r="J43" s="90">
        <f>IF($I43="Devis 1",$F43,IF($I43="Devis 2",$G43,IF($I43="Devis 3",$H43,N($E43))))</f>
        <v/>
      </c>
      <c r="K43" s="90">
        <f>IF($C43="",0,SUMIFS(J_Montant,J_Module,"Mariage",J_Cat,$C43,J_Type,"&lt;&gt;Revenu",J_Type,"&lt;&gt;Transfert",J_Statut,"&lt;&gt;Annulé",J_Statut,"&lt;&gt;Prévu"))</f>
        <v/>
      </c>
      <c r="L43" s="90">
        <f>N($J43)-N($K43)</f>
        <v/>
      </c>
      <c r="M43" s="91">
        <f>IFERROR($K43/$J43,0)</f>
        <v/>
      </c>
      <c r="N43" s="105" t="n"/>
      <c r="O43" s="209">
        <f>IF($C43="","",IF($J43=0,"À chiffrer",IF($M43&gt;=1,"✓ Soldé",IF($M43&gt;0,"Acompte versé",IF(AND($N43&lt;&gt;"",$N43&lt;TODAY()),"⚠ Échéance passée","À payer")))))</f>
        <v/>
      </c>
      <c r="P43" s="54" t="n"/>
    </row>
    <row r="44">
      <c r="B44" s="208" t="n">
        <v>25</v>
      </c>
      <c r="C44" s="54" t="inlineStr">
        <is>
          <t>Location de vaisselle</t>
        </is>
      </c>
      <c r="D44" s="54" t="n"/>
      <c r="E44" s="88" t="n"/>
      <c r="F44" s="88" t="n"/>
      <c r="G44" s="88" t="n"/>
      <c r="H44" s="88" t="n"/>
      <c r="I44" s="88" t="n"/>
      <c r="J44" s="90">
        <f>IF($I44="Devis 1",$F44,IF($I44="Devis 2",$G44,IF($I44="Devis 3",$H44,N($E44))))</f>
        <v/>
      </c>
      <c r="K44" s="90">
        <f>IF($C44="",0,SUMIFS(J_Montant,J_Module,"Mariage",J_Cat,$C44,J_Type,"&lt;&gt;Revenu",J_Type,"&lt;&gt;Transfert",J_Statut,"&lt;&gt;Annulé",J_Statut,"&lt;&gt;Prévu"))</f>
        <v/>
      </c>
      <c r="L44" s="90">
        <f>N($J44)-N($K44)</f>
        <v/>
      </c>
      <c r="M44" s="91">
        <f>IFERROR($K44/$J44,0)</f>
        <v/>
      </c>
      <c r="N44" s="105" t="n"/>
      <c r="O44" s="209">
        <f>IF($C44="","",IF($J44=0,"À chiffrer",IF($M44&gt;=1,"✓ Soldé",IF($M44&gt;0,"Acompte versé",IF(AND($N44&lt;&gt;"",$N44&lt;TODAY()),"⚠ Échéance passée","À payer")))))</f>
        <v/>
      </c>
      <c r="P44" s="54" t="n"/>
    </row>
    <row r="45">
      <c r="B45" s="208" t="n">
        <v>26</v>
      </c>
      <c r="C45" s="54" t="inlineStr">
        <is>
          <t>Lune de miel</t>
        </is>
      </c>
      <c r="D45" s="54" t="n"/>
      <c r="E45" s="88" t="n"/>
      <c r="F45" s="88" t="n"/>
      <c r="G45" s="88" t="n"/>
      <c r="H45" s="88" t="n"/>
      <c r="I45" s="88" t="n"/>
      <c r="J45" s="90">
        <f>IF($I45="Devis 1",$F45,IF($I45="Devis 2",$G45,IF($I45="Devis 3",$H45,N($E45))))</f>
        <v/>
      </c>
      <c r="K45" s="90">
        <f>IF($C45="",0,SUMIFS(J_Montant,J_Module,"Mariage",J_Cat,$C45,J_Type,"&lt;&gt;Revenu",J_Type,"&lt;&gt;Transfert",J_Statut,"&lt;&gt;Annulé",J_Statut,"&lt;&gt;Prévu"))</f>
        <v/>
      </c>
      <c r="L45" s="90">
        <f>N($J45)-N($K45)</f>
        <v/>
      </c>
      <c r="M45" s="91">
        <f>IFERROR($K45/$J45,0)</f>
        <v/>
      </c>
      <c r="N45" s="105" t="n"/>
      <c r="O45" s="209">
        <f>IF($C45="","",IF($J45=0,"À chiffrer",IF($M45&gt;=1,"✓ Soldé",IF($M45&gt;0,"Acompte versé",IF(AND($N45&lt;&gt;"",$N45&lt;TODAY()),"⚠ Échéance passée","À payer")))))</f>
        <v/>
      </c>
      <c r="P45" s="54" t="n"/>
    </row>
    <row r="46">
      <c r="B46" s="208" t="n">
        <v>27</v>
      </c>
      <c r="C46" s="54" t="inlineStr">
        <is>
          <t>Frais de visa / voyage</t>
        </is>
      </c>
      <c r="D46" s="54" t="n"/>
      <c r="E46" s="88" t="n"/>
      <c r="F46" s="88" t="n"/>
      <c r="G46" s="88" t="n"/>
      <c r="H46" s="88" t="n"/>
      <c r="I46" s="88" t="n"/>
      <c r="J46" s="90">
        <f>IF($I46="Devis 1",$F46,IF($I46="Devis 2",$G46,IF($I46="Devis 3",$H46,N($E46))))</f>
        <v/>
      </c>
      <c r="K46" s="90">
        <f>IF($C46="",0,SUMIFS(J_Montant,J_Module,"Mariage",J_Cat,$C46,J_Type,"&lt;&gt;Revenu",J_Type,"&lt;&gt;Transfert",J_Statut,"&lt;&gt;Annulé",J_Statut,"&lt;&gt;Prévu"))</f>
        <v/>
      </c>
      <c r="L46" s="90">
        <f>N($J46)-N($K46)</f>
        <v/>
      </c>
      <c r="M46" s="91">
        <f>IFERROR($K46/$J46,0)</f>
        <v/>
      </c>
      <c r="N46" s="105" t="n"/>
      <c r="O46" s="209">
        <f>IF($C46="","",IF($J46=0,"À chiffrer",IF($M46&gt;=1,"✓ Soldé",IF($M46&gt;0,"Acompte versé",IF(AND($N46&lt;&gt;"",$N46&lt;TODAY()),"⚠ Échéance passée","À payer")))))</f>
        <v/>
      </c>
      <c r="P46" s="54" t="n"/>
    </row>
    <row r="47">
      <c r="B47" s="208" t="n">
        <v>28</v>
      </c>
      <c r="C47" s="54" t="inlineStr">
        <is>
          <t>Pourboires &amp; extras</t>
        </is>
      </c>
      <c r="D47" s="54" t="n"/>
      <c r="E47" s="88" t="n"/>
      <c r="F47" s="88" t="n"/>
      <c r="G47" s="88" t="n"/>
      <c r="H47" s="88" t="n"/>
      <c r="I47" s="88" t="n"/>
      <c r="J47" s="90">
        <f>IF($I47="Devis 1",$F47,IF($I47="Devis 2",$G47,IF($I47="Devis 3",$H47,N($E47))))</f>
        <v/>
      </c>
      <c r="K47" s="90">
        <f>IF($C47="",0,SUMIFS(J_Montant,J_Module,"Mariage",J_Cat,$C47,J_Type,"&lt;&gt;Revenu",J_Type,"&lt;&gt;Transfert",J_Statut,"&lt;&gt;Annulé",J_Statut,"&lt;&gt;Prévu"))</f>
        <v/>
      </c>
      <c r="L47" s="90">
        <f>N($J47)-N($K47)</f>
        <v/>
      </c>
      <c r="M47" s="91">
        <f>IFERROR($K47/$J47,0)</f>
        <v/>
      </c>
      <c r="N47" s="105" t="n"/>
      <c r="O47" s="209">
        <f>IF($C47="","",IF($J47=0,"À chiffrer",IF($M47&gt;=1,"✓ Soldé",IF($M47&gt;0,"Acompte versé",IF(AND($N47&lt;&gt;"",$N47&lt;TODAY()),"⚠ Échéance passée","À payer")))))</f>
        <v/>
      </c>
      <c r="P47" s="54" t="n"/>
    </row>
    <row r="48">
      <c r="B48" s="208" t="n">
        <v>29</v>
      </c>
      <c r="C48" s="54" t="inlineStr">
        <is>
          <t>Imprévus mariage</t>
        </is>
      </c>
      <c r="D48" s="54" t="n"/>
      <c r="E48" s="88" t="n"/>
      <c r="F48" s="88" t="n"/>
      <c r="G48" s="88" t="n"/>
      <c r="H48" s="88" t="n"/>
      <c r="I48" s="88" t="n"/>
      <c r="J48" s="90">
        <f>IF($I48="Devis 1",$F48,IF($I48="Devis 2",$G48,IF($I48="Devis 3",$H48,N($E48))))</f>
        <v/>
      </c>
      <c r="K48" s="90">
        <f>IF($C48="",0,SUMIFS(J_Montant,J_Module,"Mariage",J_Cat,$C48,J_Type,"&lt;&gt;Revenu",J_Type,"&lt;&gt;Transfert",J_Statut,"&lt;&gt;Annulé",J_Statut,"&lt;&gt;Prévu"))</f>
        <v/>
      </c>
      <c r="L48" s="90">
        <f>N($J48)-N($K48)</f>
        <v/>
      </c>
      <c r="M48" s="91">
        <f>IFERROR($K48/$J48,0)</f>
        <v/>
      </c>
      <c r="N48" s="105" t="n"/>
      <c r="O48" s="209">
        <f>IF($C48="","",IF($J48=0,"À chiffrer",IF($M48&gt;=1,"✓ Soldé",IF($M48&gt;0,"Acompte versé",IF(AND($N48&lt;&gt;"",$N48&lt;TODAY()),"⚠ Échéance passée","À payer")))))</f>
        <v/>
      </c>
      <c r="P48" s="54" t="n"/>
    </row>
    <row r="49">
      <c r="B49" s="208" t="n">
        <v>30</v>
      </c>
      <c r="C49" s="54" t="n"/>
      <c r="D49" s="54" t="n"/>
      <c r="E49" s="88" t="n"/>
      <c r="F49" s="88" t="n"/>
      <c r="G49" s="88" t="n"/>
      <c r="H49" s="88" t="n"/>
      <c r="I49" s="88" t="n"/>
      <c r="J49" s="90">
        <f>IF($I49="Devis 1",$F49,IF($I49="Devis 2",$G49,IF($I49="Devis 3",$H49,N($E49))))</f>
        <v/>
      </c>
      <c r="K49" s="90">
        <f>IF($C49="",0,SUMIFS(J_Montant,J_Module,"Mariage",J_Cat,$C49,J_Type,"&lt;&gt;Revenu",J_Type,"&lt;&gt;Transfert",J_Statut,"&lt;&gt;Annulé",J_Statut,"&lt;&gt;Prévu"))</f>
        <v/>
      </c>
      <c r="L49" s="90">
        <f>N($J49)-N($K49)</f>
        <v/>
      </c>
      <c r="M49" s="91">
        <f>IFERROR($K49/$J49,0)</f>
        <v/>
      </c>
      <c r="N49" s="105" t="n"/>
      <c r="O49" s="209">
        <f>IF($C49="","",IF($J49=0,"À chiffrer",IF($M49&gt;=1,"✓ Soldé",IF($M49&gt;0,"Acompte versé",IF(AND($N49&lt;&gt;"",$N49&lt;TODAY()),"⚠ Échéance passée","À payer")))))</f>
        <v/>
      </c>
      <c r="P49" s="54" t="n"/>
    </row>
    <row r="50">
      <c r="B50" s="134" t="n"/>
      <c r="C50" s="134" t="inlineStr">
        <is>
          <t>TOTAL</t>
        </is>
      </c>
      <c r="D50" s="134" t="n"/>
      <c r="E50" s="135">
        <f>SUM(E20:E49)</f>
        <v/>
      </c>
      <c r="F50" s="135">
        <f>SUM(F20:F49)</f>
        <v/>
      </c>
      <c r="G50" s="135">
        <f>SUM(G20:G49)</f>
        <v/>
      </c>
      <c r="H50" s="135">
        <f>SUM(H20:H49)</f>
        <v/>
      </c>
      <c r="I50" s="134" t="n"/>
      <c r="J50" s="135">
        <f>SUM(J20:J49)</f>
        <v/>
      </c>
      <c r="K50" s="135">
        <f>SUM(K20:K49)</f>
        <v/>
      </c>
      <c r="L50" s="135">
        <f>SUM(L20:L49)</f>
        <v/>
      </c>
      <c r="M50" s="136">
        <f>IFERROR($K50/$J50,0)</f>
        <v/>
      </c>
      <c r="N50" s="134" t="n"/>
      <c r="O50" s="134" t="n"/>
      <c r="P50" s="134" t="n"/>
    </row>
    <row r="51"/>
    <row r="52"/>
    <row r="53" ht="24" customHeight="1">
      <c r="B53" s="6" t="inlineStr">
        <is>
          <t>③  PLAN DE FINANCEMENT</t>
        </is>
      </c>
      <c r="C53" s="7" t="n"/>
      <c r="D53" s="7" t="n"/>
      <c r="E53" s="7" t="n"/>
      <c r="F53" s="7" t="n"/>
      <c r="G53" s="7" t="n"/>
      <c r="H53" s="7" t="n"/>
    </row>
    <row r="54" ht="30" customHeight="1">
      <c r="B54" s="63" t="inlineStr"/>
      <c r="C54" s="63" t="inlineStr">
        <is>
          <t>Source de financement</t>
        </is>
      </c>
      <c r="D54" s="63" t="inlineStr">
        <is>
          <t>Montant</t>
        </is>
      </c>
      <c r="E54" s="63" t="inlineStr">
        <is>
          <t>Part</t>
        </is>
      </c>
    </row>
    <row r="55">
      <c r="B55" s="131" t="n"/>
      <c r="C55" s="54" t="inlineStr">
        <is>
          <t>Épargne dédiée du couple</t>
        </is>
      </c>
      <c r="D55" s="65" t="n">
        <v>0</v>
      </c>
      <c r="E55" s="132">
        <f>IFERROR($D55/SUM($D$55:$D$62),0)</f>
        <v/>
      </c>
    </row>
    <row r="56">
      <c r="B56" s="131" t="n"/>
      <c r="C56" s="54" t="inlineStr">
        <is>
          <t>Apport du marié</t>
        </is>
      </c>
      <c r="D56" s="65" t="n">
        <v>0</v>
      </c>
      <c r="E56" s="132">
        <f>IFERROR($D56/SUM($D$55:$D$62),0)</f>
        <v/>
      </c>
    </row>
    <row r="57">
      <c r="B57" s="131" t="n"/>
      <c r="C57" s="54" t="inlineStr">
        <is>
          <t>Apport de la mariée</t>
        </is>
      </c>
      <c r="D57" s="65" t="n">
        <v>0</v>
      </c>
      <c r="E57" s="132">
        <f>IFERROR($D57/SUM($D$55:$D$62),0)</f>
        <v/>
      </c>
    </row>
    <row r="58">
      <c r="B58" s="131" t="n"/>
      <c r="C58" s="54" t="inlineStr">
        <is>
          <t>Famille du marié</t>
        </is>
      </c>
      <c r="D58" s="65" t="n">
        <v>0</v>
      </c>
      <c r="E58" s="132">
        <f>IFERROR($D58/SUM($D$55:$D$62),0)</f>
        <v/>
      </c>
    </row>
    <row r="59">
      <c r="B59" s="131" t="n"/>
      <c r="C59" s="54" t="inlineStr">
        <is>
          <t>Famille de la mariée</t>
        </is>
      </c>
      <c r="D59" s="65" t="n">
        <v>0</v>
      </c>
      <c r="E59" s="132">
        <f>IFERROR($D59/SUM($D$55:$D$62),0)</f>
        <v/>
      </c>
    </row>
    <row r="60">
      <c r="B60" s="131" t="n"/>
      <c r="C60" s="54" t="inlineStr">
        <is>
          <t>Cotisations &amp; dons</t>
        </is>
      </c>
      <c r="D60" s="65" t="n">
        <v>0</v>
      </c>
      <c r="E60" s="132">
        <f>IFERROR($D60/SUM($D$55:$D$62),0)</f>
        <v/>
      </c>
    </row>
    <row r="61">
      <c r="B61" s="131" t="n"/>
      <c r="C61" s="54" t="inlineStr">
        <is>
          <t>Crédit / prêt</t>
        </is>
      </c>
      <c r="D61" s="65" t="n">
        <v>0</v>
      </c>
      <c r="E61" s="132">
        <f>IFERROR($D61/SUM($D$55:$D$62),0)</f>
        <v/>
      </c>
    </row>
    <row r="62">
      <c r="B62" s="131" t="n"/>
      <c r="C62" s="54" t="inlineStr">
        <is>
          <t>Autre source</t>
        </is>
      </c>
      <c r="D62" s="65" t="n">
        <v>0</v>
      </c>
      <c r="E62" s="132">
        <f>IFERROR($D62/SUM($D$55:$D$62),0)</f>
        <v/>
      </c>
    </row>
    <row r="63">
      <c r="B63" s="131" t="n"/>
      <c r="C63" s="210" t="inlineStr">
        <is>
          <t>TOTAL FINANCEMENT</t>
        </is>
      </c>
      <c r="D63" s="109">
        <f>SUM(D55:D62)</f>
        <v/>
      </c>
      <c r="E63" s="210" t="n"/>
    </row>
    <row r="64">
      <c r="B64" s="131" t="n"/>
      <c r="C64" s="210" t="inlineStr">
        <is>
          <t>COUVERTURE DU COÛT RETENU</t>
        </is>
      </c>
      <c r="D64" s="211">
        <f>IFERROR($D$63/SUM($J$20:$J$49),0)</f>
        <v/>
      </c>
      <c r="E64" s="210" t="n"/>
    </row>
    <row r="65">
      <c r="B65" s="131" t="n"/>
      <c r="C65" s="210" t="inlineStr">
        <is>
          <t>RESTE À FINANCER</t>
        </is>
      </c>
      <c r="D65" s="109">
        <f>MAX(0,SUM($J$20:$J$49)-$D$63)</f>
        <v/>
      </c>
      <c r="E65" s="210" t="n"/>
    </row>
    <row r="66">
      <c r="B66" s="131" t="n"/>
      <c r="C66" s="210" t="inlineStr">
        <is>
          <t>EFFORT D'ÉPARGNE MENSUEL NÉCESSAIRE</t>
        </is>
      </c>
      <c r="D66" s="109">
        <f>IF(OR($E$7="",$E$7&lt;=TODAY()),$D$65,IFERROR($D$65/MAX(1,ROUND(($E$7-TODAY())/30.4,0)),0))</f>
        <v/>
      </c>
      <c r="E66" s="210" t="n"/>
    </row>
    <row r="67"/>
    <row r="68" ht="24" customHeight="1">
      <c r="B68" s="6" t="inlineStr">
        <is>
          <t>④  RÉPARTITION PAR FAMILLE DE POSTES</t>
        </is>
      </c>
      <c r="C68" s="7" t="n"/>
      <c r="D68" s="7" t="n"/>
      <c r="E68" s="7" t="n"/>
      <c r="F68" s="7" t="n"/>
      <c r="G68" s="7" t="n"/>
      <c r="H68" s="7" t="n"/>
    </row>
    <row r="69" ht="30" customHeight="1">
      <c r="C69" s="63" t="inlineStr">
        <is>
          <t>Famille de postes</t>
        </is>
      </c>
      <c r="D69" s="63" t="inlineStr">
        <is>
          <t>Coût retenu</t>
        </is>
      </c>
      <c r="E69" s="63" t="inlineStr">
        <is>
          <t>Déjà payé</t>
        </is>
      </c>
      <c r="F69" s="63" t="inlineStr">
        <is>
          <t>Part</t>
        </is>
      </c>
    </row>
    <row r="70">
      <c r="C70" s="212" t="inlineStr">
        <is>
          <t>Cérémonies &amp; coutume</t>
        </is>
      </c>
      <c r="D70" s="213">
        <f>N($J$20)+N($J$21)+N($J$22)+N($J$27)</f>
        <v/>
      </c>
      <c r="E70" s="213">
        <f>N($K$20)+N($K$21)+N($K$22)+N($K$27)</f>
        <v/>
      </c>
      <c r="F70" s="214">
        <f>IFERROR($D70/SUM($D$70:$D$75),0)</f>
        <v/>
      </c>
    </row>
    <row r="71">
      <c r="C71" s="212" t="inlineStr">
        <is>
          <t>Tenues &amp; beauté</t>
        </is>
      </c>
      <c r="D71" s="213">
        <f>N($J$23)+N($J$24)+N($J$25)+N($J$26)</f>
        <v/>
      </c>
      <c r="E71" s="213">
        <f>N($K$23)+N($K$24)+N($K$25)+N($K$26)</f>
        <v/>
      </c>
      <c r="F71" s="214">
        <f>IFERROR($D71/SUM($D$70:$D$75),0)</f>
        <v/>
      </c>
    </row>
    <row r="72">
      <c r="C72" s="212" t="inlineStr">
        <is>
          <t>Réception</t>
        </is>
      </c>
      <c r="D72" s="213">
        <f>N($J$28)+N($J$29)+N($J$30)+N($J$31)+N($J$32)+N($J$43)+N($J$44)</f>
        <v/>
      </c>
      <c r="E72" s="213">
        <f>N($K$28)+N($K$29)+N($K$30)+N($K$31)+N($K$32)+N($K$43)+N($K$44)</f>
        <v/>
      </c>
      <c r="F72" s="214">
        <f>IFERROR($D72/SUM($D$70:$D$75),0)</f>
        <v/>
      </c>
    </row>
    <row r="73">
      <c r="C73" s="212" t="inlineStr">
        <is>
          <t>Prestataires</t>
        </is>
      </c>
      <c r="D73" s="213">
        <f>N($J$33)+N($J$34)+N($J$35)+N($J$36)+N($J$41)+N($J$42)</f>
        <v/>
      </c>
      <c r="E73" s="213">
        <f>N($K$33)+N($K$34)+N($K$35)+N($K$36)+N($K$41)+N($K$42)</f>
        <v/>
      </c>
      <c r="F73" s="214">
        <f>IFERROR($D73/SUM($D$70:$D$75),0)</f>
        <v/>
      </c>
    </row>
    <row r="74">
      <c r="C74" s="212" t="inlineStr">
        <is>
          <t>Invités &amp; logistique</t>
        </is>
      </c>
      <c r="D74" s="213">
        <f>N($J$37)+N($J$38)+N($J$39)+N($J$40)</f>
        <v/>
      </c>
      <c r="E74" s="213">
        <f>N($K$37)+N($K$38)+N($K$39)+N($K$40)</f>
        <v/>
      </c>
      <c r="F74" s="214">
        <f>IFERROR($D74/SUM($D$70:$D$75),0)</f>
        <v/>
      </c>
    </row>
    <row r="75">
      <c r="C75" s="212" t="inlineStr">
        <is>
          <t>Voyage &amp; divers</t>
        </is>
      </c>
      <c r="D75" s="213">
        <f>N($J$45)+N($J$46)+N($J$47)+N($J$48)</f>
        <v/>
      </c>
      <c r="E75" s="213">
        <f>N($K$45)+N($K$46)+N($K$47)+N($K$48)</f>
        <v/>
      </c>
      <c r="F75" s="214">
        <f>IFERROR($D75/SUM($D$70:$D$75),0)</f>
        <v/>
      </c>
    </row>
    <row r="76">
      <c r="C76" s="134" t="inlineStr">
        <is>
          <t>TOTAL</t>
        </is>
      </c>
      <c r="D76" s="135">
        <f>SUM($D$70:$D$75)</f>
        <v/>
      </c>
      <c r="E76" s="135">
        <f>SUM($E$70:$E$75)</f>
        <v/>
      </c>
      <c r="F76" s="134" t="n"/>
    </row>
    <row r="77"/>
    <row r="78"/>
    <row r="79"/>
    <row r="80"/>
    <row r="81"/>
    <row r="82"/>
    <row r="83"/>
    <row r="84"/>
    <row r="85"/>
    <row r="86"/>
    <row r="87"/>
    <row r="88"/>
    <row r="89"/>
    <row r="90"/>
    <row r="91"/>
    <row r="92"/>
    <row r="93"/>
    <row r="94"/>
    <row r="95"/>
    <row r="96"/>
    <row r="97"/>
    <row r="98"/>
    <row r="99"/>
    <row r="100"/>
  </sheetData>
  <sheetProtection selectLockedCells="0" selectUnlockedCells="0" sheet="1" objects="1" insertRows="1" insertHyperlinks="1" autoFilter="0" scenarios="1" formatColumns="0" deleteColumns="1" insertColumns="1" pivotTables="1" deleteRows="1" formatCells="0" formatRows="0" sort="0" password="8708"/>
  <mergeCells count="42">
    <mergeCell ref="C6:D6"/>
    <mergeCell ref="B2:P2"/>
    <mergeCell ref="B14:D14"/>
    <mergeCell ref="E13:G13"/>
    <mergeCell ref="B3:C3"/>
    <mergeCell ref="B68:H68"/>
    <mergeCell ref="N14:P14"/>
    <mergeCell ref="B13:D13"/>
    <mergeCell ref="B1:P1"/>
    <mergeCell ref="B17:P17"/>
    <mergeCell ref="E15:G15"/>
    <mergeCell ref="E8:F8"/>
    <mergeCell ref="F3:G3"/>
    <mergeCell ref="L3:M3"/>
    <mergeCell ref="C10:D10"/>
    <mergeCell ref="C4:P4"/>
    <mergeCell ref="E10:F10"/>
    <mergeCell ref="H13:J13"/>
    <mergeCell ref="K14:M14"/>
    <mergeCell ref="N13:P13"/>
    <mergeCell ref="C9:D9"/>
    <mergeCell ref="B15:D15"/>
    <mergeCell ref="E9:F9"/>
    <mergeCell ref="H15:J15"/>
    <mergeCell ref="N15:P15"/>
    <mergeCell ref="E6:F6"/>
    <mergeCell ref="H14:J14"/>
    <mergeCell ref="C11:D11"/>
    <mergeCell ref="K13:M13"/>
    <mergeCell ref="E11:F11"/>
    <mergeCell ref="G7:P7"/>
    <mergeCell ref="D3:E3"/>
    <mergeCell ref="C8:D8"/>
    <mergeCell ref="H3:I3"/>
    <mergeCell ref="G10:P10"/>
    <mergeCell ref="K15:M15"/>
    <mergeCell ref="J3:K3"/>
    <mergeCell ref="C7:D7"/>
    <mergeCell ref="E14:G14"/>
    <mergeCell ref="E7:F7"/>
    <mergeCell ref="B53:H53"/>
    <mergeCell ref="B18:P18"/>
  </mergeCells>
  <conditionalFormatting sqref="E10:F10">
    <cfRule type="expression" priority="1" dxfId="1047" stopIfTrue="1">
      <formula>Devise_Base="XOF"</formula>
    </cfRule>
    <cfRule type="expression" priority="2" dxfId="1048" stopIfTrue="1">
      <formula>Devise_Base="XAF"</formula>
    </cfRule>
    <cfRule type="expression" priority="3" dxfId="1049" stopIfTrue="1">
      <formula>Devise_Base="EUR"</formula>
    </cfRule>
    <cfRule type="expression" priority="4" dxfId="1050" stopIfTrue="1">
      <formula>Devise_Base="USD"</formula>
    </cfRule>
    <cfRule type="expression" priority="5" dxfId="1051" stopIfTrue="1">
      <formula>Devise_Base="GBP"</formula>
    </cfRule>
    <cfRule type="expression" priority="6" dxfId="1052" stopIfTrue="1">
      <formula>Devise_Base="CAD"</formula>
    </cfRule>
    <cfRule type="expression" priority="7" dxfId="1053" stopIfTrue="1">
      <formula>Devise_Base="CHF"</formula>
    </cfRule>
    <cfRule type="expression" priority="8" dxfId="1054" stopIfTrue="1">
      <formula>Devise_Base="MAD"</formula>
    </cfRule>
    <cfRule type="expression" priority="9" dxfId="1055" stopIfTrue="1">
      <formula>Devise_Base="NGN"</formula>
    </cfRule>
    <cfRule type="expression" priority="10" dxfId="1056" stopIfTrue="1">
      <formula>Devise_Base="GHS"</formula>
    </cfRule>
    <cfRule type="expression" priority="11" dxfId="1057" stopIfTrue="1">
      <formula>Devise_Base="CDF"</formula>
    </cfRule>
    <cfRule type="expression" priority="12" dxfId="1058" stopIfTrue="1">
      <formula>Devise_Base="ZAR"</formula>
    </cfRule>
    <cfRule type="expression" priority="13" dxfId="1059" stopIfTrue="1">
      <formula>Devise_Base="AED"</formula>
    </cfRule>
    <cfRule type="expression" priority="14" dxfId="1060" stopIfTrue="1">
      <formula>Devise_Base="MRU"</formula>
    </cfRule>
    <cfRule type="expression" priority="15" dxfId="1061" stopIfTrue="1">
      <formula>Devise_Base="GNF"</formula>
    </cfRule>
  </conditionalFormatting>
  <conditionalFormatting sqref="B14:D14">
    <cfRule type="expression" priority="16" dxfId="1062" stopIfTrue="1">
      <formula>Devise_Base="XOF"</formula>
    </cfRule>
    <cfRule type="expression" priority="17" dxfId="1063" stopIfTrue="1">
      <formula>Devise_Base="XAF"</formula>
    </cfRule>
    <cfRule type="expression" priority="18" dxfId="1064" stopIfTrue="1">
      <formula>Devise_Base="EUR"</formula>
    </cfRule>
    <cfRule type="expression" priority="19" dxfId="1065" stopIfTrue="1">
      <formula>Devise_Base="USD"</formula>
    </cfRule>
    <cfRule type="expression" priority="20" dxfId="1066" stopIfTrue="1">
      <formula>Devise_Base="GBP"</formula>
    </cfRule>
    <cfRule type="expression" priority="21" dxfId="1067" stopIfTrue="1">
      <formula>Devise_Base="CAD"</formula>
    </cfRule>
    <cfRule type="expression" priority="22" dxfId="1068" stopIfTrue="1">
      <formula>Devise_Base="CHF"</formula>
    </cfRule>
    <cfRule type="expression" priority="23" dxfId="1069" stopIfTrue="1">
      <formula>Devise_Base="MAD"</formula>
    </cfRule>
    <cfRule type="expression" priority="24" dxfId="1070" stopIfTrue="1">
      <formula>Devise_Base="NGN"</formula>
    </cfRule>
    <cfRule type="expression" priority="25" dxfId="1071" stopIfTrue="1">
      <formula>Devise_Base="GHS"</formula>
    </cfRule>
    <cfRule type="expression" priority="26" dxfId="1072" stopIfTrue="1">
      <formula>Devise_Base="CDF"</formula>
    </cfRule>
    <cfRule type="expression" priority="27" dxfId="1073" stopIfTrue="1">
      <formula>Devise_Base="ZAR"</formula>
    </cfRule>
    <cfRule type="expression" priority="28" dxfId="1074" stopIfTrue="1">
      <formula>Devise_Base="AED"</formula>
    </cfRule>
    <cfRule type="expression" priority="29" dxfId="1075" stopIfTrue="1">
      <formula>Devise_Base="MRU"</formula>
    </cfRule>
    <cfRule type="expression" priority="30" dxfId="1076" stopIfTrue="1">
      <formula>Devise_Base="GNF"</formula>
    </cfRule>
  </conditionalFormatting>
  <conditionalFormatting sqref="E14:G14">
    <cfRule type="expression" priority="31" dxfId="1077" stopIfTrue="1">
      <formula>Devise_Base="XOF"</formula>
    </cfRule>
    <cfRule type="expression" priority="32" dxfId="1078" stopIfTrue="1">
      <formula>Devise_Base="XAF"</formula>
    </cfRule>
    <cfRule type="expression" priority="33" dxfId="1079" stopIfTrue="1">
      <formula>Devise_Base="EUR"</formula>
    </cfRule>
    <cfRule type="expression" priority="34" dxfId="1080" stopIfTrue="1">
      <formula>Devise_Base="USD"</formula>
    </cfRule>
    <cfRule type="expression" priority="35" dxfId="1081" stopIfTrue="1">
      <formula>Devise_Base="GBP"</formula>
    </cfRule>
    <cfRule type="expression" priority="36" dxfId="1082" stopIfTrue="1">
      <formula>Devise_Base="CAD"</formula>
    </cfRule>
    <cfRule type="expression" priority="37" dxfId="1083" stopIfTrue="1">
      <formula>Devise_Base="CHF"</formula>
    </cfRule>
    <cfRule type="expression" priority="38" dxfId="1084" stopIfTrue="1">
      <formula>Devise_Base="MAD"</formula>
    </cfRule>
    <cfRule type="expression" priority="39" dxfId="1085" stopIfTrue="1">
      <formula>Devise_Base="NGN"</formula>
    </cfRule>
    <cfRule type="expression" priority="40" dxfId="1086" stopIfTrue="1">
      <formula>Devise_Base="GHS"</formula>
    </cfRule>
    <cfRule type="expression" priority="41" dxfId="1087" stopIfTrue="1">
      <formula>Devise_Base="CDF"</formula>
    </cfRule>
    <cfRule type="expression" priority="42" dxfId="1088" stopIfTrue="1">
      <formula>Devise_Base="ZAR"</formula>
    </cfRule>
    <cfRule type="expression" priority="43" dxfId="1089" stopIfTrue="1">
      <formula>Devise_Base="AED"</formula>
    </cfRule>
    <cfRule type="expression" priority="44" dxfId="1090" stopIfTrue="1">
      <formula>Devise_Base="MRU"</formula>
    </cfRule>
    <cfRule type="expression" priority="45" dxfId="1091" stopIfTrue="1">
      <formula>Devise_Base="GNF"</formula>
    </cfRule>
  </conditionalFormatting>
  <conditionalFormatting sqref="H14:J14">
    <cfRule type="expression" priority="46" dxfId="1092" stopIfTrue="1">
      <formula>Devise_Base="XOF"</formula>
    </cfRule>
    <cfRule type="expression" priority="47" dxfId="1093" stopIfTrue="1">
      <formula>Devise_Base="XAF"</formula>
    </cfRule>
    <cfRule type="expression" priority="48" dxfId="1094" stopIfTrue="1">
      <formula>Devise_Base="EUR"</formula>
    </cfRule>
    <cfRule type="expression" priority="49" dxfId="1095" stopIfTrue="1">
      <formula>Devise_Base="USD"</formula>
    </cfRule>
    <cfRule type="expression" priority="50" dxfId="1096" stopIfTrue="1">
      <formula>Devise_Base="GBP"</formula>
    </cfRule>
    <cfRule type="expression" priority="51" dxfId="1097" stopIfTrue="1">
      <formula>Devise_Base="CAD"</formula>
    </cfRule>
    <cfRule type="expression" priority="52" dxfId="1098" stopIfTrue="1">
      <formula>Devise_Base="CHF"</formula>
    </cfRule>
    <cfRule type="expression" priority="53" dxfId="1099" stopIfTrue="1">
      <formula>Devise_Base="MAD"</formula>
    </cfRule>
    <cfRule type="expression" priority="54" dxfId="1100" stopIfTrue="1">
      <formula>Devise_Base="NGN"</formula>
    </cfRule>
    <cfRule type="expression" priority="55" dxfId="1101" stopIfTrue="1">
      <formula>Devise_Base="GHS"</formula>
    </cfRule>
    <cfRule type="expression" priority="56" dxfId="1102" stopIfTrue="1">
      <formula>Devise_Base="CDF"</formula>
    </cfRule>
    <cfRule type="expression" priority="57" dxfId="1103" stopIfTrue="1">
      <formula>Devise_Base="ZAR"</formula>
    </cfRule>
    <cfRule type="expression" priority="58" dxfId="1104" stopIfTrue="1">
      <formula>Devise_Base="AED"</formula>
    </cfRule>
    <cfRule type="expression" priority="59" dxfId="1105" stopIfTrue="1">
      <formula>Devise_Base="MRU"</formula>
    </cfRule>
    <cfRule type="expression" priority="60" dxfId="1106" stopIfTrue="1">
      <formula>Devise_Base="GNF"</formula>
    </cfRule>
  </conditionalFormatting>
  <conditionalFormatting sqref="K14:M14">
    <cfRule type="expression" priority="61" dxfId="1107" stopIfTrue="1">
      <formula>Devise_Base="XOF"</formula>
    </cfRule>
    <cfRule type="expression" priority="62" dxfId="1108" stopIfTrue="1">
      <formula>Devise_Base="XAF"</formula>
    </cfRule>
    <cfRule type="expression" priority="63" dxfId="1109" stopIfTrue="1">
      <formula>Devise_Base="EUR"</formula>
    </cfRule>
    <cfRule type="expression" priority="64" dxfId="1110" stopIfTrue="1">
      <formula>Devise_Base="USD"</formula>
    </cfRule>
    <cfRule type="expression" priority="65" dxfId="1111" stopIfTrue="1">
      <formula>Devise_Base="GBP"</formula>
    </cfRule>
    <cfRule type="expression" priority="66" dxfId="1112" stopIfTrue="1">
      <formula>Devise_Base="CAD"</formula>
    </cfRule>
    <cfRule type="expression" priority="67" dxfId="1113" stopIfTrue="1">
      <formula>Devise_Base="CHF"</formula>
    </cfRule>
    <cfRule type="expression" priority="68" dxfId="1114" stopIfTrue="1">
      <formula>Devise_Base="MAD"</formula>
    </cfRule>
    <cfRule type="expression" priority="69" dxfId="1115" stopIfTrue="1">
      <formula>Devise_Base="NGN"</formula>
    </cfRule>
    <cfRule type="expression" priority="70" dxfId="1116" stopIfTrue="1">
      <formula>Devise_Base="GHS"</formula>
    </cfRule>
    <cfRule type="expression" priority="71" dxfId="1117" stopIfTrue="1">
      <formula>Devise_Base="CDF"</formula>
    </cfRule>
    <cfRule type="expression" priority="72" dxfId="1118" stopIfTrue="1">
      <formula>Devise_Base="ZAR"</formula>
    </cfRule>
    <cfRule type="expression" priority="73" dxfId="1119" stopIfTrue="1">
      <formula>Devise_Base="AED"</formula>
    </cfRule>
    <cfRule type="expression" priority="74" dxfId="1120" stopIfTrue="1">
      <formula>Devise_Base="MRU"</formula>
    </cfRule>
    <cfRule type="expression" priority="75" dxfId="1121" stopIfTrue="1">
      <formula>Devise_Base="GNF"</formula>
    </cfRule>
  </conditionalFormatting>
  <conditionalFormatting sqref="N14:P14">
    <cfRule type="expression" priority="76" dxfId="1122" stopIfTrue="1">
      <formula>Devise_Base="XOF"</formula>
    </cfRule>
    <cfRule type="expression" priority="77" dxfId="1123" stopIfTrue="1">
      <formula>Devise_Base="XAF"</formula>
    </cfRule>
    <cfRule type="expression" priority="78" dxfId="1124" stopIfTrue="1">
      <formula>Devise_Base="EUR"</formula>
    </cfRule>
    <cfRule type="expression" priority="79" dxfId="1125" stopIfTrue="1">
      <formula>Devise_Base="USD"</formula>
    </cfRule>
    <cfRule type="expression" priority="80" dxfId="1126" stopIfTrue="1">
      <formula>Devise_Base="GBP"</formula>
    </cfRule>
    <cfRule type="expression" priority="81" dxfId="1127" stopIfTrue="1">
      <formula>Devise_Base="CAD"</formula>
    </cfRule>
    <cfRule type="expression" priority="82" dxfId="1128" stopIfTrue="1">
      <formula>Devise_Base="CHF"</formula>
    </cfRule>
    <cfRule type="expression" priority="83" dxfId="1129" stopIfTrue="1">
      <formula>Devise_Base="MAD"</formula>
    </cfRule>
    <cfRule type="expression" priority="84" dxfId="1130" stopIfTrue="1">
      <formula>Devise_Base="NGN"</formula>
    </cfRule>
    <cfRule type="expression" priority="85" dxfId="1131" stopIfTrue="1">
      <formula>Devise_Base="GHS"</formula>
    </cfRule>
    <cfRule type="expression" priority="86" dxfId="1132" stopIfTrue="1">
      <formula>Devise_Base="CDF"</formula>
    </cfRule>
    <cfRule type="expression" priority="87" dxfId="1133" stopIfTrue="1">
      <formula>Devise_Base="ZAR"</formula>
    </cfRule>
    <cfRule type="expression" priority="88" dxfId="1134" stopIfTrue="1">
      <formula>Devise_Base="AED"</formula>
    </cfRule>
    <cfRule type="expression" priority="89" dxfId="1135" stopIfTrue="1">
      <formula>Devise_Base="MRU"</formula>
    </cfRule>
    <cfRule type="expression" priority="90" dxfId="1136" stopIfTrue="1">
      <formula>Devise_Base="GNF"</formula>
    </cfRule>
  </conditionalFormatting>
  <conditionalFormatting sqref="B20:P49">
    <cfRule type="expression" priority="91" dxfId="75" stopIfTrue="0">
      <formula>MOD(ROW()-20,2)=1</formula>
    </cfRule>
  </conditionalFormatting>
  <conditionalFormatting sqref="M20:M49">
    <cfRule type="dataBar" priority="92">
      <dataBar showValue="1">
        <cfvo type="num" val="0"/>
        <cfvo type="num" val="1"/>
        <color rgb="009C3A5F"/>
      </dataBar>
    </cfRule>
  </conditionalFormatting>
  <conditionalFormatting sqref="E20:L49">
    <cfRule type="expression" priority="93" dxfId="1137" stopIfTrue="1">
      <formula>Devise_Base="XOF"</formula>
    </cfRule>
    <cfRule type="expression" priority="94" dxfId="1138" stopIfTrue="1">
      <formula>Devise_Base="XAF"</formula>
    </cfRule>
    <cfRule type="expression" priority="95" dxfId="1139" stopIfTrue="1">
      <formula>Devise_Base="EUR"</formula>
    </cfRule>
    <cfRule type="expression" priority="96" dxfId="1140" stopIfTrue="1">
      <formula>Devise_Base="USD"</formula>
    </cfRule>
    <cfRule type="expression" priority="97" dxfId="1141" stopIfTrue="1">
      <formula>Devise_Base="GBP"</formula>
    </cfRule>
    <cfRule type="expression" priority="98" dxfId="1142" stopIfTrue="1">
      <formula>Devise_Base="CAD"</formula>
    </cfRule>
    <cfRule type="expression" priority="99" dxfId="1143" stopIfTrue="1">
      <formula>Devise_Base="CHF"</formula>
    </cfRule>
    <cfRule type="expression" priority="100" dxfId="1144" stopIfTrue="1">
      <formula>Devise_Base="MAD"</formula>
    </cfRule>
    <cfRule type="expression" priority="101" dxfId="1145" stopIfTrue="1">
      <formula>Devise_Base="NGN"</formula>
    </cfRule>
    <cfRule type="expression" priority="102" dxfId="1146" stopIfTrue="1">
      <formula>Devise_Base="GHS"</formula>
    </cfRule>
    <cfRule type="expression" priority="103" dxfId="1147" stopIfTrue="1">
      <formula>Devise_Base="CDF"</formula>
    </cfRule>
    <cfRule type="expression" priority="104" dxfId="1148" stopIfTrue="1">
      <formula>Devise_Base="ZAR"</formula>
    </cfRule>
    <cfRule type="expression" priority="105" dxfId="1149" stopIfTrue="1">
      <formula>Devise_Base="AED"</formula>
    </cfRule>
    <cfRule type="expression" priority="106" dxfId="1150" stopIfTrue="1">
      <formula>Devise_Base="MRU"</formula>
    </cfRule>
    <cfRule type="expression" priority="107" dxfId="1151" stopIfTrue="1">
      <formula>Devise_Base="GNF"</formula>
    </cfRule>
  </conditionalFormatting>
  <conditionalFormatting sqref="E50:L50">
    <cfRule type="expression" priority="108" dxfId="1152" stopIfTrue="1">
      <formula>Devise_Base="XOF"</formula>
    </cfRule>
    <cfRule type="expression" priority="109" dxfId="1153" stopIfTrue="1">
      <formula>Devise_Base="XAF"</formula>
    </cfRule>
    <cfRule type="expression" priority="110" dxfId="1154" stopIfTrue="1">
      <formula>Devise_Base="EUR"</formula>
    </cfRule>
    <cfRule type="expression" priority="111" dxfId="1155" stopIfTrue="1">
      <formula>Devise_Base="USD"</formula>
    </cfRule>
    <cfRule type="expression" priority="112" dxfId="1156" stopIfTrue="1">
      <formula>Devise_Base="GBP"</formula>
    </cfRule>
    <cfRule type="expression" priority="113" dxfId="1157" stopIfTrue="1">
      <formula>Devise_Base="CAD"</formula>
    </cfRule>
    <cfRule type="expression" priority="114" dxfId="1158" stopIfTrue="1">
      <formula>Devise_Base="CHF"</formula>
    </cfRule>
    <cfRule type="expression" priority="115" dxfId="1159" stopIfTrue="1">
      <formula>Devise_Base="MAD"</formula>
    </cfRule>
    <cfRule type="expression" priority="116" dxfId="1160" stopIfTrue="1">
      <formula>Devise_Base="NGN"</formula>
    </cfRule>
    <cfRule type="expression" priority="117" dxfId="1161" stopIfTrue="1">
      <formula>Devise_Base="GHS"</formula>
    </cfRule>
    <cfRule type="expression" priority="118" dxfId="1162" stopIfTrue="1">
      <formula>Devise_Base="CDF"</formula>
    </cfRule>
    <cfRule type="expression" priority="119" dxfId="1163" stopIfTrue="1">
      <formula>Devise_Base="ZAR"</formula>
    </cfRule>
    <cfRule type="expression" priority="120" dxfId="1164" stopIfTrue="1">
      <formula>Devise_Base="AED"</formula>
    </cfRule>
    <cfRule type="expression" priority="121" dxfId="1165" stopIfTrue="1">
      <formula>Devise_Base="MRU"</formula>
    </cfRule>
    <cfRule type="expression" priority="122" dxfId="1166" stopIfTrue="1">
      <formula>Devise_Base="GNF"</formula>
    </cfRule>
  </conditionalFormatting>
  <conditionalFormatting sqref="B55:E62">
    <cfRule type="expression" priority="123" dxfId="75" stopIfTrue="0">
      <formula>MOD(ROW()-55,2)=1</formula>
    </cfRule>
  </conditionalFormatting>
  <conditionalFormatting sqref="D55:D63">
    <cfRule type="expression" priority="124" dxfId="1167" stopIfTrue="1">
      <formula>Devise_Base="XOF"</formula>
    </cfRule>
    <cfRule type="expression" priority="125" dxfId="1168" stopIfTrue="1">
      <formula>Devise_Base="XAF"</formula>
    </cfRule>
    <cfRule type="expression" priority="126" dxfId="1169" stopIfTrue="1">
      <formula>Devise_Base="EUR"</formula>
    </cfRule>
    <cfRule type="expression" priority="127" dxfId="1170" stopIfTrue="1">
      <formula>Devise_Base="USD"</formula>
    </cfRule>
    <cfRule type="expression" priority="128" dxfId="1171" stopIfTrue="1">
      <formula>Devise_Base="GBP"</formula>
    </cfRule>
    <cfRule type="expression" priority="129" dxfId="1172" stopIfTrue="1">
      <formula>Devise_Base="CAD"</formula>
    </cfRule>
    <cfRule type="expression" priority="130" dxfId="1173" stopIfTrue="1">
      <formula>Devise_Base="CHF"</formula>
    </cfRule>
    <cfRule type="expression" priority="131" dxfId="1174" stopIfTrue="1">
      <formula>Devise_Base="MAD"</formula>
    </cfRule>
    <cfRule type="expression" priority="132" dxfId="1175" stopIfTrue="1">
      <formula>Devise_Base="NGN"</formula>
    </cfRule>
    <cfRule type="expression" priority="133" dxfId="1176" stopIfTrue="1">
      <formula>Devise_Base="GHS"</formula>
    </cfRule>
    <cfRule type="expression" priority="134" dxfId="1177" stopIfTrue="1">
      <formula>Devise_Base="CDF"</formula>
    </cfRule>
    <cfRule type="expression" priority="135" dxfId="1178" stopIfTrue="1">
      <formula>Devise_Base="ZAR"</formula>
    </cfRule>
    <cfRule type="expression" priority="136" dxfId="1179" stopIfTrue="1">
      <formula>Devise_Base="AED"</formula>
    </cfRule>
    <cfRule type="expression" priority="137" dxfId="1180" stopIfTrue="1">
      <formula>Devise_Base="MRU"</formula>
    </cfRule>
    <cfRule type="expression" priority="138" dxfId="1181" stopIfTrue="1">
      <formula>Devise_Base="GNF"</formula>
    </cfRule>
  </conditionalFormatting>
  <conditionalFormatting sqref="D65:D66">
    <cfRule type="expression" priority="139" dxfId="1182" stopIfTrue="1">
      <formula>Devise_Base="XOF"</formula>
    </cfRule>
    <cfRule type="expression" priority="140" dxfId="1183" stopIfTrue="1">
      <formula>Devise_Base="XAF"</formula>
    </cfRule>
    <cfRule type="expression" priority="141" dxfId="1184" stopIfTrue="1">
      <formula>Devise_Base="EUR"</formula>
    </cfRule>
    <cfRule type="expression" priority="142" dxfId="1185" stopIfTrue="1">
      <formula>Devise_Base="USD"</formula>
    </cfRule>
    <cfRule type="expression" priority="143" dxfId="1186" stopIfTrue="1">
      <formula>Devise_Base="GBP"</formula>
    </cfRule>
    <cfRule type="expression" priority="144" dxfId="1187" stopIfTrue="1">
      <formula>Devise_Base="CAD"</formula>
    </cfRule>
    <cfRule type="expression" priority="145" dxfId="1188" stopIfTrue="1">
      <formula>Devise_Base="CHF"</formula>
    </cfRule>
    <cfRule type="expression" priority="146" dxfId="1189" stopIfTrue="1">
      <formula>Devise_Base="MAD"</formula>
    </cfRule>
    <cfRule type="expression" priority="147" dxfId="1190" stopIfTrue="1">
      <formula>Devise_Base="NGN"</formula>
    </cfRule>
    <cfRule type="expression" priority="148" dxfId="1191" stopIfTrue="1">
      <formula>Devise_Base="GHS"</formula>
    </cfRule>
    <cfRule type="expression" priority="149" dxfId="1192" stopIfTrue="1">
      <formula>Devise_Base="CDF"</formula>
    </cfRule>
    <cfRule type="expression" priority="150" dxfId="1193" stopIfTrue="1">
      <formula>Devise_Base="ZAR"</formula>
    </cfRule>
    <cfRule type="expression" priority="151" dxfId="1194" stopIfTrue="1">
      <formula>Devise_Base="AED"</formula>
    </cfRule>
    <cfRule type="expression" priority="152" dxfId="1195" stopIfTrue="1">
      <formula>Devise_Base="MRU"</formula>
    </cfRule>
    <cfRule type="expression" priority="153" dxfId="1196" stopIfTrue="1">
      <formula>Devise_Base="GNF"</formula>
    </cfRule>
  </conditionalFormatting>
  <conditionalFormatting sqref="C70:F75">
    <cfRule type="expression" priority="154" dxfId="75" stopIfTrue="0">
      <formula>MOD(ROW()-70,2)=1</formula>
    </cfRule>
  </conditionalFormatting>
  <conditionalFormatting sqref="F70:F75">
    <cfRule type="dataBar" priority="155">
      <dataBar showValue="1">
        <cfvo type="num" val="0"/>
        <cfvo type="num" val="1"/>
        <color rgb="009C3A5F"/>
      </dataBar>
    </cfRule>
  </conditionalFormatting>
  <conditionalFormatting sqref="D70:E76">
    <cfRule type="expression" priority="156" dxfId="1197" stopIfTrue="1">
      <formula>Devise_Base="XOF"</formula>
    </cfRule>
    <cfRule type="expression" priority="157" dxfId="1198" stopIfTrue="1">
      <formula>Devise_Base="XAF"</formula>
    </cfRule>
    <cfRule type="expression" priority="158" dxfId="1199" stopIfTrue="1">
      <formula>Devise_Base="EUR"</formula>
    </cfRule>
    <cfRule type="expression" priority="159" dxfId="1200" stopIfTrue="1">
      <formula>Devise_Base="USD"</formula>
    </cfRule>
    <cfRule type="expression" priority="160" dxfId="1201" stopIfTrue="1">
      <formula>Devise_Base="GBP"</formula>
    </cfRule>
    <cfRule type="expression" priority="161" dxfId="1202" stopIfTrue="1">
      <formula>Devise_Base="CAD"</formula>
    </cfRule>
    <cfRule type="expression" priority="162" dxfId="1203" stopIfTrue="1">
      <formula>Devise_Base="CHF"</formula>
    </cfRule>
    <cfRule type="expression" priority="163" dxfId="1204" stopIfTrue="1">
      <formula>Devise_Base="MAD"</formula>
    </cfRule>
    <cfRule type="expression" priority="164" dxfId="1205" stopIfTrue="1">
      <formula>Devise_Base="NGN"</formula>
    </cfRule>
    <cfRule type="expression" priority="165" dxfId="1206" stopIfTrue="1">
      <formula>Devise_Base="GHS"</formula>
    </cfRule>
    <cfRule type="expression" priority="166" dxfId="1207" stopIfTrue="1">
      <formula>Devise_Base="CDF"</formula>
    </cfRule>
    <cfRule type="expression" priority="167" dxfId="1208" stopIfTrue="1">
      <formula>Devise_Base="ZAR"</formula>
    </cfRule>
    <cfRule type="expression" priority="168" dxfId="1209" stopIfTrue="1">
      <formula>Devise_Base="AED"</formula>
    </cfRule>
    <cfRule type="expression" priority="169" dxfId="1210" stopIfTrue="1">
      <formula>Devise_Base="MRU"</formula>
    </cfRule>
    <cfRule type="expression" priority="170" dxfId="1211" stopIfTrue="1">
      <formula>Devise_Base="GNF"</formula>
    </cfRule>
  </conditionalFormatting>
  <dataValidations count="2">
    <dataValidation sqref="I20:I49" showDropDown="0" showInputMessage="0" showErrorMessage="0" allowBlank="1" type="list">
      <formula1>"Estimation,Devis 1,Devis 2,Devis 3"</formula1>
    </dataValidation>
    <dataValidation sqref="C20:C49" showDropDown="0" showInputMessage="0" showErrorMessage="0" allowBlank="1" type="list">
      <formula1>Cat_2</formula1>
    </dataValidation>
  </dataValidations>
  <hyperlinks>
    <hyperlink ref="B3" location="'Accueil'!A1"/>
    <hyperlink ref="D3" location="'Paramètres'!A1"/>
    <hyperlink ref="F3" location="'Estimation Annuelle'!A1"/>
    <hyperlink ref="H3" location="'Journal'!A1"/>
    <hyperlink ref="J3" location="'Tableau de Bord'!A1"/>
    <hyperlink ref="L3" location="'Budget 12 Mois'!A1"/>
  </hyperlink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E07B22"/>
    <outlinePr summaryBelow="1" summaryRight="1"/>
    <pageSetUpPr/>
  </sheetPr>
  <dimension ref="A1:R50"/>
  <sheetViews>
    <sheetView showGridLines="0" zoomScale="80" workbookViewId="0">
      <pane ySplit="9" topLeftCell="A10" activePane="bottomLeft" state="frozen"/>
      <selection pane="bottomLeft" activeCell="A1" sqref="A1"/>
    </sheetView>
  </sheetViews>
  <sheetFormatPr baseColWidth="8" defaultRowHeight="15"/>
  <cols>
    <col width="2" customWidth="1" min="1" max="1"/>
    <col width="4" customWidth="1" min="2" max="2"/>
    <col width="26" customWidth="1" min="3" max="3"/>
    <col width="16" customWidth="1" min="4" max="4"/>
    <col width="14" customWidth="1" min="5" max="5"/>
    <col width="12" customWidth="1" min="6" max="6"/>
    <col width="12" customWidth="1" min="7" max="7"/>
    <col width="15" customWidth="1" min="8" max="8"/>
    <col width="15" customWidth="1" min="9" max="9"/>
    <col width="15" customWidth="1" min="10" max="10"/>
    <col width="11" customWidth="1" min="11" max="11"/>
    <col width="15" customWidth="1" min="12" max="12"/>
    <col width="15" customWidth="1" min="13" max="13"/>
    <col width="15" customWidth="1" min="14" max="14"/>
    <col width="11" customWidth="1" min="15" max="15"/>
    <col width="11" customWidth="1" min="16" max="16"/>
    <col width="18" customWidth="1" min="17" max="17"/>
    <col width="24" customWidth="1" min="18" max="18"/>
  </cols>
  <sheetData>
    <row r="1" ht="52" customHeight="1">
      <c r="B1" s="46" t="inlineStr">
        <is>
          <t>BUSINESS &amp; PROJETS</t>
        </is>
      </c>
      <c r="C1" s="47" t="n"/>
      <c r="D1" s="47" t="n"/>
      <c r="E1" s="47" t="n"/>
      <c r="F1" s="47" t="n"/>
      <c r="G1" s="47" t="n"/>
      <c r="H1" s="47" t="n"/>
      <c r="I1" s="47" t="n"/>
      <c r="J1" s="47" t="n"/>
      <c r="K1" s="47" t="n"/>
      <c r="L1" s="47" t="n"/>
      <c r="M1" s="47" t="n"/>
      <c r="N1" s="47" t="n"/>
      <c r="O1" s="47" t="n"/>
      <c r="P1" s="47" t="n"/>
      <c r="Q1" s="47" t="n"/>
      <c r="R1" s="47" t="n"/>
    </row>
    <row r="2" ht="20" customHeight="1">
      <c r="B2" s="48" t="inlineStr">
        <is>
          <t>Budget, chiffre d'affaires, marge et rentabilité de chaque activité</t>
        </is>
      </c>
      <c r="C2" s="7" t="n"/>
      <c r="D2" s="7" t="n"/>
      <c r="E2" s="7" t="n"/>
      <c r="F2" s="7" t="n"/>
      <c r="G2" s="7" t="n"/>
      <c r="H2" s="7" t="n"/>
      <c r="I2" s="7" t="n"/>
      <c r="J2" s="7" t="n"/>
      <c r="K2" s="7" t="n"/>
      <c r="L2" s="7" t="n"/>
      <c r="M2" s="7" t="n"/>
      <c r="N2" s="7" t="n"/>
      <c r="O2" s="7" t="n"/>
      <c r="P2" s="7" t="n"/>
      <c r="Q2" s="7" t="n"/>
      <c r="R2" s="7" t="n"/>
    </row>
    <row r="3" ht="20" customHeight="1">
      <c r="B3" s="49" t="inlineStr">
        <is>
          <t>⌂  ACCUEIL</t>
        </is>
      </c>
      <c r="C3" s="42" t="n"/>
      <c r="D3" s="49" t="inlineStr">
        <is>
          <t>①  MES INFOS</t>
        </is>
      </c>
      <c r="E3" s="42" t="n"/>
      <c r="F3" s="49" t="inlineStr">
        <is>
          <t>②  ESTIMATION</t>
        </is>
      </c>
      <c r="G3" s="42" t="n"/>
      <c r="H3" s="49" t="inlineStr">
        <is>
          <t>③  BUDGET SMART</t>
        </is>
      </c>
      <c r="I3" s="42" t="n"/>
      <c r="J3" s="49" t="inlineStr">
        <is>
          <t>TABLEAU DE BORD</t>
        </is>
      </c>
      <c r="K3" s="42" t="n"/>
      <c r="L3" s="49" t="inlineStr">
        <is>
          <t>BUDGET 12 MOIS</t>
        </is>
      </c>
      <c r="M3" s="42" t="n"/>
    </row>
    <row r="4" ht="18" customHeight="1">
      <c r="B4" s="93" t="inlineStr">
        <is>
          <t>PROJETS ACTIFS</t>
        </is>
      </c>
      <c r="C4" s="95" t="n"/>
      <c r="D4" s="31" t="inlineStr">
        <is>
          <t>CA RÉALISÉ</t>
        </is>
      </c>
      <c r="E4" s="74" t="n"/>
      <c r="F4" s="32" t="n"/>
      <c r="G4" s="29" t="inlineStr">
        <is>
          <t>CHARGES ENGAGÉES</t>
        </is>
      </c>
      <c r="H4" s="75" t="n"/>
      <c r="I4" s="30" t="n"/>
      <c r="J4" s="27" t="inlineStr">
        <is>
          <t>MARGE</t>
        </is>
      </c>
      <c r="K4" s="79" t="n"/>
      <c r="L4" s="28" t="n"/>
      <c r="M4" s="120" t="inlineStr">
        <is>
          <t>TAUX DE MARGE</t>
        </is>
      </c>
      <c r="N4" s="121" t="n"/>
      <c r="O4" s="122" t="n"/>
      <c r="P4" s="80" t="inlineStr">
        <is>
          <t>BUDGET CONSOMMÉ</t>
        </is>
      </c>
      <c r="Q4" s="81" t="n"/>
      <c r="R4" s="82" t="n"/>
    </row>
    <row r="5" ht="30" customHeight="1">
      <c r="B5" s="96">
        <f>COUNTIFS($E$10:$E$21,"En cours")</f>
        <v/>
      </c>
      <c r="C5" s="34" t="n"/>
      <c r="D5" s="36">
        <f>SUM($M$10:$M$21)</f>
        <v/>
      </c>
      <c r="E5" s="83" t="n"/>
      <c r="F5" s="34" t="n"/>
      <c r="G5" s="35">
        <f>SUM($I$10:$I$21)</f>
        <v/>
      </c>
      <c r="H5" s="83" t="n"/>
      <c r="I5" s="34" t="n"/>
      <c r="J5" s="33">
        <f>SUM($N$10:$N$21)</f>
        <v/>
      </c>
      <c r="K5" s="83" t="n"/>
      <c r="L5" s="34" t="n"/>
      <c r="M5" s="123">
        <f>IFERROR(SUM($N$10:$N$21)/SUM($M$10:$M$21),0)</f>
        <v/>
      </c>
      <c r="N5" s="83" t="n"/>
      <c r="O5" s="34" t="n"/>
      <c r="P5" s="85">
        <f>IFERROR(SUM($I$10:$I$21)/SUM($H$10:$H$21),0)</f>
        <v/>
      </c>
      <c r="Q5" s="83" t="n"/>
      <c r="R5" s="34" t="n"/>
    </row>
    <row r="6" ht="16" customHeight="1">
      <c r="B6" s="37" t="inlineStr"/>
      <c r="C6" s="38" t="n"/>
      <c r="D6" s="98">
        <f>"Prévu : "&amp;FIXED(SUM($L$10:$L$21),0)</f>
        <v/>
      </c>
      <c r="E6" s="86" t="n"/>
      <c r="F6" s="38" t="n"/>
      <c r="G6" s="98">
        <f>"Budget : "&amp;FIXED(SUM($H$10:$H$21),0)</f>
        <v/>
      </c>
      <c r="H6" s="86" t="n"/>
      <c r="I6" s="38" t="n"/>
      <c r="J6" s="37" t="inlineStr"/>
      <c r="K6" s="86" t="n"/>
      <c r="L6" s="38" t="n"/>
      <c r="M6" s="37" t="inlineStr"/>
      <c r="N6" s="86" t="n"/>
      <c r="O6" s="38" t="n"/>
      <c r="P6" s="37" t="inlineStr"/>
      <c r="Q6" s="86" t="n"/>
      <c r="R6" s="38" t="n"/>
    </row>
    <row r="7" ht="26" customHeight="1">
      <c r="B7" s="41" t="inlineStr">
        <is>
          <t>Chaque écriture du Journal portant le module « Business » et le nom du projet alimente automatiquement le dépensé, le chiffre d'affaires et la marge.</t>
        </is>
      </c>
      <c r="C7" s="42" t="n"/>
      <c r="D7" s="42" t="n"/>
      <c r="E7" s="42" t="n"/>
      <c r="F7" s="42" t="n"/>
      <c r="G7" s="42" t="n"/>
      <c r="H7" s="42" t="n"/>
      <c r="I7" s="42" t="n"/>
      <c r="J7" s="42" t="n"/>
      <c r="K7" s="42" t="n"/>
      <c r="L7" s="42" t="n"/>
      <c r="M7" s="42" t="n"/>
      <c r="N7" s="42" t="n"/>
      <c r="O7" s="42" t="n"/>
      <c r="P7" s="42" t="n"/>
      <c r="Q7" s="42" t="n"/>
      <c r="R7" s="42" t="n"/>
    </row>
    <row r="8" ht="24" customHeight="1">
      <c r="B8" s="6" t="inlineStr">
        <is>
          <t>①  PORTEFEUILLE DE PROJETS &amp; ACTIVITÉS</t>
        </is>
      </c>
      <c r="C8" s="7" t="n"/>
      <c r="D8" s="7" t="n"/>
      <c r="E8" s="7" t="n"/>
      <c r="F8" s="7" t="n"/>
      <c r="G8" s="7" t="n"/>
      <c r="H8" s="7" t="n"/>
      <c r="I8" s="7" t="n"/>
      <c r="J8" s="7" t="n"/>
      <c r="K8" s="7" t="n"/>
      <c r="L8" s="7" t="n"/>
      <c r="M8" s="7" t="n"/>
      <c r="N8" s="7" t="n"/>
      <c r="O8" s="7" t="n"/>
      <c r="P8" s="7" t="n"/>
      <c r="Q8" s="7" t="n"/>
      <c r="R8" s="7" t="n"/>
    </row>
    <row r="9" ht="34" customHeight="1">
      <c r="B9" s="63" t="inlineStr">
        <is>
          <t>N°</t>
        </is>
      </c>
      <c r="C9" s="63" t="inlineStr">
        <is>
          <t>Projet / Activité</t>
        </is>
      </c>
      <c r="D9" s="63" t="inlineStr">
        <is>
          <t>Type</t>
        </is>
      </c>
      <c r="E9" s="63" t="inlineStr">
        <is>
          <t>Statut</t>
        </is>
      </c>
      <c r="F9" s="63" t="inlineStr">
        <is>
          <t>Début</t>
        </is>
      </c>
      <c r="G9" s="63" t="inlineStr">
        <is>
          <t>Fin</t>
        </is>
      </c>
      <c r="H9" s="63" t="inlineStr">
        <is>
          <t>Budget prévu</t>
        </is>
      </c>
      <c r="I9" s="63" t="inlineStr">
        <is>
          <t>Dépensé</t>
        </is>
      </c>
      <c r="J9" s="63" t="inlineStr">
        <is>
          <t>Reste</t>
        </is>
      </c>
      <c r="K9" s="63" t="inlineStr">
        <is>
          <t>% consommé</t>
        </is>
      </c>
      <c r="L9" s="63" t="inlineStr">
        <is>
          <t>CA prévu</t>
        </is>
      </c>
      <c r="M9" s="63" t="inlineStr">
        <is>
          <t>CA réalisé</t>
        </is>
      </c>
      <c r="N9" s="63" t="inlineStr">
        <is>
          <t>Marge</t>
        </is>
      </c>
      <c r="O9" s="63" t="inlineStr">
        <is>
          <t>Marge %</t>
        </is>
      </c>
      <c r="P9" s="63" t="inlineStr">
        <is>
          <t>ROI</t>
        </is>
      </c>
      <c r="Q9" s="63" t="inlineStr">
        <is>
          <t>Responsable</t>
        </is>
      </c>
      <c r="R9" s="63" t="inlineStr">
        <is>
          <t>Notes</t>
        </is>
      </c>
    </row>
    <row r="10">
      <c r="B10" s="208" t="n">
        <v>1</v>
      </c>
      <c r="C10" s="54" t="n"/>
      <c r="D10" s="54" t="n"/>
      <c r="E10" s="54" t="n"/>
      <c r="F10" s="105" t="n"/>
      <c r="G10" s="105" t="n"/>
      <c r="H10" s="88" t="n"/>
      <c r="I10" s="90">
        <f>IF($C10="",0,SUMIFS(J_Montant,J_Module,"Business",J_Projet,$C10,J_Type,"&lt;&gt;Revenu",J_Type,"&lt;&gt;Transfert",J_Statut,"&lt;&gt;Annulé",J_Statut,"&lt;&gt;Prévu"))</f>
        <v/>
      </c>
      <c r="J10" s="90">
        <f>N($H10)-N($I10)</f>
        <v/>
      </c>
      <c r="K10" s="91">
        <f>IFERROR($I10/$H10,0)</f>
        <v/>
      </c>
      <c r="L10" s="88" t="n"/>
      <c r="M10" s="90">
        <f>IF($C10="",0,SUMIFS(J_Montant,J_Module,"Business",J_Projet,$C10,J_Type,"Revenu",J_Statut,"&lt;&gt;Annulé",J_Statut,"&lt;&gt;Prévu"))</f>
        <v/>
      </c>
      <c r="N10" s="90">
        <f>N($M10)-N($I10)</f>
        <v/>
      </c>
      <c r="O10" s="91">
        <f>IFERROR($N10/$M10,0)</f>
        <v/>
      </c>
      <c r="P10" s="91">
        <f>IFERROR($N10/$I10,0)</f>
        <v/>
      </c>
      <c r="Q10" s="54" t="n"/>
      <c r="R10" s="54" t="n"/>
    </row>
    <row r="11">
      <c r="B11" s="208" t="n">
        <v>2</v>
      </c>
      <c r="C11" s="54" t="n"/>
      <c r="D11" s="54" t="n"/>
      <c r="E11" s="54" t="n"/>
      <c r="F11" s="105" t="n"/>
      <c r="G11" s="105" t="n"/>
      <c r="H11" s="88" t="n"/>
      <c r="I11" s="90">
        <f>IF($C11="",0,SUMIFS(J_Montant,J_Module,"Business",J_Projet,$C11,J_Type,"&lt;&gt;Revenu",J_Type,"&lt;&gt;Transfert",J_Statut,"&lt;&gt;Annulé",J_Statut,"&lt;&gt;Prévu"))</f>
        <v/>
      </c>
      <c r="J11" s="90">
        <f>N($H11)-N($I11)</f>
        <v/>
      </c>
      <c r="K11" s="91">
        <f>IFERROR($I11/$H11,0)</f>
        <v/>
      </c>
      <c r="L11" s="88" t="n"/>
      <c r="M11" s="90">
        <f>IF($C11="",0,SUMIFS(J_Montant,J_Module,"Business",J_Projet,$C11,J_Type,"Revenu",J_Statut,"&lt;&gt;Annulé",J_Statut,"&lt;&gt;Prévu"))</f>
        <v/>
      </c>
      <c r="N11" s="90">
        <f>N($M11)-N($I11)</f>
        <v/>
      </c>
      <c r="O11" s="91">
        <f>IFERROR($N11/$M11,0)</f>
        <v/>
      </c>
      <c r="P11" s="91">
        <f>IFERROR($N11/$I11,0)</f>
        <v/>
      </c>
      <c r="Q11" s="54" t="n"/>
      <c r="R11" s="54" t="n"/>
    </row>
    <row r="12">
      <c r="B12" s="208" t="n">
        <v>3</v>
      </c>
      <c r="C12" s="54" t="n"/>
      <c r="D12" s="54" t="n"/>
      <c r="E12" s="54" t="n"/>
      <c r="F12" s="105" t="n"/>
      <c r="G12" s="105" t="n"/>
      <c r="H12" s="88" t="n"/>
      <c r="I12" s="90">
        <f>IF($C12="",0,SUMIFS(J_Montant,J_Module,"Business",J_Projet,$C12,J_Type,"&lt;&gt;Revenu",J_Type,"&lt;&gt;Transfert",J_Statut,"&lt;&gt;Annulé",J_Statut,"&lt;&gt;Prévu"))</f>
        <v/>
      </c>
      <c r="J12" s="90">
        <f>N($H12)-N($I12)</f>
        <v/>
      </c>
      <c r="K12" s="91">
        <f>IFERROR($I12/$H12,0)</f>
        <v/>
      </c>
      <c r="L12" s="88" t="n"/>
      <c r="M12" s="90">
        <f>IF($C12="",0,SUMIFS(J_Montant,J_Module,"Business",J_Projet,$C12,J_Type,"Revenu",J_Statut,"&lt;&gt;Annulé",J_Statut,"&lt;&gt;Prévu"))</f>
        <v/>
      </c>
      <c r="N12" s="90">
        <f>N($M12)-N($I12)</f>
        <v/>
      </c>
      <c r="O12" s="91">
        <f>IFERROR($N12/$M12,0)</f>
        <v/>
      </c>
      <c r="P12" s="91">
        <f>IFERROR($N12/$I12,0)</f>
        <v/>
      </c>
      <c r="Q12" s="54" t="n"/>
      <c r="R12" s="54" t="n"/>
    </row>
    <row r="13">
      <c r="B13" s="208" t="n">
        <v>4</v>
      </c>
      <c r="C13" s="54" t="n"/>
      <c r="D13" s="54" t="n"/>
      <c r="E13" s="54" t="n"/>
      <c r="F13" s="105" t="n"/>
      <c r="G13" s="105" t="n"/>
      <c r="H13" s="88" t="n"/>
      <c r="I13" s="90">
        <f>IF($C13="",0,SUMIFS(J_Montant,J_Module,"Business",J_Projet,$C13,J_Type,"&lt;&gt;Revenu",J_Type,"&lt;&gt;Transfert",J_Statut,"&lt;&gt;Annulé",J_Statut,"&lt;&gt;Prévu"))</f>
        <v/>
      </c>
      <c r="J13" s="90">
        <f>N($H13)-N($I13)</f>
        <v/>
      </c>
      <c r="K13" s="91">
        <f>IFERROR($I13/$H13,0)</f>
        <v/>
      </c>
      <c r="L13" s="88" t="n"/>
      <c r="M13" s="90">
        <f>IF($C13="",0,SUMIFS(J_Montant,J_Module,"Business",J_Projet,$C13,J_Type,"Revenu",J_Statut,"&lt;&gt;Annulé",J_Statut,"&lt;&gt;Prévu"))</f>
        <v/>
      </c>
      <c r="N13" s="90">
        <f>N($M13)-N($I13)</f>
        <v/>
      </c>
      <c r="O13" s="91">
        <f>IFERROR($N13/$M13,0)</f>
        <v/>
      </c>
      <c r="P13" s="91">
        <f>IFERROR($N13/$I13,0)</f>
        <v/>
      </c>
      <c r="Q13" s="54" t="n"/>
      <c r="R13" s="54" t="n"/>
    </row>
    <row r="14">
      <c r="B14" s="208" t="n">
        <v>5</v>
      </c>
      <c r="C14" s="54" t="n"/>
      <c r="D14" s="54" t="n"/>
      <c r="E14" s="54" t="n"/>
      <c r="F14" s="105" t="n"/>
      <c r="G14" s="105" t="n"/>
      <c r="H14" s="88" t="n"/>
      <c r="I14" s="90">
        <f>IF($C14="",0,SUMIFS(J_Montant,J_Module,"Business",J_Projet,$C14,J_Type,"&lt;&gt;Revenu",J_Type,"&lt;&gt;Transfert",J_Statut,"&lt;&gt;Annulé",J_Statut,"&lt;&gt;Prévu"))</f>
        <v/>
      </c>
      <c r="J14" s="90">
        <f>N($H14)-N($I14)</f>
        <v/>
      </c>
      <c r="K14" s="91">
        <f>IFERROR($I14/$H14,0)</f>
        <v/>
      </c>
      <c r="L14" s="88" t="n"/>
      <c r="M14" s="90">
        <f>IF($C14="",0,SUMIFS(J_Montant,J_Module,"Business",J_Projet,$C14,J_Type,"Revenu",J_Statut,"&lt;&gt;Annulé",J_Statut,"&lt;&gt;Prévu"))</f>
        <v/>
      </c>
      <c r="N14" s="90">
        <f>N($M14)-N($I14)</f>
        <v/>
      </c>
      <c r="O14" s="91">
        <f>IFERROR($N14/$M14,0)</f>
        <v/>
      </c>
      <c r="P14" s="91">
        <f>IFERROR($N14/$I14,0)</f>
        <v/>
      </c>
      <c r="Q14" s="54" t="n"/>
      <c r="R14" s="54" t="n"/>
    </row>
    <row r="15">
      <c r="B15" s="208" t="n">
        <v>6</v>
      </c>
      <c r="C15" s="54" t="n"/>
      <c r="D15" s="54" t="n"/>
      <c r="E15" s="54" t="n"/>
      <c r="F15" s="105" t="n"/>
      <c r="G15" s="105" t="n"/>
      <c r="H15" s="88" t="n"/>
      <c r="I15" s="90">
        <f>IF($C15="",0,SUMIFS(J_Montant,J_Module,"Business",J_Projet,$C15,J_Type,"&lt;&gt;Revenu",J_Type,"&lt;&gt;Transfert",J_Statut,"&lt;&gt;Annulé",J_Statut,"&lt;&gt;Prévu"))</f>
        <v/>
      </c>
      <c r="J15" s="90">
        <f>N($H15)-N($I15)</f>
        <v/>
      </c>
      <c r="K15" s="91">
        <f>IFERROR($I15/$H15,0)</f>
        <v/>
      </c>
      <c r="L15" s="88" t="n"/>
      <c r="M15" s="90">
        <f>IF($C15="",0,SUMIFS(J_Montant,J_Module,"Business",J_Projet,$C15,J_Type,"Revenu",J_Statut,"&lt;&gt;Annulé",J_Statut,"&lt;&gt;Prévu"))</f>
        <v/>
      </c>
      <c r="N15" s="90">
        <f>N($M15)-N($I15)</f>
        <v/>
      </c>
      <c r="O15" s="91">
        <f>IFERROR($N15/$M15,0)</f>
        <v/>
      </c>
      <c r="P15" s="91">
        <f>IFERROR($N15/$I15,0)</f>
        <v/>
      </c>
      <c r="Q15" s="54" t="n"/>
      <c r="R15" s="54" t="n"/>
    </row>
    <row r="16">
      <c r="B16" s="208" t="n">
        <v>7</v>
      </c>
      <c r="C16" s="54" t="n"/>
      <c r="D16" s="54" t="n"/>
      <c r="E16" s="54" t="n"/>
      <c r="F16" s="105" t="n"/>
      <c r="G16" s="105" t="n"/>
      <c r="H16" s="88" t="n"/>
      <c r="I16" s="90">
        <f>IF($C16="",0,SUMIFS(J_Montant,J_Module,"Business",J_Projet,$C16,J_Type,"&lt;&gt;Revenu",J_Type,"&lt;&gt;Transfert",J_Statut,"&lt;&gt;Annulé",J_Statut,"&lt;&gt;Prévu"))</f>
        <v/>
      </c>
      <c r="J16" s="90">
        <f>N($H16)-N($I16)</f>
        <v/>
      </c>
      <c r="K16" s="91">
        <f>IFERROR($I16/$H16,0)</f>
        <v/>
      </c>
      <c r="L16" s="88" t="n"/>
      <c r="M16" s="90">
        <f>IF($C16="",0,SUMIFS(J_Montant,J_Module,"Business",J_Projet,$C16,J_Type,"Revenu",J_Statut,"&lt;&gt;Annulé",J_Statut,"&lt;&gt;Prévu"))</f>
        <v/>
      </c>
      <c r="N16" s="90">
        <f>N($M16)-N($I16)</f>
        <v/>
      </c>
      <c r="O16" s="91">
        <f>IFERROR($N16/$M16,0)</f>
        <v/>
      </c>
      <c r="P16" s="91">
        <f>IFERROR($N16/$I16,0)</f>
        <v/>
      </c>
      <c r="Q16" s="54" t="n"/>
      <c r="R16" s="54" t="n"/>
    </row>
    <row r="17">
      <c r="B17" s="208" t="n">
        <v>8</v>
      </c>
      <c r="C17" s="54" t="n"/>
      <c r="D17" s="54" t="n"/>
      <c r="E17" s="54" t="n"/>
      <c r="F17" s="105" t="n"/>
      <c r="G17" s="105" t="n"/>
      <c r="H17" s="88" t="n"/>
      <c r="I17" s="90">
        <f>IF($C17="",0,SUMIFS(J_Montant,J_Module,"Business",J_Projet,$C17,J_Type,"&lt;&gt;Revenu",J_Type,"&lt;&gt;Transfert",J_Statut,"&lt;&gt;Annulé",J_Statut,"&lt;&gt;Prévu"))</f>
        <v/>
      </c>
      <c r="J17" s="90">
        <f>N($H17)-N($I17)</f>
        <v/>
      </c>
      <c r="K17" s="91">
        <f>IFERROR($I17/$H17,0)</f>
        <v/>
      </c>
      <c r="L17" s="88" t="n"/>
      <c r="M17" s="90">
        <f>IF($C17="",0,SUMIFS(J_Montant,J_Module,"Business",J_Projet,$C17,J_Type,"Revenu",J_Statut,"&lt;&gt;Annulé",J_Statut,"&lt;&gt;Prévu"))</f>
        <v/>
      </c>
      <c r="N17" s="90">
        <f>N($M17)-N($I17)</f>
        <v/>
      </c>
      <c r="O17" s="91">
        <f>IFERROR($N17/$M17,0)</f>
        <v/>
      </c>
      <c r="P17" s="91">
        <f>IFERROR($N17/$I17,0)</f>
        <v/>
      </c>
      <c r="Q17" s="54" t="n"/>
      <c r="R17" s="54" t="n"/>
    </row>
    <row r="18">
      <c r="B18" s="208" t="n">
        <v>9</v>
      </c>
      <c r="C18" s="54" t="n"/>
      <c r="D18" s="54" t="n"/>
      <c r="E18" s="54" t="n"/>
      <c r="F18" s="105" t="n"/>
      <c r="G18" s="105" t="n"/>
      <c r="H18" s="88" t="n"/>
      <c r="I18" s="90">
        <f>IF($C18="",0,SUMIFS(J_Montant,J_Module,"Business",J_Projet,$C18,J_Type,"&lt;&gt;Revenu",J_Type,"&lt;&gt;Transfert",J_Statut,"&lt;&gt;Annulé",J_Statut,"&lt;&gt;Prévu"))</f>
        <v/>
      </c>
      <c r="J18" s="90">
        <f>N($H18)-N($I18)</f>
        <v/>
      </c>
      <c r="K18" s="91">
        <f>IFERROR($I18/$H18,0)</f>
        <v/>
      </c>
      <c r="L18" s="88" t="n"/>
      <c r="M18" s="90">
        <f>IF($C18="",0,SUMIFS(J_Montant,J_Module,"Business",J_Projet,$C18,J_Type,"Revenu",J_Statut,"&lt;&gt;Annulé",J_Statut,"&lt;&gt;Prévu"))</f>
        <v/>
      </c>
      <c r="N18" s="90">
        <f>N($M18)-N($I18)</f>
        <v/>
      </c>
      <c r="O18" s="91">
        <f>IFERROR($N18/$M18,0)</f>
        <v/>
      </c>
      <c r="P18" s="91">
        <f>IFERROR($N18/$I18,0)</f>
        <v/>
      </c>
      <c r="Q18" s="54" t="n"/>
      <c r="R18" s="54" t="n"/>
    </row>
    <row r="19">
      <c r="B19" s="208" t="n">
        <v>10</v>
      </c>
      <c r="C19" s="54" t="n"/>
      <c r="D19" s="54" t="n"/>
      <c r="E19" s="54" t="n"/>
      <c r="F19" s="105" t="n"/>
      <c r="G19" s="105" t="n"/>
      <c r="H19" s="88" t="n"/>
      <c r="I19" s="90">
        <f>IF($C19="",0,SUMIFS(J_Montant,J_Module,"Business",J_Projet,$C19,J_Type,"&lt;&gt;Revenu",J_Type,"&lt;&gt;Transfert",J_Statut,"&lt;&gt;Annulé",J_Statut,"&lt;&gt;Prévu"))</f>
        <v/>
      </c>
      <c r="J19" s="90">
        <f>N($H19)-N($I19)</f>
        <v/>
      </c>
      <c r="K19" s="91">
        <f>IFERROR($I19/$H19,0)</f>
        <v/>
      </c>
      <c r="L19" s="88" t="n"/>
      <c r="M19" s="90">
        <f>IF($C19="",0,SUMIFS(J_Montant,J_Module,"Business",J_Projet,$C19,J_Type,"Revenu",J_Statut,"&lt;&gt;Annulé",J_Statut,"&lt;&gt;Prévu"))</f>
        <v/>
      </c>
      <c r="N19" s="90">
        <f>N($M19)-N($I19)</f>
        <v/>
      </c>
      <c r="O19" s="91">
        <f>IFERROR($N19/$M19,0)</f>
        <v/>
      </c>
      <c r="P19" s="91">
        <f>IFERROR($N19/$I19,0)</f>
        <v/>
      </c>
      <c r="Q19" s="54" t="n"/>
      <c r="R19" s="54" t="n"/>
    </row>
    <row r="20">
      <c r="B20" s="208" t="n">
        <v>11</v>
      </c>
      <c r="C20" s="54" t="n"/>
      <c r="D20" s="54" t="n"/>
      <c r="E20" s="54" t="n"/>
      <c r="F20" s="105" t="n"/>
      <c r="G20" s="105" t="n"/>
      <c r="H20" s="88" t="n"/>
      <c r="I20" s="90">
        <f>IF($C20="",0,SUMIFS(J_Montant,J_Module,"Business",J_Projet,$C20,J_Type,"&lt;&gt;Revenu",J_Type,"&lt;&gt;Transfert",J_Statut,"&lt;&gt;Annulé",J_Statut,"&lt;&gt;Prévu"))</f>
        <v/>
      </c>
      <c r="J20" s="90">
        <f>N($H20)-N($I20)</f>
        <v/>
      </c>
      <c r="K20" s="91">
        <f>IFERROR($I20/$H20,0)</f>
        <v/>
      </c>
      <c r="L20" s="88" t="n"/>
      <c r="M20" s="90">
        <f>IF($C20="",0,SUMIFS(J_Montant,J_Module,"Business",J_Projet,$C20,J_Type,"Revenu",J_Statut,"&lt;&gt;Annulé",J_Statut,"&lt;&gt;Prévu"))</f>
        <v/>
      </c>
      <c r="N20" s="90">
        <f>N($M20)-N($I20)</f>
        <v/>
      </c>
      <c r="O20" s="91">
        <f>IFERROR($N20/$M20,0)</f>
        <v/>
      </c>
      <c r="P20" s="91">
        <f>IFERROR($N20/$I20,0)</f>
        <v/>
      </c>
      <c r="Q20" s="54" t="n"/>
      <c r="R20" s="54" t="n"/>
    </row>
    <row r="21">
      <c r="B21" s="208" t="n">
        <v>12</v>
      </c>
      <c r="C21" s="54" t="n"/>
      <c r="D21" s="54" t="n"/>
      <c r="E21" s="54" t="n"/>
      <c r="F21" s="105" t="n"/>
      <c r="G21" s="105" t="n"/>
      <c r="H21" s="88" t="n"/>
      <c r="I21" s="90">
        <f>IF($C21="",0,SUMIFS(J_Montant,J_Module,"Business",J_Projet,$C21,J_Type,"&lt;&gt;Revenu",J_Type,"&lt;&gt;Transfert",J_Statut,"&lt;&gt;Annulé",J_Statut,"&lt;&gt;Prévu"))</f>
        <v/>
      </c>
      <c r="J21" s="90">
        <f>N($H21)-N($I21)</f>
        <v/>
      </c>
      <c r="K21" s="91">
        <f>IFERROR($I21/$H21,0)</f>
        <v/>
      </c>
      <c r="L21" s="88" t="n"/>
      <c r="M21" s="90">
        <f>IF($C21="",0,SUMIFS(J_Montant,J_Module,"Business",J_Projet,$C21,J_Type,"Revenu",J_Statut,"&lt;&gt;Annulé",J_Statut,"&lt;&gt;Prévu"))</f>
        <v/>
      </c>
      <c r="N21" s="90">
        <f>N($M21)-N($I21)</f>
        <v/>
      </c>
      <c r="O21" s="91">
        <f>IFERROR($N21/$M21,0)</f>
        <v/>
      </c>
      <c r="P21" s="91">
        <f>IFERROR($N21/$I21,0)</f>
        <v/>
      </c>
      <c r="Q21" s="54" t="n"/>
      <c r="R21" s="54" t="n"/>
    </row>
    <row r="22">
      <c r="B22" s="134" t="n"/>
      <c r="C22" s="134" t="inlineStr">
        <is>
          <t>TOTAL</t>
        </is>
      </c>
      <c r="D22" s="134" t="n"/>
      <c r="E22" s="134" t="n"/>
      <c r="F22" s="134" t="n"/>
      <c r="G22" s="134" t="n"/>
      <c r="H22" s="135">
        <f>SUM(H10:H21)</f>
        <v/>
      </c>
      <c r="I22" s="135">
        <f>SUM(I10:I21)</f>
        <v/>
      </c>
      <c r="J22" s="135">
        <f>SUM(J10:J21)</f>
        <v/>
      </c>
      <c r="K22" s="134" t="n"/>
      <c r="L22" s="135">
        <f>SUM(L10:L21)</f>
        <v/>
      </c>
      <c r="M22" s="135">
        <f>SUM(M10:M21)</f>
        <v/>
      </c>
      <c r="N22" s="135">
        <f>SUM(N10:N21)</f>
        <v/>
      </c>
      <c r="O22" s="136">
        <f>IFERROR($N22/$M22,0)</f>
        <v/>
      </c>
      <c r="P22" s="136">
        <f>IFERROR($N22/$I22,0)</f>
        <v/>
      </c>
      <c r="Q22" s="134" t="n"/>
      <c r="R22" s="134" t="n"/>
    </row>
    <row r="23"/>
    <row r="24"/>
    <row r="25" ht="24" customHeight="1">
      <c r="B25" s="6" t="inlineStr">
        <is>
          <t>②  COMPTE DE RÉSULTAT MENSUEL — MODULE BUSINESS</t>
        </is>
      </c>
      <c r="C25" s="7" t="n"/>
      <c r="D25" s="7" t="n"/>
      <c r="E25" s="7" t="n"/>
      <c r="F25" s="7" t="n"/>
      <c r="G25" s="7" t="n"/>
      <c r="H25" s="7" t="n"/>
      <c r="I25" s="7" t="n"/>
    </row>
    <row r="26" ht="30" customHeight="1">
      <c r="B26" s="63" t="inlineStr"/>
      <c r="C26" s="63" t="inlineStr">
        <is>
          <t>Mois</t>
        </is>
      </c>
      <c r="D26" s="63" t="inlineStr">
        <is>
          <t>Chiffre d'affaires</t>
        </is>
      </c>
      <c r="E26" s="63" t="inlineStr">
        <is>
          <t>Charges</t>
        </is>
      </c>
      <c r="F26" s="63" t="inlineStr">
        <is>
          <t>Marge</t>
        </is>
      </c>
      <c r="G26" s="63" t="inlineStr">
        <is>
          <t>Taux de marge</t>
        </is>
      </c>
      <c r="H26" s="63" t="inlineStr">
        <is>
          <t>Marge cumulée</t>
        </is>
      </c>
      <c r="I26" s="63" t="inlineStr">
        <is>
          <t>Tendance</t>
        </is>
      </c>
    </row>
    <row r="27">
      <c r="B27" s="212" t="n"/>
      <c r="C27" s="215">
        <f>INDEX(Liste_Mois,1)</f>
        <v/>
      </c>
      <c r="D27" s="213">
        <f>SUMIFS(J_Montant,J_Annee,Annee_Travail,J_Mois,1,J_Module,"Business",J_Type,"Revenu",J_Statut,"&lt;&gt;Annulé",J_Statut,"&lt;&gt;Prévu")</f>
        <v/>
      </c>
      <c r="E27" s="213">
        <f>SUMIFS(J_Montant,J_Annee,Annee_Travail,J_Mois,1,J_Module,"Business",J_Type,"&lt;&gt;Revenu",J_Type,"&lt;&gt;Transfert",J_Statut,"&lt;&gt;Annulé",J_Statut,"&lt;&gt;Prévu")</f>
        <v/>
      </c>
      <c r="F27" s="213">
        <f>$D27-$E27</f>
        <v/>
      </c>
      <c r="G27" s="214">
        <f>IFERROR($F27/$D27,0)</f>
        <v/>
      </c>
      <c r="H27" s="213">
        <f>0+$F27</f>
        <v/>
      </c>
      <c r="I27" s="209">
        <f>IF($D27=0,"—",IF($F27&gt;0,"▲ Bénéfice",IF($F27=0,"= Équilibre","▼ Perte")))</f>
        <v/>
      </c>
    </row>
    <row r="28">
      <c r="B28" s="212" t="n"/>
      <c r="C28" s="215">
        <f>INDEX(Liste_Mois,2)</f>
        <v/>
      </c>
      <c r="D28" s="213">
        <f>SUMIFS(J_Montant,J_Annee,Annee_Travail,J_Mois,2,J_Module,"Business",J_Type,"Revenu",J_Statut,"&lt;&gt;Annulé",J_Statut,"&lt;&gt;Prévu")</f>
        <v/>
      </c>
      <c r="E28" s="213">
        <f>SUMIFS(J_Montant,J_Annee,Annee_Travail,J_Mois,2,J_Module,"Business",J_Type,"&lt;&gt;Revenu",J_Type,"&lt;&gt;Transfert",J_Statut,"&lt;&gt;Annulé",J_Statut,"&lt;&gt;Prévu")</f>
        <v/>
      </c>
      <c r="F28" s="213">
        <f>$D28-$E28</f>
        <v/>
      </c>
      <c r="G28" s="214">
        <f>IFERROR($F28/$D28,0)</f>
        <v/>
      </c>
      <c r="H28" s="213">
        <f>$H27+$F28</f>
        <v/>
      </c>
      <c r="I28" s="209">
        <f>IF($D28=0,"—",IF($F28&gt;0,"▲ Bénéfice",IF($F28=0,"= Équilibre","▼ Perte")))</f>
        <v/>
      </c>
    </row>
    <row r="29">
      <c r="B29" s="212" t="n"/>
      <c r="C29" s="215">
        <f>INDEX(Liste_Mois,3)</f>
        <v/>
      </c>
      <c r="D29" s="213">
        <f>SUMIFS(J_Montant,J_Annee,Annee_Travail,J_Mois,3,J_Module,"Business",J_Type,"Revenu",J_Statut,"&lt;&gt;Annulé",J_Statut,"&lt;&gt;Prévu")</f>
        <v/>
      </c>
      <c r="E29" s="213">
        <f>SUMIFS(J_Montant,J_Annee,Annee_Travail,J_Mois,3,J_Module,"Business",J_Type,"&lt;&gt;Revenu",J_Type,"&lt;&gt;Transfert",J_Statut,"&lt;&gt;Annulé",J_Statut,"&lt;&gt;Prévu")</f>
        <v/>
      </c>
      <c r="F29" s="213">
        <f>$D29-$E29</f>
        <v/>
      </c>
      <c r="G29" s="214">
        <f>IFERROR($F29/$D29,0)</f>
        <v/>
      </c>
      <c r="H29" s="213">
        <f>$H28+$F29</f>
        <v/>
      </c>
      <c r="I29" s="209">
        <f>IF($D29=0,"—",IF($F29&gt;0,"▲ Bénéfice",IF($F29=0,"= Équilibre","▼ Perte")))</f>
        <v/>
      </c>
    </row>
    <row r="30">
      <c r="B30" s="212" t="n"/>
      <c r="C30" s="215">
        <f>INDEX(Liste_Mois,4)</f>
        <v/>
      </c>
      <c r="D30" s="213">
        <f>SUMIFS(J_Montant,J_Annee,Annee_Travail,J_Mois,4,J_Module,"Business",J_Type,"Revenu",J_Statut,"&lt;&gt;Annulé",J_Statut,"&lt;&gt;Prévu")</f>
        <v/>
      </c>
      <c r="E30" s="213">
        <f>SUMIFS(J_Montant,J_Annee,Annee_Travail,J_Mois,4,J_Module,"Business",J_Type,"&lt;&gt;Revenu",J_Type,"&lt;&gt;Transfert",J_Statut,"&lt;&gt;Annulé",J_Statut,"&lt;&gt;Prévu")</f>
        <v/>
      </c>
      <c r="F30" s="213">
        <f>$D30-$E30</f>
        <v/>
      </c>
      <c r="G30" s="214">
        <f>IFERROR($F30/$D30,0)</f>
        <v/>
      </c>
      <c r="H30" s="213">
        <f>$H29+$F30</f>
        <v/>
      </c>
      <c r="I30" s="209">
        <f>IF($D30=0,"—",IF($F30&gt;0,"▲ Bénéfice",IF($F30=0,"= Équilibre","▼ Perte")))</f>
        <v/>
      </c>
    </row>
    <row r="31">
      <c r="B31" s="212" t="n"/>
      <c r="C31" s="215">
        <f>INDEX(Liste_Mois,5)</f>
        <v/>
      </c>
      <c r="D31" s="213">
        <f>SUMIFS(J_Montant,J_Annee,Annee_Travail,J_Mois,5,J_Module,"Business",J_Type,"Revenu",J_Statut,"&lt;&gt;Annulé",J_Statut,"&lt;&gt;Prévu")</f>
        <v/>
      </c>
      <c r="E31" s="213">
        <f>SUMIFS(J_Montant,J_Annee,Annee_Travail,J_Mois,5,J_Module,"Business",J_Type,"&lt;&gt;Revenu",J_Type,"&lt;&gt;Transfert",J_Statut,"&lt;&gt;Annulé",J_Statut,"&lt;&gt;Prévu")</f>
        <v/>
      </c>
      <c r="F31" s="213">
        <f>$D31-$E31</f>
        <v/>
      </c>
      <c r="G31" s="214">
        <f>IFERROR($F31/$D31,0)</f>
        <v/>
      </c>
      <c r="H31" s="213">
        <f>$H30+$F31</f>
        <v/>
      </c>
      <c r="I31" s="209">
        <f>IF($D31=0,"—",IF($F31&gt;0,"▲ Bénéfice",IF($F31=0,"= Équilibre","▼ Perte")))</f>
        <v/>
      </c>
    </row>
    <row r="32">
      <c r="B32" s="212" t="n"/>
      <c r="C32" s="215">
        <f>INDEX(Liste_Mois,6)</f>
        <v/>
      </c>
      <c r="D32" s="213">
        <f>SUMIFS(J_Montant,J_Annee,Annee_Travail,J_Mois,6,J_Module,"Business",J_Type,"Revenu",J_Statut,"&lt;&gt;Annulé",J_Statut,"&lt;&gt;Prévu")</f>
        <v/>
      </c>
      <c r="E32" s="213">
        <f>SUMIFS(J_Montant,J_Annee,Annee_Travail,J_Mois,6,J_Module,"Business",J_Type,"&lt;&gt;Revenu",J_Type,"&lt;&gt;Transfert",J_Statut,"&lt;&gt;Annulé",J_Statut,"&lt;&gt;Prévu")</f>
        <v/>
      </c>
      <c r="F32" s="213">
        <f>$D32-$E32</f>
        <v/>
      </c>
      <c r="G32" s="214">
        <f>IFERROR($F32/$D32,0)</f>
        <v/>
      </c>
      <c r="H32" s="213">
        <f>$H31+$F32</f>
        <v/>
      </c>
      <c r="I32" s="209">
        <f>IF($D32=0,"—",IF($F32&gt;0,"▲ Bénéfice",IF($F32=0,"= Équilibre","▼ Perte")))</f>
        <v/>
      </c>
    </row>
    <row r="33">
      <c r="B33" s="212" t="n"/>
      <c r="C33" s="215">
        <f>INDEX(Liste_Mois,7)</f>
        <v/>
      </c>
      <c r="D33" s="213">
        <f>SUMIFS(J_Montant,J_Annee,Annee_Travail,J_Mois,7,J_Module,"Business",J_Type,"Revenu",J_Statut,"&lt;&gt;Annulé",J_Statut,"&lt;&gt;Prévu")</f>
        <v/>
      </c>
      <c r="E33" s="213">
        <f>SUMIFS(J_Montant,J_Annee,Annee_Travail,J_Mois,7,J_Module,"Business",J_Type,"&lt;&gt;Revenu",J_Type,"&lt;&gt;Transfert",J_Statut,"&lt;&gt;Annulé",J_Statut,"&lt;&gt;Prévu")</f>
        <v/>
      </c>
      <c r="F33" s="213">
        <f>$D33-$E33</f>
        <v/>
      </c>
      <c r="G33" s="214">
        <f>IFERROR($F33/$D33,0)</f>
        <v/>
      </c>
      <c r="H33" s="213">
        <f>$H32+$F33</f>
        <v/>
      </c>
      <c r="I33" s="209">
        <f>IF($D33=0,"—",IF($F33&gt;0,"▲ Bénéfice",IF($F33=0,"= Équilibre","▼ Perte")))</f>
        <v/>
      </c>
    </row>
    <row r="34">
      <c r="B34" s="212" t="n"/>
      <c r="C34" s="215">
        <f>INDEX(Liste_Mois,8)</f>
        <v/>
      </c>
      <c r="D34" s="213">
        <f>SUMIFS(J_Montant,J_Annee,Annee_Travail,J_Mois,8,J_Module,"Business",J_Type,"Revenu",J_Statut,"&lt;&gt;Annulé",J_Statut,"&lt;&gt;Prévu")</f>
        <v/>
      </c>
      <c r="E34" s="213">
        <f>SUMIFS(J_Montant,J_Annee,Annee_Travail,J_Mois,8,J_Module,"Business",J_Type,"&lt;&gt;Revenu",J_Type,"&lt;&gt;Transfert",J_Statut,"&lt;&gt;Annulé",J_Statut,"&lt;&gt;Prévu")</f>
        <v/>
      </c>
      <c r="F34" s="213">
        <f>$D34-$E34</f>
        <v/>
      </c>
      <c r="G34" s="214">
        <f>IFERROR($F34/$D34,0)</f>
        <v/>
      </c>
      <c r="H34" s="213">
        <f>$H33+$F34</f>
        <v/>
      </c>
      <c r="I34" s="209">
        <f>IF($D34=0,"—",IF($F34&gt;0,"▲ Bénéfice",IF($F34=0,"= Équilibre","▼ Perte")))</f>
        <v/>
      </c>
    </row>
    <row r="35">
      <c r="B35" s="212" t="n"/>
      <c r="C35" s="215">
        <f>INDEX(Liste_Mois,9)</f>
        <v/>
      </c>
      <c r="D35" s="213">
        <f>SUMIFS(J_Montant,J_Annee,Annee_Travail,J_Mois,9,J_Module,"Business",J_Type,"Revenu",J_Statut,"&lt;&gt;Annulé",J_Statut,"&lt;&gt;Prévu")</f>
        <v/>
      </c>
      <c r="E35" s="213">
        <f>SUMIFS(J_Montant,J_Annee,Annee_Travail,J_Mois,9,J_Module,"Business",J_Type,"&lt;&gt;Revenu",J_Type,"&lt;&gt;Transfert",J_Statut,"&lt;&gt;Annulé",J_Statut,"&lt;&gt;Prévu")</f>
        <v/>
      </c>
      <c r="F35" s="213">
        <f>$D35-$E35</f>
        <v/>
      </c>
      <c r="G35" s="214">
        <f>IFERROR($F35/$D35,0)</f>
        <v/>
      </c>
      <c r="H35" s="213">
        <f>$H34+$F35</f>
        <v/>
      </c>
      <c r="I35" s="209">
        <f>IF($D35=0,"—",IF($F35&gt;0,"▲ Bénéfice",IF($F35=0,"= Équilibre","▼ Perte")))</f>
        <v/>
      </c>
    </row>
    <row r="36">
      <c r="B36" s="212" t="n"/>
      <c r="C36" s="215">
        <f>INDEX(Liste_Mois,10)</f>
        <v/>
      </c>
      <c r="D36" s="213">
        <f>SUMIFS(J_Montant,J_Annee,Annee_Travail,J_Mois,10,J_Module,"Business",J_Type,"Revenu",J_Statut,"&lt;&gt;Annulé",J_Statut,"&lt;&gt;Prévu")</f>
        <v/>
      </c>
      <c r="E36" s="213">
        <f>SUMIFS(J_Montant,J_Annee,Annee_Travail,J_Mois,10,J_Module,"Business",J_Type,"&lt;&gt;Revenu",J_Type,"&lt;&gt;Transfert",J_Statut,"&lt;&gt;Annulé",J_Statut,"&lt;&gt;Prévu")</f>
        <v/>
      </c>
      <c r="F36" s="213">
        <f>$D36-$E36</f>
        <v/>
      </c>
      <c r="G36" s="214">
        <f>IFERROR($F36/$D36,0)</f>
        <v/>
      </c>
      <c r="H36" s="213">
        <f>$H35+$F36</f>
        <v/>
      </c>
      <c r="I36" s="209">
        <f>IF($D36=0,"—",IF($F36&gt;0,"▲ Bénéfice",IF($F36=0,"= Équilibre","▼ Perte")))</f>
        <v/>
      </c>
    </row>
    <row r="37">
      <c r="B37" s="212" t="n"/>
      <c r="C37" s="215">
        <f>INDEX(Liste_Mois,11)</f>
        <v/>
      </c>
      <c r="D37" s="213">
        <f>SUMIFS(J_Montant,J_Annee,Annee_Travail,J_Mois,11,J_Module,"Business",J_Type,"Revenu",J_Statut,"&lt;&gt;Annulé",J_Statut,"&lt;&gt;Prévu")</f>
        <v/>
      </c>
      <c r="E37" s="213">
        <f>SUMIFS(J_Montant,J_Annee,Annee_Travail,J_Mois,11,J_Module,"Business",J_Type,"&lt;&gt;Revenu",J_Type,"&lt;&gt;Transfert",J_Statut,"&lt;&gt;Annulé",J_Statut,"&lt;&gt;Prévu")</f>
        <v/>
      </c>
      <c r="F37" s="213">
        <f>$D37-$E37</f>
        <v/>
      </c>
      <c r="G37" s="214">
        <f>IFERROR($F37/$D37,0)</f>
        <v/>
      </c>
      <c r="H37" s="213">
        <f>$H36+$F37</f>
        <v/>
      </c>
      <c r="I37" s="209">
        <f>IF($D37=0,"—",IF($F37&gt;0,"▲ Bénéfice",IF($F37=0,"= Équilibre","▼ Perte")))</f>
        <v/>
      </c>
    </row>
    <row r="38">
      <c r="B38" s="212" t="n"/>
      <c r="C38" s="215">
        <f>INDEX(Liste_Mois,12)</f>
        <v/>
      </c>
      <c r="D38" s="213">
        <f>SUMIFS(J_Montant,J_Annee,Annee_Travail,J_Mois,12,J_Module,"Business",J_Type,"Revenu",J_Statut,"&lt;&gt;Annulé",J_Statut,"&lt;&gt;Prévu")</f>
        <v/>
      </c>
      <c r="E38" s="213">
        <f>SUMIFS(J_Montant,J_Annee,Annee_Travail,J_Mois,12,J_Module,"Business",J_Type,"&lt;&gt;Revenu",J_Type,"&lt;&gt;Transfert",J_Statut,"&lt;&gt;Annulé",J_Statut,"&lt;&gt;Prévu")</f>
        <v/>
      </c>
      <c r="F38" s="213">
        <f>$D38-$E38</f>
        <v/>
      </c>
      <c r="G38" s="214">
        <f>IFERROR($F38/$D38,0)</f>
        <v/>
      </c>
      <c r="H38" s="213">
        <f>$H37+$F38</f>
        <v/>
      </c>
      <c r="I38" s="209">
        <f>IF($D38=0,"—",IF($F38&gt;0,"▲ Bénéfice",IF($F38=0,"= Équilibre","▼ Perte")))</f>
        <v/>
      </c>
    </row>
    <row r="39">
      <c r="B39" s="134" t="n"/>
      <c r="C39" s="134" t="inlineStr">
        <is>
          <t>TOTAL</t>
        </is>
      </c>
      <c r="D39" s="135">
        <f>SUM(D27:D38)</f>
        <v/>
      </c>
      <c r="E39" s="135">
        <f>SUM(E27:E38)</f>
        <v/>
      </c>
      <c r="F39" s="135">
        <f>SUM(F27:F38)</f>
        <v/>
      </c>
      <c r="G39" s="136">
        <f>IFERROR($F39/$D39,0)</f>
        <v/>
      </c>
      <c r="H39" s="134" t="n"/>
      <c r="I39" s="134" t="n"/>
    </row>
    <row r="40"/>
    <row r="41"/>
    <row r="42" ht="24" customHeight="1">
      <c r="C42" s="6" t="inlineStr">
        <is>
          <t>③  SEUIL DE RENTABILITÉ</t>
        </is>
      </c>
      <c r="D42" s="7" t="n"/>
      <c r="E42" s="7" t="n"/>
      <c r="F42" s="7" t="n"/>
      <c r="G42" s="7" t="n"/>
      <c r="H42" s="7" t="n"/>
      <c r="I42" s="7" t="n"/>
      <c r="J42" s="7" t="n"/>
    </row>
    <row r="43"/>
    <row r="44" ht="22" customHeight="1">
      <c r="C44" s="52" t="inlineStr">
        <is>
          <t>Charges fixes mensuelles</t>
        </is>
      </c>
      <c r="E44" s="61" t="n">
        <v>0</v>
      </c>
      <c r="F44" s="54" t="n"/>
      <c r="G44" s="55" t="inlineStr">
        <is>
          <t>Loyer, salaires, abonnements — indépendantes du volume.</t>
        </is>
      </c>
    </row>
    <row r="45" ht="22" customHeight="1">
      <c r="C45" s="52" t="inlineStr">
        <is>
          <t>Taux de charges variables</t>
        </is>
      </c>
      <c r="E45" s="62" t="n">
        <v>0.4</v>
      </c>
      <c r="F45" s="54" t="n"/>
      <c r="G45" s="55" t="inlineStr">
        <is>
          <t>Part du chiffre d'affaires absorbée par les coûts variables.</t>
        </is>
      </c>
    </row>
    <row r="46" ht="22" customHeight="1">
      <c r="C46" s="52" t="inlineStr">
        <is>
          <t>Taux de marge sur coûts variables</t>
        </is>
      </c>
      <c r="E46" s="216">
        <f>1-$E$45</f>
        <v/>
      </c>
      <c r="F46" s="59" t="n"/>
    </row>
    <row r="47" ht="22" customHeight="1">
      <c r="C47" s="52" t="inlineStr">
        <is>
          <t>Chiffre d'affaires d'équilibre (mois)</t>
        </is>
      </c>
      <c r="E47" s="217">
        <f>IFERROR($E$44/$E$46,0)</f>
        <v/>
      </c>
      <c r="F47" s="59" t="n"/>
      <c r="G47" s="55" t="inlineStr">
        <is>
          <t>CA minimum pour couvrir toutes vos charges.</t>
        </is>
      </c>
    </row>
    <row r="48" ht="22" customHeight="1">
      <c r="C48" s="52" t="inlineStr">
        <is>
          <t>Chiffre d'affaires d'équilibre (an)</t>
        </is>
      </c>
      <c r="E48" s="217">
        <f>$E$47*12</f>
        <v/>
      </c>
      <c r="F48" s="59" t="n"/>
    </row>
    <row r="49" ht="22" customHeight="1">
      <c r="C49" s="52" t="inlineStr">
        <is>
          <t>CA réalisé cette année</t>
        </is>
      </c>
      <c r="E49" s="217">
        <f>$D39</f>
        <v/>
      </c>
      <c r="F49" s="59" t="n"/>
    </row>
    <row r="50" ht="22" customHeight="1">
      <c r="C50" s="52" t="inlineStr">
        <is>
          <t>Situation</t>
        </is>
      </c>
      <c r="E50" s="58">
        <f>IF($E$48=0,"Renseignez vos charges fixes",IF($E$49&gt;=$E$48,"✓ Seuil de rentabilité atteint","Reste "&amp;FIXED($E$48-$E$49,0)&amp;" "&amp;Symbole_Base&amp;" à réaliser"))</f>
        <v/>
      </c>
      <c r="F50" s="59" t="n"/>
    </row>
    <row r="51"/>
    <row r="52"/>
    <row r="53"/>
    <row r="54"/>
    <row r="55"/>
    <row r="56"/>
    <row r="57"/>
    <row r="58"/>
    <row r="59"/>
    <row r="60"/>
    <row r="61"/>
    <row r="62"/>
    <row r="63"/>
    <row r="64"/>
    <row r="65"/>
    <row r="66"/>
    <row r="67"/>
    <row r="68"/>
    <row r="69"/>
    <row r="70"/>
    <row r="71"/>
    <row r="72"/>
    <row r="73"/>
    <row r="74"/>
    <row r="75"/>
  </sheetData>
  <sheetProtection selectLockedCells="0" selectUnlockedCells="0" sheet="1" objects="1" insertRows="1" insertHyperlinks="1" autoFilter="0" scenarios="1" formatColumns="0" deleteColumns="1" insertColumns="1" pivotTables="1" deleteRows="1" formatCells="0" formatRows="0" sort="0" password="8708"/>
  <mergeCells count="47">
    <mergeCell ref="E50:F50"/>
    <mergeCell ref="J6:L6"/>
    <mergeCell ref="G6:I6"/>
    <mergeCell ref="B25:I25"/>
    <mergeCell ref="B3:C3"/>
    <mergeCell ref="B7:R7"/>
    <mergeCell ref="C42:J42"/>
    <mergeCell ref="C45:D45"/>
    <mergeCell ref="G47:J47"/>
    <mergeCell ref="P6:R6"/>
    <mergeCell ref="J4:L4"/>
    <mergeCell ref="E48:F48"/>
    <mergeCell ref="M6:O6"/>
    <mergeCell ref="E44:F44"/>
    <mergeCell ref="F3:G3"/>
    <mergeCell ref="L3:M3"/>
    <mergeCell ref="G44:J44"/>
    <mergeCell ref="C47:D47"/>
    <mergeCell ref="G5:I5"/>
    <mergeCell ref="D4:F4"/>
    <mergeCell ref="B2:R2"/>
    <mergeCell ref="C50:D50"/>
    <mergeCell ref="G4:I4"/>
    <mergeCell ref="C44:D44"/>
    <mergeCell ref="B1:R1"/>
    <mergeCell ref="B8:R8"/>
    <mergeCell ref="C46:D46"/>
    <mergeCell ref="D5:F5"/>
    <mergeCell ref="E46:F46"/>
    <mergeCell ref="P5:R5"/>
    <mergeCell ref="M4:O4"/>
    <mergeCell ref="E49:F49"/>
    <mergeCell ref="E45:F45"/>
    <mergeCell ref="C48:D48"/>
    <mergeCell ref="D3:E3"/>
    <mergeCell ref="P4:R4"/>
    <mergeCell ref="H3:I3"/>
    <mergeCell ref="J5:L5"/>
    <mergeCell ref="J3:K3"/>
    <mergeCell ref="B6:C6"/>
    <mergeCell ref="B5:C5"/>
    <mergeCell ref="M5:O5"/>
    <mergeCell ref="D6:F6"/>
    <mergeCell ref="B4:C4"/>
    <mergeCell ref="E47:F47"/>
    <mergeCell ref="C49:D49"/>
    <mergeCell ref="G45:J45"/>
  </mergeCells>
  <conditionalFormatting sqref="D5:F5">
    <cfRule type="expression" priority="1" dxfId="1212" stopIfTrue="1">
      <formula>Devise_Base="XOF"</formula>
    </cfRule>
    <cfRule type="expression" priority="2" dxfId="1213" stopIfTrue="1">
      <formula>Devise_Base="XAF"</formula>
    </cfRule>
    <cfRule type="expression" priority="3" dxfId="1214" stopIfTrue="1">
      <formula>Devise_Base="EUR"</formula>
    </cfRule>
    <cfRule type="expression" priority="4" dxfId="1215" stopIfTrue="1">
      <formula>Devise_Base="USD"</formula>
    </cfRule>
    <cfRule type="expression" priority="5" dxfId="1216" stopIfTrue="1">
      <formula>Devise_Base="GBP"</formula>
    </cfRule>
    <cfRule type="expression" priority="6" dxfId="1217" stopIfTrue="1">
      <formula>Devise_Base="CAD"</formula>
    </cfRule>
    <cfRule type="expression" priority="7" dxfId="1218" stopIfTrue="1">
      <formula>Devise_Base="CHF"</formula>
    </cfRule>
    <cfRule type="expression" priority="8" dxfId="1219" stopIfTrue="1">
      <formula>Devise_Base="MAD"</formula>
    </cfRule>
    <cfRule type="expression" priority="9" dxfId="1220" stopIfTrue="1">
      <formula>Devise_Base="NGN"</formula>
    </cfRule>
    <cfRule type="expression" priority="10" dxfId="1221" stopIfTrue="1">
      <formula>Devise_Base="GHS"</formula>
    </cfRule>
    <cfRule type="expression" priority="11" dxfId="1222" stopIfTrue="1">
      <formula>Devise_Base="CDF"</formula>
    </cfRule>
    <cfRule type="expression" priority="12" dxfId="1223" stopIfTrue="1">
      <formula>Devise_Base="ZAR"</formula>
    </cfRule>
    <cfRule type="expression" priority="13" dxfId="1224" stopIfTrue="1">
      <formula>Devise_Base="AED"</formula>
    </cfRule>
    <cfRule type="expression" priority="14" dxfId="1225" stopIfTrue="1">
      <formula>Devise_Base="MRU"</formula>
    </cfRule>
    <cfRule type="expression" priority="15" dxfId="1226" stopIfTrue="1">
      <formula>Devise_Base="GNF"</formula>
    </cfRule>
  </conditionalFormatting>
  <conditionalFormatting sqref="G5:I5">
    <cfRule type="expression" priority="16" dxfId="1227" stopIfTrue="1">
      <formula>Devise_Base="XOF"</formula>
    </cfRule>
    <cfRule type="expression" priority="17" dxfId="1228" stopIfTrue="1">
      <formula>Devise_Base="XAF"</formula>
    </cfRule>
    <cfRule type="expression" priority="18" dxfId="1229" stopIfTrue="1">
      <formula>Devise_Base="EUR"</formula>
    </cfRule>
    <cfRule type="expression" priority="19" dxfId="1230" stopIfTrue="1">
      <formula>Devise_Base="USD"</formula>
    </cfRule>
    <cfRule type="expression" priority="20" dxfId="1231" stopIfTrue="1">
      <formula>Devise_Base="GBP"</formula>
    </cfRule>
    <cfRule type="expression" priority="21" dxfId="1232" stopIfTrue="1">
      <formula>Devise_Base="CAD"</formula>
    </cfRule>
    <cfRule type="expression" priority="22" dxfId="1233" stopIfTrue="1">
      <formula>Devise_Base="CHF"</formula>
    </cfRule>
    <cfRule type="expression" priority="23" dxfId="1234" stopIfTrue="1">
      <formula>Devise_Base="MAD"</formula>
    </cfRule>
    <cfRule type="expression" priority="24" dxfId="1235" stopIfTrue="1">
      <formula>Devise_Base="NGN"</formula>
    </cfRule>
    <cfRule type="expression" priority="25" dxfId="1236" stopIfTrue="1">
      <formula>Devise_Base="GHS"</formula>
    </cfRule>
    <cfRule type="expression" priority="26" dxfId="1237" stopIfTrue="1">
      <formula>Devise_Base="CDF"</formula>
    </cfRule>
    <cfRule type="expression" priority="27" dxfId="1238" stopIfTrue="1">
      <formula>Devise_Base="ZAR"</formula>
    </cfRule>
    <cfRule type="expression" priority="28" dxfId="1239" stopIfTrue="1">
      <formula>Devise_Base="AED"</formula>
    </cfRule>
    <cfRule type="expression" priority="29" dxfId="1240" stopIfTrue="1">
      <formula>Devise_Base="MRU"</formula>
    </cfRule>
    <cfRule type="expression" priority="30" dxfId="1241" stopIfTrue="1">
      <formula>Devise_Base="GNF"</formula>
    </cfRule>
  </conditionalFormatting>
  <conditionalFormatting sqref="J5:L5">
    <cfRule type="expression" priority="31" dxfId="1242" stopIfTrue="1">
      <formula>Devise_Base="XOF"</formula>
    </cfRule>
    <cfRule type="expression" priority="32" dxfId="1243" stopIfTrue="1">
      <formula>Devise_Base="XAF"</formula>
    </cfRule>
    <cfRule type="expression" priority="33" dxfId="1244" stopIfTrue="1">
      <formula>Devise_Base="EUR"</formula>
    </cfRule>
    <cfRule type="expression" priority="34" dxfId="1245" stopIfTrue="1">
      <formula>Devise_Base="USD"</formula>
    </cfRule>
    <cfRule type="expression" priority="35" dxfId="1246" stopIfTrue="1">
      <formula>Devise_Base="GBP"</formula>
    </cfRule>
    <cfRule type="expression" priority="36" dxfId="1247" stopIfTrue="1">
      <formula>Devise_Base="CAD"</formula>
    </cfRule>
    <cfRule type="expression" priority="37" dxfId="1248" stopIfTrue="1">
      <formula>Devise_Base="CHF"</formula>
    </cfRule>
    <cfRule type="expression" priority="38" dxfId="1249" stopIfTrue="1">
      <formula>Devise_Base="MAD"</formula>
    </cfRule>
    <cfRule type="expression" priority="39" dxfId="1250" stopIfTrue="1">
      <formula>Devise_Base="NGN"</formula>
    </cfRule>
    <cfRule type="expression" priority="40" dxfId="1251" stopIfTrue="1">
      <formula>Devise_Base="GHS"</formula>
    </cfRule>
    <cfRule type="expression" priority="41" dxfId="1252" stopIfTrue="1">
      <formula>Devise_Base="CDF"</formula>
    </cfRule>
    <cfRule type="expression" priority="42" dxfId="1253" stopIfTrue="1">
      <formula>Devise_Base="ZAR"</formula>
    </cfRule>
    <cfRule type="expression" priority="43" dxfId="1254" stopIfTrue="1">
      <formula>Devise_Base="AED"</formula>
    </cfRule>
    <cfRule type="expression" priority="44" dxfId="1255" stopIfTrue="1">
      <formula>Devise_Base="MRU"</formula>
    </cfRule>
    <cfRule type="expression" priority="45" dxfId="1256" stopIfTrue="1">
      <formula>Devise_Base="GNF"</formula>
    </cfRule>
  </conditionalFormatting>
  <conditionalFormatting sqref="B10:R21">
    <cfRule type="expression" priority="46" dxfId="75" stopIfTrue="0">
      <formula>MOD(ROW()-10,2)=1</formula>
    </cfRule>
  </conditionalFormatting>
  <conditionalFormatting sqref="K10:K21">
    <cfRule type="dataBar" priority="47">
      <dataBar showValue="1">
        <cfvo type="num" val="0"/>
        <cfvo type="num" val="1"/>
        <color rgb="004A5C8C"/>
      </dataBar>
    </cfRule>
  </conditionalFormatting>
  <conditionalFormatting sqref="N10:N21">
    <cfRule type="cellIs" priority="48" operator="greaterThan" dxfId="76">
      <formula>0</formula>
    </cfRule>
    <cfRule type="cellIs" priority="49" operator="lessThan" dxfId="77">
      <formula>0</formula>
    </cfRule>
  </conditionalFormatting>
  <conditionalFormatting sqref="H10:J21">
    <cfRule type="expression" priority="50" dxfId="1257" stopIfTrue="1">
      <formula>Devise_Base="XOF"</formula>
    </cfRule>
    <cfRule type="expression" priority="51" dxfId="1258" stopIfTrue="1">
      <formula>Devise_Base="XAF"</formula>
    </cfRule>
    <cfRule type="expression" priority="52" dxfId="1259" stopIfTrue="1">
      <formula>Devise_Base="EUR"</formula>
    </cfRule>
    <cfRule type="expression" priority="53" dxfId="1260" stopIfTrue="1">
      <formula>Devise_Base="USD"</formula>
    </cfRule>
    <cfRule type="expression" priority="54" dxfId="1261" stopIfTrue="1">
      <formula>Devise_Base="GBP"</formula>
    </cfRule>
    <cfRule type="expression" priority="55" dxfId="1262" stopIfTrue="1">
      <formula>Devise_Base="CAD"</formula>
    </cfRule>
    <cfRule type="expression" priority="56" dxfId="1263" stopIfTrue="1">
      <formula>Devise_Base="CHF"</formula>
    </cfRule>
    <cfRule type="expression" priority="57" dxfId="1264" stopIfTrue="1">
      <formula>Devise_Base="MAD"</formula>
    </cfRule>
    <cfRule type="expression" priority="58" dxfId="1265" stopIfTrue="1">
      <formula>Devise_Base="NGN"</formula>
    </cfRule>
    <cfRule type="expression" priority="59" dxfId="1266" stopIfTrue="1">
      <formula>Devise_Base="GHS"</formula>
    </cfRule>
    <cfRule type="expression" priority="60" dxfId="1267" stopIfTrue="1">
      <formula>Devise_Base="CDF"</formula>
    </cfRule>
    <cfRule type="expression" priority="61" dxfId="1268" stopIfTrue="1">
      <formula>Devise_Base="ZAR"</formula>
    </cfRule>
    <cfRule type="expression" priority="62" dxfId="1269" stopIfTrue="1">
      <formula>Devise_Base="AED"</formula>
    </cfRule>
    <cfRule type="expression" priority="63" dxfId="1270" stopIfTrue="1">
      <formula>Devise_Base="MRU"</formula>
    </cfRule>
    <cfRule type="expression" priority="64" dxfId="1271" stopIfTrue="1">
      <formula>Devise_Base="GNF"</formula>
    </cfRule>
  </conditionalFormatting>
  <conditionalFormatting sqref="L10:N21">
    <cfRule type="expression" priority="65" dxfId="1272" stopIfTrue="1">
      <formula>Devise_Base="XOF"</formula>
    </cfRule>
    <cfRule type="expression" priority="66" dxfId="1273" stopIfTrue="1">
      <formula>Devise_Base="XAF"</formula>
    </cfRule>
    <cfRule type="expression" priority="67" dxfId="1274" stopIfTrue="1">
      <formula>Devise_Base="EUR"</formula>
    </cfRule>
    <cfRule type="expression" priority="68" dxfId="1275" stopIfTrue="1">
      <formula>Devise_Base="USD"</formula>
    </cfRule>
    <cfRule type="expression" priority="69" dxfId="1276" stopIfTrue="1">
      <formula>Devise_Base="GBP"</formula>
    </cfRule>
    <cfRule type="expression" priority="70" dxfId="1277" stopIfTrue="1">
      <formula>Devise_Base="CAD"</formula>
    </cfRule>
    <cfRule type="expression" priority="71" dxfId="1278" stopIfTrue="1">
      <formula>Devise_Base="CHF"</formula>
    </cfRule>
    <cfRule type="expression" priority="72" dxfId="1279" stopIfTrue="1">
      <formula>Devise_Base="MAD"</formula>
    </cfRule>
    <cfRule type="expression" priority="73" dxfId="1280" stopIfTrue="1">
      <formula>Devise_Base="NGN"</formula>
    </cfRule>
    <cfRule type="expression" priority="74" dxfId="1281" stopIfTrue="1">
      <formula>Devise_Base="GHS"</formula>
    </cfRule>
    <cfRule type="expression" priority="75" dxfId="1282" stopIfTrue="1">
      <formula>Devise_Base="CDF"</formula>
    </cfRule>
    <cfRule type="expression" priority="76" dxfId="1283" stopIfTrue="1">
      <formula>Devise_Base="ZAR"</formula>
    </cfRule>
    <cfRule type="expression" priority="77" dxfId="1284" stopIfTrue="1">
      <formula>Devise_Base="AED"</formula>
    </cfRule>
    <cfRule type="expression" priority="78" dxfId="1285" stopIfTrue="1">
      <formula>Devise_Base="MRU"</formula>
    </cfRule>
    <cfRule type="expression" priority="79" dxfId="1286" stopIfTrue="1">
      <formula>Devise_Base="GNF"</formula>
    </cfRule>
  </conditionalFormatting>
  <conditionalFormatting sqref="H22:N22">
    <cfRule type="expression" priority="80" dxfId="1287" stopIfTrue="1">
      <formula>Devise_Base="XOF"</formula>
    </cfRule>
    <cfRule type="expression" priority="81" dxfId="1288" stopIfTrue="1">
      <formula>Devise_Base="XAF"</formula>
    </cfRule>
    <cfRule type="expression" priority="82" dxfId="1289" stopIfTrue="1">
      <formula>Devise_Base="EUR"</formula>
    </cfRule>
    <cfRule type="expression" priority="83" dxfId="1290" stopIfTrue="1">
      <formula>Devise_Base="USD"</formula>
    </cfRule>
    <cfRule type="expression" priority="84" dxfId="1291" stopIfTrue="1">
      <formula>Devise_Base="GBP"</formula>
    </cfRule>
    <cfRule type="expression" priority="85" dxfId="1292" stopIfTrue="1">
      <formula>Devise_Base="CAD"</formula>
    </cfRule>
    <cfRule type="expression" priority="86" dxfId="1293" stopIfTrue="1">
      <formula>Devise_Base="CHF"</formula>
    </cfRule>
    <cfRule type="expression" priority="87" dxfId="1294" stopIfTrue="1">
      <formula>Devise_Base="MAD"</formula>
    </cfRule>
    <cfRule type="expression" priority="88" dxfId="1295" stopIfTrue="1">
      <formula>Devise_Base="NGN"</formula>
    </cfRule>
    <cfRule type="expression" priority="89" dxfId="1296" stopIfTrue="1">
      <formula>Devise_Base="GHS"</formula>
    </cfRule>
    <cfRule type="expression" priority="90" dxfId="1297" stopIfTrue="1">
      <formula>Devise_Base="CDF"</formula>
    </cfRule>
    <cfRule type="expression" priority="91" dxfId="1298" stopIfTrue="1">
      <formula>Devise_Base="ZAR"</formula>
    </cfRule>
    <cfRule type="expression" priority="92" dxfId="1299" stopIfTrue="1">
      <formula>Devise_Base="AED"</formula>
    </cfRule>
    <cfRule type="expression" priority="93" dxfId="1300" stopIfTrue="1">
      <formula>Devise_Base="MRU"</formula>
    </cfRule>
    <cfRule type="expression" priority="94" dxfId="1301" stopIfTrue="1">
      <formula>Devise_Base="GNF"</formula>
    </cfRule>
  </conditionalFormatting>
  <conditionalFormatting sqref="B27:I38">
    <cfRule type="expression" priority="95" dxfId="75" stopIfTrue="0">
      <formula>MOD(ROW()-27,2)=1</formula>
    </cfRule>
  </conditionalFormatting>
  <conditionalFormatting sqref="F27:F38">
    <cfRule type="cellIs" priority="96" operator="greaterThan" dxfId="76">
      <formula>0</formula>
    </cfRule>
    <cfRule type="cellIs" priority="97" operator="lessThan" dxfId="77">
      <formula>0</formula>
    </cfRule>
  </conditionalFormatting>
  <conditionalFormatting sqref="D27:F39">
    <cfRule type="expression" priority="98" dxfId="1302" stopIfTrue="1">
      <formula>Devise_Base="XOF"</formula>
    </cfRule>
    <cfRule type="expression" priority="99" dxfId="1303" stopIfTrue="1">
      <formula>Devise_Base="XAF"</formula>
    </cfRule>
    <cfRule type="expression" priority="100" dxfId="1304" stopIfTrue="1">
      <formula>Devise_Base="EUR"</formula>
    </cfRule>
    <cfRule type="expression" priority="101" dxfId="1305" stopIfTrue="1">
      <formula>Devise_Base="USD"</formula>
    </cfRule>
    <cfRule type="expression" priority="102" dxfId="1306" stopIfTrue="1">
      <formula>Devise_Base="GBP"</formula>
    </cfRule>
    <cfRule type="expression" priority="103" dxfId="1307" stopIfTrue="1">
      <formula>Devise_Base="CAD"</formula>
    </cfRule>
    <cfRule type="expression" priority="104" dxfId="1308" stopIfTrue="1">
      <formula>Devise_Base="CHF"</formula>
    </cfRule>
    <cfRule type="expression" priority="105" dxfId="1309" stopIfTrue="1">
      <formula>Devise_Base="MAD"</formula>
    </cfRule>
    <cfRule type="expression" priority="106" dxfId="1310" stopIfTrue="1">
      <formula>Devise_Base="NGN"</formula>
    </cfRule>
    <cfRule type="expression" priority="107" dxfId="1311" stopIfTrue="1">
      <formula>Devise_Base="GHS"</formula>
    </cfRule>
    <cfRule type="expression" priority="108" dxfId="1312" stopIfTrue="1">
      <formula>Devise_Base="CDF"</formula>
    </cfRule>
    <cfRule type="expression" priority="109" dxfId="1313" stopIfTrue="1">
      <formula>Devise_Base="ZAR"</formula>
    </cfRule>
    <cfRule type="expression" priority="110" dxfId="1314" stopIfTrue="1">
      <formula>Devise_Base="AED"</formula>
    </cfRule>
    <cfRule type="expression" priority="111" dxfId="1315" stopIfTrue="1">
      <formula>Devise_Base="MRU"</formula>
    </cfRule>
    <cfRule type="expression" priority="112" dxfId="1316" stopIfTrue="1">
      <formula>Devise_Base="GNF"</formula>
    </cfRule>
  </conditionalFormatting>
  <conditionalFormatting sqref="H27:H38">
    <cfRule type="expression" priority="113" dxfId="1317" stopIfTrue="1">
      <formula>Devise_Base="XOF"</formula>
    </cfRule>
    <cfRule type="expression" priority="114" dxfId="1318" stopIfTrue="1">
      <formula>Devise_Base="XAF"</formula>
    </cfRule>
    <cfRule type="expression" priority="115" dxfId="1319" stopIfTrue="1">
      <formula>Devise_Base="EUR"</formula>
    </cfRule>
    <cfRule type="expression" priority="116" dxfId="1320" stopIfTrue="1">
      <formula>Devise_Base="USD"</formula>
    </cfRule>
    <cfRule type="expression" priority="117" dxfId="1321" stopIfTrue="1">
      <formula>Devise_Base="GBP"</formula>
    </cfRule>
    <cfRule type="expression" priority="118" dxfId="1322" stopIfTrue="1">
      <formula>Devise_Base="CAD"</formula>
    </cfRule>
    <cfRule type="expression" priority="119" dxfId="1323" stopIfTrue="1">
      <formula>Devise_Base="CHF"</formula>
    </cfRule>
    <cfRule type="expression" priority="120" dxfId="1324" stopIfTrue="1">
      <formula>Devise_Base="MAD"</formula>
    </cfRule>
    <cfRule type="expression" priority="121" dxfId="1325" stopIfTrue="1">
      <formula>Devise_Base="NGN"</formula>
    </cfRule>
    <cfRule type="expression" priority="122" dxfId="1326" stopIfTrue="1">
      <formula>Devise_Base="GHS"</formula>
    </cfRule>
    <cfRule type="expression" priority="123" dxfId="1327" stopIfTrue="1">
      <formula>Devise_Base="CDF"</formula>
    </cfRule>
    <cfRule type="expression" priority="124" dxfId="1328" stopIfTrue="1">
      <formula>Devise_Base="ZAR"</formula>
    </cfRule>
    <cfRule type="expression" priority="125" dxfId="1329" stopIfTrue="1">
      <formula>Devise_Base="AED"</formula>
    </cfRule>
    <cfRule type="expression" priority="126" dxfId="1330" stopIfTrue="1">
      <formula>Devise_Base="MRU"</formula>
    </cfRule>
    <cfRule type="expression" priority="127" dxfId="1331" stopIfTrue="1">
      <formula>Devise_Base="GNF"</formula>
    </cfRule>
  </conditionalFormatting>
  <conditionalFormatting sqref="E44:F44">
    <cfRule type="expression" priority="128" dxfId="1332" stopIfTrue="1">
      <formula>Devise_Base="XOF"</formula>
    </cfRule>
    <cfRule type="expression" priority="129" dxfId="1333" stopIfTrue="1">
      <formula>Devise_Base="XAF"</formula>
    </cfRule>
    <cfRule type="expression" priority="130" dxfId="1334" stopIfTrue="1">
      <formula>Devise_Base="EUR"</formula>
    </cfRule>
    <cfRule type="expression" priority="131" dxfId="1335" stopIfTrue="1">
      <formula>Devise_Base="USD"</formula>
    </cfRule>
    <cfRule type="expression" priority="132" dxfId="1336" stopIfTrue="1">
      <formula>Devise_Base="GBP"</formula>
    </cfRule>
    <cfRule type="expression" priority="133" dxfId="1337" stopIfTrue="1">
      <formula>Devise_Base="CAD"</formula>
    </cfRule>
    <cfRule type="expression" priority="134" dxfId="1338" stopIfTrue="1">
      <formula>Devise_Base="CHF"</formula>
    </cfRule>
    <cfRule type="expression" priority="135" dxfId="1339" stopIfTrue="1">
      <formula>Devise_Base="MAD"</formula>
    </cfRule>
    <cfRule type="expression" priority="136" dxfId="1340" stopIfTrue="1">
      <formula>Devise_Base="NGN"</formula>
    </cfRule>
    <cfRule type="expression" priority="137" dxfId="1341" stopIfTrue="1">
      <formula>Devise_Base="GHS"</formula>
    </cfRule>
    <cfRule type="expression" priority="138" dxfId="1342" stopIfTrue="1">
      <formula>Devise_Base="CDF"</formula>
    </cfRule>
    <cfRule type="expression" priority="139" dxfId="1343" stopIfTrue="1">
      <formula>Devise_Base="ZAR"</formula>
    </cfRule>
    <cfRule type="expression" priority="140" dxfId="1344" stopIfTrue="1">
      <formula>Devise_Base="AED"</formula>
    </cfRule>
    <cfRule type="expression" priority="141" dxfId="1345" stopIfTrue="1">
      <formula>Devise_Base="MRU"</formula>
    </cfRule>
    <cfRule type="expression" priority="142" dxfId="1346" stopIfTrue="1">
      <formula>Devise_Base="GNF"</formula>
    </cfRule>
  </conditionalFormatting>
  <conditionalFormatting sqref="E47:F49">
    <cfRule type="expression" priority="143" dxfId="1347" stopIfTrue="1">
      <formula>Devise_Base="XOF"</formula>
    </cfRule>
    <cfRule type="expression" priority="144" dxfId="1348" stopIfTrue="1">
      <formula>Devise_Base="XAF"</formula>
    </cfRule>
    <cfRule type="expression" priority="145" dxfId="1349" stopIfTrue="1">
      <formula>Devise_Base="EUR"</formula>
    </cfRule>
    <cfRule type="expression" priority="146" dxfId="1350" stopIfTrue="1">
      <formula>Devise_Base="USD"</formula>
    </cfRule>
    <cfRule type="expression" priority="147" dxfId="1351" stopIfTrue="1">
      <formula>Devise_Base="GBP"</formula>
    </cfRule>
    <cfRule type="expression" priority="148" dxfId="1352" stopIfTrue="1">
      <formula>Devise_Base="CAD"</formula>
    </cfRule>
    <cfRule type="expression" priority="149" dxfId="1353" stopIfTrue="1">
      <formula>Devise_Base="CHF"</formula>
    </cfRule>
    <cfRule type="expression" priority="150" dxfId="1354" stopIfTrue="1">
      <formula>Devise_Base="MAD"</formula>
    </cfRule>
    <cfRule type="expression" priority="151" dxfId="1355" stopIfTrue="1">
      <formula>Devise_Base="NGN"</formula>
    </cfRule>
    <cfRule type="expression" priority="152" dxfId="1356" stopIfTrue="1">
      <formula>Devise_Base="GHS"</formula>
    </cfRule>
    <cfRule type="expression" priority="153" dxfId="1357" stopIfTrue="1">
      <formula>Devise_Base="CDF"</formula>
    </cfRule>
    <cfRule type="expression" priority="154" dxfId="1358" stopIfTrue="1">
      <formula>Devise_Base="ZAR"</formula>
    </cfRule>
    <cfRule type="expression" priority="155" dxfId="1359" stopIfTrue="1">
      <formula>Devise_Base="AED"</formula>
    </cfRule>
    <cfRule type="expression" priority="156" dxfId="1360" stopIfTrue="1">
      <formula>Devise_Base="MRU"</formula>
    </cfRule>
    <cfRule type="expression" priority="157" dxfId="1361" stopIfTrue="1">
      <formula>Devise_Base="GNF"</formula>
    </cfRule>
  </conditionalFormatting>
  <dataValidations count="2">
    <dataValidation sqref="D10:D21" showDropDown="0" showInputMessage="0" showErrorMessage="0" allowBlank="1" type="list">
      <formula1>Liste_TypesProjet</formula1>
    </dataValidation>
    <dataValidation sqref="E10:E21" showDropDown="0" showInputMessage="0" showErrorMessage="0" allowBlank="1" type="list">
      <formula1>Liste_StatutsProjet</formula1>
    </dataValidation>
  </dataValidations>
  <hyperlinks>
    <hyperlink ref="B3" location="'Accueil'!A1"/>
    <hyperlink ref="D3" location="'Paramètres'!A1"/>
    <hyperlink ref="F3" location="'Estimation Annuelle'!A1"/>
    <hyperlink ref="H3" location="'Journal'!A1"/>
    <hyperlink ref="J3" location="'Tableau de Bord'!A1"/>
    <hyperlink ref="L3" location="'Budget 12 Mois'!A1"/>
  </hyperlink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E6B3C"/>
    <outlinePr summaryBelow="1" summaryRight="1"/>
    <pageSetUpPr/>
  </sheetPr>
  <dimension ref="A1:S76"/>
  <sheetViews>
    <sheetView showGridLines="0" zoomScale="80" workbookViewId="0">
      <pane ySplit="9" topLeftCell="A10" activePane="bottomLeft" state="frozen"/>
      <selection pane="bottomLeft" activeCell="A1" sqref="A1"/>
    </sheetView>
  </sheetViews>
  <sheetFormatPr baseColWidth="8" defaultRowHeight="15"/>
  <cols>
    <col width="2" customWidth="1" min="1" max="1"/>
    <col width="4" customWidth="1" min="2" max="2"/>
    <col width="26" customWidth="1" min="3" max="3"/>
    <col width="16" customWidth="1" min="4" max="4"/>
    <col width="20" customWidth="1" min="5" max="5"/>
    <col width="11" customWidth="1" min="6" max="6"/>
    <col width="12" customWidth="1" min="7" max="7"/>
    <col width="16" customWidth="1" min="8" max="8"/>
    <col width="13" customWidth="1" min="9" max="9"/>
    <col width="16" customWidth="1" min="10" max="10"/>
    <col width="16" customWidth="1" min="11" max="11"/>
    <col width="16" customWidth="1" min="12" max="12"/>
    <col width="10" customWidth="1" min="13" max="13"/>
    <col width="14" customWidth="1" min="14" max="14"/>
    <col width="14" customWidth="1" min="15" max="15"/>
    <col width="14" customWidth="1" min="16" max="16"/>
    <col width="11" customWidth="1" min="17" max="17"/>
    <col width="15" customWidth="1" min="18" max="18"/>
    <col width="18" customWidth="1" min="19" max="19"/>
  </cols>
  <sheetData>
    <row r="1" ht="52" customHeight="1">
      <c r="B1" s="46" t="inlineStr">
        <is>
          <t>IMMOBILIER &amp; TERRAIN</t>
        </is>
      </c>
      <c r="C1" s="47" t="n"/>
      <c r="D1" s="47" t="n"/>
      <c r="E1" s="47" t="n"/>
      <c r="F1" s="47" t="n"/>
      <c r="G1" s="47" t="n"/>
      <c r="H1" s="47" t="n"/>
      <c r="I1" s="47" t="n"/>
      <c r="J1" s="47" t="n"/>
      <c r="K1" s="47" t="n"/>
      <c r="L1" s="47" t="n"/>
      <c r="M1" s="47" t="n"/>
      <c r="N1" s="47" t="n"/>
      <c r="O1" s="47" t="n"/>
      <c r="P1" s="47" t="n"/>
      <c r="Q1" s="47" t="n"/>
      <c r="R1" s="47" t="n"/>
      <c r="S1" s="47" t="n"/>
    </row>
    <row r="2" ht="20" customHeight="1">
      <c r="B2" s="48" t="inlineStr">
        <is>
          <t>Acquisition, construction, échéanciers de paiement, location et rendement</t>
        </is>
      </c>
      <c r="C2" s="7" t="n"/>
      <c r="D2" s="7" t="n"/>
      <c r="E2" s="7" t="n"/>
      <c r="F2" s="7" t="n"/>
      <c r="G2" s="7" t="n"/>
      <c r="H2" s="7" t="n"/>
      <c r="I2" s="7" t="n"/>
      <c r="J2" s="7" t="n"/>
      <c r="K2" s="7" t="n"/>
      <c r="L2" s="7" t="n"/>
      <c r="M2" s="7" t="n"/>
      <c r="N2" s="7" t="n"/>
      <c r="O2" s="7" t="n"/>
      <c r="P2" s="7" t="n"/>
      <c r="Q2" s="7" t="n"/>
      <c r="R2" s="7" t="n"/>
      <c r="S2" s="7" t="n"/>
    </row>
    <row r="3" ht="20" customHeight="1">
      <c r="B3" s="49" t="inlineStr">
        <is>
          <t>⌂  ACCUEIL</t>
        </is>
      </c>
      <c r="C3" s="42" t="n"/>
      <c r="D3" s="42" t="n"/>
      <c r="E3" s="49" t="inlineStr">
        <is>
          <t>①  MES INFOS</t>
        </is>
      </c>
      <c r="F3" s="42" t="n"/>
      <c r="G3" s="42" t="n"/>
      <c r="H3" s="49" t="inlineStr">
        <is>
          <t>②  ESTIMATION</t>
        </is>
      </c>
      <c r="I3" s="42" t="n"/>
      <c r="J3" s="42" t="n"/>
      <c r="K3" s="49" t="inlineStr">
        <is>
          <t>③  BUDGET SMART</t>
        </is>
      </c>
      <c r="L3" s="42" t="n"/>
      <c r="M3" s="42" t="n"/>
      <c r="N3" s="49" t="inlineStr">
        <is>
          <t>TABLEAU DE BORD</t>
        </is>
      </c>
      <c r="O3" s="42" t="n"/>
      <c r="P3" s="42" t="n"/>
      <c r="Q3" s="49" t="inlineStr">
        <is>
          <t>BUDGET 12 MOIS</t>
        </is>
      </c>
      <c r="R3" s="42" t="n"/>
      <c r="S3" s="42" t="n"/>
    </row>
    <row r="4" ht="18" customHeight="1">
      <c r="B4" s="93" t="inlineStr">
        <is>
          <t>BIENS SUIVIS</t>
        </is>
      </c>
      <c r="C4" s="95" t="n"/>
      <c r="D4" s="27" t="inlineStr">
        <is>
          <t>BUDGET TOTAL</t>
        </is>
      </c>
      <c r="E4" s="79" t="n"/>
      <c r="F4" s="28" t="n"/>
      <c r="G4" s="76" t="inlineStr">
        <is>
          <t>INVESTI À CE JOUR</t>
        </is>
      </c>
      <c r="H4" s="77" t="n"/>
      <c r="I4" s="78" t="n"/>
      <c r="J4" s="80" t="inlineStr">
        <is>
          <t>RESTE À FINANCER</t>
        </is>
      </c>
      <c r="K4" s="81" t="n"/>
      <c r="L4" s="82" t="n"/>
      <c r="M4" s="31" t="inlineStr">
        <is>
          <t>LOYERS MENSUELS</t>
        </is>
      </c>
      <c r="N4" s="74" t="n"/>
      <c r="O4" s="32" t="n"/>
      <c r="P4" s="27" t="inlineStr">
        <is>
          <t>CASH-FLOW MENSUEL</t>
        </is>
      </c>
      <c r="Q4" s="79" t="n"/>
      <c r="R4" s="28" t="n"/>
    </row>
    <row r="5" ht="30" customHeight="1">
      <c r="B5" s="96">
        <f>COUNTA($C$10:$C$19)</f>
        <v/>
      </c>
      <c r="C5" s="34" t="n"/>
      <c r="D5" s="33">
        <f>SUM($J$10:$J$19)</f>
        <v/>
      </c>
      <c r="E5" s="83" t="n"/>
      <c r="F5" s="34" t="n"/>
      <c r="G5" s="84">
        <f>SUM($K$10:$K$19)</f>
        <v/>
      </c>
      <c r="H5" s="83" t="n"/>
      <c r="I5" s="34" t="n"/>
      <c r="J5" s="97">
        <f>SUM($L$10:$L$19)</f>
        <v/>
      </c>
      <c r="K5" s="83" t="n"/>
      <c r="L5" s="34" t="n"/>
      <c r="M5" s="36">
        <f>SUM($N$10:$N$19)</f>
        <v/>
      </c>
      <c r="N5" s="83" t="n"/>
      <c r="O5" s="34" t="n"/>
      <c r="P5" s="33">
        <f>SUM($P$10:$P$19)</f>
        <v/>
      </c>
      <c r="Q5" s="83" t="n"/>
      <c r="R5" s="34" t="n"/>
    </row>
    <row r="6" ht="16" customHeight="1">
      <c r="B6" s="37" t="inlineStr"/>
      <c r="C6" s="38" t="n"/>
      <c r="D6" s="37" t="inlineStr"/>
      <c r="E6" s="86" t="n"/>
      <c r="F6" s="38" t="n"/>
      <c r="G6" s="98">
        <f>"Soit "&amp;ROUND(IFERROR(SUM($K$10:$K$19)/SUM($J$10:$J$19),0)*100,0)&amp;" %"&amp;" du budget"</f>
        <v/>
      </c>
      <c r="H6" s="86" t="n"/>
      <c r="I6" s="38" t="n"/>
      <c r="J6" s="37" t="inlineStr"/>
      <c r="K6" s="86" t="n"/>
      <c r="L6" s="38" t="n"/>
      <c r="M6" s="37" t="inlineStr"/>
      <c r="N6" s="86" t="n"/>
      <c r="O6" s="38" t="n"/>
      <c r="P6" s="98">
        <f>"Rendement brut moyen : "&amp;ROUND(IFERROR(SUM($N$10:$N$19)*12/SUM($J$10:$J$19),0)*100,1)&amp;" %"</f>
        <v/>
      </c>
      <c r="Q6" s="86" t="n"/>
      <c r="R6" s="38" t="n"/>
    </row>
    <row r="7" ht="28" customHeight="1">
      <c r="B7" s="41" t="inlineStr">
        <is>
          <t>Reliez chaque dépense du Journal à un bien via la colonne « Projet / Bien » : l'investi, le reste à financer et le rendement se calculent seuls. Le budget par lot se rapproche du Journal via le libellé de l'opération.</t>
        </is>
      </c>
      <c r="C7" s="42" t="n"/>
      <c r="D7" s="42" t="n"/>
      <c r="E7" s="42" t="n"/>
      <c r="F7" s="42" t="n"/>
      <c r="G7" s="42" t="n"/>
      <c r="H7" s="42" t="n"/>
      <c r="I7" s="42" t="n"/>
      <c r="J7" s="42" t="n"/>
      <c r="K7" s="42" t="n"/>
      <c r="L7" s="42" t="n"/>
      <c r="M7" s="42" t="n"/>
      <c r="N7" s="42" t="n"/>
      <c r="O7" s="42" t="n"/>
      <c r="P7" s="42" t="n"/>
      <c r="Q7" s="42" t="n"/>
      <c r="R7" s="42" t="n"/>
      <c r="S7" s="42" t="n"/>
    </row>
    <row r="8" ht="24" customHeight="1">
      <c r="B8" s="6" t="inlineStr">
        <is>
          <t>①  PORTEFEUILLE — BIENS BÂTIS &amp; TERRAINS</t>
        </is>
      </c>
      <c r="C8" s="7" t="n"/>
      <c r="D8" s="7" t="n"/>
      <c r="E8" s="7" t="n"/>
      <c r="F8" s="7" t="n"/>
      <c r="G8" s="7" t="n"/>
      <c r="H8" s="7" t="n"/>
      <c r="I8" s="7" t="n"/>
      <c r="J8" s="7" t="n"/>
      <c r="K8" s="7" t="n"/>
      <c r="L8" s="7" t="n"/>
      <c r="M8" s="7" t="n"/>
      <c r="N8" s="7" t="n"/>
      <c r="O8" s="7" t="n"/>
      <c r="P8" s="7" t="n"/>
      <c r="Q8" s="7" t="n"/>
      <c r="R8" s="7" t="n"/>
      <c r="S8" s="7" t="n"/>
    </row>
    <row r="9" ht="36" customHeight="1">
      <c r="B9" s="63" t="inlineStr">
        <is>
          <t>N°</t>
        </is>
      </c>
      <c r="C9" s="63" t="inlineStr">
        <is>
          <t>Désignation</t>
        </is>
      </c>
      <c r="D9" s="63" t="inlineStr">
        <is>
          <t>Type de bien</t>
        </is>
      </c>
      <c r="E9" s="63" t="inlineStr">
        <is>
          <t>Localisation</t>
        </is>
      </c>
      <c r="F9" s="63" t="inlineStr">
        <is>
          <t>Surface (m²)</t>
        </is>
      </c>
      <c r="G9" s="63" t="inlineStr">
        <is>
          <t>Prix / m²</t>
        </is>
      </c>
      <c r="H9" s="63" t="inlineStr">
        <is>
          <t>Coût d'acquisition</t>
        </is>
      </c>
      <c r="I9" s="63" t="inlineStr">
        <is>
          <t>Frais annexes</t>
        </is>
      </c>
      <c r="J9" s="63" t="inlineStr">
        <is>
          <t>Budget total</t>
        </is>
      </c>
      <c r="K9" s="63" t="inlineStr">
        <is>
          <t>Investi à ce jour</t>
        </is>
      </c>
      <c r="L9" s="63" t="inlineStr">
        <is>
          <t>Reste à financer</t>
        </is>
      </c>
      <c r="M9" s="63" t="inlineStr">
        <is>
          <t>% financé</t>
        </is>
      </c>
      <c r="N9" s="63" t="inlineStr">
        <is>
          <t>Loyer mensuel</t>
        </is>
      </c>
      <c r="O9" s="63" t="inlineStr">
        <is>
          <t>Charges mensuelles</t>
        </is>
      </c>
      <c r="P9" s="63" t="inlineStr">
        <is>
          <t>Cash-flow</t>
        </is>
      </c>
      <c r="Q9" s="63" t="inlineStr">
        <is>
          <t>Rend. brut</t>
        </is>
      </c>
      <c r="R9" s="63" t="inlineStr">
        <is>
          <t>Statut</t>
        </is>
      </c>
      <c r="S9" s="63" t="inlineStr">
        <is>
          <t>Titre foncier</t>
        </is>
      </c>
    </row>
    <row r="10">
      <c r="B10" s="208" t="n">
        <v>1</v>
      </c>
      <c r="C10" s="54" t="n"/>
      <c r="D10" s="54" t="n"/>
      <c r="E10" s="54" t="n"/>
      <c r="F10" s="218" t="n"/>
      <c r="G10" s="219">
        <f>IF(OR($F10="",$H10=""),"",IFERROR($H10/$F10,""))</f>
        <v/>
      </c>
      <c r="H10" s="88" t="n"/>
      <c r="I10" s="88" t="n"/>
      <c r="J10" s="90">
        <f>N($H10)+N($I10)</f>
        <v/>
      </c>
      <c r="K10" s="90">
        <f>IF($C10="",0,SUMIFS(J_Montant,J_Module,"Immobilier",J_Projet,$C10,J_Type,"&lt;&gt;Revenu",J_Type,"&lt;&gt;Transfert",J_Statut,"&lt;&gt;Annulé",J_Statut,"&lt;&gt;Prévu"))</f>
        <v/>
      </c>
      <c r="L10" s="90">
        <f>MAX(0,N($J10)-N($K10))</f>
        <v/>
      </c>
      <c r="M10" s="91">
        <f>IFERROR($K10/$J10,0)</f>
        <v/>
      </c>
      <c r="N10" s="88" t="n"/>
      <c r="O10" s="88" t="n"/>
      <c r="P10" s="90">
        <f>N($N10)-N($O10)</f>
        <v/>
      </c>
      <c r="Q10" s="91">
        <f>IFERROR($N10*12/$J10,0)</f>
        <v/>
      </c>
      <c r="R10" s="54" t="n"/>
      <c r="S10" s="54" t="n"/>
    </row>
    <row r="11">
      <c r="B11" s="208" t="n">
        <v>2</v>
      </c>
      <c r="C11" s="54" t="n"/>
      <c r="D11" s="54" t="n"/>
      <c r="E11" s="54" t="n"/>
      <c r="F11" s="218" t="n"/>
      <c r="G11" s="219">
        <f>IF(OR($F11="",$H11=""),"",IFERROR($H11/$F11,""))</f>
        <v/>
      </c>
      <c r="H11" s="88" t="n"/>
      <c r="I11" s="88" t="n"/>
      <c r="J11" s="90">
        <f>N($H11)+N($I11)</f>
        <v/>
      </c>
      <c r="K11" s="90">
        <f>IF($C11="",0,SUMIFS(J_Montant,J_Module,"Immobilier",J_Projet,$C11,J_Type,"&lt;&gt;Revenu",J_Type,"&lt;&gt;Transfert",J_Statut,"&lt;&gt;Annulé",J_Statut,"&lt;&gt;Prévu"))</f>
        <v/>
      </c>
      <c r="L11" s="90">
        <f>MAX(0,N($J11)-N($K11))</f>
        <v/>
      </c>
      <c r="M11" s="91">
        <f>IFERROR($K11/$J11,0)</f>
        <v/>
      </c>
      <c r="N11" s="88" t="n"/>
      <c r="O11" s="88" t="n"/>
      <c r="P11" s="90">
        <f>N($N11)-N($O11)</f>
        <v/>
      </c>
      <c r="Q11" s="91">
        <f>IFERROR($N11*12/$J11,0)</f>
        <v/>
      </c>
      <c r="R11" s="54" t="n"/>
      <c r="S11" s="54" t="n"/>
    </row>
    <row r="12">
      <c r="B12" s="208" t="n">
        <v>3</v>
      </c>
      <c r="C12" s="54" t="n"/>
      <c r="D12" s="54" t="n"/>
      <c r="E12" s="54" t="n"/>
      <c r="F12" s="218" t="n"/>
      <c r="G12" s="219">
        <f>IF(OR($F12="",$H12=""),"",IFERROR($H12/$F12,""))</f>
        <v/>
      </c>
      <c r="H12" s="88" t="n"/>
      <c r="I12" s="88" t="n"/>
      <c r="J12" s="90">
        <f>N($H12)+N($I12)</f>
        <v/>
      </c>
      <c r="K12" s="90">
        <f>IF($C12="",0,SUMIFS(J_Montant,J_Module,"Immobilier",J_Projet,$C12,J_Type,"&lt;&gt;Revenu",J_Type,"&lt;&gt;Transfert",J_Statut,"&lt;&gt;Annulé",J_Statut,"&lt;&gt;Prévu"))</f>
        <v/>
      </c>
      <c r="L12" s="90">
        <f>MAX(0,N($J12)-N($K12))</f>
        <v/>
      </c>
      <c r="M12" s="91">
        <f>IFERROR($K12/$J12,0)</f>
        <v/>
      </c>
      <c r="N12" s="88" t="n"/>
      <c r="O12" s="88" t="n"/>
      <c r="P12" s="90">
        <f>N($N12)-N($O12)</f>
        <v/>
      </c>
      <c r="Q12" s="91">
        <f>IFERROR($N12*12/$J12,0)</f>
        <v/>
      </c>
      <c r="R12" s="54" t="n"/>
      <c r="S12" s="54" t="n"/>
    </row>
    <row r="13">
      <c r="B13" s="208" t="n">
        <v>4</v>
      </c>
      <c r="C13" s="54" t="n"/>
      <c r="D13" s="54" t="n"/>
      <c r="E13" s="54" t="n"/>
      <c r="F13" s="218" t="n"/>
      <c r="G13" s="219">
        <f>IF(OR($F13="",$H13=""),"",IFERROR($H13/$F13,""))</f>
        <v/>
      </c>
      <c r="H13" s="88" t="n"/>
      <c r="I13" s="88" t="n"/>
      <c r="J13" s="90">
        <f>N($H13)+N($I13)</f>
        <v/>
      </c>
      <c r="K13" s="90">
        <f>IF($C13="",0,SUMIFS(J_Montant,J_Module,"Immobilier",J_Projet,$C13,J_Type,"&lt;&gt;Revenu",J_Type,"&lt;&gt;Transfert",J_Statut,"&lt;&gt;Annulé",J_Statut,"&lt;&gt;Prévu"))</f>
        <v/>
      </c>
      <c r="L13" s="90">
        <f>MAX(0,N($J13)-N($K13))</f>
        <v/>
      </c>
      <c r="M13" s="91">
        <f>IFERROR($K13/$J13,0)</f>
        <v/>
      </c>
      <c r="N13" s="88" t="n"/>
      <c r="O13" s="88" t="n"/>
      <c r="P13" s="90">
        <f>N($N13)-N($O13)</f>
        <v/>
      </c>
      <c r="Q13" s="91">
        <f>IFERROR($N13*12/$J13,0)</f>
        <v/>
      </c>
      <c r="R13" s="54" t="n"/>
      <c r="S13" s="54" t="n"/>
    </row>
    <row r="14">
      <c r="B14" s="208" t="n">
        <v>5</v>
      </c>
      <c r="C14" s="54" t="n"/>
      <c r="D14" s="54" t="n"/>
      <c r="E14" s="54" t="n"/>
      <c r="F14" s="218" t="n"/>
      <c r="G14" s="219">
        <f>IF(OR($F14="",$H14=""),"",IFERROR($H14/$F14,""))</f>
        <v/>
      </c>
      <c r="H14" s="88" t="n"/>
      <c r="I14" s="88" t="n"/>
      <c r="J14" s="90">
        <f>N($H14)+N($I14)</f>
        <v/>
      </c>
      <c r="K14" s="90">
        <f>IF($C14="",0,SUMIFS(J_Montant,J_Module,"Immobilier",J_Projet,$C14,J_Type,"&lt;&gt;Revenu",J_Type,"&lt;&gt;Transfert",J_Statut,"&lt;&gt;Annulé",J_Statut,"&lt;&gt;Prévu"))</f>
        <v/>
      </c>
      <c r="L14" s="90">
        <f>MAX(0,N($J14)-N($K14))</f>
        <v/>
      </c>
      <c r="M14" s="91">
        <f>IFERROR($K14/$J14,0)</f>
        <v/>
      </c>
      <c r="N14" s="88" t="n"/>
      <c r="O14" s="88" t="n"/>
      <c r="P14" s="90">
        <f>N($N14)-N($O14)</f>
        <v/>
      </c>
      <c r="Q14" s="91">
        <f>IFERROR($N14*12/$J14,0)</f>
        <v/>
      </c>
      <c r="R14" s="54" t="n"/>
      <c r="S14" s="54" t="n"/>
    </row>
    <row r="15">
      <c r="B15" s="208" t="n">
        <v>6</v>
      </c>
      <c r="C15" s="54" t="n"/>
      <c r="D15" s="54" t="n"/>
      <c r="E15" s="54" t="n"/>
      <c r="F15" s="218" t="n"/>
      <c r="G15" s="219">
        <f>IF(OR($F15="",$H15=""),"",IFERROR($H15/$F15,""))</f>
        <v/>
      </c>
      <c r="H15" s="88" t="n"/>
      <c r="I15" s="88" t="n"/>
      <c r="J15" s="90">
        <f>N($H15)+N($I15)</f>
        <v/>
      </c>
      <c r="K15" s="90">
        <f>IF($C15="",0,SUMIFS(J_Montant,J_Module,"Immobilier",J_Projet,$C15,J_Type,"&lt;&gt;Revenu",J_Type,"&lt;&gt;Transfert",J_Statut,"&lt;&gt;Annulé",J_Statut,"&lt;&gt;Prévu"))</f>
        <v/>
      </c>
      <c r="L15" s="90">
        <f>MAX(0,N($J15)-N($K15))</f>
        <v/>
      </c>
      <c r="M15" s="91">
        <f>IFERROR($K15/$J15,0)</f>
        <v/>
      </c>
      <c r="N15" s="88" t="n"/>
      <c r="O15" s="88" t="n"/>
      <c r="P15" s="90">
        <f>N($N15)-N($O15)</f>
        <v/>
      </c>
      <c r="Q15" s="91">
        <f>IFERROR($N15*12/$J15,0)</f>
        <v/>
      </c>
      <c r="R15" s="54" t="n"/>
      <c r="S15" s="54" t="n"/>
    </row>
    <row r="16">
      <c r="B16" s="208" t="n">
        <v>7</v>
      </c>
      <c r="C16" s="54" t="n"/>
      <c r="D16" s="54" t="n"/>
      <c r="E16" s="54" t="n"/>
      <c r="F16" s="218" t="n"/>
      <c r="G16" s="219">
        <f>IF(OR($F16="",$H16=""),"",IFERROR($H16/$F16,""))</f>
        <v/>
      </c>
      <c r="H16" s="88" t="n"/>
      <c r="I16" s="88" t="n"/>
      <c r="J16" s="90">
        <f>N($H16)+N($I16)</f>
        <v/>
      </c>
      <c r="K16" s="90">
        <f>IF($C16="",0,SUMIFS(J_Montant,J_Module,"Immobilier",J_Projet,$C16,J_Type,"&lt;&gt;Revenu",J_Type,"&lt;&gt;Transfert",J_Statut,"&lt;&gt;Annulé",J_Statut,"&lt;&gt;Prévu"))</f>
        <v/>
      </c>
      <c r="L16" s="90">
        <f>MAX(0,N($J16)-N($K16))</f>
        <v/>
      </c>
      <c r="M16" s="91">
        <f>IFERROR($K16/$J16,0)</f>
        <v/>
      </c>
      <c r="N16" s="88" t="n"/>
      <c r="O16" s="88" t="n"/>
      <c r="P16" s="90">
        <f>N($N16)-N($O16)</f>
        <v/>
      </c>
      <c r="Q16" s="91">
        <f>IFERROR($N16*12/$J16,0)</f>
        <v/>
      </c>
      <c r="R16" s="54" t="n"/>
      <c r="S16" s="54" t="n"/>
    </row>
    <row r="17">
      <c r="B17" s="208" t="n">
        <v>8</v>
      </c>
      <c r="C17" s="54" t="n"/>
      <c r="D17" s="54" t="n"/>
      <c r="E17" s="54" t="n"/>
      <c r="F17" s="218" t="n"/>
      <c r="G17" s="219">
        <f>IF(OR($F17="",$H17=""),"",IFERROR($H17/$F17,""))</f>
        <v/>
      </c>
      <c r="H17" s="88" t="n"/>
      <c r="I17" s="88" t="n"/>
      <c r="J17" s="90">
        <f>N($H17)+N($I17)</f>
        <v/>
      </c>
      <c r="K17" s="90">
        <f>IF($C17="",0,SUMIFS(J_Montant,J_Module,"Immobilier",J_Projet,$C17,J_Type,"&lt;&gt;Revenu",J_Type,"&lt;&gt;Transfert",J_Statut,"&lt;&gt;Annulé",J_Statut,"&lt;&gt;Prévu"))</f>
        <v/>
      </c>
      <c r="L17" s="90">
        <f>MAX(0,N($J17)-N($K17))</f>
        <v/>
      </c>
      <c r="M17" s="91">
        <f>IFERROR($K17/$J17,0)</f>
        <v/>
      </c>
      <c r="N17" s="88" t="n"/>
      <c r="O17" s="88" t="n"/>
      <c r="P17" s="90">
        <f>N($N17)-N($O17)</f>
        <v/>
      </c>
      <c r="Q17" s="91">
        <f>IFERROR($N17*12/$J17,0)</f>
        <v/>
      </c>
      <c r="R17" s="54" t="n"/>
      <c r="S17" s="54" t="n"/>
    </row>
    <row r="18">
      <c r="B18" s="208" t="n">
        <v>9</v>
      </c>
      <c r="C18" s="54" t="n"/>
      <c r="D18" s="54" t="n"/>
      <c r="E18" s="54" t="n"/>
      <c r="F18" s="218" t="n"/>
      <c r="G18" s="219">
        <f>IF(OR($F18="",$H18=""),"",IFERROR($H18/$F18,""))</f>
        <v/>
      </c>
      <c r="H18" s="88" t="n"/>
      <c r="I18" s="88" t="n"/>
      <c r="J18" s="90">
        <f>N($H18)+N($I18)</f>
        <v/>
      </c>
      <c r="K18" s="90">
        <f>IF($C18="",0,SUMIFS(J_Montant,J_Module,"Immobilier",J_Projet,$C18,J_Type,"&lt;&gt;Revenu",J_Type,"&lt;&gt;Transfert",J_Statut,"&lt;&gt;Annulé",J_Statut,"&lt;&gt;Prévu"))</f>
        <v/>
      </c>
      <c r="L18" s="90">
        <f>MAX(0,N($J18)-N($K18))</f>
        <v/>
      </c>
      <c r="M18" s="91">
        <f>IFERROR($K18/$J18,0)</f>
        <v/>
      </c>
      <c r="N18" s="88" t="n"/>
      <c r="O18" s="88" t="n"/>
      <c r="P18" s="90">
        <f>N($N18)-N($O18)</f>
        <v/>
      </c>
      <c r="Q18" s="91">
        <f>IFERROR($N18*12/$J18,0)</f>
        <v/>
      </c>
      <c r="R18" s="54" t="n"/>
      <c r="S18" s="54" t="n"/>
    </row>
    <row r="19">
      <c r="B19" s="208" t="n">
        <v>10</v>
      </c>
      <c r="C19" s="54" t="n"/>
      <c r="D19" s="54" t="n"/>
      <c r="E19" s="54" t="n"/>
      <c r="F19" s="218" t="n"/>
      <c r="G19" s="219">
        <f>IF(OR($F19="",$H19=""),"",IFERROR($H19/$F19,""))</f>
        <v/>
      </c>
      <c r="H19" s="88" t="n"/>
      <c r="I19" s="88" t="n"/>
      <c r="J19" s="90">
        <f>N($H19)+N($I19)</f>
        <v/>
      </c>
      <c r="K19" s="90">
        <f>IF($C19="",0,SUMIFS(J_Montant,J_Module,"Immobilier",J_Projet,$C19,J_Type,"&lt;&gt;Revenu",J_Type,"&lt;&gt;Transfert",J_Statut,"&lt;&gt;Annulé",J_Statut,"&lt;&gt;Prévu"))</f>
        <v/>
      </c>
      <c r="L19" s="90">
        <f>MAX(0,N($J19)-N($K19))</f>
        <v/>
      </c>
      <c r="M19" s="91">
        <f>IFERROR($K19/$J19,0)</f>
        <v/>
      </c>
      <c r="N19" s="88" t="n"/>
      <c r="O19" s="88" t="n"/>
      <c r="P19" s="90">
        <f>N($N19)-N($O19)</f>
        <v/>
      </c>
      <c r="Q19" s="91">
        <f>IFERROR($N19*12/$J19,0)</f>
        <v/>
      </c>
      <c r="R19" s="54" t="n"/>
      <c r="S19" s="54" t="n"/>
    </row>
    <row r="20">
      <c r="B20" s="134" t="n"/>
      <c r="C20" s="134" t="inlineStr">
        <is>
          <t>TOTAL</t>
        </is>
      </c>
      <c r="D20" s="134" t="n"/>
      <c r="E20" s="134" t="n"/>
      <c r="F20" s="134" t="n"/>
      <c r="G20" s="134" t="n"/>
      <c r="H20" s="134" t="n"/>
      <c r="I20" s="135">
        <f>SUM(I10:I19)</f>
        <v/>
      </c>
      <c r="J20" s="135">
        <f>SUM(J10:J19)</f>
        <v/>
      </c>
      <c r="K20" s="135">
        <f>SUM(K10:K19)</f>
        <v/>
      </c>
      <c r="L20" s="135">
        <f>SUM(L10:L19)</f>
        <v/>
      </c>
      <c r="M20" s="134" t="n"/>
      <c r="N20" s="135">
        <f>SUM(N10:N19)</f>
        <v/>
      </c>
      <c r="O20" s="135">
        <f>SUM(O10:O19)</f>
        <v/>
      </c>
      <c r="P20" s="135">
        <f>SUM(P10:P19)</f>
        <v/>
      </c>
      <c r="Q20" s="134" t="n"/>
      <c r="R20" s="134" t="n"/>
      <c r="S20" s="134" t="n"/>
    </row>
    <row r="21"/>
    <row r="22"/>
    <row r="23" ht="24" customHeight="1">
      <c r="B23" s="6" t="inlineStr">
        <is>
          <t>②  BUDGET DE CONSTRUCTION PAR LOT</t>
        </is>
      </c>
      <c r="C23" s="7" t="n"/>
      <c r="D23" s="7" t="n"/>
      <c r="E23" s="7" t="n"/>
      <c r="F23" s="7" t="n"/>
      <c r="G23" s="7" t="n"/>
      <c r="H23" s="7" t="n"/>
      <c r="I23" s="7" t="n"/>
    </row>
    <row r="24" ht="30" customHeight="1">
      <c r="B24" s="63" t="inlineStr">
        <is>
          <t>N°</t>
        </is>
      </c>
      <c r="C24" s="63" t="inlineStr">
        <is>
          <t>Lot de travaux</t>
        </is>
      </c>
      <c r="D24" s="63" t="inlineStr">
        <is>
          <t>Bien concerné</t>
        </is>
      </c>
      <c r="E24" s="63" t="inlineStr">
        <is>
          <t>Budget prévu</t>
        </is>
      </c>
      <c r="F24" s="63" t="inlineStr">
        <is>
          <t>Dépensé (Journal)</t>
        </is>
      </c>
      <c r="G24" s="63" t="inlineStr">
        <is>
          <t>Reste</t>
        </is>
      </c>
      <c r="H24" s="63" t="inlineStr">
        <is>
          <t>% consommé</t>
        </is>
      </c>
      <c r="I24" s="63" t="inlineStr">
        <is>
          <t>Statut</t>
        </is>
      </c>
    </row>
    <row r="25">
      <c r="B25" s="208" t="n">
        <v>1</v>
      </c>
      <c r="C25" s="54" t="inlineStr">
        <is>
          <t>Études &amp; autorisations</t>
        </is>
      </c>
      <c r="D25" s="54" t="n"/>
      <c r="E25" s="88" t="n"/>
      <c r="F25" s="90">
        <f>IF($D25="",SUMIFS(J_Montant,J_Module,"Immobilier",J_Libelle,"*"&amp;$C25&amp;"*",J_Type,"&lt;&gt;Revenu",J_Type,"&lt;&gt;Transfert",J_Statut,"&lt;&gt;Annulé",J_Statut,"&lt;&gt;Prévu"),SUMIFS(J_Montant,J_Module,"Immobilier",J_Libelle,"*"&amp;$C25&amp;"*",J_Projet,$D25,J_Type,"&lt;&gt;Revenu",J_Type,"&lt;&gt;Transfert",J_Statut,"&lt;&gt;Annulé",J_Statut,"&lt;&gt;Prévu"))</f>
        <v/>
      </c>
      <c r="G25" s="90">
        <f>MAX(0,N($E25)-N($F25))</f>
        <v/>
      </c>
      <c r="H25" s="91">
        <f>IFERROR($F25/$E25,0)</f>
        <v/>
      </c>
      <c r="I25" s="209">
        <f>IF($E25=0,"Non budgété",IF($H25&gt;1,"⚠ Dépassement",IF($H25&gt;=1,"✓ Terminé",IF($H25&gt;0,"En cours","Non démarré"))))</f>
        <v/>
      </c>
    </row>
    <row r="26">
      <c r="B26" s="208" t="n">
        <v>2</v>
      </c>
      <c r="C26" s="54" t="inlineStr">
        <is>
          <t>Terrassement</t>
        </is>
      </c>
      <c r="D26" s="54" t="n"/>
      <c r="E26" s="88" t="n"/>
      <c r="F26" s="90">
        <f>IF($D26="",SUMIFS(J_Montant,J_Module,"Immobilier",J_Libelle,"*"&amp;$C26&amp;"*",J_Type,"&lt;&gt;Revenu",J_Type,"&lt;&gt;Transfert",J_Statut,"&lt;&gt;Annulé",J_Statut,"&lt;&gt;Prévu"),SUMIFS(J_Montant,J_Module,"Immobilier",J_Libelle,"*"&amp;$C26&amp;"*",J_Projet,$D26,J_Type,"&lt;&gt;Revenu",J_Type,"&lt;&gt;Transfert",J_Statut,"&lt;&gt;Annulé",J_Statut,"&lt;&gt;Prévu"))</f>
        <v/>
      </c>
      <c r="G26" s="90">
        <f>MAX(0,N($E26)-N($F26))</f>
        <v/>
      </c>
      <c r="H26" s="91">
        <f>IFERROR($F26/$E26,0)</f>
        <v/>
      </c>
      <c r="I26" s="209">
        <f>IF($E26=0,"Non budgété",IF($H26&gt;1,"⚠ Dépassement",IF($H26&gt;=1,"✓ Terminé",IF($H26&gt;0,"En cours","Non démarré"))))</f>
        <v/>
      </c>
    </row>
    <row r="27">
      <c r="B27" s="208" t="n">
        <v>3</v>
      </c>
      <c r="C27" s="54" t="inlineStr">
        <is>
          <t>Fondations</t>
        </is>
      </c>
      <c r="D27" s="54" t="n"/>
      <c r="E27" s="88" t="n"/>
      <c r="F27" s="90">
        <f>IF($D27="",SUMIFS(J_Montant,J_Module,"Immobilier",J_Libelle,"*"&amp;$C27&amp;"*",J_Type,"&lt;&gt;Revenu",J_Type,"&lt;&gt;Transfert",J_Statut,"&lt;&gt;Annulé",J_Statut,"&lt;&gt;Prévu"),SUMIFS(J_Montant,J_Module,"Immobilier",J_Libelle,"*"&amp;$C27&amp;"*",J_Projet,$D27,J_Type,"&lt;&gt;Revenu",J_Type,"&lt;&gt;Transfert",J_Statut,"&lt;&gt;Annulé",J_Statut,"&lt;&gt;Prévu"))</f>
        <v/>
      </c>
      <c r="G27" s="90">
        <f>MAX(0,N($E27)-N($F27))</f>
        <v/>
      </c>
      <c r="H27" s="91">
        <f>IFERROR($F27/$E27,0)</f>
        <v/>
      </c>
      <c r="I27" s="209">
        <f>IF($E27=0,"Non budgété",IF($H27&gt;1,"⚠ Dépassement",IF($H27&gt;=1,"✓ Terminé",IF($H27&gt;0,"En cours","Non démarré"))))</f>
        <v/>
      </c>
    </row>
    <row r="28">
      <c r="B28" s="208" t="n">
        <v>4</v>
      </c>
      <c r="C28" s="54" t="inlineStr">
        <is>
          <t>Élévation / Maçonnerie</t>
        </is>
      </c>
      <c r="D28" s="54" t="n"/>
      <c r="E28" s="88" t="n"/>
      <c r="F28" s="90">
        <f>IF($D28="",SUMIFS(J_Montant,J_Module,"Immobilier",J_Libelle,"*"&amp;$C28&amp;"*",J_Type,"&lt;&gt;Revenu",J_Type,"&lt;&gt;Transfert",J_Statut,"&lt;&gt;Annulé",J_Statut,"&lt;&gt;Prévu"),SUMIFS(J_Montant,J_Module,"Immobilier",J_Libelle,"*"&amp;$C28&amp;"*",J_Projet,$D28,J_Type,"&lt;&gt;Revenu",J_Type,"&lt;&gt;Transfert",J_Statut,"&lt;&gt;Annulé",J_Statut,"&lt;&gt;Prévu"))</f>
        <v/>
      </c>
      <c r="G28" s="90">
        <f>MAX(0,N($E28)-N($F28))</f>
        <v/>
      </c>
      <c r="H28" s="91">
        <f>IFERROR($F28/$E28,0)</f>
        <v/>
      </c>
      <c r="I28" s="209">
        <f>IF($E28=0,"Non budgété",IF($H28&gt;1,"⚠ Dépassement",IF($H28&gt;=1,"✓ Terminé",IF($H28&gt;0,"En cours","Non démarré"))))</f>
        <v/>
      </c>
    </row>
    <row r="29">
      <c r="B29" s="208" t="n">
        <v>5</v>
      </c>
      <c r="C29" s="54" t="inlineStr">
        <is>
          <t>Charpente &amp; toiture</t>
        </is>
      </c>
      <c r="D29" s="54" t="n"/>
      <c r="E29" s="88" t="n"/>
      <c r="F29" s="90">
        <f>IF($D29="",SUMIFS(J_Montant,J_Module,"Immobilier",J_Libelle,"*"&amp;$C29&amp;"*",J_Type,"&lt;&gt;Revenu",J_Type,"&lt;&gt;Transfert",J_Statut,"&lt;&gt;Annulé",J_Statut,"&lt;&gt;Prévu"),SUMIFS(J_Montant,J_Module,"Immobilier",J_Libelle,"*"&amp;$C29&amp;"*",J_Projet,$D29,J_Type,"&lt;&gt;Revenu",J_Type,"&lt;&gt;Transfert",J_Statut,"&lt;&gt;Annulé",J_Statut,"&lt;&gt;Prévu"))</f>
        <v/>
      </c>
      <c r="G29" s="90">
        <f>MAX(0,N($E29)-N($F29))</f>
        <v/>
      </c>
      <c r="H29" s="91">
        <f>IFERROR($F29/$E29,0)</f>
        <v/>
      </c>
      <c r="I29" s="209">
        <f>IF($E29=0,"Non budgété",IF($H29&gt;1,"⚠ Dépassement",IF($H29&gt;=1,"✓ Terminé",IF($H29&gt;0,"En cours","Non démarré"))))</f>
        <v/>
      </c>
    </row>
    <row r="30">
      <c r="B30" s="208" t="n">
        <v>6</v>
      </c>
      <c r="C30" s="54" t="inlineStr">
        <is>
          <t>Menuiserie</t>
        </is>
      </c>
      <c r="D30" s="54" t="n"/>
      <c r="E30" s="88" t="n"/>
      <c r="F30" s="90">
        <f>IF($D30="",SUMIFS(J_Montant,J_Module,"Immobilier",J_Libelle,"*"&amp;$C30&amp;"*",J_Type,"&lt;&gt;Revenu",J_Type,"&lt;&gt;Transfert",J_Statut,"&lt;&gt;Annulé",J_Statut,"&lt;&gt;Prévu"),SUMIFS(J_Montant,J_Module,"Immobilier",J_Libelle,"*"&amp;$C30&amp;"*",J_Projet,$D30,J_Type,"&lt;&gt;Revenu",J_Type,"&lt;&gt;Transfert",J_Statut,"&lt;&gt;Annulé",J_Statut,"&lt;&gt;Prévu"))</f>
        <v/>
      </c>
      <c r="G30" s="90">
        <f>MAX(0,N($E30)-N($F30))</f>
        <v/>
      </c>
      <c r="H30" s="91">
        <f>IFERROR($F30/$E30,0)</f>
        <v/>
      </c>
      <c r="I30" s="209">
        <f>IF($E30=0,"Non budgété",IF($H30&gt;1,"⚠ Dépassement",IF($H30&gt;=1,"✓ Terminé",IF($H30&gt;0,"En cours","Non démarré"))))</f>
        <v/>
      </c>
    </row>
    <row r="31">
      <c r="B31" s="208" t="n">
        <v>7</v>
      </c>
      <c r="C31" s="54" t="inlineStr">
        <is>
          <t>Électricité</t>
        </is>
      </c>
      <c r="D31" s="54" t="n"/>
      <c r="E31" s="88" t="n"/>
      <c r="F31" s="90">
        <f>IF($D31="",SUMIFS(J_Montant,J_Module,"Immobilier",J_Libelle,"*"&amp;$C31&amp;"*",J_Type,"&lt;&gt;Revenu",J_Type,"&lt;&gt;Transfert",J_Statut,"&lt;&gt;Annulé",J_Statut,"&lt;&gt;Prévu"),SUMIFS(J_Montant,J_Module,"Immobilier",J_Libelle,"*"&amp;$C31&amp;"*",J_Projet,$D31,J_Type,"&lt;&gt;Revenu",J_Type,"&lt;&gt;Transfert",J_Statut,"&lt;&gt;Annulé",J_Statut,"&lt;&gt;Prévu"))</f>
        <v/>
      </c>
      <c r="G31" s="90">
        <f>MAX(0,N($E31)-N($F31))</f>
        <v/>
      </c>
      <c r="H31" s="91">
        <f>IFERROR($F31/$E31,0)</f>
        <v/>
      </c>
      <c r="I31" s="209">
        <f>IF($E31=0,"Non budgété",IF($H31&gt;1,"⚠ Dépassement",IF($H31&gt;=1,"✓ Terminé",IF($H31&gt;0,"En cours","Non démarré"))))</f>
        <v/>
      </c>
    </row>
    <row r="32">
      <c r="B32" s="208" t="n">
        <v>8</v>
      </c>
      <c r="C32" s="54" t="inlineStr">
        <is>
          <t>Plomberie</t>
        </is>
      </c>
      <c r="D32" s="54" t="n"/>
      <c r="E32" s="88" t="n"/>
      <c r="F32" s="90">
        <f>IF($D32="",SUMIFS(J_Montant,J_Module,"Immobilier",J_Libelle,"*"&amp;$C32&amp;"*",J_Type,"&lt;&gt;Revenu",J_Type,"&lt;&gt;Transfert",J_Statut,"&lt;&gt;Annulé",J_Statut,"&lt;&gt;Prévu"),SUMIFS(J_Montant,J_Module,"Immobilier",J_Libelle,"*"&amp;$C32&amp;"*",J_Projet,$D32,J_Type,"&lt;&gt;Revenu",J_Type,"&lt;&gt;Transfert",J_Statut,"&lt;&gt;Annulé",J_Statut,"&lt;&gt;Prévu"))</f>
        <v/>
      </c>
      <c r="G32" s="90">
        <f>MAX(0,N($E32)-N($F32))</f>
        <v/>
      </c>
      <c r="H32" s="91">
        <f>IFERROR($F32/$E32,0)</f>
        <v/>
      </c>
      <c r="I32" s="209">
        <f>IF($E32=0,"Non budgété",IF($H32&gt;1,"⚠ Dépassement",IF($H32&gt;=1,"✓ Terminé",IF($H32&gt;0,"En cours","Non démarré"))))</f>
        <v/>
      </c>
    </row>
    <row r="33">
      <c r="B33" s="208" t="n">
        <v>9</v>
      </c>
      <c r="C33" s="54" t="inlineStr">
        <is>
          <t>Carrelage &amp; revêtements</t>
        </is>
      </c>
      <c r="D33" s="54" t="n"/>
      <c r="E33" s="88" t="n"/>
      <c r="F33" s="90">
        <f>IF($D33="",SUMIFS(J_Montant,J_Module,"Immobilier",J_Libelle,"*"&amp;$C33&amp;"*",J_Type,"&lt;&gt;Revenu",J_Type,"&lt;&gt;Transfert",J_Statut,"&lt;&gt;Annulé",J_Statut,"&lt;&gt;Prévu"),SUMIFS(J_Montant,J_Module,"Immobilier",J_Libelle,"*"&amp;$C33&amp;"*",J_Projet,$D33,J_Type,"&lt;&gt;Revenu",J_Type,"&lt;&gt;Transfert",J_Statut,"&lt;&gt;Annulé",J_Statut,"&lt;&gt;Prévu"))</f>
        <v/>
      </c>
      <c r="G33" s="90">
        <f>MAX(0,N($E33)-N($F33))</f>
        <v/>
      </c>
      <c r="H33" s="91">
        <f>IFERROR($F33/$E33,0)</f>
        <v/>
      </c>
      <c r="I33" s="209">
        <f>IF($E33=0,"Non budgété",IF($H33&gt;1,"⚠ Dépassement",IF($H33&gt;=1,"✓ Terminé",IF($H33&gt;0,"En cours","Non démarré"))))</f>
        <v/>
      </c>
    </row>
    <row r="34">
      <c r="B34" s="208" t="n">
        <v>10</v>
      </c>
      <c r="C34" s="54" t="inlineStr">
        <is>
          <t>Peinture &amp; finitions</t>
        </is>
      </c>
      <c r="D34" s="54" t="n"/>
      <c r="E34" s="88" t="n"/>
      <c r="F34" s="90">
        <f>IF($D34="",SUMIFS(J_Montant,J_Module,"Immobilier",J_Libelle,"*"&amp;$C34&amp;"*",J_Type,"&lt;&gt;Revenu",J_Type,"&lt;&gt;Transfert",J_Statut,"&lt;&gt;Annulé",J_Statut,"&lt;&gt;Prévu"),SUMIFS(J_Montant,J_Module,"Immobilier",J_Libelle,"*"&amp;$C34&amp;"*",J_Projet,$D34,J_Type,"&lt;&gt;Revenu",J_Type,"&lt;&gt;Transfert",J_Statut,"&lt;&gt;Annulé",J_Statut,"&lt;&gt;Prévu"))</f>
        <v/>
      </c>
      <c r="G34" s="90">
        <f>MAX(0,N($E34)-N($F34))</f>
        <v/>
      </c>
      <c r="H34" s="91">
        <f>IFERROR($F34/$E34,0)</f>
        <v/>
      </c>
      <c r="I34" s="209">
        <f>IF($E34=0,"Non budgété",IF($H34&gt;1,"⚠ Dépassement",IF($H34&gt;=1,"✓ Terminé",IF($H34&gt;0,"En cours","Non démarré"))))</f>
        <v/>
      </c>
    </row>
    <row r="35">
      <c r="B35" s="208" t="n">
        <v>11</v>
      </c>
      <c r="C35" s="54" t="inlineStr">
        <is>
          <t>Clôture &amp; portail</t>
        </is>
      </c>
      <c r="D35" s="54" t="n"/>
      <c r="E35" s="88" t="n"/>
      <c r="F35" s="90">
        <f>IF($D35="",SUMIFS(J_Montant,J_Module,"Immobilier",J_Libelle,"*"&amp;$C35&amp;"*",J_Type,"&lt;&gt;Revenu",J_Type,"&lt;&gt;Transfert",J_Statut,"&lt;&gt;Annulé",J_Statut,"&lt;&gt;Prévu"),SUMIFS(J_Montant,J_Module,"Immobilier",J_Libelle,"*"&amp;$C35&amp;"*",J_Projet,$D35,J_Type,"&lt;&gt;Revenu",J_Type,"&lt;&gt;Transfert",J_Statut,"&lt;&gt;Annulé",J_Statut,"&lt;&gt;Prévu"))</f>
        <v/>
      </c>
      <c r="G35" s="90">
        <f>MAX(0,N($E35)-N($F35))</f>
        <v/>
      </c>
      <c r="H35" s="91">
        <f>IFERROR($F35/$E35,0)</f>
        <v/>
      </c>
      <c r="I35" s="209">
        <f>IF($E35=0,"Non budgété",IF($H35&gt;1,"⚠ Dépassement",IF($H35&gt;=1,"✓ Terminé",IF($H35&gt;0,"En cours","Non démarré"))))</f>
        <v/>
      </c>
    </row>
    <row r="36">
      <c r="B36" s="208" t="n">
        <v>12</v>
      </c>
      <c r="C36" s="54" t="inlineStr">
        <is>
          <t>Aménagement extérieur</t>
        </is>
      </c>
      <c r="D36" s="54" t="n"/>
      <c r="E36" s="88" t="n"/>
      <c r="F36" s="90">
        <f>IF($D36="",SUMIFS(J_Montant,J_Module,"Immobilier",J_Libelle,"*"&amp;$C36&amp;"*",J_Type,"&lt;&gt;Revenu",J_Type,"&lt;&gt;Transfert",J_Statut,"&lt;&gt;Annulé",J_Statut,"&lt;&gt;Prévu"),SUMIFS(J_Montant,J_Module,"Immobilier",J_Libelle,"*"&amp;$C36&amp;"*",J_Projet,$D36,J_Type,"&lt;&gt;Revenu",J_Type,"&lt;&gt;Transfert",J_Statut,"&lt;&gt;Annulé",J_Statut,"&lt;&gt;Prévu"))</f>
        <v/>
      </c>
      <c r="G36" s="90">
        <f>MAX(0,N($E36)-N($F36))</f>
        <v/>
      </c>
      <c r="H36" s="91">
        <f>IFERROR($F36/$E36,0)</f>
        <v/>
      </c>
      <c r="I36" s="209">
        <f>IF($E36=0,"Non budgété",IF($H36&gt;1,"⚠ Dépassement",IF($H36&gt;=1,"✓ Terminé",IF($H36&gt;0,"En cours","Non démarré"))))</f>
        <v/>
      </c>
    </row>
    <row r="37">
      <c r="B37" s="208" t="n">
        <v>13</v>
      </c>
      <c r="C37" s="54" t="inlineStr">
        <is>
          <t>Raccordements</t>
        </is>
      </c>
      <c r="D37" s="54" t="n"/>
      <c r="E37" s="88" t="n"/>
      <c r="F37" s="90">
        <f>IF($D37="",SUMIFS(J_Montant,J_Module,"Immobilier",J_Libelle,"*"&amp;$C37&amp;"*",J_Type,"&lt;&gt;Revenu",J_Type,"&lt;&gt;Transfert",J_Statut,"&lt;&gt;Annulé",J_Statut,"&lt;&gt;Prévu"),SUMIFS(J_Montant,J_Module,"Immobilier",J_Libelle,"*"&amp;$C37&amp;"*",J_Projet,$D37,J_Type,"&lt;&gt;Revenu",J_Type,"&lt;&gt;Transfert",J_Statut,"&lt;&gt;Annulé",J_Statut,"&lt;&gt;Prévu"))</f>
        <v/>
      </c>
      <c r="G37" s="90">
        <f>MAX(0,N($E37)-N($F37))</f>
        <v/>
      </c>
      <c r="H37" s="91">
        <f>IFERROR($F37/$E37,0)</f>
        <v/>
      </c>
      <c r="I37" s="209">
        <f>IF($E37=0,"Non budgété",IF($H37&gt;1,"⚠ Dépassement",IF($H37&gt;=1,"✓ Terminé",IF($H37&gt;0,"En cours","Non démarré"))))</f>
        <v/>
      </c>
    </row>
    <row r="38">
      <c r="B38" s="208" t="n">
        <v>14</v>
      </c>
      <c r="C38" s="54" t="inlineStr">
        <is>
          <t>Imprévus travaux</t>
        </is>
      </c>
      <c r="D38" s="54" t="n"/>
      <c r="E38" s="88" t="n"/>
      <c r="F38" s="90">
        <f>IF($D38="",SUMIFS(J_Montant,J_Module,"Immobilier",J_Libelle,"*"&amp;$C38&amp;"*",J_Type,"&lt;&gt;Revenu",J_Type,"&lt;&gt;Transfert",J_Statut,"&lt;&gt;Annulé",J_Statut,"&lt;&gt;Prévu"),SUMIFS(J_Montant,J_Module,"Immobilier",J_Libelle,"*"&amp;$C38&amp;"*",J_Projet,$D38,J_Type,"&lt;&gt;Revenu",J_Type,"&lt;&gt;Transfert",J_Statut,"&lt;&gt;Annulé",J_Statut,"&lt;&gt;Prévu"))</f>
        <v/>
      </c>
      <c r="G38" s="90">
        <f>MAX(0,N($E38)-N($F38))</f>
        <v/>
      </c>
      <c r="H38" s="91">
        <f>IFERROR($F38/$E38,0)</f>
        <v/>
      </c>
      <c r="I38" s="209">
        <f>IF($E38=0,"Non budgété",IF($H38&gt;1,"⚠ Dépassement",IF($H38&gt;=1,"✓ Terminé",IF($H38&gt;0,"En cours","Non démarré"))))</f>
        <v/>
      </c>
    </row>
    <row r="39">
      <c r="B39" s="134" t="n"/>
      <c r="C39" s="134" t="inlineStr">
        <is>
          <t>TOTAL TRAVAUX</t>
        </is>
      </c>
      <c r="D39" s="134" t="n"/>
      <c r="E39" s="135">
        <f>SUM(E25:E38)</f>
        <v/>
      </c>
      <c r="F39" s="135">
        <f>SUM(F25:F38)</f>
        <v/>
      </c>
      <c r="G39" s="135">
        <f>SUM(G25:G38)</f>
        <v/>
      </c>
      <c r="H39" s="136">
        <f>IFERROR($F39/$E39,0)</f>
        <v/>
      </c>
      <c r="I39" s="134" t="n"/>
    </row>
    <row r="40"/>
    <row r="41"/>
    <row r="42" ht="24" customHeight="1">
      <c r="B42" s="6" t="inlineStr">
        <is>
          <t>③  ÉCHÉANCIER DE PAIEMENT (terrain, acquisition, travaux)</t>
        </is>
      </c>
      <c r="C42" s="7" t="n"/>
      <c r="D42" s="7" t="n"/>
      <c r="E42" s="7" t="n"/>
      <c r="F42" s="7" t="n"/>
      <c r="G42" s="7" t="n"/>
      <c r="H42" s="7" t="n"/>
      <c r="I42" s="7" t="n"/>
    </row>
    <row r="43" ht="30" customHeight="1">
      <c r="B43" s="63" t="inlineStr">
        <is>
          <t>N°</t>
        </is>
      </c>
      <c r="C43" s="63" t="inlineStr">
        <is>
          <t>Échéance</t>
        </is>
      </c>
      <c r="D43" s="63" t="inlineStr">
        <is>
          <t>Bien concerné</t>
        </is>
      </c>
      <c r="E43" s="63" t="inlineStr">
        <is>
          <t>Objet</t>
        </is>
      </c>
      <c r="F43" s="63" t="inlineStr">
        <is>
          <t>Montant prévu</t>
        </is>
      </c>
      <c r="G43" s="63" t="inlineStr">
        <is>
          <t>Payé</t>
        </is>
      </c>
      <c r="H43" s="63" t="inlineStr">
        <is>
          <t>Reste</t>
        </is>
      </c>
      <c r="I43" s="63" t="inlineStr">
        <is>
          <t>Alerte</t>
        </is>
      </c>
    </row>
    <row r="44">
      <c r="B44" s="208" t="n">
        <v>1</v>
      </c>
      <c r="C44" s="105" t="n"/>
      <c r="D44" s="54" t="n"/>
      <c r="E44" s="54" t="n"/>
      <c r="F44" s="88" t="n"/>
      <c r="G44" s="88" t="n"/>
      <c r="H44" s="90">
        <f>N($F44)-N($G44)</f>
        <v/>
      </c>
      <c r="I44" s="220">
        <f>IF($C44="","",IF($H44&lt;=0,"✓ Soldé",IF($C44&lt;TODAY(),"⚠ En retard",IF($C44&lt;=TODAY()+30,"⏳ Sous 30 jours","À venir"))))</f>
        <v/>
      </c>
    </row>
    <row r="45">
      <c r="B45" s="208" t="n">
        <v>2</v>
      </c>
      <c r="C45" s="105" t="n"/>
      <c r="D45" s="54" t="n"/>
      <c r="E45" s="54" t="n"/>
      <c r="F45" s="88" t="n"/>
      <c r="G45" s="88" t="n"/>
      <c r="H45" s="90">
        <f>N($F45)-N($G45)</f>
        <v/>
      </c>
      <c r="I45" s="220">
        <f>IF($C45="","",IF($H45&lt;=0,"✓ Soldé",IF($C45&lt;TODAY(),"⚠ En retard",IF($C45&lt;=TODAY()+30,"⏳ Sous 30 jours","À venir"))))</f>
        <v/>
      </c>
    </row>
    <row r="46">
      <c r="B46" s="208" t="n">
        <v>3</v>
      </c>
      <c r="C46" s="105" t="n"/>
      <c r="D46" s="54" t="n"/>
      <c r="E46" s="54" t="n"/>
      <c r="F46" s="88" t="n"/>
      <c r="G46" s="88" t="n"/>
      <c r="H46" s="90">
        <f>N($F46)-N($G46)</f>
        <v/>
      </c>
      <c r="I46" s="220">
        <f>IF($C46="","",IF($H46&lt;=0,"✓ Soldé",IF($C46&lt;TODAY(),"⚠ En retard",IF($C46&lt;=TODAY()+30,"⏳ Sous 30 jours","À venir"))))</f>
        <v/>
      </c>
    </row>
    <row r="47">
      <c r="B47" s="208" t="n">
        <v>4</v>
      </c>
      <c r="C47" s="105" t="n"/>
      <c r="D47" s="54" t="n"/>
      <c r="E47" s="54" t="n"/>
      <c r="F47" s="88" t="n"/>
      <c r="G47" s="88" t="n"/>
      <c r="H47" s="90">
        <f>N($F47)-N($G47)</f>
        <v/>
      </c>
      <c r="I47" s="220">
        <f>IF($C47="","",IF($H47&lt;=0,"✓ Soldé",IF($C47&lt;TODAY(),"⚠ En retard",IF($C47&lt;=TODAY()+30,"⏳ Sous 30 jours","À venir"))))</f>
        <v/>
      </c>
    </row>
    <row r="48">
      <c r="B48" s="208" t="n">
        <v>5</v>
      </c>
      <c r="C48" s="105" t="n"/>
      <c r="D48" s="54" t="n"/>
      <c r="E48" s="54" t="n"/>
      <c r="F48" s="88" t="n"/>
      <c r="G48" s="88" t="n"/>
      <c r="H48" s="90">
        <f>N($F48)-N($G48)</f>
        <v/>
      </c>
      <c r="I48" s="220">
        <f>IF($C48="","",IF($H48&lt;=0,"✓ Soldé",IF($C48&lt;TODAY(),"⚠ En retard",IF($C48&lt;=TODAY()+30,"⏳ Sous 30 jours","À venir"))))</f>
        <v/>
      </c>
    </row>
    <row r="49">
      <c r="B49" s="208" t="n">
        <v>6</v>
      </c>
      <c r="C49" s="105" t="n"/>
      <c r="D49" s="54" t="n"/>
      <c r="E49" s="54" t="n"/>
      <c r="F49" s="88" t="n"/>
      <c r="G49" s="88" t="n"/>
      <c r="H49" s="90">
        <f>N($F49)-N($G49)</f>
        <v/>
      </c>
      <c r="I49" s="220">
        <f>IF($C49="","",IF($H49&lt;=0,"✓ Soldé",IF($C49&lt;TODAY(),"⚠ En retard",IF($C49&lt;=TODAY()+30,"⏳ Sous 30 jours","À venir"))))</f>
        <v/>
      </c>
    </row>
    <row r="50">
      <c r="B50" s="208" t="n">
        <v>7</v>
      </c>
      <c r="C50" s="105" t="n"/>
      <c r="D50" s="54" t="n"/>
      <c r="E50" s="54" t="n"/>
      <c r="F50" s="88" t="n"/>
      <c r="G50" s="88" t="n"/>
      <c r="H50" s="90">
        <f>N($F50)-N($G50)</f>
        <v/>
      </c>
      <c r="I50" s="220">
        <f>IF($C50="","",IF($H50&lt;=0,"✓ Soldé",IF($C50&lt;TODAY(),"⚠ En retard",IF($C50&lt;=TODAY()+30,"⏳ Sous 30 jours","À venir"))))</f>
        <v/>
      </c>
    </row>
    <row r="51">
      <c r="B51" s="208" t="n">
        <v>8</v>
      </c>
      <c r="C51" s="105" t="n"/>
      <c r="D51" s="54" t="n"/>
      <c r="E51" s="54" t="n"/>
      <c r="F51" s="88" t="n"/>
      <c r="G51" s="88" t="n"/>
      <c r="H51" s="90">
        <f>N($F51)-N($G51)</f>
        <v/>
      </c>
      <c r="I51" s="220">
        <f>IF($C51="","",IF($H51&lt;=0,"✓ Soldé",IF($C51&lt;TODAY(),"⚠ En retard",IF($C51&lt;=TODAY()+30,"⏳ Sous 30 jours","À venir"))))</f>
        <v/>
      </c>
    </row>
    <row r="52">
      <c r="B52" s="208" t="n">
        <v>9</v>
      </c>
      <c r="C52" s="105" t="n"/>
      <c r="D52" s="54" t="n"/>
      <c r="E52" s="54" t="n"/>
      <c r="F52" s="88" t="n"/>
      <c r="G52" s="88" t="n"/>
      <c r="H52" s="90">
        <f>N($F52)-N($G52)</f>
        <v/>
      </c>
      <c r="I52" s="220">
        <f>IF($C52="","",IF($H52&lt;=0,"✓ Soldé",IF($C52&lt;TODAY(),"⚠ En retard",IF($C52&lt;=TODAY()+30,"⏳ Sous 30 jours","À venir"))))</f>
        <v/>
      </c>
    </row>
    <row r="53">
      <c r="B53" s="208" t="n">
        <v>10</v>
      </c>
      <c r="C53" s="105" t="n"/>
      <c r="D53" s="54" t="n"/>
      <c r="E53" s="54" t="n"/>
      <c r="F53" s="88" t="n"/>
      <c r="G53" s="88" t="n"/>
      <c r="H53" s="90">
        <f>N($F53)-N($G53)</f>
        <v/>
      </c>
      <c r="I53" s="220">
        <f>IF($C53="","",IF($H53&lt;=0,"✓ Soldé",IF($C53&lt;TODAY(),"⚠ En retard",IF($C53&lt;=TODAY()+30,"⏳ Sous 30 jours","À venir"))))</f>
        <v/>
      </c>
    </row>
    <row r="54">
      <c r="B54" s="208" t="n">
        <v>11</v>
      </c>
      <c r="C54" s="105" t="n"/>
      <c r="D54" s="54" t="n"/>
      <c r="E54" s="54" t="n"/>
      <c r="F54" s="88" t="n"/>
      <c r="G54" s="88" t="n"/>
      <c r="H54" s="90">
        <f>N($F54)-N($G54)</f>
        <v/>
      </c>
      <c r="I54" s="220">
        <f>IF($C54="","",IF($H54&lt;=0,"✓ Soldé",IF($C54&lt;TODAY(),"⚠ En retard",IF($C54&lt;=TODAY()+30,"⏳ Sous 30 jours","À venir"))))</f>
        <v/>
      </c>
    </row>
    <row r="55">
      <c r="B55" s="208" t="n">
        <v>12</v>
      </c>
      <c r="C55" s="105" t="n"/>
      <c r="D55" s="54" t="n"/>
      <c r="E55" s="54" t="n"/>
      <c r="F55" s="88" t="n"/>
      <c r="G55" s="88" t="n"/>
      <c r="H55" s="90">
        <f>N($F55)-N($G55)</f>
        <v/>
      </c>
      <c r="I55" s="220">
        <f>IF($C55="","",IF($H55&lt;=0,"✓ Soldé",IF($C55&lt;TODAY(),"⚠ En retard",IF($C55&lt;=TODAY()+30,"⏳ Sous 30 jours","À venir"))))</f>
        <v/>
      </c>
    </row>
    <row r="56">
      <c r="B56" s="208" t="n">
        <v>13</v>
      </c>
      <c r="C56" s="105" t="n"/>
      <c r="D56" s="54" t="n"/>
      <c r="E56" s="54" t="n"/>
      <c r="F56" s="88" t="n"/>
      <c r="G56" s="88" t="n"/>
      <c r="H56" s="90">
        <f>N($F56)-N($G56)</f>
        <v/>
      </c>
      <c r="I56" s="220">
        <f>IF($C56="","",IF($H56&lt;=0,"✓ Soldé",IF($C56&lt;TODAY(),"⚠ En retard",IF($C56&lt;=TODAY()+30,"⏳ Sous 30 jours","À venir"))))</f>
        <v/>
      </c>
    </row>
    <row r="57">
      <c r="B57" s="208" t="n">
        <v>14</v>
      </c>
      <c r="C57" s="105" t="n"/>
      <c r="D57" s="54" t="n"/>
      <c r="E57" s="54" t="n"/>
      <c r="F57" s="88" t="n"/>
      <c r="G57" s="88" t="n"/>
      <c r="H57" s="90">
        <f>N($F57)-N($G57)</f>
        <v/>
      </c>
      <c r="I57" s="220">
        <f>IF($C57="","",IF($H57&lt;=0,"✓ Soldé",IF($C57&lt;TODAY(),"⚠ En retard",IF($C57&lt;=TODAY()+30,"⏳ Sous 30 jours","À venir"))))</f>
        <v/>
      </c>
    </row>
    <row r="58">
      <c r="B58" s="208" t="n">
        <v>15</v>
      </c>
      <c r="C58" s="105" t="n"/>
      <c r="D58" s="54" t="n"/>
      <c r="E58" s="54" t="n"/>
      <c r="F58" s="88" t="n"/>
      <c r="G58" s="88" t="n"/>
      <c r="H58" s="90">
        <f>N($F58)-N($G58)</f>
        <v/>
      </c>
      <c r="I58" s="220">
        <f>IF($C58="","",IF($H58&lt;=0,"✓ Soldé",IF($C58&lt;TODAY(),"⚠ En retard",IF($C58&lt;=TODAY()+30,"⏳ Sous 30 jours","À venir"))))</f>
        <v/>
      </c>
    </row>
    <row r="59">
      <c r="B59" s="208" t="n">
        <v>16</v>
      </c>
      <c r="C59" s="105" t="n"/>
      <c r="D59" s="54" t="n"/>
      <c r="E59" s="54" t="n"/>
      <c r="F59" s="88" t="n"/>
      <c r="G59" s="88" t="n"/>
      <c r="H59" s="90">
        <f>N($F59)-N($G59)</f>
        <v/>
      </c>
      <c r="I59" s="220">
        <f>IF($C59="","",IF($H59&lt;=0,"✓ Soldé",IF($C59&lt;TODAY(),"⚠ En retard",IF($C59&lt;=TODAY()+30,"⏳ Sous 30 jours","À venir"))))</f>
        <v/>
      </c>
    </row>
    <row r="60">
      <c r="B60" s="208" t="n">
        <v>17</v>
      </c>
      <c r="C60" s="105" t="n"/>
      <c r="D60" s="54" t="n"/>
      <c r="E60" s="54" t="n"/>
      <c r="F60" s="88" t="n"/>
      <c r="G60" s="88" t="n"/>
      <c r="H60" s="90">
        <f>N($F60)-N($G60)</f>
        <v/>
      </c>
      <c r="I60" s="220">
        <f>IF($C60="","",IF($H60&lt;=0,"✓ Soldé",IF($C60&lt;TODAY(),"⚠ En retard",IF($C60&lt;=TODAY()+30,"⏳ Sous 30 jours","À venir"))))</f>
        <v/>
      </c>
    </row>
    <row r="61">
      <c r="B61" s="208" t="n">
        <v>18</v>
      </c>
      <c r="C61" s="105" t="n"/>
      <c r="D61" s="54" t="n"/>
      <c r="E61" s="54" t="n"/>
      <c r="F61" s="88" t="n"/>
      <c r="G61" s="88" t="n"/>
      <c r="H61" s="90">
        <f>N($F61)-N($G61)</f>
        <v/>
      </c>
      <c r="I61" s="220">
        <f>IF($C61="","",IF($H61&lt;=0,"✓ Soldé",IF($C61&lt;TODAY(),"⚠ En retard",IF($C61&lt;=TODAY()+30,"⏳ Sous 30 jours","À venir"))))</f>
        <v/>
      </c>
    </row>
    <row r="62">
      <c r="B62" s="208" t="n">
        <v>19</v>
      </c>
      <c r="C62" s="105" t="n"/>
      <c r="D62" s="54" t="n"/>
      <c r="E62" s="54" t="n"/>
      <c r="F62" s="88" t="n"/>
      <c r="G62" s="88" t="n"/>
      <c r="H62" s="90">
        <f>N($F62)-N($G62)</f>
        <v/>
      </c>
      <c r="I62" s="220">
        <f>IF($C62="","",IF($H62&lt;=0,"✓ Soldé",IF($C62&lt;TODAY(),"⚠ En retard",IF($C62&lt;=TODAY()+30,"⏳ Sous 30 jours","À venir"))))</f>
        <v/>
      </c>
    </row>
    <row r="63">
      <c r="B63" s="208" t="n">
        <v>20</v>
      </c>
      <c r="C63" s="105" t="n"/>
      <c r="D63" s="54" t="n"/>
      <c r="E63" s="54" t="n"/>
      <c r="F63" s="88" t="n"/>
      <c r="G63" s="88" t="n"/>
      <c r="H63" s="90">
        <f>N($F63)-N($G63)</f>
        <v/>
      </c>
      <c r="I63" s="220">
        <f>IF($C63="","",IF($H63&lt;=0,"✓ Soldé",IF($C63&lt;TODAY(),"⚠ En retard",IF($C63&lt;=TODAY()+30,"⏳ Sous 30 jours","À venir"))))</f>
        <v/>
      </c>
    </row>
    <row r="64">
      <c r="B64" s="221" t="n"/>
      <c r="C64" s="221" t="inlineStr">
        <is>
          <t>TOTAL ÉCHÉANCIER</t>
        </is>
      </c>
      <c r="D64" s="221" t="n"/>
      <c r="E64" s="221" t="n"/>
      <c r="F64" s="222">
        <f>SUM(F44:F63)</f>
        <v/>
      </c>
      <c r="G64" s="222">
        <f>SUM(G44:G63)</f>
        <v/>
      </c>
      <c r="H64" s="222">
        <f>SUM(H44:H63)</f>
        <v/>
      </c>
      <c r="I64" s="221" t="n"/>
    </row>
    <row r="65"/>
    <row r="66"/>
    <row r="67" ht="24" customHeight="1">
      <c r="C67" s="6" t="inlineStr">
        <is>
          <t>④  SIMULATEUR DE CRÉDIT IMMOBILIER</t>
        </is>
      </c>
      <c r="D67" s="7" t="n"/>
      <c r="E67" s="7" t="n"/>
      <c r="F67" s="7" t="n"/>
      <c r="G67" s="7" t="n"/>
      <c r="H67" s="7" t="n"/>
      <c r="I67" s="7" t="n"/>
      <c r="J67" s="7" t="n"/>
    </row>
    <row r="68"/>
    <row r="69" ht="22" customHeight="1">
      <c r="C69" s="52" t="inlineStr">
        <is>
          <t>Montant emprunté</t>
        </is>
      </c>
      <c r="E69" s="61" t="n">
        <v>0</v>
      </c>
      <c r="F69" s="54" t="n"/>
      <c r="G69" s="55" t="inlineStr">
        <is>
          <t>Capital sollicité auprès de la banque.</t>
        </is>
      </c>
    </row>
    <row r="70" ht="22" customHeight="1">
      <c r="C70" s="52" t="inlineStr">
        <is>
          <t>Taux annuel</t>
        </is>
      </c>
      <c r="E70" s="223" t="n">
        <v>0.075</v>
      </c>
      <c r="F70" s="54" t="n"/>
    </row>
    <row r="71" ht="22" customHeight="1">
      <c r="C71" s="52" t="inlineStr">
        <is>
          <t>Durée (mois)</t>
        </is>
      </c>
      <c r="E71" s="57" t="n">
        <v>180</v>
      </c>
      <c r="F71" s="54" t="n"/>
      <c r="G71" s="55" t="inlineStr">
        <is>
          <t>180 mois = 15 ans.</t>
        </is>
      </c>
    </row>
    <row r="72" ht="22" customHeight="1">
      <c r="C72" s="52" t="inlineStr">
        <is>
          <t>Assurance mensuelle</t>
        </is>
      </c>
      <c r="E72" s="61" t="n">
        <v>0</v>
      </c>
      <c r="F72" s="54" t="n"/>
    </row>
    <row r="73" ht="22" customHeight="1">
      <c r="C73" s="52" t="inlineStr">
        <is>
          <t>Mensualité totale</t>
        </is>
      </c>
      <c r="E73" s="217">
        <f>IFERROR(-PMT($E$70/12,$E$71,$E$69),0)+N($E$72)</f>
        <v/>
      </c>
      <c r="F73" s="59" t="n"/>
      <c r="G73" s="55" t="inlineStr">
        <is>
          <t>Capital + intérêts + assurance.</t>
        </is>
      </c>
    </row>
    <row r="74" ht="22" customHeight="1">
      <c r="C74" s="52" t="inlineStr">
        <is>
          <t>Coût total du crédit</t>
        </is>
      </c>
      <c r="E74" s="217">
        <f>$E$73*$E$71</f>
        <v/>
      </c>
      <c r="F74" s="59" t="n"/>
    </row>
    <row r="75" ht="22" customHeight="1">
      <c r="C75" s="52" t="inlineStr">
        <is>
          <t>Dont intérêts et assurance</t>
        </is>
      </c>
      <c r="E75" s="217">
        <f>$E$74-$E$69</f>
        <v/>
      </c>
      <c r="F75" s="59" t="n"/>
    </row>
    <row r="76" ht="22" customHeight="1">
      <c r="C76" s="52" t="inlineStr">
        <is>
          <t>Taux d'endettement estimé</t>
        </is>
      </c>
      <c r="E76" s="216">
        <f>IFERROR($E$73/(SUMIFS(J_Montant,J_Annee,Annee_Travail,J_Type,"Revenu",J_Statut,"&lt;&gt;Annulé",J_Statut,"&lt;&gt;Prévu")/12),0)</f>
        <v/>
      </c>
      <c r="F76" s="59" t="n"/>
      <c r="G76" s="55" t="inlineStr">
        <is>
          <t>Au-delà de 33 %, les banques refusent généralement.</t>
        </is>
      </c>
    </row>
    <row r="77"/>
    <row r="78"/>
    <row r="79"/>
    <row r="80"/>
    <row r="81"/>
    <row r="82"/>
    <row r="83"/>
    <row r="84"/>
    <row r="85"/>
    <row r="86"/>
    <row r="87"/>
    <row r="88"/>
    <row r="89"/>
    <row r="90"/>
    <row r="91"/>
    <row r="92"/>
    <row r="93"/>
    <row r="94"/>
    <row r="95"/>
    <row r="96"/>
    <row r="97"/>
    <row r="98"/>
    <row r="99"/>
    <row r="100"/>
    <row r="101"/>
    <row r="102"/>
  </sheetData>
  <sheetProtection selectLockedCells="0" selectUnlockedCells="0" sheet="1" objects="1" insertRows="1" insertHyperlinks="1" autoFilter="0" scenarios="1" formatColumns="0" deleteColumns="1" insertColumns="1" pivotTables="1" deleteRows="1" formatCells="0" formatRows="0" sort="0" password="8708"/>
  <mergeCells count="51">
    <mergeCell ref="J6:L6"/>
    <mergeCell ref="G6:I6"/>
    <mergeCell ref="B2:S2"/>
    <mergeCell ref="G73:J73"/>
    <mergeCell ref="E71:F71"/>
    <mergeCell ref="P6:R6"/>
    <mergeCell ref="J4:L4"/>
    <mergeCell ref="C74:D74"/>
    <mergeCell ref="G76:J76"/>
    <mergeCell ref="B1:S1"/>
    <mergeCell ref="B8:S8"/>
    <mergeCell ref="M6:O6"/>
    <mergeCell ref="C73:D73"/>
    <mergeCell ref="E73:F73"/>
    <mergeCell ref="C69:D69"/>
    <mergeCell ref="G5:I5"/>
    <mergeCell ref="D4:F4"/>
    <mergeCell ref="B42:I42"/>
    <mergeCell ref="G4:I4"/>
    <mergeCell ref="C75:D75"/>
    <mergeCell ref="E69:F69"/>
    <mergeCell ref="H3:J3"/>
    <mergeCell ref="B23:I23"/>
    <mergeCell ref="G71:J71"/>
    <mergeCell ref="E74:F74"/>
    <mergeCell ref="D5:F5"/>
    <mergeCell ref="P5:R5"/>
    <mergeCell ref="M4:O4"/>
    <mergeCell ref="C71:D71"/>
    <mergeCell ref="C76:D76"/>
    <mergeCell ref="E3:G3"/>
    <mergeCell ref="K3:M3"/>
    <mergeCell ref="C70:D70"/>
    <mergeCell ref="P4:R4"/>
    <mergeCell ref="E70:F70"/>
    <mergeCell ref="Q3:S3"/>
    <mergeCell ref="J5:L5"/>
    <mergeCell ref="B6:C6"/>
    <mergeCell ref="B3:D3"/>
    <mergeCell ref="B7:S7"/>
    <mergeCell ref="C72:D72"/>
    <mergeCell ref="E76:F76"/>
    <mergeCell ref="C67:J67"/>
    <mergeCell ref="B5:C5"/>
    <mergeCell ref="G69:J69"/>
    <mergeCell ref="E72:F72"/>
    <mergeCell ref="M5:O5"/>
    <mergeCell ref="E75:F75"/>
    <mergeCell ref="D6:F6"/>
    <mergeCell ref="B4:C4"/>
    <mergeCell ref="N3:P3"/>
  </mergeCells>
  <conditionalFormatting sqref="D5:F5">
    <cfRule type="expression" priority="1" dxfId="1362" stopIfTrue="1">
      <formula>Devise_Base="XOF"</formula>
    </cfRule>
    <cfRule type="expression" priority="2" dxfId="1363" stopIfTrue="1">
      <formula>Devise_Base="XAF"</formula>
    </cfRule>
    <cfRule type="expression" priority="3" dxfId="1364" stopIfTrue="1">
      <formula>Devise_Base="EUR"</formula>
    </cfRule>
    <cfRule type="expression" priority="4" dxfId="1365" stopIfTrue="1">
      <formula>Devise_Base="USD"</formula>
    </cfRule>
    <cfRule type="expression" priority="5" dxfId="1366" stopIfTrue="1">
      <formula>Devise_Base="GBP"</formula>
    </cfRule>
    <cfRule type="expression" priority="6" dxfId="1367" stopIfTrue="1">
      <formula>Devise_Base="CAD"</formula>
    </cfRule>
    <cfRule type="expression" priority="7" dxfId="1368" stopIfTrue="1">
      <formula>Devise_Base="CHF"</formula>
    </cfRule>
    <cfRule type="expression" priority="8" dxfId="1369" stopIfTrue="1">
      <formula>Devise_Base="MAD"</formula>
    </cfRule>
    <cfRule type="expression" priority="9" dxfId="1370" stopIfTrue="1">
      <formula>Devise_Base="NGN"</formula>
    </cfRule>
    <cfRule type="expression" priority="10" dxfId="1371" stopIfTrue="1">
      <formula>Devise_Base="GHS"</formula>
    </cfRule>
    <cfRule type="expression" priority="11" dxfId="1372" stopIfTrue="1">
      <formula>Devise_Base="CDF"</formula>
    </cfRule>
    <cfRule type="expression" priority="12" dxfId="1373" stopIfTrue="1">
      <formula>Devise_Base="ZAR"</formula>
    </cfRule>
    <cfRule type="expression" priority="13" dxfId="1374" stopIfTrue="1">
      <formula>Devise_Base="AED"</formula>
    </cfRule>
    <cfRule type="expression" priority="14" dxfId="1375" stopIfTrue="1">
      <formula>Devise_Base="MRU"</formula>
    </cfRule>
    <cfRule type="expression" priority="15" dxfId="1376" stopIfTrue="1">
      <formula>Devise_Base="GNF"</formula>
    </cfRule>
  </conditionalFormatting>
  <conditionalFormatting sqref="G5:I5">
    <cfRule type="expression" priority="16" dxfId="1377" stopIfTrue="1">
      <formula>Devise_Base="XOF"</formula>
    </cfRule>
    <cfRule type="expression" priority="17" dxfId="1378" stopIfTrue="1">
      <formula>Devise_Base="XAF"</formula>
    </cfRule>
    <cfRule type="expression" priority="18" dxfId="1379" stopIfTrue="1">
      <formula>Devise_Base="EUR"</formula>
    </cfRule>
    <cfRule type="expression" priority="19" dxfId="1380" stopIfTrue="1">
      <formula>Devise_Base="USD"</formula>
    </cfRule>
    <cfRule type="expression" priority="20" dxfId="1381" stopIfTrue="1">
      <formula>Devise_Base="GBP"</formula>
    </cfRule>
    <cfRule type="expression" priority="21" dxfId="1382" stopIfTrue="1">
      <formula>Devise_Base="CAD"</formula>
    </cfRule>
    <cfRule type="expression" priority="22" dxfId="1383" stopIfTrue="1">
      <formula>Devise_Base="CHF"</formula>
    </cfRule>
    <cfRule type="expression" priority="23" dxfId="1384" stopIfTrue="1">
      <formula>Devise_Base="MAD"</formula>
    </cfRule>
    <cfRule type="expression" priority="24" dxfId="1385" stopIfTrue="1">
      <formula>Devise_Base="NGN"</formula>
    </cfRule>
    <cfRule type="expression" priority="25" dxfId="1386" stopIfTrue="1">
      <formula>Devise_Base="GHS"</formula>
    </cfRule>
    <cfRule type="expression" priority="26" dxfId="1387" stopIfTrue="1">
      <formula>Devise_Base="CDF"</formula>
    </cfRule>
    <cfRule type="expression" priority="27" dxfId="1388" stopIfTrue="1">
      <formula>Devise_Base="ZAR"</formula>
    </cfRule>
    <cfRule type="expression" priority="28" dxfId="1389" stopIfTrue="1">
      <formula>Devise_Base="AED"</formula>
    </cfRule>
    <cfRule type="expression" priority="29" dxfId="1390" stopIfTrue="1">
      <formula>Devise_Base="MRU"</formula>
    </cfRule>
    <cfRule type="expression" priority="30" dxfId="1391" stopIfTrue="1">
      <formula>Devise_Base="GNF"</formula>
    </cfRule>
  </conditionalFormatting>
  <conditionalFormatting sqref="J5:L5">
    <cfRule type="expression" priority="31" dxfId="1392" stopIfTrue="1">
      <formula>Devise_Base="XOF"</formula>
    </cfRule>
    <cfRule type="expression" priority="32" dxfId="1393" stopIfTrue="1">
      <formula>Devise_Base="XAF"</formula>
    </cfRule>
    <cfRule type="expression" priority="33" dxfId="1394" stopIfTrue="1">
      <formula>Devise_Base="EUR"</formula>
    </cfRule>
    <cfRule type="expression" priority="34" dxfId="1395" stopIfTrue="1">
      <formula>Devise_Base="USD"</formula>
    </cfRule>
    <cfRule type="expression" priority="35" dxfId="1396" stopIfTrue="1">
      <formula>Devise_Base="GBP"</formula>
    </cfRule>
    <cfRule type="expression" priority="36" dxfId="1397" stopIfTrue="1">
      <formula>Devise_Base="CAD"</formula>
    </cfRule>
    <cfRule type="expression" priority="37" dxfId="1398" stopIfTrue="1">
      <formula>Devise_Base="CHF"</formula>
    </cfRule>
    <cfRule type="expression" priority="38" dxfId="1399" stopIfTrue="1">
      <formula>Devise_Base="MAD"</formula>
    </cfRule>
    <cfRule type="expression" priority="39" dxfId="1400" stopIfTrue="1">
      <formula>Devise_Base="NGN"</formula>
    </cfRule>
    <cfRule type="expression" priority="40" dxfId="1401" stopIfTrue="1">
      <formula>Devise_Base="GHS"</formula>
    </cfRule>
    <cfRule type="expression" priority="41" dxfId="1402" stopIfTrue="1">
      <formula>Devise_Base="CDF"</formula>
    </cfRule>
    <cfRule type="expression" priority="42" dxfId="1403" stopIfTrue="1">
      <formula>Devise_Base="ZAR"</formula>
    </cfRule>
    <cfRule type="expression" priority="43" dxfId="1404" stopIfTrue="1">
      <formula>Devise_Base="AED"</formula>
    </cfRule>
    <cfRule type="expression" priority="44" dxfId="1405" stopIfTrue="1">
      <formula>Devise_Base="MRU"</formula>
    </cfRule>
    <cfRule type="expression" priority="45" dxfId="1406" stopIfTrue="1">
      <formula>Devise_Base="GNF"</formula>
    </cfRule>
  </conditionalFormatting>
  <conditionalFormatting sqref="M5:O5">
    <cfRule type="expression" priority="46" dxfId="1407" stopIfTrue="1">
      <formula>Devise_Base="XOF"</formula>
    </cfRule>
    <cfRule type="expression" priority="47" dxfId="1408" stopIfTrue="1">
      <formula>Devise_Base="XAF"</formula>
    </cfRule>
    <cfRule type="expression" priority="48" dxfId="1409" stopIfTrue="1">
      <formula>Devise_Base="EUR"</formula>
    </cfRule>
    <cfRule type="expression" priority="49" dxfId="1410" stopIfTrue="1">
      <formula>Devise_Base="USD"</formula>
    </cfRule>
    <cfRule type="expression" priority="50" dxfId="1411" stopIfTrue="1">
      <formula>Devise_Base="GBP"</formula>
    </cfRule>
    <cfRule type="expression" priority="51" dxfId="1412" stopIfTrue="1">
      <formula>Devise_Base="CAD"</formula>
    </cfRule>
    <cfRule type="expression" priority="52" dxfId="1413" stopIfTrue="1">
      <formula>Devise_Base="CHF"</formula>
    </cfRule>
    <cfRule type="expression" priority="53" dxfId="1414" stopIfTrue="1">
      <formula>Devise_Base="MAD"</formula>
    </cfRule>
    <cfRule type="expression" priority="54" dxfId="1415" stopIfTrue="1">
      <formula>Devise_Base="NGN"</formula>
    </cfRule>
    <cfRule type="expression" priority="55" dxfId="1416" stopIfTrue="1">
      <formula>Devise_Base="GHS"</formula>
    </cfRule>
    <cfRule type="expression" priority="56" dxfId="1417" stopIfTrue="1">
      <formula>Devise_Base="CDF"</formula>
    </cfRule>
    <cfRule type="expression" priority="57" dxfId="1418" stopIfTrue="1">
      <formula>Devise_Base="ZAR"</formula>
    </cfRule>
    <cfRule type="expression" priority="58" dxfId="1419" stopIfTrue="1">
      <formula>Devise_Base="AED"</formula>
    </cfRule>
    <cfRule type="expression" priority="59" dxfId="1420" stopIfTrue="1">
      <formula>Devise_Base="MRU"</formula>
    </cfRule>
    <cfRule type="expression" priority="60" dxfId="1421" stopIfTrue="1">
      <formula>Devise_Base="GNF"</formula>
    </cfRule>
  </conditionalFormatting>
  <conditionalFormatting sqref="P5:R5">
    <cfRule type="expression" priority="61" dxfId="1422" stopIfTrue="1">
      <formula>Devise_Base="XOF"</formula>
    </cfRule>
    <cfRule type="expression" priority="62" dxfId="1423" stopIfTrue="1">
      <formula>Devise_Base="XAF"</formula>
    </cfRule>
    <cfRule type="expression" priority="63" dxfId="1424" stopIfTrue="1">
      <formula>Devise_Base="EUR"</formula>
    </cfRule>
    <cfRule type="expression" priority="64" dxfId="1425" stopIfTrue="1">
      <formula>Devise_Base="USD"</formula>
    </cfRule>
    <cfRule type="expression" priority="65" dxfId="1426" stopIfTrue="1">
      <formula>Devise_Base="GBP"</formula>
    </cfRule>
    <cfRule type="expression" priority="66" dxfId="1427" stopIfTrue="1">
      <formula>Devise_Base="CAD"</formula>
    </cfRule>
    <cfRule type="expression" priority="67" dxfId="1428" stopIfTrue="1">
      <formula>Devise_Base="CHF"</formula>
    </cfRule>
    <cfRule type="expression" priority="68" dxfId="1429" stopIfTrue="1">
      <formula>Devise_Base="MAD"</formula>
    </cfRule>
    <cfRule type="expression" priority="69" dxfId="1430" stopIfTrue="1">
      <formula>Devise_Base="NGN"</formula>
    </cfRule>
    <cfRule type="expression" priority="70" dxfId="1431" stopIfTrue="1">
      <formula>Devise_Base="GHS"</formula>
    </cfRule>
    <cfRule type="expression" priority="71" dxfId="1432" stopIfTrue="1">
      <formula>Devise_Base="CDF"</formula>
    </cfRule>
    <cfRule type="expression" priority="72" dxfId="1433" stopIfTrue="1">
      <formula>Devise_Base="ZAR"</formula>
    </cfRule>
    <cfRule type="expression" priority="73" dxfId="1434" stopIfTrue="1">
      <formula>Devise_Base="AED"</formula>
    </cfRule>
    <cfRule type="expression" priority="74" dxfId="1435" stopIfTrue="1">
      <formula>Devise_Base="MRU"</formula>
    </cfRule>
    <cfRule type="expression" priority="75" dxfId="1436" stopIfTrue="1">
      <formula>Devise_Base="GNF"</formula>
    </cfRule>
  </conditionalFormatting>
  <conditionalFormatting sqref="B10:S19">
    <cfRule type="expression" priority="76" dxfId="75" stopIfTrue="0">
      <formula>MOD(ROW()-10,2)=1</formula>
    </cfRule>
  </conditionalFormatting>
  <conditionalFormatting sqref="M10:M19">
    <cfRule type="dataBar" priority="77">
      <dataBar showValue="1">
        <cfvo type="num" val="0"/>
        <cfvo type="num" val="1"/>
        <color rgb="0010706B"/>
      </dataBar>
    </cfRule>
  </conditionalFormatting>
  <conditionalFormatting sqref="P10:P19">
    <cfRule type="cellIs" priority="78" operator="greaterThan" dxfId="76">
      <formula>0</formula>
    </cfRule>
    <cfRule type="cellIs" priority="79" operator="lessThan" dxfId="77">
      <formula>0</formula>
    </cfRule>
  </conditionalFormatting>
  <conditionalFormatting sqref="G10:L19">
    <cfRule type="expression" priority="80" dxfId="1437" stopIfTrue="1">
      <formula>Devise_Base="XOF"</formula>
    </cfRule>
    <cfRule type="expression" priority="81" dxfId="1438" stopIfTrue="1">
      <formula>Devise_Base="XAF"</formula>
    </cfRule>
    <cfRule type="expression" priority="82" dxfId="1439" stopIfTrue="1">
      <formula>Devise_Base="EUR"</formula>
    </cfRule>
    <cfRule type="expression" priority="83" dxfId="1440" stopIfTrue="1">
      <formula>Devise_Base="USD"</formula>
    </cfRule>
    <cfRule type="expression" priority="84" dxfId="1441" stopIfTrue="1">
      <formula>Devise_Base="GBP"</formula>
    </cfRule>
    <cfRule type="expression" priority="85" dxfId="1442" stopIfTrue="1">
      <formula>Devise_Base="CAD"</formula>
    </cfRule>
    <cfRule type="expression" priority="86" dxfId="1443" stopIfTrue="1">
      <formula>Devise_Base="CHF"</formula>
    </cfRule>
    <cfRule type="expression" priority="87" dxfId="1444" stopIfTrue="1">
      <formula>Devise_Base="MAD"</formula>
    </cfRule>
    <cfRule type="expression" priority="88" dxfId="1445" stopIfTrue="1">
      <formula>Devise_Base="NGN"</formula>
    </cfRule>
    <cfRule type="expression" priority="89" dxfId="1446" stopIfTrue="1">
      <formula>Devise_Base="GHS"</formula>
    </cfRule>
    <cfRule type="expression" priority="90" dxfId="1447" stopIfTrue="1">
      <formula>Devise_Base="CDF"</formula>
    </cfRule>
    <cfRule type="expression" priority="91" dxfId="1448" stopIfTrue="1">
      <formula>Devise_Base="ZAR"</formula>
    </cfRule>
    <cfRule type="expression" priority="92" dxfId="1449" stopIfTrue="1">
      <formula>Devise_Base="AED"</formula>
    </cfRule>
    <cfRule type="expression" priority="93" dxfId="1450" stopIfTrue="1">
      <formula>Devise_Base="MRU"</formula>
    </cfRule>
    <cfRule type="expression" priority="94" dxfId="1451" stopIfTrue="1">
      <formula>Devise_Base="GNF"</formula>
    </cfRule>
  </conditionalFormatting>
  <conditionalFormatting sqref="N10:P19">
    <cfRule type="expression" priority="95" dxfId="1452" stopIfTrue="1">
      <formula>Devise_Base="XOF"</formula>
    </cfRule>
    <cfRule type="expression" priority="96" dxfId="1453" stopIfTrue="1">
      <formula>Devise_Base="XAF"</formula>
    </cfRule>
    <cfRule type="expression" priority="97" dxfId="1454" stopIfTrue="1">
      <formula>Devise_Base="EUR"</formula>
    </cfRule>
    <cfRule type="expression" priority="98" dxfId="1455" stopIfTrue="1">
      <formula>Devise_Base="USD"</formula>
    </cfRule>
    <cfRule type="expression" priority="99" dxfId="1456" stopIfTrue="1">
      <formula>Devise_Base="GBP"</formula>
    </cfRule>
    <cfRule type="expression" priority="100" dxfId="1457" stopIfTrue="1">
      <formula>Devise_Base="CAD"</formula>
    </cfRule>
    <cfRule type="expression" priority="101" dxfId="1458" stopIfTrue="1">
      <formula>Devise_Base="CHF"</formula>
    </cfRule>
    <cfRule type="expression" priority="102" dxfId="1459" stopIfTrue="1">
      <formula>Devise_Base="MAD"</formula>
    </cfRule>
    <cfRule type="expression" priority="103" dxfId="1460" stopIfTrue="1">
      <formula>Devise_Base="NGN"</formula>
    </cfRule>
    <cfRule type="expression" priority="104" dxfId="1461" stopIfTrue="1">
      <formula>Devise_Base="GHS"</formula>
    </cfRule>
    <cfRule type="expression" priority="105" dxfId="1462" stopIfTrue="1">
      <formula>Devise_Base="CDF"</formula>
    </cfRule>
    <cfRule type="expression" priority="106" dxfId="1463" stopIfTrue="1">
      <formula>Devise_Base="ZAR"</formula>
    </cfRule>
    <cfRule type="expression" priority="107" dxfId="1464" stopIfTrue="1">
      <formula>Devise_Base="AED"</formula>
    </cfRule>
    <cfRule type="expression" priority="108" dxfId="1465" stopIfTrue="1">
      <formula>Devise_Base="MRU"</formula>
    </cfRule>
    <cfRule type="expression" priority="109" dxfId="1466" stopIfTrue="1">
      <formula>Devise_Base="GNF"</formula>
    </cfRule>
  </conditionalFormatting>
  <conditionalFormatting sqref="G20:P20">
    <cfRule type="expression" priority="110" dxfId="1467" stopIfTrue="1">
      <formula>Devise_Base="XOF"</formula>
    </cfRule>
    <cfRule type="expression" priority="111" dxfId="1468" stopIfTrue="1">
      <formula>Devise_Base="XAF"</formula>
    </cfRule>
    <cfRule type="expression" priority="112" dxfId="1469" stopIfTrue="1">
      <formula>Devise_Base="EUR"</formula>
    </cfRule>
    <cfRule type="expression" priority="113" dxfId="1470" stopIfTrue="1">
      <formula>Devise_Base="USD"</formula>
    </cfRule>
    <cfRule type="expression" priority="114" dxfId="1471" stopIfTrue="1">
      <formula>Devise_Base="GBP"</formula>
    </cfRule>
    <cfRule type="expression" priority="115" dxfId="1472" stopIfTrue="1">
      <formula>Devise_Base="CAD"</formula>
    </cfRule>
    <cfRule type="expression" priority="116" dxfId="1473" stopIfTrue="1">
      <formula>Devise_Base="CHF"</formula>
    </cfRule>
    <cfRule type="expression" priority="117" dxfId="1474" stopIfTrue="1">
      <formula>Devise_Base="MAD"</formula>
    </cfRule>
    <cfRule type="expression" priority="118" dxfId="1475" stopIfTrue="1">
      <formula>Devise_Base="NGN"</formula>
    </cfRule>
    <cfRule type="expression" priority="119" dxfId="1476" stopIfTrue="1">
      <formula>Devise_Base="GHS"</formula>
    </cfRule>
    <cfRule type="expression" priority="120" dxfId="1477" stopIfTrue="1">
      <formula>Devise_Base="CDF"</formula>
    </cfRule>
    <cfRule type="expression" priority="121" dxfId="1478" stopIfTrue="1">
      <formula>Devise_Base="ZAR"</formula>
    </cfRule>
    <cfRule type="expression" priority="122" dxfId="1479" stopIfTrue="1">
      <formula>Devise_Base="AED"</formula>
    </cfRule>
    <cfRule type="expression" priority="123" dxfId="1480" stopIfTrue="1">
      <formula>Devise_Base="MRU"</formula>
    </cfRule>
    <cfRule type="expression" priority="124" dxfId="1481" stopIfTrue="1">
      <formula>Devise_Base="GNF"</formula>
    </cfRule>
  </conditionalFormatting>
  <conditionalFormatting sqref="B25:I38">
    <cfRule type="expression" priority="125" dxfId="75" stopIfTrue="0">
      <formula>MOD(ROW()-25,2)=1</formula>
    </cfRule>
  </conditionalFormatting>
  <conditionalFormatting sqref="H25:H38">
    <cfRule type="dataBar" priority="126">
      <dataBar showValue="1">
        <cfvo type="num" val="0"/>
        <cfvo type="num" val="1"/>
        <color rgb="001E6B3C"/>
      </dataBar>
    </cfRule>
  </conditionalFormatting>
  <conditionalFormatting sqref="E25:G38">
    <cfRule type="expression" priority="127" dxfId="1482" stopIfTrue="1">
      <formula>Devise_Base="XOF"</formula>
    </cfRule>
    <cfRule type="expression" priority="128" dxfId="1483" stopIfTrue="1">
      <formula>Devise_Base="XAF"</formula>
    </cfRule>
    <cfRule type="expression" priority="129" dxfId="1484" stopIfTrue="1">
      <formula>Devise_Base="EUR"</formula>
    </cfRule>
    <cfRule type="expression" priority="130" dxfId="1485" stopIfTrue="1">
      <formula>Devise_Base="USD"</formula>
    </cfRule>
    <cfRule type="expression" priority="131" dxfId="1486" stopIfTrue="1">
      <formula>Devise_Base="GBP"</formula>
    </cfRule>
    <cfRule type="expression" priority="132" dxfId="1487" stopIfTrue="1">
      <formula>Devise_Base="CAD"</formula>
    </cfRule>
    <cfRule type="expression" priority="133" dxfId="1488" stopIfTrue="1">
      <formula>Devise_Base="CHF"</formula>
    </cfRule>
    <cfRule type="expression" priority="134" dxfId="1489" stopIfTrue="1">
      <formula>Devise_Base="MAD"</formula>
    </cfRule>
    <cfRule type="expression" priority="135" dxfId="1490" stopIfTrue="1">
      <formula>Devise_Base="NGN"</formula>
    </cfRule>
    <cfRule type="expression" priority="136" dxfId="1491" stopIfTrue="1">
      <formula>Devise_Base="GHS"</formula>
    </cfRule>
    <cfRule type="expression" priority="137" dxfId="1492" stopIfTrue="1">
      <formula>Devise_Base="CDF"</formula>
    </cfRule>
    <cfRule type="expression" priority="138" dxfId="1493" stopIfTrue="1">
      <formula>Devise_Base="ZAR"</formula>
    </cfRule>
    <cfRule type="expression" priority="139" dxfId="1494" stopIfTrue="1">
      <formula>Devise_Base="AED"</formula>
    </cfRule>
    <cfRule type="expression" priority="140" dxfId="1495" stopIfTrue="1">
      <formula>Devise_Base="MRU"</formula>
    </cfRule>
    <cfRule type="expression" priority="141" dxfId="1496" stopIfTrue="1">
      <formula>Devise_Base="GNF"</formula>
    </cfRule>
  </conditionalFormatting>
  <conditionalFormatting sqref="E39:G39">
    <cfRule type="expression" priority="142" dxfId="1497" stopIfTrue="1">
      <formula>Devise_Base="XOF"</formula>
    </cfRule>
    <cfRule type="expression" priority="143" dxfId="1498" stopIfTrue="1">
      <formula>Devise_Base="XAF"</formula>
    </cfRule>
    <cfRule type="expression" priority="144" dxfId="1499" stopIfTrue="1">
      <formula>Devise_Base="EUR"</formula>
    </cfRule>
    <cfRule type="expression" priority="145" dxfId="1500" stopIfTrue="1">
      <formula>Devise_Base="USD"</formula>
    </cfRule>
    <cfRule type="expression" priority="146" dxfId="1501" stopIfTrue="1">
      <formula>Devise_Base="GBP"</formula>
    </cfRule>
    <cfRule type="expression" priority="147" dxfId="1502" stopIfTrue="1">
      <formula>Devise_Base="CAD"</formula>
    </cfRule>
    <cfRule type="expression" priority="148" dxfId="1503" stopIfTrue="1">
      <formula>Devise_Base="CHF"</formula>
    </cfRule>
    <cfRule type="expression" priority="149" dxfId="1504" stopIfTrue="1">
      <formula>Devise_Base="MAD"</formula>
    </cfRule>
    <cfRule type="expression" priority="150" dxfId="1505" stopIfTrue="1">
      <formula>Devise_Base="NGN"</formula>
    </cfRule>
    <cfRule type="expression" priority="151" dxfId="1506" stopIfTrue="1">
      <formula>Devise_Base="GHS"</formula>
    </cfRule>
    <cfRule type="expression" priority="152" dxfId="1507" stopIfTrue="1">
      <formula>Devise_Base="CDF"</formula>
    </cfRule>
    <cfRule type="expression" priority="153" dxfId="1508" stopIfTrue="1">
      <formula>Devise_Base="ZAR"</formula>
    </cfRule>
    <cfRule type="expression" priority="154" dxfId="1509" stopIfTrue="1">
      <formula>Devise_Base="AED"</formula>
    </cfRule>
    <cfRule type="expression" priority="155" dxfId="1510" stopIfTrue="1">
      <formula>Devise_Base="MRU"</formula>
    </cfRule>
    <cfRule type="expression" priority="156" dxfId="1511" stopIfTrue="1">
      <formula>Devise_Base="GNF"</formula>
    </cfRule>
  </conditionalFormatting>
  <conditionalFormatting sqref="B44:I63">
    <cfRule type="expression" priority="157" dxfId="75" stopIfTrue="0">
      <formula>MOD(ROW()-44,2)=1</formula>
    </cfRule>
  </conditionalFormatting>
  <conditionalFormatting sqref="F44:H63">
    <cfRule type="expression" priority="158" dxfId="1512" stopIfTrue="1">
      <formula>Devise_Base="XOF"</formula>
    </cfRule>
    <cfRule type="expression" priority="159" dxfId="1513" stopIfTrue="1">
      <formula>Devise_Base="XAF"</formula>
    </cfRule>
    <cfRule type="expression" priority="160" dxfId="1514" stopIfTrue="1">
      <formula>Devise_Base="EUR"</formula>
    </cfRule>
    <cfRule type="expression" priority="161" dxfId="1515" stopIfTrue="1">
      <formula>Devise_Base="USD"</formula>
    </cfRule>
    <cfRule type="expression" priority="162" dxfId="1516" stopIfTrue="1">
      <formula>Devise_Base="GBP"</formula>
    </cfRule>
    <cfRule type="expression" priority="163" dxfId="1517" stopIfTrue="1">
      <formula>Devise_Base="CAD"</formula>
    </cfRule>
    <cfRule type="expression" priority="164" dxfId="1518" stopIfTrue="1">
      <formula>Devise_Base="CHF"</formula>
    </cfRule>
    <cfRule type="expression" priority="165" dxfId="1519" stopIfTrue="1">
      <formula>Devise_Base="MAD"</formula>
    </cfRule>
    <cfRule type="expression" priority="166" dxfId="1520" stopIfTrue="1">
      <formula>Devise_Base="NGN"</formula>
    </cfRule>
    <cfRule type="expression" priority="167" dxfId="1521" stopIfTrue="1">
      <formula>Devise_Base="GHS"</formula>
    </cfRule>
    <cfRule type="expression" priority="168" dxfId="1522" stopIfTrue="1">
      <formula>Devise_Base="CDF"</formula>
    </cfRule>
    <cfRule type="expression" priority="169" dxfId="1523" stopIfTrue="1">
      <formula>Devise_Base="ZAR"</formula>
    </cfRule>
    <cfRule type="expression" priority="170" dxfId="1524" stopIfTrue="1">
      <formula>Devise_Base="AED"</formula>
    </cfRule>
    <cfRule type="expression" priority="171" dxfId="1525" stopIfTrue="1">
      <formula>Devise_Base="MRU"</formula>
    </cfRule>
    <cfRule type="expression" priority="172" dxfId="1526" stopIfTrue="1">
      <formula>Devise_Base="GNF"</formula>
    </cfRule>
  </conditionalFormatting>
  <conditionalFormatting sqref="E69:F69">
    <cfRule type="expression" priority="173" dxfId="1527" stopIfTrue="1">
      <formula>Devise_Base="XOF"</formula>
    </cfRule>
    <cfRule type="expression" priority="174" dxfId="1528" stopIfTrue="1">
      <formula>Devise_Base="XAF"</formula>
    </cfRule>
    <cfRule type="expression" priority="175" dxfId="1529" stopIfTrue="1">
      <formula>Devise_Base="EUR"</formula>
    </cfRule>
    <cfRule type="expression" priority="176" dxfId="1530" stopIfTrue="1">
      <formula>Devise_Base="USD"</formula>
    </cfRule>
    <cfRule type="expression" priority="177" dxfId="1531" stopIfTrue="1">
      <formula>Devise_Base="GBP"</formula>
    </cfRule>
    <cfRule type="expression" priority="178" dxfId="1532" stopIfTrue="1">
      <formula>Devise_Base="CAD"</formula>
    </cfRule>
    <cfRule type="expression" priority="179" dxfId="1533" stopIfTrue="1">
      <formula>Devise_Base="CHF"</formula>
    </cfRule>
    <cfRule type="expression" priority="180" dxfId="1534" stopIfTrue="1">
      <formula>Devise_Base="MAD"</formula>
    </cfRule>
    <cfRule type="expression" priority="181" dxfId="1535" stopIfTrue="1">
      <formula>Devise_Base="NGN"</formula>
    </cfRule>
    <cfRule type="expression" priority="182" dxfId="1536" stopIfTrue="1">
      <formula>Devise_Base="GHS"</formula>
    </cfRule>
    <cfRule type="expression" priority="183" dxfId="1537" stopIfTrue="1">
      <formula>Devise_Base="CDF"</formula>
    </cfRule>
    <cfRule type="expression" priority="184" dxfId="1538" stopIfTrue="1">
      <formula>Devise_Base="ZAR"</formula>
    </cfRule>
    <cfRule type="expression" priority="185" dxfId="1539" stopIfTrue="1">
      <formula>Devise_Base="AED"</formula>
    </cfRule>
    <cfRule type="expression" priority="186" dxfId="1540" stopIfTrue="1">
      <formula>Devise_Base="MRU"</formula>
    </cfRule>
    <cfRule type="expression" priority="187" dxfId="1541" stopIfTrue="1">
      <formula>Devise_Base="GNF"</formula>
    </cfRule>
  </conditionalFormatting>
  <conditionalFormatting sqref="E72:F75">
    <cfRule type="expression" priority="188" dxfId="1542" stopIfTrue="1">
      <formula>Devise_Base="XOF"</formula>
    </cfRule>
    <cfRule type="expression" priority="189" dxfId="1543" stopIfTrue="1">
      <formula>Devise_Base="XAF"</formula>
    </cfRule>
    <cfRule type="expression" priority="190" dxfId="1544" stopIfTrue="1">
      <formula>Devise_Base="EUR"</formula>
    </cfRule>
    <cfRule type="expression" priority="191" dxfId="1545" stopIfTrue="1">
      <formula>Devise_Base="USD"</formula>
    </cfRule>
    <cfRule type="expression" priority="192" dxfId="1546" stopIfTrue="1">
      <formula>Devise_Base="GBP"</formula>
    </cfRule>
    <cfRule type="expression" priority="193" dxfId="1547" stopIfTrue="1">
      <formula>Devise_Base="CAD"</formula>
    </cfRule>
    <cfRule type="expression" priority="194" dxfId="1548" stopIfTrue="1">
      <formula>Devise_Base="CHF"</formula>
    </cfRule>
    <cfRule type="expression" priority="195" dxfId="1549" stopIfTrue="1">
      <formula>Devise_Base="MAD"</formula>
    </cfRule>
    <cfRule type="expression" priority="196" dxfId="1550" stopIfTrue="1">
      <formula>Devise_Base="NGN"</formula>
    </cfRule>
    <cfRule type="expression" priority="197" dxfId="1551" stopIfTrue="1">
      <formula>Devise_Base="GHS"</formula>
    </cfRule>
    <cfRule type="expression" priority="198" dxfId="1552" stopIfTrue="1">
      <formula>Devise_Base="CDF"</formula>
    </cfRule>
    <cfRule type="expression" priority="199" dxfId="1553" stopIfTrue="1">
      <formula>Devise_Base="ZAR"</formula>
    </cfRule>
    <cfRule type="expression" priority="200" dxfId="1554" stopIfTrue="1">
      <formula>Devise_Base="AED"</formula>
    </cfRule>
    <cfRule type="expression" priority="201" dxfId="1555" stopIfTrue="1">
      <formula>Devise_Base="MRU"</formula>
    </cfRule>
    <cfRule type="expression" priority="202" dxfId="1556" stopIfTrue="1">
      <formula>Devise_Base="GNF"</formula>
    </cfRule>
  </conditionalFormatting>
  <dataValidations count="5">
    <dataValidation sqref="D10:D19" showDropDown="0" showInputMessage="0" showErrorMessage="0" allowBlank="1" type="list">
      <formula1>Liste_TypesBien</formula1>
    </dataValidation>
    <dataValidation sqref="R10:R19" showDropDown="0" showInputMessage="0" showErrorMessage="0" allowBlank="1" type="list">
      <formula1>Liste_StatutsBien</formula1>
    </dataValidation>
    <dataValidation sqref="S10:S19" showDropDown="0" showInputMessage="0" showErrorMessage="0" allowBlank="1" type="list">
      <formula1>Liste_Titres</formula1>
    </dataValidation>
    <dataValidation sqref="D25:D38" showDropDown="0" showInputMessage="0" showErrorMessage="0" allowBlank="1" type="list">
      <formula1>Liste_Projets</formula1>
    </dataValidation>
    <dataValidation sqref="D44:D63" showDropDown="0" showInputMessage="0" showErrorMessage="0" allowBlank="1" type="list">
      <formula1>Liste_Projets</formula1>
    </dataValidation>
  </dataValidations>
  <hyperlinks>
    <hyperlink ref="B3" location="'Accueil'!A1"/>
    <hyperlink ref="E3" location="'Paramètres'!A1"/>
    <hyperlink ref="H3" location="'Estimation Annuelle'!A1"/>
    <hyperlink ref="K3" location="'Journal'!A1"/>
    <hyperlink ref="N3" location="'Tableau de Bord'!A1"/>
    <hyperlink ref="Q3" location="'Budget 12 Mois'!A1"/>
  </hyperlink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tabColor rgb="0010706B"/>
    <outlinePr summaryBelow="1" summaryRight="1"/>
    <pageSetUpPr/>
  </sheetPr>
  <dimension ref="A1:O62"/>
  <sheetViews>
    <sheetView showGridLines="0" zoomScale="85" workbookViewId="0">
      <pane ySplit="9" topLeftCell="A10" activePane="bottomLeft" state="frozen"/>
      <selection pane="bottomLeft" activeCell="A1" sqref="A1"/>
    </sheetView>
  </sheetViews>
  <sheetFormatPr baseColWidth="8" defaultRowHeight="15"/>
  <cols>
    <col width="2" customWidth="1" min="1" max="1"/>
    <col width="4" customWidth="1" min="2" max="2"/>
    <col width="32" customWidth="1" min="3" max="3"/>
    <col width="14" customWidth="1" min="4" max="4"/>
    <col width="16" customWidth="1" min="5" max="5"/>
    <col width="13" customWidth="1" min="6" max="6"/>
    <col width="16" customWidth="1" min="7" max="7"/>
    <col width="16" customWidth="1" min="8" max="8"/>
    <col width="11" customWidth="1" min="9" max="9"/>
    <col width="16" customWidth="1" min="10" max="10"/>
    <col width="11" customWidth="1" min="11" max="11"/>
    <col width="18" customWidth="1" min="12" max="12"/>
    <col width="22" customWidth="1" min="13" max="13"/>
    <col width="24" customWidth="1" min="14" max="14"/>
  </cols>
  <sheetData>
    <row r="1" ht="52" customHeight="1">
      <c r="B1" s="46" t="inlineStr">
        <is>
          <t>OBJECTIFS D'ÉPARGNE &amp; PROJETS DE VIE</t>
        </is>
      </c>
      <c r="C1" s="47" t="n"/>
      <c r="D1" s="47" t="n"/>
      <c r="E1" s="47" t="n"/>
      <c r="F1" s="47" t="n"/>
      <c r="G1" s="47" t="n"/>
      <c r="H1" s="47" t="n"/>
      <c r="I1" s="47" t="n"/>
      <c r="J1" s="47" t="n"/>
      <c r="K1" s="47" t="n"/>
      <c r="L1" s="47" t="n"/>
      <c r="M1" s="47" t="n"/>
      <c r="N1" s="47" t="n"/>
    </row>
    <row r="2" ht="20" customHeight="1">
      <c r="B2" s="48" t="inlineStr">
        <is>
          <t>Chaque objectif, son échéance, l'effort mensuel requis et la progression réelle</t>
        </is>
      </c>
      <c r="C2" s="7" t="n"/>
      <c r="D2" s="7" t="n"/>
      <c r="E2" s="7" t="n"/>
      <c r="F2" s="7" t="n"/>
      <c r="G2" s="7" t="n"/>
      <c r="H2" s="7" t="n"/>
      <c r="I2" s="7" t="n"/>
      <c r="J2" s="7" t="n"/>
      <c r="K2" s="7" t="n"/>
      <c r="L2" s="7" t="n"/>
      <c r="M2" s="7" t="n"/>
      <c r="N2" s="7" t="n"/>
    </row>
    <row r="3" ht="20" customHeight="1">
      <c r="B3" s="49" t="inlineStr">
        <is>
          <t>⌂  ACCUEIL</t>
        </is>
      </c>
      <c r="C3" s="42" t="n"/>
      <c r="D3" s="49" t="inlineStr">
        <is>
          <t>①  MES INFOS</t>
        </is>
      </c>
      <c r="E3" s="42" t="n"/>
      <c r="F3" s="49" t="inlineStr">
        <is>
          <t>②  ESTIMATION</t>
        </is>
      </c>
      <c r="G3" s="42" t="n"/>
      <c r="H3" s="49" t="inlineStr">
        <is>
          <t>③  BUDGET SMART</t>
        </is>
      </c>
      <c r="I3" s="42" t="n"/>
      <c r="J3" s="49" t="inlineStr">
        <is>
          <t>TABLEAU DE BORD</t>
        </is>
      </c>
      <c r="K3" s="42" t="n"/>
      <c r="L3" s="49" t="inlineStr">
        <is>
          <t>BUDGET 12 MOIS</t>
        </is>
      </c>
      <c r="M3" s="42" t="n"/>
    </row>
    <row r="4" ht="18" customHeight="1">
      <c r="B4" s="93" t="inlineStr">
        <is>
          <t>OBJECTIFS SUIVIS</t>
        </is>
      </c>
      <c r="C4" s="95" t="n"/>
      <c r="D4" s="27" t="inlineStr">
        <is>
          <t>TOTAL À CONSTITUER</t>
        </is>
      </c>
      <c r="E4" s="79" t="n"/>
      <c r="F4" s="28" t="n"/>
      <c r="G4" s="31" t="inlineStr">
        <is>
          <t>DÉJÀ CONSTITUÉ</t>
        </is>
      </c>
      <c r="H4" s="74" t="n"/>
      <c r="I4" s="32" t="n"/>
      <c r="J4" s="80" t="inlineStr">
        <is>
          <t>RESTE À FINANCER</t>
        </is>
      </c>
      <c r="K4" s="81" t="n"/>
      <c r="L4" s="82" t="n"/>
      <c r="M4" s="76" t="inlineStr">
        <is>
          <t>EFFORT MENSUEL REQUIS</t>
        </is>
      </c>
      <c r="N4" s="77" t="n"/>
      <c r="O4" s="78" t="n"/>
    </row>
    <row r="5" ht="30" customHeight="1">
      <c r="B5" s="96">
        <f>COUNTA($C$10:$C$21)</f>
        <v/>
      </c>
      <c r="C5" s="34" t="n"/>
      <c r="D5" s="33">
        <f>SUM($E$10:$E$21)</f>
        <v/>
      </c>
      <c r="E5" s="83" t="n"/>
      <c r="F5" s="34" t="n"/>
      <c r="G5" s="36">
        <f>SUM($G$10:$G$21)</f>
        <v/>
      </c>
      <c r="H5" s="83" t="n"/>
      <c r="I5" s="34" t="n"/>
      <c r="J5" s="97">
        <f>SUM($H$10:$H$21)</f>
        <v/>
      </c>
      <c r="K5" s="83" t="n"/>
      <c r="L5" s="34" t="n"/>
      <c r="M5" s="84">
        <f>SUM($J$10:$J$21)</f>
        <v/>
      </c>
      <c r="N5" s="83" t="n"/>
      <c r="O5" s="34" t="n"/>
    </row>
    <row r="6" ht="16" customHeight="1">
      <c r="B6" s="37" t="inlineStr"/>
      <c r="C6" s="38" t="n"/>
      <c r="D6" s="37" t="inlineStr"/>
      <c r="E6" s="86" t="n"/>
      <c r="F6" s="38" t="n"/>
      <c r="G6" s="98">
        <f>"Soit "&amp;ROUND(IFERROR(SUM($G$10:$G$21)/SUM($E$10:$E$21),0)*100,0)&amp;" %"&amp;" des objectifs"</f>
        <v/>
      </c>
      <c r="H6" s="86" t="n"/>
      <c r="I6" s="38" t="n"/>
      <c r="J6" s="37" t="inlineStr"/>
      <c r="K6" s="86" t="n"/>
      <c r="L6" s="38" t="n"/>
      <c r="M6" s="37" t="inlineStr">
        <is>
          <t>Toutes échéances confondues</t>
        </is>
      </c>
      <c r="N6" s="86" t="n"/>
      <c r="O6" s="38" t="n"/>
    </row>
    <row r="7" ht="26" customHeight="1">
      <c r="B7" s="41" t="inlineStr">
        <is>
          <t>Pour qu'un objectif se remplisse tout seul, enregistrez vos versements dans le Journal avec le type « Épargne » (ou « Investissement ») et le nom de l'objectif dans la colonne « Projet / Bien ».</t>
        </is>
      </c>
      <c r="C7" s="42" t="n"/>
      <c r="D7" s="42" t="n"/>
      <c r="E7" s="42" t="n"/>
      <c r="F7" s="42" t="n"/>
      <c r="G7" s="42" t="n"/>
      <c r="H7" s="42" t="n"/>
      <c r="I7" s="42" t="n"/>
      <c r="J7" s="42" t="n"/>
      <c r="K7" s="42" t="n"/>
      <c r="L7" s="42" t="n"/>
      <c r="M7" s="42" t="n"/>
      <c r="N7" s="42" t="n"/>
    </row>
    <row r="8" ht="24" customHeight="1">
      <c r="B8" s="6" t="inlineStr">
        <is>
          <t>①  MES OBJECTIFS</t>
        </is>
      </c>
      <c r="C8" s="7" t="n"/>
      <c r="D8" s="7" t="n"/>
      <c r="E8" s="7" t="n"/>
      <c r="F8" s="7" t="n"/>
      <c r="G8" s="7" t="n"/>
      <c r="H8" s="7" t="n"/>
      <c r="I8" s="7" t="n"/>
      <c r="J8" s="7" t="n"/>
      <c r="K8" s="7" t="n"/>
      <c r="L8" s="7" t="n"/>
      <c r="M8" s="7" t="n"/>
      <c r="N8" s="7" t="n"/>
    </row>
    <row r="9" ht="32" customHeight="1">
      <c r="B9" s="63" t="inlineStr">
        <is>
          <t>N°</t>
        </is>
      </c>
      <c r="C9" s="63" t="inlineStr">
        <is>
          <t>Objectif</t>
        </is>
      </c>
      <c r="D9" s="63" t="inlineStr">
        <is>
          <t>Module</t>
        </is>
      </c>
      <c r="E9" s="63" t="inlineStr">
        <is>
          <t>Montant cible</t>
        </is>
      </c>
      <c r="F9" s="63" t="inlineStr">
        <is>
          <t>Échéance</t>
        </is>
      </c>
      <c r="G9" s="63" t="inlineStr">
        <is>
          <t>Déjà constitué</t>
        </is>
      </c>
      <c r="H9" s="63" t="inlineStr">
        <is>
          <t>Reste</t>
        </is>
      </c>
      <c r="I9" s="63" t="inlineStr">
        <is>
          <t>Mois restants</t>
        </is>
      </c>
      <c r="J9" s="63" t="inlineStr">
        <is>
          <t>Effort mensuel</t>
        </is>
      </c>
      <c r="K9" s="63" t="inlineStr">
        <is>
          <t>% atteint</t>
        </is>
      </c>
      <c r="L9" s="63" t="inlineStr">
        <is>
          <t>Statut</t>
        </is>
      </c>
      <c r="M9" s="63" t="inlineStr">
        <is>
          <t>Compte dédié</t>
        </is>
      </c>
      <c r="N9" s="63" t="inlineStr">
        <is>
          <t>Notes</t>
        </is>
      </c>
    </row>
    <row r="10">
      <c r="B10" s="208" t="n">
        <v>1</v>
      </c>
      <c r="C10" s="54" t="inlineStr">
        <is>
          <t>Fonds d'urgence (6 mois de charges)</t>
        </is>
      </c>
      <c r="D10" s="54" t="inlineStr">
        <is>
          <t>Général</t>
        </is>
      </c>
      <c r="E10" s="88" t="n"/>
      <c r="F10" s="88" t="n"/>
      <c r="G10" s="90">
        <f>IF($C10="",0,SUMIFS(J_Montant,J_Projet,$C10,J_Type,"Épargne",J_Statut,"&lt;&gt;Annulé",J_Statut,"&lt;&gt;Prévu")+SUMIFS(J_Montant,J_Projet,$C10,J_Type,"Investissement",J_Statut,"&lt;&gt;Annulé",J_Statut,"&lt;&gt;Prévu"))</f>
        <v/>
      </c>
      <c r="H10" s="90">
        <f>MAX(0,N($E10)-N($G10))</f>
        <v/>
      </c>
      <c r="I10" s="224">
        <f>IF($F10="","",MAX(0,ROUND(($F10-TODAY())/30.4,0)))</f>
        <v/>
      </c>
      <c r="J10" s="90">
        <f>IF($C10="",0,IFERROR($H10/MAX(1,$I10),$H10))</f>
        <v/>
      </c>
      <c r="K10" s="91">
        <f>IFERROR($G10/$E10,0)</f>
        <v/>
      </c>
      <c r="L10" s="220">
        <f>IF($C10="","",IF($K10&gt;=1,"✓ Atteint",IF(AND($F10&lt;&gt;"",$F10&lt;TODAY()),"⚠ Échéance dépassée",IF($K10&gt;=0.5,"Bien engagé",IF($K10&gt;0,"Démarré","À lancer")))))</f>
        <v/>
      </c>
      <c r="M10" s="54" t="n"/>
      <c r="N10" s="54" t="n"/>
    </row>
    <row r="11">
      <c r="B11" s="208" t="n">
        <v>2</v>
      </c>
      <c r="C11" s="54" t="inlineStr">
        <is>
          <t>Apport immobilier</t>
        </is>
      </c>
      <c r="D11" s="54" t="inlineStr">
        <is>
          <t>Immobilier</t>
        </is>
      </c>
      <c r="E11" s="88" t="n"/>
      <c r="F11" s="88" t="n"/>
      <c r="G11" s="90">
        <f>IF($C11="",0,SUMIFS(J_Montant,J_Projet,$C11,J_Type,"Épargne",J_Statut,"&lt;&gt;Annulé",J_Statut,"&lt;&gt;Prévu")+SUMIFS(J_Montant,J_Projet,$C11,J_Type,"Investissement",J_Statut,"&lt;&gt;Annulé",J_Statut,"&lt;&gt;Prévu"))</f>
        <v/>
      </c>
      <c r="H11" s="90">
        <f>MAX(0,N($E11)-N($G11))</f>
        <v/>
      </c>
      <c r="I11" s="224">
        <f>IF($F11="","",MAX(0,ROUND(($F11-TODAY())/30.4,0)))</f>
        <v/>
      </c>
      <c r="J11" s="90">
        <f>IF($C11="",0,IFERROR($H11/MAX(1,$I11),$H11))</f>
        <v/>
      </c>
      <c r="K11" s="91">
        <f>IFERROR($G11/$E11,0)</f>
        <v/>
      </c>
      <c r="L11" s="220">
        <f>IF($C11="","",IF($K11&gt;=1,"✓ Atteint",IF(AND($F11&lt;&gt;"",$F11&lt;TODAY()),"⚠ Échéance dépassée",IF($K11&gt;=0.5,"Bien engagé",IF($K11&gt;0,"Démarré","À lancer")))))</f>
        <v/>
      </c>
      <c r="M11" s="54" t="n"/>
      <c r="N11" s="54" t="n"/>
    </row>
    <row r="12">
      <c r="B12" s="208" t="n">
        <v>3</v>
      </c>
      <c r="C12" s="54" t="inlineStr">
        <is>
          <t>Budget mariage</t>
        </is>
      </c>
      <c r="D12" s="54" t="inlineStr">
        <is>
          <t>Mariage</t>
        </is>
      </c>
      <c r="E12" s="88" t="n"/>
      <c r="F12" s="88" t="n"/>
      <c r="G12" s="90">
        <f>IF($C12="",0,SUMIFS(J_Montant,J_Projet,$C12,J_Type,"Épargne",J_Statut,"&lt;&gt;Annulé",J_Statut,"&lt;&gt;Prévu")+SUMIFS(J_Montant,J_Projet,$C12,J_Type,"Investissement",J_Statut,"&lt;&gt;Annulé",J_Statut,"&lt;&gt;Prévu"))</f>
        <v/>
      </c>
      <c r="H12" s="90">
        <f>MAX(0,N($E12)-N($G12))</f>
        <v/>
      </c>
      <c r="I12" s="224">
        <f>IF($F12="","",MAX(0,ROUND(($F12-TODAY())/30.4,0)))</f>
        <v/>
      </c>
      <c r="J12" s="90">
        <f>IF($C12="",0,IFERROR($H12/MAX(1,$I12),$H12))</f>
        <v/>
      </c>
      <c r="K12" s="91">
        <f>IFERROR($G12/$E12,0)</f>
        <v/>
      </c>
      <c r="L12" s="220">
        <f>IF($C12="","",IF($K12&gt;=1,"✓ Atteint",IF(AND($F12&lt;&gt;"",$F12&lt;TODAY()),"⚠ Échéance dépassée",IF($K12&gt;=0.5,"Bien engagé",IF($K12&gt;0,"Démarré","À lancer")))))</f>
        <v/>
      </c>
      <c r="M12" s="54" t="n"/>
      <c r="N12" s="54" t="n"/>
    </row>
    <row r="13">
      <c r="B13" s="208" t="n">
        <v>4</v>
      </c>
      <c r="C13" s="54" t="inlineStr">
        <is>
          <t>Capital de lancement business</t>
        </is>
      </c>
      <c r="D13" s="54" t="inlineStr">
        <is>
          <t>Business</t>
        </is>
      </c>
      <c r="E13" s="88" t="n"/>
      <c r="F13" s="88" t="n"/>
      <c r="G13" s="90">
        <f>IF($C13="",0,SUMIFS(J_Montant,J_Projet,$C13,J_Type,"Épargne",J_Statut,"&lt;&gt;Annulé",J_Statut,"&lt;&gt;Prévu")+SUMIFS(J_Montant,J_Projet,$C13,J_Type,"Investissement",J_Statut,"&lt;&gt;Annulé",J_Statut,"&lt;&gt;Prévu"))</f>
        <v/>
      </c>
      <c r="H13" s="90">
        <f>MAX(0,N($E13)-N($G13))</f>
        <v/>
      </c>
      <c r="I13" s="224">
        <f>IF($F13="","",MAX(0,ROUND(($F13-TODAY())/30.4,0)))</f>
        <v/>
      </c>
      <c r="J13" s="90">
        <f>IF($C13="",0,IFERROR($H13/MAX(1,$I13),$H13))</f>
        <v/>
      </c>
      <c r="K13" s="91">
        <f>IFERROR($G13/$E13,0)</f>
        <v/>
      </c>
      <c r="L13" s="220">
        <f>IF($C13="","",IF($K13&gt;=1,"✓ Atteint",IF(AND($F13&lt;&gt;"",$F13&lt;TODAY()),"⚠ Échéance dépassée",IF($K13&gt;=0.5,"Bien engagé",IF($K13&gt;0,"Démarré","À lancer")))))</f>
        <v/>
      </c>
      <c r="M13" s="54" t="n"/>
      <c r="N13" s="54" t="n"/>
    </row>
    <row r="14">
      <c r="B14" s="208" t="n">
        <v>5</v>
      </c>
      <c r="C14" s="54" t="inlineStr">
        <is>
          <t>Achat véhicule</t>
        </is>
      </c>
      <c r="D14" s="54" t="inlineStr">
        <is>
          <t>Général</t>
        </is>
      </c>
      <c r="E14" s="88" t="n"/>
      <c r="F14" s="88" t="n"/>
      <c r="G14" s="90">
        <f>IF($C14="",0,SUMIFS(J_Montant,J_Projet,$C14,J_Type,"Épargne",J_Statut,"&lt;&gt;Annulé",J_Statut,"&lt;&gt;Prévu")+SUMIFS(J_Montant,J_Projet,$C14,J_Type,"Investissement",J_Statut,"&lt;&gt;Annulé",J_Statut,"&lt;&gt;Prévu"))</f>
        <v/>
      </c>
      <c r="H14" s="90">
        <f>MAX(0,N($E14)-N($G14))</f>
        <v/>
      </c>
      <c r="I14" s="224">
        <f>IF($F14="","",MAX(0,ROUND(($F14-TODAY())/30.4,0)))</f>
        <v/>
      </c>
      <c r="J14" s="90">
        <f>IF($C14="",0,IFERROR($H14/MAX(1,$I14),$H14))</f>
        <v/>
      </c>
      <c r="K14" s="91">
        <f>IFERROR($G14/$E14,0)</f>
        <v/>
      </c>
      <c r="L14" s="220">
        <f>IF($C14="","",IF($K14&gt;=1,"✓ Atteint",IF(AND($F14&lt;&gt;"",$F14&lt;TODAY()),"⚠ Échéance dépassée",IF($K14&gt;=0.5,"Bien engagé",IF($K14&gt;0,"Démarré","À lancer")))))</f>
        <v/>
      </c>
      <c r="M14" s="54" t="n"/>
      <c r="N14" s="54" t="n"/>
    </row>
    <row r="15">
      <c r="B15" s="208" t="n">
        <v>6</v>
      </c>
      <c r="C15" s="54" t="inlineStr">
        <is>
          <t>Études des enfants</t>
        </is>
      </c>
      <c r="D15" s="54" t="inlineStr">
        <is>
          <t>Général</t>
        </is>
      </c>
      <c r="E15" s="88" t="n"/>
      <c r="F15" s="88" t="n"/>
      <c r="G15" s="90">
        <f>IF($C15="",0,SUMIFS(J_Montant,J_Projet,$C15,J_Type,"Épargne",J_Statut,"&lt;&gt;Annulé",J_Statut,"&lt;&gt;Prévu")+SUMIFS(J_Montant,J_Projet,$C15,J_Type,"Investissement",J_Statut,"&lt;&gt;Annulé",J_Statut,"&lt;&gt;Prévu"))</f>
        <v/>
      </c>
      <c r="H15" s="90">
        <f>MAX(0,N($E15)-N($G15))</f>
        <v/>
      </c>
      <c r="I15" s="224">
        <f>IF($F15="","",MAX(0,ROUND(($F15-TODAY())/30.4,0)))</f>
        <v/>
      </c>
      <c r="J15" s="90">
        <f>IF($C15="",0,IFERROR($H15/MAX(1,$I15),$H15))</f>
        <v/>
      </c>
      <c r="K15" s="91">
        <f>IFERROR($G15/$E15,0)</f>
        <v/>
      </c>
      <c r="L15" s="220">
        <f>IF($C15="","",IF($K15&gt;=1,"✓ Atteint",IF(AND($F15&lt;&gt;"",$F15&lt;TODAY()),"⚠ Échéance dépassée",IF($K15&gt;=0.5,"Bien engagé",IF($K15&gt;0,"Démarré","À lancer")))))</f>
        <v/>
      </c>
      <c r="M15" s="54" t="n"/>
      <c r="N15" s="54" t="n"/>
    </row>
    <row r="16">
      <c r="B16" s="208" t="n">
        <v>7</v>
      </c>
      <c r="C16" s="54" t="inlineStr">
        <is>
          <t>Retraite / long terme</t>
        </is>
      </c>
      <c r="D16" s="54" t="inlineStr">
        <is>
          <t>Général</t>
        </is>
      </c>
      <c r="E16" s="88" t="n"/>
      <c r="F16" s="88" t="n"/>
      <c r="G16" s="90">
        <f>IF($C16="",0,SUMIFS(J_Montant,J_Projet,$C16,J_Type,"Épargne",J_Statut,"&lt;&gt;Annulé",J_Statut,"&lt;&gt;Prévu")+SUMIFS(J_Montant,J_Projet,$C16,J_Type,"Investissement",J_Statut,"&lt;&gt;Annulé",J_Statut,"&lt;&gt;Prévu"))</f>
        <v/>
      </c>
      <c r="H16" s="90">
        <f>MAX(0,N($E16)-N($G16))</f>
        <v/>
      </c>
      <c r="I16" s="224">
        <f>IF($F16="","",MAX(0,ROUND(($F16-TODAY())/30.4,0)))</f>
        <v/>
      </c>
      <c r="J16" s="90">
        <f>IF($C16="",0,IFERROR($H16/MAX(1,$I16),$H16))</f>
        <v/>
      </c>
      <c r="K16" s="91">
        <f>IFERROR($G16/$E16,0)</f>
        <v/>
      </c>
      <c r="L16" s="220">
        <f>IF($C16="","",IF($K16&gt;=1,"✓ Atteint",IF(AND($F16&lt;&gt;"",$F16&lt;TODAY()),"⚠ Échéance dépassée",IF($K16&gt;=0.5,"Bien engagé",IF($K16&gt;0,"Démarré","À lancer")))))</f>
        <v/>
      </c>
      <c r="M16" s="54" t="n"/>
      <c r="N16" s="54" t="n"/>
    </row>
    <row r="17">
      <c r="B17" s="208" t="n">
        <v>8</v>
      </c>
      <c r="C17" s="54" t="inlineStr">
        <is>
          <t>Voyage</t>
        </is>
      </c>
      <c r="D17" s="54" t="inlineStr">
        <is>
          <t>Général</t>
        </is>
      </c>
      <c r="E17" s="88" t="n"/>
      <c r="F17" s="88" t="n"/>
      <c r="G17" s="90">
        <f>IF($C17="",0,SUMIFS(J_Montant,J_Projet,$C17,J_Type,"Épargne",J_Statut,"&lt;&gt;Annulé",J_Statut,"&lt;&gt;Prévu")+SUMIFS(J_Montant,J_Projet,$C17,J_Type,"Investissement",J_Statut,"&lt;&gt;Annulé",J_Statut,"&lt;&gt;Prévu"))</f>
        <v/>
      </c>
      <c r="H17" s="90">
        <f>MAX(0,N($E17)-N($G17))</f>
        <v/>
      </c>
      <c r="I17" s="224">
        <f>IF($F17="","",MAX(0,ROUND(($F17-TODAY())/30.4,0)))</f>
        <v/>
      </c>
      <c r="J17" s="90">
        <f>IF($C17="",0,IFERROR($H17/MAX(1,$I17),$H17))</f>
        <v/>
      </c>
      <c r="K17" s="91">
        <f>IFERROR($G17/$E17,0)</f>
        <v/>
      </c>
      <c r="L17" s="220">
        <f>IF($C17="","",IF($K17&gt;=1,"✓ Atteint",IF(AND($F17&lt;&gt;"",$F17&lt;TODAY()),"⚠ Échéance dépassée",IF($K17&gt;=0.5,"Bien engagé",IF($K17&gt;0,"Démarré","À lancer")))))</f>
        <v/>
      </c>
      <c r="M17" s="54" t="n"/>
      <c r="N17" s="54" t="n"/>
    </row>
    <row r="18">
      <c r="B18" s="208" t="n">
        <v>9</v>
      </c>
      <c r="C18" s="54" t="n"/>
      <c r="D18" s="54" t="n"/>
      <c r="E18" s="88" t="n"/>
      <c r="F18" s="88" t="n"/>
      <c r="G18" s="90">
        <f>IF($C18="",0,SUMIFS(J_Montant,J_Projet,$C18,J_Type,"Épargne",J_Statut,"&lt;&gt;Annulé",J_Statut,"&lt;&gt;Prévu")+SUMIFS(J_Montant,J_Projet,$C18,J_Type,"Investissement",J_Statut,"&lt;&gt;Annulé",J_Statut,"&lt;&gt;Prévu"))</f>
        <v/>
      </c>
      <c r="H18" s="90">
        <f>MAX(0,N($E18)-N($G18))</f>
        <v/>
      </c>
      <c r="I18" s="224">
        <f>IF($F18="","",MAX(0,ROUND(($F18-TODAY())/30.4,0)))</f>
        <v/>
      </c>
      <c r="J18" s="90">
        <f>IF($C18="",0,IFERROR($H18/MAX(1,$I18),$H18))</f>
        <v/>
      </c>
      <c r="K18" s="91">
        <f>IFERROR($G18/$E18,0)</f>
        <v/>
      </c>
      <c r="L18" s="220">
        <f>IF($C18="","",IF($K18&gt;=1,"✓ Atteint",IF(AND($F18&lt;&gt;"",$F18&lt;TODAY()),"⚠ Échéance dépassée",IF($K18&gt;=0.5,"Bien engagé",IF($K18&gt;0,"Démarré","À lancer")))))</f>
        <v/>
      </c>
      <c r="M18" s="54" t="n"/>
      <c r="N18" s="54" t="n"/>
    </row>
    <row r="19">
      <c r="B19" s="208" t="n">
        <v>10</v>
      </c>
      <c r="C19" s="54" t="n"/>
      <c r="D19" s="54" t="n"/>
      <c r="E19" s="88" t="n"/>
      <c r="F19" s="88" t="n"/>
      <c r="G19" s="90">
        <f>IF($C19="",0,SUMIFS(J_Montant,J_Projet,$C19,J_Type,"Épargne",J_Statut,"&lt;&gt;Annulé",J_Statut,"&lt;&gt;Prévu")+SUMIFS(J_Montant,J_Projet,$C19,J_Type,"Investissement",J_Statut,"&lt;&gt;Annulé",J_Statut,"&lt;&gt;Prévu"))</f>
        <v/>
      </c>
      <c r="H19" s="90">
        <f>MAX(0,N($E19)-N($G19))</f>
        <v/>
      </c>
      <c r="I19" s="224">
        <f>IF($F19="","",MAX(0,ROUND(($F19-TODAY())/30.4,0)))</f>
        <v/>
      </c>
      <c r="J19" s="90">
        <f>IF($C19="",0,IFERROR($H19/MAX(1,$I19),$H19))</f>
        <v/>
      </c>
      <c r="K19" s="91">
        <f>IFERROR($G19/$E19,0)</f>
        <v/>
      </c>
      <c r="L19" s="220">
        <f>IF($C19="","",IF($K19&gt;=1,"✓ Atteint",IF(AND($F19&lt;&gt;"",$F19&lt;TODAY()),"⚠ Échéance dépassée",IF($K19&gt;=0.5,"Bien engagé",IF($K19&gt;0,"Démarré","À lancer")))))</f>
        <v/>
      </c>
      <c r="M19" s="54" t="n"/>
      <c r="N19" s="54" t="n"/>
    </row>
    <row r="20">
      <c r="B20" s="208" t="n">
        <v>11</v>
      </c>
      <c r="C20" s="54" t="n"/>
      <c r="D20" s="54" t="n"/>
      <c r="E20" s="88" t="n"/>
      <c r="F20" s="88" t="n"/>
      <c r="G20" s="90">
        <f>IF($C20="",0,SUMIFS(J_Montant,J_Projet,$C20,J_Type,"Épargne",J_Statut,"&lt;&gt;Annulé",J_Statut,"&lt;&gt;Prévu")+SUMIFS(J_Montant,J_Projet,$C20,J_Type,"Investissement",J_Statut,"&lt;&gt;Annulé",J_Statut,"&lt;&gt;Prévu"))</f>
        <v/>
      </c>
      <c r="H20" s="90">
        <f>MAX(0,N($E20)-N($G20))</f>
        <v/>
      </c>
      <c r="I20" s="224">
        <f>IF($F20="","",MAX(0,ROUND(($F20-TODAY())/30.4,0)))</f>
        <v/>
      </c>
      <c r="J20" s="90">
        <f>IF($C20="",0,IFERROR($H20/MAX(1,$I20),$H20))</f>
        <v/>
      </c>
      <c r="K20" s="91">
        <f>IFERROR($G20/$E20,0)</f>
        <v/>
      </c>
      <c r="L20" s="220">
        <f>IF($C20="","",IF($K20&gt;=1,"✓ Atteint",IF(AND($F20&lt;&gt;"",$F20&lt;TODAY()),"⚠ Échéance dépassée",IF($K20&gt;=0.5,"Bien engagé",IF($K20&gt;0,"Démarré","À lancer")))))</f>
        <v/>
      </c>
      <c r="M20" s="54" t="n"/>
      <c r="N20" s="54" t="n"/>
    </row>
    <row r="21">
      <c r="B21" s="208" t="n">
        <v>12</v>
      </c>
      <c r="C21" s="54" t="n"/>
      <c r="D21" s="54" t="n"/>
      <c r="E21" s="88" t="n"/>
      <c r="F21" s="88" t="n"/>
      <c r="G21" s="90">
        <f>IF($C21="",0,SUMIFS(J_Montant,J_Projet,$C21,J_Type,"Épargne",J_Statut,"&lt;&gt;Annulé",J_Statut,"&lt;&gt;Prévu")+SUMIFS(J_Montant,J_Projet,$C21,J_Type,"Investissement",J_Statut,"&lt;&gt;Annulé",J_Statut,"&lt;&gt;Prévu"))</f>
        <v/>
      </c>
      <c r="H21" s="90">
        <f>MAX(0,N($E21)-N($G21))</f>
        <v/>
      </c>
      <c r="I21" s="224">
        <f>IF($F21="","",MAX(0,ROUND(($F21-TODAY())/30.4,0)))</f>
        <v/>
      </c>
      <c r="J21" s="90">
        <f>IF($C21="",0,IFERROR($H21/MAX(1,$I21),$H21))</f>
        <v/>
      </c>
      <c r="K21" s="91">
        <f>IFERROR($G21/$E21,0)</f>
        <v/>
      </c>
      <c r="L21" s="220">
        <f>IF($C21="","",IF($K21&gt;=1,"✓ Atteint",IF(AND($F21&lt;&gt;"",$F21&lt;TODAY()),"⚠ Échéance dépassée",IF($K21&gt;=0.5,"Bien engagé",IF($K21&gt;0,"Démarré","À lancer")))))</f>
        <v/>
      </c>
      <c r="M21" s="54" t="n"/>
      <c r="N21" s="54" t="n"/>
    </row>
    <row r="22">
      <c r="B22" s="134" t="n"/>
      <c r="C22" s="134" t="inlineStr">
        <is>
          <t>TOTAL</t>
        </is>
      </c>
      <c r="D22" s="134" t="n"/>
      <c r="E22" s="135">
        <f>SUM(E10:E21)</f>
        <v/>
      </c>
      <c r="F22" s="134" t="n"/>
      <c r="G22" s="135">
        <f>SUM(G10:G21)</f>
        <v/>
      </c>
      <c r="H22" s="135">
        <f>SUM(H10:H21)</f>
        <v/>
      </c>
      <c r="I22" s="134" t="n"/>
      <c r="J22" s="135">
        <f>SUM(J10:J21)</f>
        <v/>
      </c>
      <c r="K22" s="136">
        <f>IFERROR($G22/$E22,0)</f>
        <v/>
      </c>
      <c r="L22" s="134" t="n"/>
      <c r="M22" s="134" t="n"/>
      <c r="N22" s="134" t="n"/>
    </row>
    <row r="23"/>
    <row r="24"/>
    <row r="25" ht="24" customHeight="1">
      <c r="B25" s="6" t="inlineStr">
        <is>
          <t>②  SIMULATEUR D'ÉPARGNE ET D'INTÉRÊTS COMPOSÉS</t>
        </is>
      </c>
      <c r="C25" s="7" t="n"/>
      <c r="D25" s="7" t="n"/>
      <c r="E25" s="7" t="n"/>
      <c r="F25" s="7" t="n"/>
      <c r="G25" s="7" t="n"/>
      <c r="H25" s="7" t="n"/>
    </row>
    <row r="26"/>
    <row r="27" ht="22" customHeight="1">
      <c r="B27" s="52" t="inlineStr">
        <is>
          <t>Versement mensuel</t>
        </is>
      </c>
      <c r="D27" s="61" t="n">
        <v>50000</v>
      </c>
      <c r="E27" s="54" t="n"/>
      <c r="F27" s="55" t="inlineStr">
        <is>
          <t>Ce que vous placez chaque mois.</t>
        </is>
      </c>
    </row>
    <row r="28" ht="22" customHeight="1">
      <c r="B28" s="52" t="inlineStr">
        <is>
          <t>Apport initial</t>
        </is>
      </c>
      <c r="D28" s="61" t="n">
        <v>0</v>
      </c>
      <c r="E28" s="54" t="n"/>
    </row>
    <row r="29" ht="22" customHeight="1">
      <c r="B29" s="52" t="inlineStr">
        <is>
          <t>Rendement annuel brut</t>
        </is>
      </c>
      <c r="D29" s="223" t="n">
        <v>0.05</v>
      </c>
      <c r="E29" s="54" t="n"/>
      <c r="F29" s="55" t="inlineStr">
        <is>
          <t>Taux moyen espéré de votre placement.</t>
        </is>
      </c>
    </row>
    <row r="30" ht="22" customHeight="1">
      <c r="B30" s="52" t="inlineStr">
        <is>
          <t>Horizon (années)</t>
        </is>
      </c>
      <c r="D30" s="57" t="n">
        <v>20</v>
      </c>
      <c r="E30" s="54" t="n"/>
    </row>
    <row r="31"/>
    <row r="32" ht="30" customHeight="1">
      <c r="B32" s="63" t="inlineStr">
        <is>
          <t>Année</t>
        </is>
      </c>
      <c r="C32" s="63" t="inlineStr">
        <is>
          <t>Versements cumulés</t>
        </is>
      </c>
      <c r="D32" s="63" t="inlineStr">
        <is>
          <t>Valeur acquise</t>
        </is>
      </c>
      <c r="E32" s="63" t="inlineStr">
        <is>
          <t>Gains</t>
        </is>
      </c>
      <c r="F32" s="63" t="inlineStr">
        <is>
          <t>Progression</t>
        </is>
      </c>
    </row>
    <row r="33">
      <c r="B33" s="208" t="n">
        <v>1</v>
      </c>
      <c r="C33" s="213">
        <f>IF($B33&gt;$D$30,"",$D$28+$D$27*12*$B33)</f>
        <v/>
      </c>
      <c r="D33" s="213">
        <f>IF($B33&gt;$D$30,"",($D$28+$D$27*12)*(1+$D$29))</f>
        <v/>
      </c>
      <c r="E33" s="213">
        <f>IF($B33&gt;$D$30,"",$D33-$C33)</f>
        <v/>
      </c>
      <c r="F33" s="215">
        <f>IF($B33&gt;$D$30,"",REPT("█",MIN(30,ROUND($D33/MAX(1,$D$62)*30,0))))</f>
        <v/>
      </c>
    </row>
    <row r="34">
      <c r="B34" s="208" t="n">
        <v>2</v>
      </c>
      <c r="C34" s="213">
        <f>IF($B34&gt;$D$30,"",$D$28+$D$27*12*$B34)</f>
        <v/>
      </c>
      <c r="D34" s="213">
        <f>IF($B34&gt;$D$30,"",($D33+$D$27*12)*(1+$D$29))</f>
        <v/>
      </c>
      <c r="E34" s="213">
        <f>IF($B34&gt;$D$30,"",$D34-$C34)</f>
        <v/>
      </c>
      <c r="F34" s="215">
        <f>IF($B34&gt;$D$30,"",REPT("█",MIN(30,ROUND($D34/MAX(1,$D$62)*30,0))))</f>
        <v/>
      </c>
    </row>
    <row r="35">
      <c r="B35" s="208" t="n">
        <v>3</v>
      </c>
      <c r="C35" s="213">
        <f>IF($B35&gt;$D$30,"",$D$28+$D$27*12*$B35)</f>
        <v/>
      </c>
      <c r="D35" s="213">
        <f>IF($B35&gt;$D$30,"",($D34+$D$27*12)*(1+$D$29))</f>
        <v/>
      </c>
      <c r="E35" s="213">
        <f>IF($B35&gt;$D$30,"",$D35-$C35)</f>
        <v/>
      </c>
      <c r="F35" s="215">
        <f>IF($B35&gt;$D$30,"",REPT("█",MIN(30,ROUND($D35/MAX(1,$D$62)*30,0))))</f>
        <v/>
      </c>
    </row>
    <row r="36">
      <c r="B36" s="208" t="n">
        <v>4</v>
      </c>
      <c r="C36" s="213">
        <f>IF($B36&gt;$D$30,"",$D$28+$D$27*12*$B36)</f>
        <v/>
      </c>
      <c r="D36" s="213">
        <f>IF($B36&gt;$D$30,"",($D35+$D$27*12)*(1+$D$29))</f>
        <v/>
      </c>
      <c r="E36" s="213">
        <f>IF($B36&gt;$D$30,"",$D36-$C36)</f>
        <v/>
      </c>
      <c r="F36" s="215">
        <f>IF($B36&gt;$D$30,"",REPT("█",MIN(30,ROUND($D36/MAX(1,$D$62)*30,0))))</f>
        <v/>
      </c>
    </row>
    <row r="37">
      <c r="B37" s="208" t="n">
        <v>5</v>
      </c>
      <c r="C37" s="213">
        <f>IF($B37&gt;$D$30,"",$D$28+$D$27*12*$B37)</f>
        <v/>
      </c>
      <c r="D37" s="213">
        <f>IF($B37&gt;$D$30,"",($D36+$D$27*12)*(1+$D$29))</f>
        <v/>
      </c>
      <c r="E37" s="213">
        <f>IF($B37&gt;$D$30,"",$D37-$C37)</f>
        <v/>
      </c>
      <c r="F37" s="215">
        <f>IF($B37&gt;$D$30,"",REPT("█",MIN(30,ROUND($D37/MAX(1,$D$62)*30,0))))</f>
        <v/>
      </c>
    </row>
    <row r="38">
      <c r="B38" s="208" t="n">
        <v>6</v>
      </c>
      <c r="C38" s="213">
        <f>IF($B38&gt;$D$30,"",$D$28+$D$27*12*$B38)</f>
        <v/>
      </c>
      <c r="D38" s="213">
        <f>IF($B38&gt;$D$30,"",($D37+$D$27*12)*(1+$D$29))</f>
        <v/>
      </c>
      <c r="E38" s="213">
        <f>IF($B38&gt;$D$30,"",$D38-$C38)</f>
        <v/>
      </c>
      <c r="F38" s="215">
        <f>IF($B38&gt;$D$30,"",REPT("█",MIN(30,ROUND($D38/MAX(1,$D$62)*30,0))))</f>
        <v/>
      </c>
    </row>
    <row r="39">
      <c r="B39" s="208" t="n">
        <v>7</v>
      </c>
      <c r="C39" s="213">
        <f>IF($B39&gt;$D$30,"",$D$28+$D$27*12*$B39)</f>
        <v/>
      </c>
      <c r="D39" s="213">
        <f>IF($B39&gt;$D$30,"",($D38+$D$27*12)*(1+$D$29))</f>
        <v/>
      </c>
      <c r="E39" s="213">
        <f>IF($B39&gt;$D$30,"",$D39-$C39)</f>
        <v/>
      </c>
      <c r="F39" s="215">
        <f>IF($B39&gt;$D$30,"",REPT("█",MIN(30,ROUND($D39/MAX(1,$D$62)*30,0))))</f>
        <v/>
      </c>
    </row>
    <row r="40">
      <c r="B40" s="208" t="n">
        <v>8</v>
      </c>
      <c r="C40" s="213">
        <f>IF($B40&gt;$D$30,"",$D$28+$D$27*12*$B40)</f>
        <v/>
      </c>
      <c r="D40" s="213">
        <f>IF($B40&gt;$D$30,"",($D39+$D$27*12)*(1+$D$29))</f>
        <v/>
      </c>
      <c r="E40" s="213">
        <f>IF($B40&gt;$D$30,"",$D40-$C40)</f>
        <v/>
      </c>
      <c r="F40" s="215">
        <f>IF($B40&gt;$D$30,"",REPT("█",MIN(30,ROUND($D40/MAX(1,$D$62)*30,0))))</f>
        <v/>
      </c>
    </row>
    <row r="41">
      <c r="B41" s="208" t="n">
        <v>9</v>
      </c>
      <c r="C41" s="213">
        <f>IF($B41&gt;$D$30,"",$D$28+$D$27*12*$B41)</f>
        <v/>
      </c>
      <c r="D41" s="213">
        <f>IF($B41&gt;$D$30,"",($D40+$D$27*12)*(1+$D$29))</f>
        <v/>
      </c>
      <c r="E41" s="213">
        <f>IF($B41&gt;$D$30,"",$D41-$C41)</f>
        <v/>
      </c>
      <c r="F41" s="215">
        <f>IF($B41&gt;$D$30,"",REPT("█",MIN(30,ROUND($D41/MAX(1,$D$62)*30,0))))</f>
        <v/>
      </c>
    </row>
    <row r="42">
      <c r="B42" s="208" t="n">
        <v>10</v>
      </c>
      <c r="C42" s="213">
        <f>IF($B42&gt;$D$30,"",$D$28+$D$27*12*$B42)</f>
        <v/>
      </c>
      <c r="D42" s="213">
        <f>IF($B42&gt;$D$30,"",($D41+$D$27*12)*(1+$D$29))</f>
        <v/>
      </c>
      <c r="E42" s="213">
        <f>IF($B42&gt;$D$30,"",$D42-$C42)</f>
        <v/>
      </c>
      <c r="F42" s="215">
        <f>IF($B42&gt;$D$30,"",REPT("█",MIN(30,ROUND($D42/MAX(1,$D$62)*30,0))))</f>
        <v/>
      </c>
    </row>
    <row r="43">
      <c r="B43" s="208" t="n">
        <v>11</v>
      </c>
      <c r="C43" s="213">
        <f>IF($B43&gt;$D$30,"",$D$28+$D$27*12*$B43)</f>
        <v/>
      </c>
      <c r="D43" s="213">
        <f>IF($B43&gt;$D$30,"",($D42+$D$27*12)*(1+$D$29))</f>
        <v/>
      </c>
      <c r="E43" s="213">
        <f>IF($B43&gt;$D$30,"",$D43-$C43)</f>
        <v/>
      </c>
      <c r="F43" s="215">
        <f>IF($B43&gt;$D$30,"",REPT("█",MIN(30,ROUND($D43/MAX(1,$D$62)*30,0))))</f>
        <v/>
      </c>
    </row>
    <row r="44">
      <c r="B44" s="208" t="n">
        <v>12</v>
      </c>
      <c r="C44" s="213">
        <f>IF($B44&gt;$D$30,"",$D$28+$D$27*12*$B44)</f>
        <v/>
      </c>
      <c r="D44" s="213">
        <f>IF($B44&gt;$D$30,"",($D43+$D$27*12)*(1+$D$29))</f>
        <v/>
      </c>
      <c r="E44" s="213">
        <f>IF($B44&gt;$D$30,"",$D44-$C44)</f>
        <v/>
      </c>
      <c r="F44" s="215">
        <f>IF($B44&gt;$D$30,"",REPT("█",MIN(30,ROUND($D44/MAX(1,$D$62)*30,0))))</f>
        <v/>
      </c>
    </row>
    <row r="45">
      <c r="B45" s="208" t="n">
        <v>13</v>
      </c>
      <c r="C45" s="213">
        <f>IF($B45&gt;$D$30,"",$D$28+$D$27*12*$B45)</f>
        <v/>
      </c>
      <c r="D45" s="213">
        <f>IF($B45&gt;$D$30,"",($D44+$D$27*12)*(1+$D$29))</f>
        <v/>
      </c>
      <c r="E45" s="213">
        <f>IF($B45&gt;$D$30,"",$D45-$C45)</f>
        <v/>
      </c>
      <c r="F45" s="215">
        <f>IF($B45&gt;$D$30,"",REPT("█",MIN(30,ROUND($D45/MAX(1,$D$62)*30,0))))</f>
        <v/>
      </c>
    </row>
    <row r="46">
      <c r="B46" s="208" t="n">
        <v>14</v>
      </c>
      <c r="C46" s="213">
        <f>IF($B46&gt;$D$30,"",$D$28+$D$27*12*$B46)</f>
        <v/>
      </c>
      <c r="D46" s="213">
        <f>IF($B46&gt;$D$30,"",($D45+$D$27*12)*(1+$D$29))</f>
        <v/>
      </c>
      <c r="E46" s="213">
        <f>IF($B46&gt;$D$30,"",$D46-$C46)</f>
        <v/>
      </c>
      <c r="F46" s="215">
        <f>IF($B46&gt;$D$30,"",REPT("█",MIN(30,ROUND($D46/MAX(1,$D$62)*30,0))))</f>
        <v/>
      </c>
    </row>
    <row r="47">
      <c r="B47" s="208" t="n">
        <v>15</v>
      </c>
      <c r="C47" s="213">
        <f>IF($B47&gt;$D$30,"",$D$28+$D$27*12*$B47)</f>
        <v/>
      </c>
      <c r="D47" s="213">
        <f>IF($B47&gt;$D$30,"",($D46+$D$27*12)*(1+$D$29))</f>
        <v/>
      </c>
      <c r="E47" s="213">
        <f>IF($B47&gt;$D$30,"",$D47-$C47)</f>
        <v/>
      </c>
      <c r="F47" s="215">
        <f>IF($B47&gt;$D$30,"",REPT("█",MIN(30,ROUND($D47/MAX(1,$D$62)*30,0))))</f>
        <v/>
      </c>
    </row>
    <row r="48">
      <c r="B48" s="208" t="n">
        <v>16</v>
      </c>
      <c r="C48" s="213">
        <f>IF($B48&gt;$D$30,"",$D$28+$D$27*12*$B48)</f>
        <v/>
      </c>
      <c r="D48" s="213">
        <f>IF($B48&gt;$D$30,"",($D47+$D$27*12)*(1+$D$29))</f>
        <v/>
      </c>
      <c r="E48" s="213">
        <f>IF($B48&gt;$D$30,"",$D48-$C48)</f>
        <v/>
      </c>
      <c r="F48" s="215">
        <f>IF($B48&gt;$D$30,"",REPT("█",MIN(30,ROUND($D48/MAX(1,$D$62)*30,0))))</f>
        <v/>
      </c>
    </row>
    <row r="49">
      <c r="B49" s="208" t="n">
        <v>17</v>
      </c>
      <c r="C49" s="213">
        <f>IF($B49&gt;$D$30,"",$D$28+$D$27*12*$B49)</f>
        <v/>
      </c>
      <c r="D49" s="213">
        <f>IF($B49&gt;$D$30,"",($D48+$D$27*12)*(1+$D$29))</f>
        <v/>
      </c>
      <c r="E49" s="213">
        <f>IF($B49&gt;$D$30,"",$D49-$C49)</f>
        <v/>
      </c>
      <c r="F49" s="215">
        <f>IF($B49&gt;$D$30,"",REPT("█",MIN(30,ROUND($D49/MAX(1,$D$62)*30,0))))</f>
        <v/>
      </c>
    </row>
    <row r="50">
      <c r="B50" s="208" t="n">
        <v>18</v>
      </c>
      <c r="C50" s="213">
        <f>IF($B50&gt;$D$30,"",$D$28+$D$27*12*$B50)</f>
        <v/>
      </c>
      <c r="D50" s="213">
        <f>IF($B50&gt;$D$30,"",($D49+$D$27*12)*(1+$D$29))</f>
        <v/>
      </c>
      <c r="E50" s="213">
        <f>IF($B50&gt;$D$30,"",$D50-$C50)</f>
        <v/>
      </c>
      <c r="F50" s="215">
        <f>IF($B50&gt;$D$30,"",REPT("█",MIN(30,ROUND($D50/MAX(1,$D$62)*30,0))))</f>
        <v/>
      </c>
    </row>
    <row r="51">
      <c r="B51" s="208" t="n">
        <v>19</v>
      </c>
      <c r="C51" s="213">
        <f>IF($B51&gt;$D$30,"",$D$28+$D$27*12*$B51)</f>
        <v/>
      </c>
      <c r="D51" s="213">
        <f>IF($B51&gt;$D$30,"",($D50+$D$27*12)*(1+$D$29))</f>
        <v/>
      </c>
      <c r="E51" s="213">
        <f>IF($B51&gt;$D$30,"",$D51-$C51)</f>
        <v/>
      </c>
      <c r="F51" s="215">
        <f>IF($B51&gt;$D$30,"",REPT("█",MIN(30,ROUND($D51/MAX(1,$D$62)*30,0))))</f>
        <v/>
      </c>
    </row>
    <row r="52">
      <c r="B52" s="208" t="n">
        <v>20</v>
      </c>
      <c r="C52" s="213">
        <f>IF($B52&gt;$D$30,"",$D$28+$D$27*12*$B52)</f>
        <v/>
      </c>
      <c r="D52" s="213">
        <f>IF($B52&gt;$D$30,"",($D51+$D$27*12)*(1+$D$29))</f>
        <v/>
      </c>
      <c r="E52" s="213">
        <f>IF($B52&gt;$D$30,"",$D52-$C52)</f>
        <v/>
      </c>
      <c r="F52" s="215">
        <f>IF($B52&gt;$D$30,"",REPT("█",MIN(30,ROUND($D52/MAX(1,$D$62)*30,0))))</f>
        <v/>
      </c>
    </row>
    <row r="53">
      <c r="B53" s="208" t="n">
        <v>21</v>
      </c>
      <c r="C53" s="213">
        <f>IF($B53&gt;$D$30,"",$D$28+$D$27*12*$B53)</f>
        <v/>
      </c>
      <c r="D53" s="213">
        <f>IF($B53&gt;$D$30,"",($D52+$D$27*12)*(1+$D$29))</f>
        <v/>
      </c>
      <c r="E53" s="213">
        <f>IF($B53&gt;$D$30,"",$D53-$C53)</f>
        <v/>
      </c>
      <c r="F53" s="215">
        <f>IF($B53&gt;$D$30,"",REPT("█",MIN(30,ROUND($D53/MAX(1,$D$62)*30,0))))</f>
        <v/>
      </c>
    </row>
    <row r="54">
      <c r="B54" s="208" t="n">
        <v>22</v>
      </c>
      <c r="C54" s="213">
        <f>IF($B54&gt;$D$30,"",$D$28+$D$27*12*$B54)</f>
        <v/>
      </c>
      <c r="D54" s="213">
        <f>IF($B54&gt;$D$30,"",($D53+$D$27*12)*(1+$D$29))</f>
        <v/>
      </c>
      <c r="E54" s="213">
        <f>IF($B54&gt;$D$30,"",$D54-$C54)</f>
        <v/>
      </c>
      <c r="F54" s="215">
        <f>IF($B54&gt;$D$30,"",REPT("█",MIN(30,ROUND($D54/MAX(1,$D$62)*30,0))))</f>
        <v/>
      </c>
    </row>
    <row r="55">
      <c r="B55" s="208" t="n">
        <v>23</v>
      </c>
      <c r="C55" s="213">
        <f>IF($B55&gt;$D$30,"",$D$28+$D$27*12*$B55)</f>
        <v/>
      </c>
      <c r="D55" s="213">
        <f>IF($B55&gt;$D$30,"",($D54+$D$27*12)*(1+$D$29))</f>
        <v/>
      </c>
      <c r="E55" s="213">
        <f>IF($B55&gt;$D$30,"",$D55-$C55)</f>
        <v/>
      </c>
      <c r="F55" s="215">
        <f>IF($B55&gt;$D$30,"",REPT("█",MIN(30,ROUND($D55/MAX(1,$D$62)*30,0))))</f>
        <v/>
      </c>
    </row>
    <row r="56">
      <c r="B56" s="208" t="n">
        <v>24</v>
      </c>
      <c r="C56" s="213">
        <f>IF($B56&gt;$D$30,"",$D$28+$D$27*12*$B56)</f>
        <v/>
      </c>
      <c r="D56" s="213">
        <f>IF($B56&gt;$D$30,"",($D55+$D$27*12)*(1+$D$29))</f>
        <v/>
      </c>
      <c r="E56" s="213">
        <f>IF($B56&gt;$D$30,"",$D56-$C56)</f>
        <v/>
      </c>
      <c r="F56" s="215">
        <f>IF($B56&gt;$D$30,"",REPT("█",MIN(30,ROUND($D56/MAX(1,$D$62)*30,0))))</f>
        <v/>
      </c>
    </row>
    <row r="57">
      <c r="B57" s="208" t="n">
        <v>25</v>
      </c>
      <c r="C57" s="213">
        <f>IF($B57&gt;$D$30,"",$D$28+$D$27*12*$B57)</f>
        <v/>
      </c>
      <c r="D57" s="213">
        <f>IF($B57&gt;$D$30,"",($D56+$D$27*12)*(1+$D$29))</f>
        <v/>
      </c>
      <c r="E57" s="213">
        <f>IF($B57&gt;$D$30,"",$D57-$C57)</f>
        <v/>
      </c>
      <c r="F57" s="215">
        <f>IF($B57&gt;$D$30,"",REPT("█",MIN(30,ROUND($D57/MAX(1,$D$62)*30,0))))</f>
        <v/>
      </c>
    </row>
    <row r="58">
      <c r="B58" s="208" t="n">
        <v>26</v>
      </c>
      <c r="C58" s="213">
        <f>IF($B58&gt;$D$30,"",$D$28+$D$27*12*$B58)</f>
        <v/>
      </c>
      <c r="D58" s="213">
        <f>IF($B58&gt;$D$30,"",($D57+$D$27*12)*(1+$D$29))</f>
        <v/>
      </c>
      <c r="E58" s="213">
        <f>IF($B58&gt;$D$30,"",$D58-$C58)</f>
        <v/>
      </c>
      <c r="F58" s="215">
        <f>IF($B58&gt;$D$30,"",REPT("█",MIN(30,ROUND($D58/MAX(1,$D$62)*30,0))))</f>
        <v/>
      </c>
    </row>
    <row r="59">
      <c r="B59" s="208" t="n">
        <v>27</v>
      </c>
      <c r="C59" s="213">
        <f>IF($B59&gt;$D$30,"",$D$28+$D$27*12*$B59)</f>
        <v/>
      </c>
      <c r="D59" s="213">
        <f>IF($B59&gt;$D$30,"",($D58+$D$27*12)*(1+$D$29))</f>
        <v/>
      </c>
      <c r="E59" s="213">
        <f>IF($B59&gt;$D$30,"",$D59-$C59)</f>
        <v/>
      </c>
      <c r="F59" s="215">
        <f>IF($B59&gt;$D$30,"",REPT("█",MIN(30,ROUND($D59/MAX(1,$D$62)*30,0))))</f>
        <v/>
      </c>
    </row>
    <row r="60">
      <c r="B60" s="208" t="n">
        <v>28</v>
      </c>
      <c r="C60" s="213">
        <f>IF($B60&gt;$D$30,"",$D$28+$D$27*12*$B60)</f>
        <v/>
      </c>
      <c r="D60" s="213">
        <f>IF($B60&gt;$D$30,"",($D59+$D$27*12)*(1+$D$29))</f>
        <v/>
      </c>
      <c r="E60" s="213">
        <f>IF($B60&gt;$D$30,"",$D60-$C60)</f>
        <v/>
      </c>
      <c r="F60" s="215">
        <f>IF($B60&gt;$D$30,"",REPT("█",MIN(30,ROUND($D60/MAX(1,$D$62)*30,0))))</f>
        <v/>
      </c>
    </row>
    <row r="61">
      <c r="B61" s="208" t="n">
        <v>29</v>
      </c>
      <c r="C61" s="213">
        <f>IF($B61&gt;$D$30,"",$D$28+$D$27*12*$B61)</f>
        <v/>
      </c>
      <c r="D61" s="213">
        <f>IF($B61&gt;$D$30,"",($D60+$D$27*12)*(1+$D$29))</f>
        <v/>
      </c>
      <c r="E61" s="213">
        <f>IF($B61&gt;$D$30,"",$D61-$C61)</f>
        <v/>
      </c>
      <c r="F61" s="215">
        <f>IF($B61&gt;$D$30,"",REPT("█",MIN(30,ROUND($D61/MAX(1,$D$62)*30,0))))</f>
        <v/>
      </c>
    </row>
    <row r="62">
      <c r="B62" s="208" t="n">
        <v>30</v>
      </c>
      <c r="C62" s="213">
        <f>IF($B62&gt;$D$30,"",$D$28+$D$27*12*$B62)</f>
        <v/>
      </c>
      <c r="D62" s="213">
        <f>IF($B62&gt;$D$30,"",($D61+$D$27*12)*(1+$D$29))</f>
        <v/>
      </c>
      <c r="E62" s="213">
        <f>IF($B62&gt;$D$30,"",$D62-$C62)</f>
        <v/>
      </c>
      <c r="F62" s="215">
        <f>IF($B62&gt;$D$30,"",REPT("█",MIN(30,ROUND($D62/MAX(1,$D$62)*30,0))))</f>
        <v/>
      </c>
    </row>
    <row r="63"/>
    <row r="64"/>
    <row r="65"/>
  </sheetData>
  <sheetProtection selectLockedCells="0" selectUnlockedCells="0" sheet="1" objects="1" insertRows="1" insertHyperlinks="1" autoFilter="0" scenarios="1" formatColumns="0" deleteColumns="1" insertColumns="1" pivotTables="1" deleteRows="1" formatCells="0" formatRows="0" sort="0" password="8708"/>
  <mergeCells count="36">
    <mergeCell ref="J6:L6"/>
    <mergeCell ref="G6:I6"/>
    <mergeCell ref="B3:C3"/>
    <mergeCell ref="J4:L4"/>
    <mergeCell ref="B27:C27"/>
    <mergeCell ref="M6:O6"/>
    <mergeCell ref="F3:G3"/>
    <mergeCell ref="L3:M3"/>
    <mergeCell ref="G5:I5"/>
    <mergeCell ref="F27:H27"/>
    <mergeCell ref="D4:F4"/>
    <mergeCell ref="D27:E27"/>
    <mergeCell ref="G4:I4"/>
    <mergeCell ref="B25:H25"/>
    <mergeCell ref="B7:N7"/>
    <mergeCell ref="B29:C29"/>
    <mergeCell ref="D5:F5"/>
    <mergeCell ref="M4:O4"/>
    <mergeCell ref="B28:C28"/>
    <mergeCell ref="D28:E28"/>
    <mergeCell ref="D3:E3"/>
    <mergeCell ref="B2:N2"/>
    <mergeCell ref="F29:H29"/>
    <mergeCell ref="H3:I3"/>
    <mergeCell ref="J5:L5"/>
    <mergeCell ref="J3:K3"/>
    <mergeCell ref="B6:C6"/>
    <mergeCell ref="B30:C30"/>
    <mergeCell ref="D30:E30"/>
    <mergeCell ref="B1:N1"/>
    <mergeCell ref="B8:N8"/>
    <mergeCell ref="B5:C5"/>
    <mergeCell ref="D29:E29"/>
    <mergeCell ref="M5:O5"/>
    <mergeCell ref="D6:F6"/>
    <mergeCell ref="B4:C4"/>
  </mergeCells>
  <conditionalFormatting sqref="D5:F5">
    <cfRule type="expression" priority="1" dxfId="1557" stopIfTrue="1">
      <formula>Devise_Base="XOF"</formula>
    </cfRule>
    <cfRule type="expression" priority="2" dxfId="1558" stopIfTrue="1">
      <formula>Devise_Base="XAF"</formula>
    </cfRule>
    <cfRule type="expression" priority="3" dxfId="1559" stopIfTrue="1">
      <formula>Devise_Base="EUR"</formula>
    </cfRule>
    <cfRule type="expression" priority="4" dxfId="1560" stopIfTrue="1">
      <formula>Devise_Base="USD"</formula>
    </cfRule>
    <cfRule type="expression" priority="5" dxfId="1561" stopIfTrue="1">
      <formula>Devise_Base="GBP"</formula>
    </cfRule>
    <cfRule type="expression" priority="6" dxfId="1562" stopIfTrue="1">
      <formula>Devise_Base="CAD"</formula>
    </cfRule>
    <cfRule type="expression" priority="7" dxfId="1563" stopIfTrue="1">
      <formula>Devise_Base="CHF"</formula>
    </cfRule>
    <cfRule type="expression" priority="8" dxfId="1564" stopIfTrue="1">
      <formula>Devise_Base="MAD"</formula>
    </cfRule>
    <cfRule type="expression" priority="9" dxfId="1565" stopIfTrue="1">
      <formula>Devise_Base="NGN"</formula>
    </cfRule>
    <cfRule type="expression" priority="10" dxfId="1566" stopIfTrue="1">
      <formula>Devise_Base="GHS"</formula>
    </cfRule>
    <cfRule type="expression" priority="11" dxfId="1567" stopIfTrue="1">
      <formula>Devise_Base="CDF"</formula>
    </cfRule>
    <cfRule type="expression" priority="12" dxfId="1568" stopIfTrue="1">
      <formula>Devise_Base="ZAR"</formula>
    </cfRule>
    <cfRule type="expression" priority="13" dxfId="1569" stopIfTrue="1">
      <formula>Devise_Base="AED"</formula>
    </cfRule>
    <cfRule type="expression" priority="14" dxfId="1570" stopIfTrue="1">
      <formula>Devise_Base="MRU"</formula>
    </cfRule>
    <cfRule type="expression" priority="15" dxfId="1571" stopIfTrue="1">
      <formula>Devise_Base="GNF"</formula>
    </cfRule>
  </conditionalFormatting>
  <conditionalFormatting sqref="G5:I5">
    <cfRule type="expression" priority="16" dxfId="1572" stopIfTrue="1">
      <formula>Devise_Base="XOF"</formula>
    </cfRule>
    <cfRule type="expression" priority="17" dxfId="1573" stopIfTrue="1">
      <formula>Devise_Base="XAF"</formula>
    </cfRule>
    <cfRule type="expression" priority="18" dxfId="1574" stopIfTrue="1">
      <formula>Devise_Base="EUR"</formula>
    </cfRule>
    <cfRule type="expression" priority="19" dxfId="1575" stopIfTrue="1">
      <formula>Devise_Base="USD"</formula>
    </cfRule>
    <cfRule type="expression" priority="20" dxfId="1576" stopIfTrue="1">
      <formula>Devise_Base="GBP"</formula>
    </cfRule>
    <cfRule type="expression" priority="21" dxfId="1577" stopIfTrue="1">
      <formula>Devise_Base="CAD"</formula>
    </cfRule>
    <cfRule type="expression" priority="22" dxfId="1578" stopIfTrue="1">
      <formula>Devise_Base="CHF"</formula>
    </cfRule>
    <cfRule type="expression" priority="23" dxfId="1579" stopIfTrue="1">
      <formula>Devise_Base="MAD"</formula>
    </cfRule>
    <cfRule type="expression" priority="24" dxfId="1580" stopIfTrue="1">
      <formula>Devise_Base="NGN"</formula>
    </cfRule>
    <cfRule type="expression" priority="25" dxfId="1581" stopIfTrue="1">
      <formula>Devise_Base="GHS"</formula>
    </cfRule>
    <cfRule type="expression" priority="26" dxfId="1582" stopIfTrue="1">
      <formula>Devise_Base="CDF"</formula>
    </cfRule>
    <cfRule type="expression" priority="27" dxfId="1583" stopIfTrue="1">
      <formula>Devise_Base="ZAR"</formula>
    </cfRule>
    <cfRule type="expression" priority="28" dxfId="1584" stopIfTrue="1">
      <formula>Devise_Base="AED"</formula>
    </cfRule>
    <cfRule type="expression" priority="29" dxfId="1585" stopIfTrue="1">
      <formula>Devise_Base="MRU"</formula>
    </cfRule>
    <cfRule type="expression" priority="30" dxfId="1586" stopIfTrue="1">
      <formula>Devise_Base="GNF"</formula>
    </cfRule>
  </conditionalFormatting>
  <conditionalFormatting sqref="J5:L5">
    <cfRule type="expression" priority="31" dxfId="1587" stopIfTrue="1">
      <formula>Devise_Base="XOF"</formula>
    </cfRule>
    <cfRule type="expression" priority="32" dxfId="1588" stopIfTrue="1">
      <formula>Devise_Base="XAF"</formula>
    </cfRule>
    <cfRule type="expression" priority="33" dxfId="1589" stopIfTrue="1">
      <formula>Devise_Base="EUR"</formula>
    </cfRule>
    <cfRule type="expression" priority="34" dxfId="1590" stopIfTrue="1">
      <formula>Devise_Base="USD"</formula>
    </cfRule>
    <cfRule type="expression" priority="35" dxfId="1591" stopIfTrue="1">
      <formula>Devise_Base="GBP"</formula>
    </cfRule>
    <cfRule type="expression" priority="36" dxfId="1592" stopIfTrue="1">
      <formula>Devise_Base="CAD"</formula>
    </cfRule>
    <cfRule type="expression" priority="37" dxfId="1593" stopIfTrue="1">
      <formula>Devise_Base="CHF"</formula>
    </cfRule>
    <cfRule type="expression" priority="38" dxfId="1594" stopIfTrue="1">
      <formula>Devise_Base="MAD"</formula>
    </cfRule>
    <cfRule type="expression" priority="39" dxfId="1595" stopIfTrue="1">
      <formula>Devise_Base="NGN"</formula>
    </cfRule>
    <cfRule type="expression" priority="40" dxfId="1596" stopIfTrue="1">
      <formula>Devise_Base="GHS"</formula>
    </cfRule>
    <cfRule type="expression" priority="41" dxfId="1597" stopIfTrue="1">
      <formula>Devise_Base="CDF"</formula>
    </cfRule>
    <cfRule type="expression" priority="42" dxfId="1598" stopIfTrue="1">
      <formula>Devise_Base="ZAR"</formula>
    </cfRule>
    <cfRule type="expression" priority="43" dxfId="1599" stopIfTrue="1">
      <formula>Devise_Base="AED"</formula>
    </cfRule>
    <cfRule type="expression" priority="44" dxfId="1600" stopIfTrue="1">
      <formula>Devise_Base="MRU"</formula>
    </cfRule>
    <cfRule type="expression" priority="45" dxfId="1601" stopIfTrue="1">
      <formula>Devise_Base="GNF"</formula>
    </cfRule>
  </conditionalFormatting>
  <conditionalFormatting sqref="M5:O5">
    <cfRule type="expression" priority="46" dxfId="1602" stopIfTrue="1">
      <formula>Devise_Base="XOF"</formula>
    </cfRule>
    <cfRule type="expression" priority="47" dxfId="1603" stopIfTrue="1">
      <formula>Devise_Base="XAF"</formula>
    </cfRule>
    <cfRule type="expression" priority="48" dxfId="1604" stopIfTrue="1">
      <formula>Devise_Base="EUR"</formula>
    </cfRule>
    <cfRule type="expression" priority="49" dxfId="1605" stopIfTrue="1">
      <formula>Devise_Base="USD"</formula>
    </cfRule>
    <cfRule type="expression" priority="50" dxfId="1606" stopIfTrue="1">
      <formula>Devise_Base="GBP"</formula>
    </cfRule>
    <cfRule type="expression" priority="51" dxfId="1607" stopIfTrue="1">
      <formula>Devise_Base="CAD"</formula>
    </cfRule>
    <cfRule type="expression" priority="52" dxfId="1608" stopIfTrue="1">
      <formula>Devise_Base="CHF"</formula>
    </cfRule>
    <cfRule type="expression" priority="53" dxfId="1609" stopIfTrue="1">
      <formula>Devise_Base="MAD"</formula>
    </cfRule>
    <cfRule type="expression" priority="54" dxfId="1610" stopIfTrue="1">
      <formula>Devise_Base="NGN"</formula>
    </cfRule>
    <cfRule type="expression" priority="55" dxfId="1611" stopIfTrue="1">
      <formula>Devise_Base="GHS"</formula>
    </cfRule>
    <cfRule type="expression" priority="56" dxfId="1612" stopIfTrue="1">
      <formula>Devise_Base="CDF"</formula>
    </cfRule>
    <cfRule type="expression" priority="57" dxfId="1613" stopIfTrue="1">
      <formula>Devise_Base="ZAR"</formula>
    </cfRule>
    <cfRule type="expression" priority="58" dxfId="1614" stopIfTrue="1">
      <formula>Devise_Base="AED"</formula>
    </cfRule>
    <cfRule type="expression" priority="59" dxfId="1615" stopIfTrue="1">
      <formula>Devise_Base="MRU"</formula>
    </cfRule>
    <cfRule type="expression" priority="60" dxfId="1616" stopIfTrue="1">
      <formula>Devise_Base="GNF"</formula>
    </cfRule>
  </conditionalFormatting>
  <conditionalFormatting sqref="B10:N21">
    <cfRule type="expression" priority="61" dxfId="75" stopIfTrue="0">
      <formula>MOD(ROW()-10,2)=1</formula>
    </cfRule>
  </conditionalFormatting>
  <conditionalFormatting sqref="K10:K21">
    <cfRule type="dataBar" priority="62">
      <dataBar showValue="1">
        <cfvo type="num" val="0"/>
        <cfvo type="num" val="1"/>
        <color rgb="0010706B"/>
      </dataBar>
    </cfRule>
  </conditionalFormatting>
  <conditionalFormatting sqref="E10:H21">
    <cfRule type="expression" priority="63" dxfId="1617" stopIfTrue="1">
      <formula>Devise_Base="XOF"</formula>
    </cfRule>
    <cfRule type="expression" priority="64" dxfId="1618" stopIfTrue="1">
      <formula>Devise_Base="XAF"</formula>
    </cfRule>
    <cfRule type="expression" priority="65" dxfId="1619" stopIfTrue="1">
      <formula>Devise_Base="EUR"</formula>
    </cfRule>
    <cfRule type="expression" priority="66" dxfId="1620" stopIfTrue="1">
      <formula>Devise_Base="USD"</formula>
    </cfRule>
    <cfRule type="expression" priority="67" dxfId="1621" stopIfTrue="1">
      <formula>Devise_Base="GBP"</formula>
    </cfRule>
    <cfRule type="expression" priority="68" dxfId="1622" stopIfTrue="1">
      <formula>Devise_Base="CAD"</formula>
    </cfRule>
    <cfRule type="expression" priority="69" dxfId="1623" stopIfTrue="1">
      <formula>Devise_Base="CHF"</formula>
    </cfRule>
    <cfRule type="expression" priority="70" dxfId="1624" stopIfTrue="1">
      <formula>Devise_Base="MAD"</formula>
    </cfRule>
    <cfRule type="expression" priority="71" dxfId="1625" stopIfTrue="1">
      <formula>Devise_Base="NGN"</formula>
    </cfRule>
    <cfRule type="expression" priority="72" dxfId="1626" stopIfTrue="1">
      <formula>Devise_Base="GHS"</formula>
    </cfRule>
    <cfRule type="expression" priority="73" dxfId="1627" stopIfTrue="1">
      <formula>Devise_Base="CDF"</formula>
    </cfRule>
    <cfRule type="expression" priority="74" dxfId="1628" stopIfTrue="1">
      <formula>Devise_Base="ZAR"</formula>
    </cfRule>
    <cfRule type="expression" priority="75" dxfId="1629" stopIfTrue="1">
      <formula>Devise_Base="AED"</formula>
    </cfRule>
    <cfRule type="expression" priority="76" dxfId="1630" stopIfTrue="1">
      <formula>Devise_Base="MRU"</formula>
    </cfRule>
    <cfRule type="expression" priority="77" dxfId="1631" stopIfTrue="1">
      <formula>Devise_Base="GNF"</formula>
    </cfRule>
  </conditionalFormatting>
  <conditionalFormatting sqref="J10:J21">
    <cfRule type="expression" priority="78" dxfId="1632" stopIfTrue="1">
      <formula>Devise_Base="XOF"</formula>
    </cfRule>
    <cfRule type="expression" priority="79" dxfId="1633" stopIfTrue="1">
      <formula>Devise_Base="XAF"</formula>
    </cfRule>
    <cfRule type="expression" priority="80" dxfId="1634" stopIfTrue="1">
      <formula>Devise_Base="EUR"</formula>
    </cfRule>
    <cfRule type="expression" priority="81" dxfId="1635" stopIfTrue="1">
      <formula>Devise_Base="USD"</formula>
    </cfRule>
    <cfRule type="expression" priority="82" dxfId="1636" stopIfTrue="1">
      <formula>Devise_Base="GBP"</formula>
    </cfRule>
    <cfRule type="expression" priority="83" dxfId="1637" stopIfTrue="1">
      <formula>Devise_Base="CAD"</formula>
    </cfRule>
    <cfRule type="expression" priority="84" dxfId="1638" stopIfTrue="1">
      <formula>Devise_Base="CHF"</formula>
    </cfRule>
    <cfRule type="expression" priority="85" dxfId="1639" stopIfTrue="1">
      <formula>Devise_Base="MAD"</formula>
    </cfRule>
    <cfRule type="expression" priority="86" dxfId="1640" stopIfTrue="1">
      <formula>Devise_Base="NGN"</formula>
    </cfRule>
    <cfRule type="expression" priority="87" dxfId="1641" stopIfTrue="1">
      <formula>Devise_Base="GHS"</formula>
    </cfRule>
    <cfRule type="expression" priority="88" dxfId="1642" stopIfTrue="1">
      <formula>Devise_Base="CDF"</formula>
    </cfRule>
    <cfRule type="expression" priority="89" dxfId="1643" stopIfTrue="1">
      <formula>Devise_Base="ZAR"</formula>
    </cfRule>
    <cfRule type="expression" priority="90" dxfId="1644" stopIfTrue="1">
      <formula>Devise_Base="AED"</formula>
    </cfRule>
    <cfRule type="expression" priority="91" dxfId="1645" stopIfTrue="1">
      <formula>Devise_Base="MRU"</formula>
    </cfRule>
    <cfRule type="expression" priority="92" dxfId="1646" stopIfTrue="1">
      <formula>Devise_Base="GNF"</formula>
    </cfRule>
  </conditionalFormatting>
  <conditionalFormatting sqref="E22:J22">
    <cfRule type="expression" priority="93" dxfId="1647" stopIfTrue="1">
      <formula>Devise_Base="XOF"</formula>
    </cfRule>
    <cfRule type="expression" priority="94" dxfId="1648" stopIfTrue="1">
      <formula>Devise_Base="XAF"</formula>
    </cfRule>
    <cfRule type="expression" priority="95" dxfId="1649" stopIfTrue="1">
      <formula>Devise_Base="EUR"</formula>
    </cfRule>
    <cfRule type="expression" priority="96" dxfId="1650" stopIfTrue="1">
      <formula>Devise_Base="USD"</formula>
    </cfRule>
    <cfRule type="expression" priority="97" dxfId="1651" stopIfTrue="1">
      <formula>Devise_Base="GBP"</formula>
    </cfRule>
    <cfRule type="expression" priority="98" dxfId="1652" stopIfTrue="1">
      <formula>Devise_Base="CAD"</formula>
    </cfRule>
    <cfRule type="expression" priority="99" dxfId="1653" stopIfTrue="1">
      <formula>Devise_Base="CHF"</formula>
    </cfRule>
    <cfRule type="expression" priority="100" dxfId="1654" stopIfTrue="1">
      <formula>Devise_Base="MAD"</formula>
    </cfRule>
    <cfRule type="expression" priority="101" dxfId="1655" stopIfTrue="1">
      <formula>Devise_Base="NGN"</formula>
    </cfRule>
    <cfRule type="expression" priority="102" dxfId="1656" stopIfTrue="1">
      <formula>Devise_Base="GHS"</formula>
    </cfRule>
    <cfRule type="expression" priority="103" dxfId="1657" stopIfTrue="1">
      <formula>Devise_Base="CDF"</formula>
    </cfRule>
    <cfRule type="expression" priority="104" dxfId="1658" stopIfTrue="1">
      <formula>Devise_Base="ZAR"</formula>
    </cfRule>
    <cfRule type="expression" priority="105" dxfId="1659" stopIfTrue="1">
      <formula>Devise_Base="AED"</formula>
    </cfRule>
    <cfRule type="expression" priority="106" dxfId="1660" stopIfTrue="1">
      <formula>Devise_Base="MRU"</formula>
    </cfRule>
    <cfRule type="expression" priority="107" dxfId="1661" stopIfTrue="1">
      <formula>Devise_Base="GNF"</formula>
    </cfRule>
  </conditionalFormatting>
  <conditionalFormatting sqref="D27:E28">
    <cfRule type="expression" priority="108" dxfId="1662" stopIfTrue="1">
      <formula>Devise_Base="XOF"</formula>
    </cfRule>
    <cfRule type="expression" priority="109" dxfId="1663" stopIfTrue="1">
      <formula>Devise_Base="XAF"</formula>
    </cfRule>
    <cfRule type="expression" priority="110" dxfId="1664" stopIfTrue="1">
      <formula>Devise_Base="EUR"</formula>
    </cfRule>
    <cfRule type="expression" priority="111" dxfId="1665" stopIfTrue="1">
      <formula>Devise_Base="USD"</formula>
    </cfRule>
    <cfRule type="expression" priority="112" dxfId="1666" stopIfTrue="1">
      <formula>Devise_Base="GBP"</formula>
    </cfRule>
    <cfRule type="expression" priority="113" dxfId="1667" stopIfTrue="1">
      <formula>Devise_Base="CAD"</formula>
    </cfRule>
    <cfRule type="expression" priority="114" dxfId="1668" stopIfTrue="1">
      <formula>Devise_Base="CHF"</formula>
    </cfRule>
    <cfRule type="expression" priority="115" dxfId="1669" stopIfTrue="1">
      <formula>Devise_Base="MAD"</formula>
    </cfRule>
    <cfRule type="expression" priority="116" dxfId="1670" stopIfTrue="1">
      <formula>Devise_Base="NGN"</formula>
    </cfRule>
    <cfRule type="expression" priority="117" dxfId="1671" stopIfTrue="1">
      <formula>Devise_Base="GHS"</formula>
    </cfRule>
    <cfRule type="expression" priority="118" dxfId="1672" stopIfTrue="1">
      <formula>Devise_Base="CDF"</formula>
    </cfRule>
    <cfRule type="expression" priority="119" dxfId="1673" stopIfTrue="1">
      <formula>Devise_Base="ZAR"</formula>
    </cfRule>
    <cfRule type="expression" priority="120" dxfId="1674" stopIfTrue="1">
      <formula>Devise_Base="AED"</formula>
    </cfRule>
    <cfRule type="expression" priority="121" dxfId="1675" stopIfTrue="1">
      <formula>Devise_Base="MRU"</formula>
    </cfRule>
    <cfRule type="expression" priority="122" dxfId="1676" stopIfTrue="1">
      <formula>Devise_Base="GNF"</formula>
    </cfRule>
  </conditionalFormatting>
  <conditionalFormatting sqref="B33:F62">
    <cfRule type="expression" priority="123" dxfId="75" stopIfTrue="0">
      <formula>MOD(ROW()-33,2)=1</formula>
    </cfRule>
  </conditionalFormatting>
  <conditionalFormatting sqref="C33:E62">
    <cfRule type="expression" priority="124" dxfId="1677" stopIfTrue="1">
      <formula>Devise_Base="XOF"</formula>
    </cfRule>
    <cfRule type="expression" priority="125" dxfId="1678" stopIfTrue="1">
      <formula>Devise_Base="XAF"</formula>
    </cfRule>
    <cfRule type="expression" priority="126" dxfId="1679" stopIfTrue="1">
      <formula>Devise_Base="EUR"</formula>
    </cfRule>
    <cfRule type="expression" priority="127" dxfId="1680" stopIfTrue="1">
      <formula>Devise_Base="USD"</formula>
    </cfRule>
    <cfRule type="expression" priority="128" dxfId="1681" stopIfTrue="1">
      <formula>Devise_Base="GBP"</formula>
    </cfRule>
    <cfRule type="expression" priority="129" dxfId="1682" stopIfTrue="1">
      <formula>Devise_Base="CAD"</formula>
    </cfRule>
    <cfRule type="expression" priority="130" dxfId="1683" stopIfTrue="1">
      <formula>Devise_Base="CHF"</formula>
    </cfRule>
    <cfRule type="expression" priority="131" dxfId="1684" stopIfTrue="1">
      <formula>Devise_Base="MAD"</formula>
    </cfRule>
    <cfRule type="expression" priority="132" dxfId="1685" stopIfTrue="1">
      <formula>Devise_Base="NGN"</formula>
    </cfRule>
    <cfRule type="expression" priority="133" dxfId="1686" stopIfTrue="1">
      <formula>Devise_Base="GHS"</formula>
    </cfRule>
    <cfRule type="expression" priority="134" dxfId="1687" stopIfTrue="1">
      <formula>Devise_Base="CDF"</formula>
    </cfRule>
    <cfRule type="expression" priority="135" dxfId="1688" stopIfTrue="1">
      <formula>Devise_Base="ZAR"</formula>
    </cfRule>
    <cfRule type="expression" priority="136" dxfId="1689" stopIfTrue="1">
      <formula>Devise_Base="AED"</formula>
    </cfRule>
    <cfRule type="expression" priority="137" dxfId="1690" stopIfTrue="1">
      <formula>Devise_Base="MRU"</formula>
    </cfRule>
    <cfRule type="expression" priority="138" dxfId="1691" stopIfTrue="1">
      <formula>Devise_Base="GNF"</formula>
    </cfRule>
  </conditionalFormatting>
  <dataValidations count="2">
    <dataValidation sqref="D10:D21" showDropDown="0" showInputMessage="0" showErrorMessage="0" allowBlank="1" type="list">
      <formula1>Liste_Modules</formula1>
    </dataValidation>
    <dataValidation sqref="M10:M21" showDropDown="0" showInputMessage="0" showErrorMessage="0" allowBlank="1" type="list">
      <formula1>Liste_Comptes</formula1>
    </dataValidation>
  </dataValidations>
  <hyperlinks>
    <hyperlink ref="B3" location="'Accueil'!A1"/>
    <hyperlink ref="D3" location="'Paramètres'!A1"/>
    <hyperlink ref="F3" location="'Estimation Annuelle'!A1"/>
    <hyperlink ref="H3" location="'Journal'!A1"/>
    <hyperlink ref="J3" location="'Tableau de Bord'!A1"/>
    <hyperlink ref="L3" location="'Budget 12 Mois'!A1"/>
  </hyperlink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8B1A1A"/>
    <outlinePr summaryBelow="1" summaryRight="1"/>
    <pageSetUpPr/>
  </sheetPr>
  <dimension ref="A1:N266"/>
  <sheetViews>
    <sheetView showGridLines="0" zoomScale="85" workbookViewId="0">
      <pane ySplit="9" topLeftCell="A10" activePane="bottomLeft" state="frozen"/>
      <selection pane="bottomLeft" activeCell="A1" sqref="A1"/>
    </sheetView>
  </sheetViews>
  <sheetFormatPr baseColWidth="8" defaultRowHeight="15"/>
  <cols>
    <col width="2" customWidth="1" min="1" max="1"/>
    <col width="4" customWidth="1" min="2" max="2"/>
    <col width="26" customWidth="1" min="3" max="3"/>
    <col width="20" customWidth="1" min="4" max="4"/>
    <col width="16" customWidth="1" min="5" max="5"/>
    <col width="11" customWidth="1" min="6" max="6"/>
    <col width="10" customWidth="1" min="7" max="7"/>
    <col width="13" customWidth="1" min="8" max="8"/>
    <col width="15" customWidth="1" min="9" max="9"/>
    <col width="16" customWidth="1" min="10" max="10"/>
    <col width="17" customWidth="1" min="11" max="11"/>
    <col width="11" customWidth="1" min="12" max="12"/>
    <col width="13" customWidth="1" min="13" max="13"/>
    <col width="24" customWidth="1" min="14" max="14"/>
    <col width="13" customWidth="1" min="15" max="15"/>
  </cols>
  <sheetData>
    <row r="1" ht="52" customHeight="1">
      <c r="B1" s="46" t="inlineStr">
        <is>
          <t>DETTES &amp; CRÉDITS</t>
        </is>
      </c>
      <c r="C1" s="47" t="n"/>
      <c r="D1" s="47" t="n"/>
      <c r="E1" s="47" t="n"/>
      <c r="F1" s="47" t="n"/>
      <c r="G1" s="47" t="n"/>
      <c r="H1" s="47" t="n"/>
      <c r="I1" s="47" t="n"/>
      <c r="J1" s="47" t="n"/>
      <c r="K1" s="47" t="n"/>
      <c r="L1" s="47" t="n"/>
      <c r="M1" s="47" t="n"/>
      <c r="N1" s="47" t="n"/>
    </row>
    <row r="2" ht="20" customHeight="1">
      <c r="B2" s="48" t="inlineStr">
        <is>
          <t>Mensualités, capital restant dû et tableau d'amortissement</t>
        </is>
      </c>
      <c r="C2" s="7" t="n"/>
      <c r="D2" s="7" t="n"/>
      <c r="E2" s="7" t="n"/>
      <c r="F2" s="7" t="n"/>
      <c r="G2" s="7" t="n"/>
      <c r="H2" s="7" t="n"/>
      <c r="I2" s="7" t="n"/>
      <c r="J2" s="7" t="n"/>
      <c r="K2" s="7" t="n"/>
      <c r="L2" s="7" t="n"/>
      <c r="M2" s="7" t="n"/>
      <c r="N2" s="7" t="n"/>
    </row>
    <row r="3" ht="20" customHeight="1">
      <c r="B3" s="49" t="inlineStr">
        <is>
          <t>⌂  ACCUEIL</t>
        </is>
      </c>
      <c r="C3" s="42" t="n"/>
      <c r="D3" s="49" t="inlineStr">
        <is>
          <t>①  MES INFOS</t>
        </is>
      </c>
      <c r="E3" s="42" t="n"/>
      <c r="F3" s="49" t="inlineStr">
        <is>
          <t>②  ESTIMATION</t>
        </is>
      </c>
      <c r="G3" s="42" t="n"/>
      <c r="H3" s="49" t="inlineStr">
        <is>
          <t>③  BUDGET SMART</t>
        </is>
      </c>
      <c r="I3" s="42" t="n"/>
      <c r="J3" s="49" t="inlineStr">
        <is>
          <t>TABLEAU DE BORD</t>
        </is>
      </c>
      <c r="K3" s="42" t="n"/>
      <c r="L3" s="49" t="inlineStr">
        <is>
          <t>BUDGET 12 MOIS</t>
        </is>
      </c>
      <c r="M3" s="42" t="n"/>
    </row>
    <row r="4" ht="18" customHeight="1">
      <c r="B4" s="93" t="inlineStr">
        <is>
          <t>CRÉDITS EN COURS</t>
        </is>
      </c>
      <c r="C4" s="95" t="n"/>
      <c r="D4" s="27" t="inlineStr">
        <is>
          <t>CAPITAL EMPRUNTÉ</t>
        </is>
      </c>
      <c r="E4" s="79" t="n"/>
      <c r="F4" s="28" t="n"/>
      <c r="G4" s="29" t="inlineStr">
        <is>
          <t>MENSUALITÉS TOTALES</t>
        </is>
      </c>
      <c r="H4" s="75" t="n"/>
      <c r="I4" s="30" t="n"/>
      <c r="J4" s="80" t="inlineStr">
        <is>
          <t>CAPITAL RESTANT DÛ</t>
        </is>
      </c>
      <c r="K4" s="81" t="n"/>
      <c r="L4" s="82" t="n"/>
      <c r="M4" s="120" t="inlineStr">
        <is>
          <t>TAUX D'ENDETTEMENT</t>
        </is>
      </c>
      <c r="N4" s="122" t="n"/>
    </row>
    <row r="5" ht="30" customHeight="1">
      <c r="B5" s="96">
        <f>COUNTA($C$10:$C$19)</f>
        <v/>
      </c>
      <c r="C5" s="34" t="n"/>
      <c r="D5" s="33">
        <f>SUM($E$10:$E$19)</f>
        <v/>
      </c>
      <c r="E5" s="83" t="n"/>
      <c r="F5" s="34" t="n"/>
      <c r="G5" s="35">
        <f>SUM($I$10:$I$19)</f>
        <v/>
      </c>
      <c r="H5" s="83" t="n"/>
      <c r="I5" s="34" t="n"/>
      <c r="J5" s="97">
        <f>SUM($K$10:$K$19)</f>
        <v/>
      </c>
      <c r="K5" s="83" t="n"/>
      <c r="L5" s="34" t="n"/>
      <c r="M5" s="123">
        <f>IFERROR(SUM($I$10:$I$19)/(SUMIFS(J_Montant,J_Annee,Annee_Travail,J_Type,"Revenu",J_Statut,"&lt;&gt;Annulé",J_Statut,"&lt;&gt;Prévu")/12),0)</f>
        <v/>
      </c>
      <c r="N5" s="34" t="n"/>
    </row>
    <row r="6" ht="16" customHeight="1">
      <c r="B6" s="37" t="inlineStr"/>
      <c r="C6" s="38" t="n"/>
      <c r="D6" s="37" t="inlineStr"/>
      <c r="E6" s="86" t="n"/>
      <c r="F6" s="38" t="n"/>
      <c r="G6" s="37" t="inlineStr"/>
      <c r="H6" s="86" t="n"/>
      <c r="I6" s="38" t="n"/>
      <c r="J6" s="37" t="inlineStr"/>
      <c r="K6" s="86" t="n"/>
      <c r="L6" s="38" t="n"/>
      <c r="M6" s="37" t="inlineStr">
        <is>
          <t>Seuil bancaire usuel : 33 %</t>
        </is>
      </c>
      <c r="N6" s="38" t="n"/>
    </row>
    <row r="7" ht="26" customHeight="1">
      <c r="B7" s="41" t="inlineStr">
        <is>
          <t>Saisissez vos remboursements dans le Journal avec le type « Remboursement crédit » et le nom du crédit dans « Projet / Bien » : le capital restant dû se recalcule automatiquement.</t>
        </is>
      </c>
      <c r="C7" s="42" t="n"/>
      <c r="D7" s="42" t="n"/>
      <c r="E7" s="42" t="n"/>
      <c r="F7" s="42" t="n"/>
      <c r="G7" s="42" t="n"/>
      <c r="H7" s="42" t="n"/>
      <c r="I7" s="42" t="n"/>
      <c r="J7" s="42" t="n"/>
      <c r="K7" s="42" t="n"/>
      <c r="L7" s="42" t="n"/>
      <c r="M7" s="42" t="n"/>
      <c r="N7" s="42" t="n"/>
    </row>
    <row r="8" ht="24" customHeight="1">
      <c r="B8" s="6" t="inlineStr">
        <is>
          <t>①  MES CRÉDITS ET DETTES</t>
        </is>
      </c>
      <c r="C8" s="7" t="n"/>
      <c r="D8" s="7" t="n"/>
      <c r="E8" s="7" t="n"/>
      <c r="F8" s="7" t="n"/>
      <c r="G8" s="7" t="n"/>
      <c r="H8" s="7" t="n"/>
      <c r="I8" s="7" t="n"/>
      <c r="J8" s="7" t="n"/>
      <c r="K8" s="7" t="n"/>
      <c r="L8" s="7" t="n"/>
      <c r="M8" s="7" t="n"/>
      <c r="N8" s="7" t="n"/>
    </row>
    <row r="9" ht="32" customHeight="1">
      <c r="B9" s="63" t="inlineStr">
        <is>
          <t>N°</t>
        </is>
      </c>
      <c r="C9" s="63" t="inlineStr">
        <is>
          <t>Crédit / Dette</t>
        </is>
      </c>
      <c r="D9" s="63" t="inlineStr">
        <is>
          <t>Organisme</t>
        </is>
      </c>
      <c r="E9" s="63" t="inlineStr">
        <is>
          <t>Capital emprunté</t>
        </is>
      </c>
      <c r="F9" s="63" t="inlineStr">
        <is>
          <t>Taux annuel</t>
        </is>
      </c>
      <c r="G9" s="63" t="inlineStr">
        <is>
          <t>Durée (mois)</t>
        </is>
      </c>
      <c r="H9" s="63" t="inlineStr">
        <is>
          <t>1re échéance</t>
        </is>
      </c>
      <c r="I9" s="63" t="inlineStr">
        <is>
          <t>Mensualité</t>
        </is>
      </c>
      <c r="J9" s="63" t="inlineStr">
        <is>
          <t>Déjà remboursé</t>
        </is>
      </c>
      <c r="K9" s="63" t="inlineStr">
        <is>
          <t>Capital restant dû</t>
        </is>
      </c>
      <c r="L9" s="63" t="inlineStr">
        <is>
          <t>% remboursé</t>
        </is>
      </c>
      <c r="M9" s="63" t="inlineStr">
        <is>
          <t>Fin prévue</t>
        </is>
      </c>
      <c r="N9" s="63" t="inlineStr">
        <is>
          <t>Notes</t>
        </is>
      </c>
    </row>
    <row r="10">
      <c r="B10" s="208" t="n">
        <v>1</v>
      </c>
      <c r="C10" s="54" t="n"/>
      <c r="D10" s="54" t="n"/>
      <c r="E10" s="88" t="n"/>
      <c r="F10" s="225" t="n"/>
      <c r="G10" s="218" t="n"/>
      <c r="H10" s="105" t="n"/>
      <c r="I10" s="90">
        <f>IF(OR($E10="",$G10=""),0,IF($F10=0,$E10/$G10,-PMT($F10/12,$G10,$E10)))</f>
        <v/>
      </c>
      <c r="J10" s="90">
        <f>IF($C10="",0,SUMIFS(J_Montant,J_Projet,$C10,J_Type,"Remboursement crédit",J_Statut,"&lt;&gt;Annulé",J_Statut,"&lt;&gt;Prévu"))</f>
        <v/>
      </c>
      <c r="K10" s="90">
        <f>IF($C10="",0,IF($F10=0,MAX(0,N($E10)-N($J10)),MAX(0,$E10*(1+$F10/12)^ROUND(IFERROR($J10/$I10,0),0)-$I10*((1+$F10/12)^ROUND(IFERROR($J10/$I10,0),0)-1)/($F10/12))))</f>
        <v/>
      </c>
      <c r="L10" s="91">
        <f>IFERROR(1-$K10/$E10,0)</f>
        <v/>
      </c>
      <c r="M10" s="226">
        <f>IF(OR($H10="",$G10=""),"",EDATE($H10,$G10-1))</f>
        <v/>
      </c>
      <c r="N10" s="54" t="n"/>
    </row>
    <row r="11">
      <c r="B11" s="208" t="n">
        <v>2</v>
      </c>
      <c r="C11" s="54" t="n"/>
      <c r="D11" s="54" t="n"/>
      <c r="E11" s="88" t="n"/>
      <c r="F11" s="225" t="n"/>
      <c r="G11" s="218" t="n"/>
      <c r="H11" s="105" t="n"/>
      <c r="I11" s="90">
        <f>IF(OR($E11="",$G11=""),0,IF($F11=0,$E11/$G11,-PMT($F11/12,$G11,$E11)))</f>
        <v/>
      </c>
      <c r="J11" s="90">
        <f>IF($C11="",0,SUMIFS(J_Montant,J_Projet,$C11,J_Type,"Remboursement crédit",J_Statut,"&lt;&gt;Annulé",J_Statut,"&lt;&gt;Prévu"))</f>
        <v/>
      </c>
      <c r="K11" s="90">
        <f>IF($C11="",0,IF($F11=0,MAX(0,N($E11)-N($J11)),MAX(0,$E11*(1+$F11/12)^ROUND(IFERROR($J11/$I11,0),0)-$I11*((1+$F11/12)^ROUND(IFERROR($J11/$I11,0),0)-1)/($F11/12))))</f>
        <v/>
      </c>
      <c r="L11" s="91">
        <f>IFERROR(1-$K11/$E11,0)</f>
        <v/>
      </c>
      <c r="M11" s="226">
        <f>IF(OR($H11="",$G11=""),"",EDATE($H11,$G11-1))</f>
        <v/>
      </c>
      <c r="N11" s="54" t="n"/>
    </row>
    <row r="12">
      <c r="B12" s="208" t="n">
        <v>3</v>
      </c>
      <c r="C12" s="54" t="n"/>
      <c r="D12" s="54" t="n"/>
      <c r="E12" s="88" t="n"/>
      <c r="F12" s="225" t="n"/>
      <c r="G12" s="218" t="n"/>
      <c r="H12" s="105" t="n"/>
      <c r="I12" s="90">
        <f>IF(OR($E12="",$G12=""),0,IF($F12=0,$E12/$G12,-PMT($F12/12,$G12,$E12)))</f>
        <v/>
      </c>
      <c r="J12" s="90">
        <f>IF($C12="",0,SUMIFS(J_Montant,J_Projet,$C12,J_Type,"Remboursement crédit",J_Statut,"&lt;&gt;Annulé",J_Statut,"&lt;&gt;Prévu"))</f>
        <v/>
      </c>
      <c r="K12" s="90">
        <f>IF($C12="",0,IF($F12=0,MAX(0,N($E12)-N($J12)),MAX(0,$E12*(1+$F12/12)^ROUND(IFERROR($J12/$I12,0),0)-$I12*((1+$F12/12)^ROUND(IFERROR($J12/$I12,0),0)-1)/($F12/12))))</f>
        <v/>
      </c>
      <c r="L12" s="91">
        <f>IFERROR(1-$K12/$E12,0)</f>
        <v/>
      </c>
      <c r="M12" s="226">
        <f>IF(OR($H12="",$G12=""),"",EDATE($H12,$G12-1))</f>
        <v/>
      </c>
      <c r="N12" s="54" t="n"/>
    </row>
    <row r="13">
      <c r="B13" s="208" t="n">
        <v>4</v>
      </c>
      <c r="C13" s="54" t="n"/>
      <c r="D13" s="54" t="n"/>
      <c r="E13" s="88" t="n"/>
      <c r="F13" s="225" t="n"/>
      <c r="G13" s="218" t="n"/>
      <c r="H13" s="105" t="n"/>
      <c r="I13" s="90">
        <f>IF(OR($E13="",$G13=""),0,IF($F13=0,$E13/$G13,-PMT($F13/12,$G13,$E13)))</f>
        <v/>
      </c>
      <c r="J13" s="90">
        <f>IF($C13="",0,SUMIFS(J_Montant,J_Projet,$C13,J_Type,"Remboursement crédit",J_Statut,"&lt;&gt;Annulé",J_Statut,"&lt;&gt;Prévu"))</f>
        <v/>
      </c>
      <c r="K13" s="90">
        <f>IF($C13="",0,IF($F13=0,MAX(0,N($E13)-N($J13)),MAX(0,$E13*(1+$F13/12)^ROUND(IFERROR($J13/$I13,0),0)-$I13*((1+$F13/12)^ROUND(IFERROR($J13/$I13,0),0)-1)/($F13/12))))</f>
        <v/>
      </c>
      <c r="L13" s="91">
        <f>IFERROR(1-$K13/$E13,0)</f>
        <v/>
      </c>
      <c r="M13" s="226">
        <f>IF(OR($H13="",$G13=""),"",EDATE($H13,$G13-1))</f>
        <v/>
      </c>
      <c r="N13" s="54" t="n"/>
    </row>
    <row r="14">
      <c r="B14" s="208" t="n">
        <v>5</v>
      </c>
      <c r="C14" s="54" t="n"/>
      <c r="D14" s="54" t="n"/>
      <c r="E14" s="88" t="n"/>
      <c r="F14" s="225" t="n"/>
      <c r="G14" s="218" t="n"/>
      <c r="H14" s="105" t="n"/>
      <c r="I14" s="90">
        <f>IF(OR($E14="",$G14=""),0,IF($F14=0,$E14/$G14,-PMT($F14/12,$G14,$E14)))</f>
        <v/>
      </c>
      <c r="J14" s="90">
        <f>IF($C14="",0,SUMIFS(J_Montant,J_Projet,$C14,J_Type,"Remboursement crédit",J_Statut,"&lt;&gt;Annulé",J_Statut,"&lt;&gt;Prévu"))</f>
        <v/>
      </c>
      <c r="K14" s="90">
        <f>IF($C14="",0,IF($F14=0,MAX(0,N($E14)-N($J14)),MAX(0,$E14*(1+$F14/12)^ROUND(IFERROR($J14/$I14,0),0)-$I14*((1+$F14/12)^ROUND(IFERROR($J14/$I14,0),0)-1)/($F14/12))))</f>
        <v/>
      </c>
      <c r="L14" s="91">
        <f>IFERROR(1-$K14/$E14,0)</f>
        <v/>
      </c>
      <c r="M14" s="226">
        <f>IF(OR($H14="",$G14=""),"",EDATE($H14,$G14-1))</f>
        <v/>
      </c>
      <c r="N14" s="54" t="n"/>
    </row>
    <row r="15">
      <c r="B15" s="208" t="n">
        <v>6</v>
      </c>
      <c r="C15" s="54" t="n"/>
      <c r="D15" s="54" t="n"/>
      <c r="E15" s="88" t="n"/>
      <c r="F15" s="225" t="n"/>
      <c r="G15" s="218" t="n"/>
      <c r="H15" s="105" t="n"/>
      <c r="I15" s="90">
        <f>IF(OR($E15="",$G15=""),0,IF($F15=0,$E15/$G15,-PMT($F15/12,$G15,$E15)))</f>
        <v/>
      </c>
      <c r="J15" s="90">
        <f>IF($C15="",0,SUMIFS(J_Montant,J_Projet,$C15,J_Type,"Remboursement crédit",J_Statut,"&lt;&gt;Annulé",J_Statut,"&lt;&gt;Prévu"))</f>
        <v/>
      </c>
      <c r="K15" s="90">
        <f>IF($C15="",0,IF($F15=0,MAX(0,N($E15)-N($J15)),MAX(0,$E15*(1+$F15/12)^ROUND(IFERROR($J15/$I15,0),0)-$I15*((1+$F15/12)^ROUND(IFERROR($J15/$I15,0),0)-1)/($F15/12))))</f>
        <v/>
      </c>
      <c r="L15" s="91">
        <f>IFERROR(1-$K15/$E15,0)</f>
        <v/>
      </c>
      <c r="M15" s="226">
        <f>IF(OR($H15="",$G15=""),"",EDATE($H15,$G15-1))</f>
        <v/>
      </c>
      <c r="N15" s="54" t="n"/>
    </row>
    <row r="16">
      <c r="B16" s="208" t="n">
        <v>7</v>
      </c>
      <c r="C16" s="54" t="n"/>
      <c r="D16" s="54" t="n"/>
      <c r="E16" s="88" t="n"/>
      <c r="F16" s="225" t="n"/>
      <c r="G16" s="218" t="n"/>
      <c r="H16" s="105" t="n"/>
      <c r="I16" s="90">
        <f>IF(OR($E16="",$G16=""),0,IF($F16=0,$E16/$G16,-PMT($F16/12,$G16,$E16)))</f>
        <v/>
      </c>
      <c r="J16" s="90">
        <f>IF($C16="",0,SUMIFS(J_Montant,J_Projet,$C16,J_Type,"Remboursement crédit",J_Statut,"&lt;&gt;Annulé",J_Statut,"&lt;&gt;Prévu"))</f>
        <v/>
      </c>
      <c r="K16" s="90">
        <f>IF($C16="",0,IF($F16=0,MAX(0,N($E16)-N($J16)),MAX(0,$E16*(1+$F16/12)^ROUND(IFERROR($J16/$I16,0),0)-$I16*((1+$F16/12)^ROUND(IFERROR($J16/$I16,0),0)-1)/($F16/12))))</f>
        <v/>
      </c>
      <c r="L16" s="91">
        <f>IFERROR(1-$K16/$E16,0)</f>
        <v/>
      </c>
      <c r="M16" s="226">
        <f>IF(OR($H16="",$G16=""),"",EDATE($H16,$G16-1))</f>
        <v/>
      </c>
      <c r="N16" s="54" t="n"/>
    </row>
    <row r="17">
      <c r="B17" s="208" t="n">
        <v>8</v>
      </c>
      <c r="C17" s="54" t="n"/>
      <c r="D17" s="54" t="n"/>
      <c r="E17" s="88" t="n"/>
      <c r="F17" s="225" t="n"/>
      <c r="G17" s="218" t="n"/>
      <c r="H17" s="105" t="n"/>
      <c r="I17" s="90">
        <f>IF(OR($E17="",$G17=""),0,IF($F17=0,$E17/$G17,-PMT($F17/12,$G17,$E17)))</f>
        <v/>
      </c>
      <c r="J17" s="90">
        <f>IF($C17="",0,SUMIFS(J_Montant,J_Projet,$C17,J_Type,"Remboursement crédit",J_Statut,"&lt;&gt;Annulé",J_Statut,"&lt;&gt;Prévu"))</f>
        <v/>
      </c>
      <c r="K17" s="90">
        <f>IF($C17="",0,IF($F17=0,MAX(0,N($E17)-N($J17)),MAX(0,$E17*(1+$F17/12)^ROUND(IFERROR($J17/$I17,0),0)-$I17*((1+$F17/12)^ROUND(IFERROR($J17/$I17,0),0)-1)/($F17/12))))</f>
        <v/>
      </c>
      <c r="L17" s="91">
        <f>IFERROR(1-$K17/$E17,0)</f>
        <v/>
      </c>
      <c r="M17" s="226">
        <f>IF(OR($H17="",$G17=""),"",EDATE($H17,$G17-1))</f>
        <v/>
      </c>
      <c r="N17" s="54" t="n"/>
    </row>
    <row r="18">
      <c r="B18" s="208" t="n">
        <v>9</v>
      </c>
      <c r="C18" s="54" t="n"/>
      <c r="D18" s="54" t="n"/>
      <c r="E18" s="88" t="n"/>
      <c r="F18" s="225" t="n"/>
      <c r="G18" s="218" t="n"/>
      <c r="H18" s="105" t="n"/>
      <c r="I18" s="90">
        <f>IF(OR($E18="",$G18=""),0,IF($F18=0,$E18/$G18,-PMT($F18/12,$G18,$E18)))</f>
        <v/>
      </c>
      <c r="J18" s="90">
        <f>IF($C18="",0,SUMIFS(J_Montant,J_Projet,$C18,J_Type,"Remboursement crédit",J_Statut,"&lt;&gt;Annulé",J_Statut,"&lt;&gt;Prévu"))</f>
        <v/>
      </c>
      <c r="K18" s="90">
        <f>IF($C18="",0,IF($F18=0,MAX(0,N($E18)-N($J18)),MAX(0,$E18*(1+$F18/12)^ROUND(IFERROR($J18/$I18,0),0)-$I18*((1+$F18/12)^ROUND(IFERROR($J18/$I18,0),0)-1)/($F18/12))))</f>
        <v/>
      </c>
      <c r="L18" s="91">
        <f>IFERROR(1-$K18/$E18,0)</f>
        <v/>
      </c>
      <c r="M18" s="226">
        <f>IF(OR($H18="",$G18=""),"",EDATE($H18,$G18-1))</f>
        <v/>
      </c>
      <c r="N18" s="54" t="n"/>
    </row>
    <row r="19">
      <c r="B19" s="208" t="n">
        <v>10</v>
      </c>
      <c r="C19" s="54" t="n"/>
      <c r="D19" s="54" t="n"/>
      <c r="E19" s="88" t="n"/>
      <c r="F19" s="225" t="n"/>
      <c r="G19" s="218" t="n"/>
      <c r="H19" s="105" t="n"/>
      <c r="I19" s="90">
        <f>IF(OR($E19="",$G19=""),0,IF($F19=0,$E19/$G19,-PMT($F19/12,$G19,$E19)))</f>
        <v/>
      </c>
      <c r="J19" s="90">
        <f>IF($C19="",0,SUMIFS(J_Montant,J_Projet,$C19,J_Type,"Remboursement crédit",J_Statut,"&lt;&gt;Annulé",J_Statut,"&lt;&gt;Prévu"))</f>
        <v/>
      </c>
      <c r="K19" s="90">
        <f>IF($C19="",0,IF($F19=0,MAX(0,N($E19)-N($J19)),MAX(0,$E19*(1+$F19/12)^ROUND(IFERROR($J19/$I19,0),0)-$I19*((1+$F19/12)^ROUND(IFERROR($J19/$I19,0),0)-1)/($F19/12))))</f>
        <v/>
      </c>
      <c r="L19" s="91">
        <f>IFERROR(1-$K19/$E19,0)</f>
        <v/>
      </c>
      <c r="M19" s="226">
        <f>IF(OR($H19="",$G19=""),"",EDATE($H19,$G19-1))</f>
        <v/>
      </c>
      <c r="N19" s="54" t="n"/>
    </row>
    <row r="20">
      <c r="B20" s="134" t="n"/>
      <c r="C20" s="134" t="inlineStr">
        <is>
          <t>TOTAL</t>
        </is>
      </c>
      <c r="D20" s="134" t="n"/>
      <c r="E20" s="135">
        <f>SUM(E10:E19)</f>
        <v/>
      </c>
      <c r="F20" s="134" t="n"/>
      <c r="G20" s="134" t="n"/>
      <c r="H20" s="134" t="n"/>
      <c r="I20" s="135">
        <f>SUM(I10:I19)</f>
        <v/>
      </c>
      <c r="J20" s="135">
        <f>SUM(J10:J19)</f>
        <v/>
      </c>
      <c r="K20" s="135">
        <f>SUM(K10:K19)</f>
        <v/>
      </c>
      <c r="L20" s="136">
        <f>IFERROR(1-$K20/$E20,0)</f>
        <v/>
      </c>
      <c r="M20" s="134" t="n"/>
      <c r="N20" s="134" t="n"/>
    </row>
    <row r="21"/>
    <row r="22"/>
    <row r="23" ht="24" customHeight="1">
      <c r="B23" s="6" t="inlineStr">
        <is>
          <t>②  TABLEAU D'AMORTISSEMENT</t>
        </is>
      </c>
      <c r="C23" s="7" t="n"/>
      <c r="D23" s="7" t="n"/>
      <c r="E23" s="7" t="n"/>
      <c r="F23" s="7" t="n"/>
      <c r="G23" s="7" t="n"/>
      <c r="H23" s="7" t="n"/>
    </row>
    <row r="24"/>
    <row r="25">
      <c r="C25" s="227" t="inlineStr">
        <is>
          <t>Crédit à détailler :</t>
        </is>
      </c>
      <c r="E25" s="228">
        <f>IF($C10="","",$C10)</f>
        <v/>
      </c>
      <c r="F25" s="229" t="n"/>
      <c r="G25" s="70">
        <f>IFERROR(MATCH($E$25,$C$10:$C$19,0),1)</f>
        <v/>
      </c>
    </row>
    <row r="26" ht="30" customHeight="1">
      <c r="B26" s="63" t="inlineStr">
        <is>
          <t>Éch.</t>
        </is>
      </c>
      <c r="C26" s="63" t="inlineStr">
        <is>
          <t>Date</t>
        </is>
      </c>
      <c r="D26" s="63" t="inlineStr">
        <is>
          <t>Mensualité</t>
        </is>
      </c>
      <c r="E26" s="63" t="inlineStr">
        <is>
          <t>Intérêts</t>
        </is>
      </c>
      <c r="F26" s="63" t="inlineStr">
        <is>
          <t>Capital amorti</t>
        </is>
      </c>
      <c r="G26" s="63" t="inlineStr">
        <is>
          <t>Capital restant dû</t>
        </is>
      </c>
    </row>
    <row r="27">
      <c r="B27" s="230" t="n">
        <v>1</v>
      </c>
      <c r="C27" s="231">
        <f>IF($B27&gt;INDEX($G$10:$G$19,$G$25),"",IFERROR(EDATE(INDEX($H$10:$H$19,$G$25),$B27-1),""))</f>
        <v/>
      </c>
      <c r="D27" s="232">
        <f>IF($B27&gt;INDEX($G$10:$G$19,$G$25),"",INDEX($I$10:$I$19,$G$25))</f>
        <v/>
      </c>
      <c r="E27" s="232">
        <f>IF($B27&gt;INDEX($G$10:$G$19,$G$25),"",INDEX($E$10:$E$19,$G$25)*INDEX($F$10:$F$19,$G$25)/12)</f>
        <v/>
      </c>
      <c r="F27" s="232">
        <f>IF($B27&gt;INDEX($G$10:$G$19,$G$25),"",$D27-$E27)</f>
        <v/>
      </c>
      <c r="G27" s="232">
        <f>IF($B27&gt;INDEX($G$10:$G$19,$G$25),"",MAX(0,INDEX($E$10:$E$19,$G$25)-$F27))</f>
        <v/>
      </c>
    </row>
    <row r="28">
      <c r="B28" s="230" t="n">
        <v>2</v>
      </c>
      <c r="C28" s="231">
        <f>IF($B28&gt;INDEX($G$10:$G$19,$G$25),"",IFERROR(EDATE(INDEX($H$10:$H$19,$G$25),$B28-1),""))</f>
        <v/>
      </c>
      <c r="D28" s="232">
        <f>IF($B28&gt;INDEX($G$10:$G$19,$G$25),"",INDEX($I$10:$I$19,$G$25))</f>
        <v/>
      </c>
      <c r="E28" s="232">
        <f>IF($B28&gt;INDEX($G$10:$G$19,$G$25),"",$G27*INDEX($F$10:$F$19,$G$25)/12)</f>
        <v/>
      </c>
      <c r="F28" s="232">
        <f>IF($B28&gt;INDEX($G$10:$G$19,$G$25),"",$D28-$E28)</f>
        <v/>
      </c>
      <c r="G28" s="232">
        <f>IF($B28&gt;INDEX($G$10:$G$19,$G$25),"",MAX(0,$G27-$F28))</f>
        <v/>
      </c>
    </row>
    <row r="29">
      <c r="B29" s="230" t="n">
        <v>3</v>
      </c>
      <c r="C29" s="231">
        <f>IF($B29&gt;INDEX($G$10:$G$19,$G$25),"",IFERROR(EDATE(INDEX($H$10:$H$19,$G$25),$B29-1),""))</f>
        <v/>
      </c>
      <c r="D29" s="232">
        <f>IF($B29&gt;INDEX($G$10:$G$19,$G$25),"",INDEX($I$10:$I$19,$G$25))</f>
        <v/>
      </c>
      <c r="E29" s="232">
        <f>IF($B29&gt;INDEX($G$10:$G$19,$G$25),"",$G28*INDEX($F$10:$F$19,$G$25)/12)</f>
        <v/>
      </c>
      <c r="F29" s="232">
        <f>IF($B29&gt;INDEX($G$10:$G$19,$G$25),"",$D29-$E29)</f>
        <v/>
      </c>
      <c r="G29" s="232">
        <f>IF($B29&gt;INDEX($G$10:$G$19,$G$25),"",MAX(0,$G28-$F29))</f>
        <v/>
      </c>
    </row>
    <row r="30">
      <c r="B30" s="230" t="n">
        <v>4</v>
      </c>
      <c r="C30" s="231">
        <f>IF($B30&gt;INDEX($G$10:$G$19,$G$25),"",IFERROR(EDATE(INDEX($H$10:$H$19,$G$25),$B30-1),""))</f>
        <v/>
      </c>
      <c r="D30" s="232">
        <f>IF($B30&gt;INDEX($G$10:$G$19,$G$25),"",INDEX($I$10:$I$19,$G$25))</f>
        <v/>
      </c>
      <c r="E30" s="232">
        <f>IF($B30&gt;INDEX($G$10:$G$19,$G$25),"",$G29*INDEX($F$10:$F$19,$G$25)/12)</f>
        <v/>
      </c>
      <c r="F30" s="232">
        <f>IF($B30&gt;INDEX($G$10:$G$19,$G$25),"",$D30-$E30)</f>
        <v/>
      </c>
      <c r="G30" s="232">
        <f>IF($B30&gt;INDEX($G$10:$G$19,$G$25),"",MAX(0,$G29-$F30))</f>
        <v/>
      </c>
    </row>
    <row r="31">
      <c r="B31" s="230" t="n">
        <v>5</v>
      </c>
      <c r="C31" s="231">
        <f>IF($B31&gt;INDEX($G$10:$G$19,$G$25),"",IFERROR(EDATE(INDEX($H$10:$H$19,$G$25),$B31-1),""))</f>
        <v/>
      </c>
      <c r="D31" s="232">
        <f>IF($B31&gt;INDEX($G$10:$G$19,$G$25),"",INDEX($I$10:$I$19,$G$25))</f>
        <v/>
      </c>
      <c r="E31" s="232">
        <f>IF($B31&gt;INDEX($G$10:$G$19,$G$25),"",$G30*INDEX($F$10:$F$19,$G$25)/12)</f>
        <v/>
      </c>
      <c r="F31" s="232">
        <f>IF($B31&gt;INDEX($G$10:$G$19,$G$25),"",$D31-$E31)</f>
        <v/>
      </c>
      <c r="G31" s="232">
        <f>IF($B31&gt;INDEX($G$10:$G$19,$G$25),"",MAX(0,$G30-$F31))</f>
        <v/>
      </c>
    </row>
    <row r="32">
      <c r="B32" s="230" t="n">
        <v>6</v>
      </c>
      <c r="C32" s="231">
        <f>IF($B32&gt;INDEX($G$10:$G$19,$G$25),"",IFERROR(EDATE(INDEX($H$10:$H$19,$G$25),$B32-1),""))</f>
        <v/>
      </c>
      <c r="D32" s="232">
        <f>IF($B32&gt;INDEX($G$10:$G$19,$G$25),"",INDEX($I$10:$I$19,$G$25))</f>
        <v/>
      </c>
      <c r="E32" s="232">
        <f>IF($B32&gt;INDEX($G$10:$G$19,$G$25),"",$G31*INDEX($F$10:$F$19,$G$25)/12)</f>
        <v/>
      </c>
      <c r="F32" s="232">
        <f>IF($B32&gt;INDEX($G$10:$G$19,$G$25),"",$D32-$E32)</f>
        <v/>
      </c>
      <c r="G32" s="232">
        <f>IF($B32&gt;INDEX($G$10:$G$19,$G$25),"",MAX(0,$G31-$F32))</f>
        <v/>
      </c>
    </row>
    <row r="33">
      <c r="B33" s="230" t="n">
        <v>7</v>
      </c>
      <c r="C33" s="231">
        <f>IF($B33&gt;INDEX($G$10:$G$19,$G$25),"",IFERROR(EDATE(INDEX($H$10:$H$19,$G$25),$B33-1),""))</f>
        <v/>
      </c>
      <c r="D33" s="232">
        <f>IF($B33&gt;INDEX($G$10:$G$19,$G$25),"",INDEX($I$10:$I$19,$G$25))</f>
        <v/>
      </c>
      <c r="E33" s="232">
        <f>IF($B33&gt;INDEX($G$10:$G$19,$G$25),"",$G32*INDEX($F$10:$F$19,$G$25)/12)</f>
        <v/>
      </c>
      <c r="F33" s="232">
        <f>IF($B33&gt;INDEX($G$10:$G$19,$G$25),"",$D33-$E33)</f>
        <v/>
      </c>
      <c r="G33" s="232">
        <f>IF($B33&gt;INDEX($G$10:$G$19,$G$25),"",MAX(0,$G32-$F33))</f>
        <v/>
      </c>
    </row>
    <row r="34">
      <c r="B34" s="230" t="n">
        <v>8</v>
      </c>
      <c r="C34" s="231">
        <f>IF($B34&gt;INDEX($G$10:$G$19,$G$25),"",IFERROR(EDATE(INDEX($H$10:$H$19,$G$25),$B34-1),""))</f>
        <v/>
      </c>
      <c r="D34" s="232">
        <f>IF($B34&gt;INDEX($G$10:$G$19,$G$25),"",INDEX($I$10:$I$19,$G$25))</f>
        <v/>
      </c>
      <c r="E34" s="232">
        <f>IF($B34&gt;INDEX($G$10:$G$19,$G$25),"",$G33*INDEX($F$10:$F$19,$G$25)/12)</f>
        <v/>
      </c>
      <c r="F34" s="232">
        <f>IF($B34&gt;INDEX($G$10:$G$19,$G$25),"",$D34-$E34)</f>
        <v/>
      </c>
      <c r="G34" s="232">
        <f>IF($B34&gt;INDEX($G$10:$G$19,$G$25),"",MAX(0,$G33-$F34))</f>
        <v/>
      </c>
    </row>
    <row r="35">
      <c r="B35" s="230" t="n">
        <v>9</v>
      </c>
      <c r="C35" s="231">
        <f>IF($B35&gt;INDEX($G$10:$G$19,$G$25),"",IFERROR(EDATE(INDEX($H$10:$H$19,$G$25),$B35-1),""))</f>
        <v/>
      </c>
      <c r="D35" s="232">
        <f>IF($B35&gt;INDEX($G$10:$G$19,$G$25),"",INDEX($I$10:$I$19,$G$25))</f>
        <v/>
      </c>
      <c r="E35" s="232">
        <f>IF($B35&gt;INDEX($G$10:$G$19,$G$25),"",$G34*INDEX($F$10:$F$19,$G$25)/12)</f>
        <v/>
      </c>
      <c r="F35" s="232">
        <f>IF($B35&gt;INDEX($G$10:$G$19,$G$25),"",$D35-$E35)</f>
        <v/>
      </c>
      <c r="G35" s="232">
        <f>IF($B35&gt;INDEX($G$10:$G$19,$G$25),"",MAX(0,$G34-$F35))</f>
        <v/>
      </c>
    </row>
    <row r="36">
      <c r="B36" s="230" t="n">
        <v>10</v>
      </c>
      <c r="C36" s="231">
        <f>IF($B36&gt;INDEX($G$10:$G$19,$G$25),"",IFERROR(EDATE(INDEX($H$10:$H$19,$G$25),$B36-1),""))</f>
        <v/>
      </c>
      <c r="D36" s="232">
        <f>IF($B36&gt;INDEX($G$10:$G$19,$G$25),"",INDEX($I$10:$I$19,$G$25))</f>
        <v/>
      </c>
      <c r="E36" s="232">
        <f>IF($B36&gt;INDEX($G$10:$G$19,$G$25),"",$G35*INDEX($F$10:$F$19,$G$25)/12)</f>
        <v/>
      </c>
      <c r="F36" s="232">
        <f>IF($B36&gt;INDEX($G$10:$G$19,$G$25),"",$D36-$E36)</f>
        <v/>
      </c>
      <c r="G36" s="232">
        <f>IF($B36&gt;INDEX($G$10:$G$19,$G$25),"",MAX(0,$G35-$F36))</f>
        <v/>
      </c>
    </row>
    <row r="37">
      <c r="B37" s="230" t="n">
        <v>11</v>
      </c>
      <c r="C37" s="231">
        <f>IF($B37&gt;INDEX($G$10:$G$19,$G$25),"",IFERROR(EDATE(INDEX($H$10:$H$19,$G$25),$B37-1),""))</f>
        <v/>
      </c>
      <c r="D37" s="232">
        <f>IF($B37&gt;INDEX($G$10:$G$19,$G$25),"",INDEX($I$10:$I$19,$G$25))</f>
        <v/>
      </c>
      <c r="E37" s="232">
        <f>IF($B37&gt;INDEX($G$10:$G$19,$G$25),"",$G36*INDEX($F$10:$F$19,$G$25)/12)</f>
        <v/>
      </c>
      <c r="F37" s="232">
        <f>IF($B37&gt;INDEX($G$10:$G$19,$G$25),"",$D37-$E37)</f>
        <v/>
      </c>
      <c r="G37" s="232">
        <f>IF($B37&gt;INDEX($G$10:$G$19,$G$25),"",MAX(0,$G36-$F37))</f>
        <v/>
      </c>
    </row>
    <row r="38">
      <c r="B38" s="230" t="n">
        <v>12</v>
      </c>
      <c r="C38" s="231">
        <f>IF($B38&gt;INDEX($G$10:$G$19,$G$25),"",IFERROR(EDATE(INDEX($H$10:$H$19,$G$25),$B38-1),""))</f>
        <v/>
      </c>
      <c r="D38" s="232">
        <f>IF($B38&gt;INDEX($G$10:$G$19,$G$25),"",INDEX($I$10:$I$19,$G$25))</f>
        <v/>
      </c>
      <c r="E38" s="232">
        <f>IF($B38&gt;INDEX($G$10:$G$19,$G$25),"",$G37*INDEX($F$10:$F$19,$G$25)/12)</f>
        <v/>
      </c>
      <c r="F38" s="232">
        <f>IF($B38&gt;INDEX($G$10:$G$19,$G$25),"",$D38-$E38)</f>
        <v/>
      </c>
      <c r="G38" s="232">
        <f>IF($B38&gt;INDEX($G$10:$G$19,$G$25),"",MAX(0,$G37-$F38))</f>
        <v/>
      </c>
    </row>
    <row r="39">
      <c r="B39" s="230" t="n">
        <v>13</v>
      </c>
      <c r="C39" s="231">
        <f>IF($B39&gt;INDEX($G$10:$G$19,$G$25),"",IFERROR(EDATE(INDEX($H$10:$H$19,$G$25),$B39-1),""))</f>
        <v/>
      </c>
      <c r="D39" s="232">
        <f>IF($B39&gt;INDEX($G$10:$G$19,$G$25),"",INDEX($I$10:$I$19,$G$25))</f>
        <v/>
      </c>
      <c r="E39" s="232">
        <f>IF($B39&gt;INDEX($G$10:$G$19,$G$25),"",$G38*INDEX($F$10:$F$19,$G$25)/12)</f>
        <v/>
      </c>
      <c r="F39" s="232">
        <f>IF($B39&gt;INDEX($G$10:$G$19,$G$25),"",$D39-$E39)</f>
        <v/>
      </c>
      <c r="G39" s="232">
        <f>IF($B39&gt;INDEX($G$10:$G$19,$G$25),"",MAX(0,$G38-$F39))</f>
        <v/>
      </c>
    </row>
    <row r="40">
      <c r="B40" s="230" t="n">
        <v>14</v>
      </c>
      <c r="C40" s="231">
        <f>IF($B40&gt;INDEX($G$10:$G$19,$G$25),"",IFERROR(EDATE(INDEX($H$10:$H$19,$G$25),$B40-1),""))</f>
        <v/>
      </c>
      <c r="D40" s="232">
        <f>IF($B40&gt;INDEX($G$10:$G$19,$G$25),"",INDEX($I$10:$I$19,$G$25))</f>
        <v/>
      </c>
      <c r="E40" s="232">
        <f>IF($B40&gt;INDEX($G$10:$G$19,$G$25),"",$G39*INDEX($F$10:$F$19,$G$25)/12)</f>
        <v/>
      </c>
      <c r="F40" s="232">
        <f>IF($B40&gt;INDEX($G$10:$G$19,$G$25),"",$D40-$E40)</f>
        <v/>
      </c>
      <c r="G40" s="232">
        <f>IF($B40&gt;INDEX($G$10:$G$19,$G$25),"",MAX(0,$G39-$F40))</f>
        <v/>
      </c>
    </row>
    <row r="41">
      <c r="B41" s="230" t="n">
        <v>15</v>
      </c>
      <c r="C41" s="231">
        <f>IF($B41&gt;INDEX($G$10:$G$19,$G$25),"",IFERROR(EDATE(INDEX($H$10:$H$19,$G$25),$B41-1),""))</f>
        <v/>
      </c>
      <c r="D41" s="232">
        <f>IF($B41&gt;INDEX($G$10:$G$19,$G$25),"",INDEX($I$10:$I$19,$G$25))</f>
        <v/>
      </c>
      <c r="E41" s="232">
        <f>IF($B41&gt;INDEX($G$10:$G$19,$G$25),"",$G40*INDEX($F$10:$F$19,$G$25)/12)</f>
        <v/>
      </c>
      <c r="F41" s="232">
        <f>IF($B41&gt;INDEX($G$10:$G$19,$G$25),"",$D41-$E41)</f>
        <v/>
      </c>
      <c r="G41" s="232">
        <f>IF($B41&gt;INDEX($G$10:$G$19,$G$25),"",MAX(0,$G40-$F41))</f>
        <v/>
      </c>
    </row>
    <row r="42">
      <c r="B42" s="230" t="n">
        <v>16</v>
      </c>
      <c r="C42" s="231">
        <f>IF($B42&gt;INDEX($G$10:$G$19,$G$25),"",IFERROR(EDATE(INDEX($H$10:$H$19,$G$25),$B42-1),""))</f>
        <v/>
      </c>
      <c r="D42" s="232">
        <f>IF($B42&gt;INDEX($G$10:$G$19,$G$25),"",INDEX($I$10:$I$19,$G$25))</f>
        <v/>
      </c>
      <c r="E42" s="232">
        <f>IF($B42&gt;INDEX($G$10:$G$19,$G$25),"",$G41*INDEX($F$10:$F$19,$G$25)/12)</f>
        <v/>
      </c>
      <c r="F42" s="232">
        <f>IF($B42&gt;INDEX($G$10:$G$19,$G$25),"",$D42-$E42)</f>
        <v/>
      </c>
      <c r="G42" s="232">
        <f>IF($B42&gt;INDEX($G$10:$G$19,$G$25),"",MAX(0,$G41-$F42))</f>
        <v/>
      </c>
    </row>
    <row r="43">
      <c r="B43" s="230" t="n">
        <v>17</v>
      </c>
      <c r="C43" s="231">
        <f>IF($B43&gt;INDEX($G$10:$G$19,$G$25),"",IFERROR(EDATE(INDEX($H$10:$H$19,$G$25),$B43-1),""))</f>
        <v/>
      </c>
      <c r="D43" s="232">
        <f>IF($B43&gt;INDEX($G$10:$G$19,$G$25),"",INDEX($I$10:$I$19,$G$25))</f>
        <v/>
      </c>
      <c r="E43" s="232">
        <f>IF($B43&gt;INDEX($G$10:$G$19,$G$25),"",$G42*INDEX($F$10:$F$19,$G$25)/12)</f>
        <v/>
      </c>
      <c r="F43" s="232">
        <f>IF($B43&gt;INDEX($G$10:$G$19,$G$25),"",$D43-$E43)</f>
        <v/>
      </c>
      <c r="G43" s="232">
        <f>IF($B43&gt;INDEX($G$10:$G$19,$G$25),"",MAX(0,$G42-$F43))</f>
        <v/>
      </c>
    </row>
    <row r="44">
      <c r="B44" s="230" t="n">
        <v>18</v>
      </c>
      <c r="C44" s="231">
        <f>IF($B44&gt;INDEX($G$10:$G$19,$G$25),"",IFERROR(EDATE(INDEX($H$10:$H$19,$G$25),$B44-1),""))</f>
        <v/>
      </c>
      <c r="D44" s="232">
        <f>IF($B44&gt;INDEX($G$10:$G$19,$G$25),"",INDEX($I$10:$I$19,$G$25))</f>
        <v/>
      </c>
      <c r="E44" s="232">
        <f>IF($B44&gt;INDEX($G$10:$G$19,$G$25),"",$G43*INDEX($F$10:$F$19,$G$25)/12)</f>
        <v/>
      </c>
      <c r="F44" s="232">
        <f>IF($B44&gt;INDEX($G$10:$G$19,$G$25),"",$D44-$E44)</f>
        <v/>
      </c>
      <c r="G44" s="232">
        <f>IF($B44&gt;INDEX($G$10:$G$19,$G$25),"",MAX(0,$G43-$F44))</f>
        <v/>
      </c>
    </row>
    <row r="45">
      <c r="B45" s="230" t="n">
        <v>19</v>
      </c>
      <c r="C45" s="231">
        <f>IF($B45&gt;INDEX($G$10:$G$19,$G$25),"",IFERROR(EDATE(INDEX($H$10:$H$19,$G$25),$B45-1),""))</f>
        <v/>
      </c>
      <c r="D45" s="232">
        <f>IF($B45&gt;INDEX($G$10:$G$19,$G$25),"",INDEX($I$10:$I$19,$G$25))</f>
        <v/>
      </c>
      <c r="E45" s="232">
        <f>IF($B45&gt;INDEX($G$10:$G$19,$G$25),"",$G44*INDEX($F$10:$F$19,$G$25)/12)</f>
        <v/>
      </c>
      <c r="F45" s="232">
        <f>IF($B45&gt;INDEX($G$10:$G$19,$G$25),"",$D45-$E45)</f>
        <v/>
      </c>
      <c r="G45" s="232">
        <f>IF($B45&gt;INDEX($G$10:$G$19,$G$25),"",MAX(0,$G44-$F45))</f>
        <v/>
      </c>
    </row>
    <row r="46">
      <c r="B46" s="230" t="n">
        <v>20</v>
      </c>
      <c r="C46" s="231">
        <f>IF($B46&gt;INDEX($G$10:$G$19,$G$25),"",IFERROR(EDATE(INDEX($H$10:$H$19,$G$25),$B46-1),""))</f>
        <v/>
      </c>
      <c r="D46" s="232">
        <f>IF($B46&gt;INDEX($G$10:$G$19,$G$25),"",INDEX($I$10:$I$19,$G$25))</f>
        <v/>
      </c>
      <c r="E46" s="232">
        <f>IF($B46&gt;INDEX($G$10:$G$19,$G$25),"",$G45*INDEX($F$10:$F$19,$G$25)/12)</f>
        <v/>
      </c>
      <c r="F46" s="232">
        <f>IF($B46&gt;INDEX($G$10:$G$19,$G$25),"",$D46-$E46)</f>
        <v/>
      </c>
      <c r="G46" s="232">
        <f>IF($B46&gt;INDEX($G$10:$G$19,$G$25),"",MAX(0,$G45-$F46))</f>
        <v/>
      </c>
    </row>
    <row r="47">
      <c r="B47" s="230" t="n">
        <v>21</v>
      </c>
      <c r="C47" s="231">
        <f>IF($B47&gt;INDEX($G$10:$G$19,$G$25),"",IFERROR(EDATE(INDEX($H$10:$H$19,$G$25),$B47-1),""))</f>
        <v/>
      </c>
      <c r="D47" s="232">
        <f>IF($B47&gt;INDEX($G$10:$G$19,$G$25),"",INDEX($I$10:$I$19,$G$25))</f>
        <v/>
      </c>
      <c r="E47" s="232">
        <f>IF($B47&gt;INDEX($G$10:$G$19,$G$25),"",$G46*INDEX($F$10:$F$19,$G$25)/12)</f>
        <v/>
      </c>
      <c r="F47" s="232">
        <f>IF($B47&gt;INDEX($G$10:$G$19,$G$25),"",$D47-$E47)</f>
        <v/>
      </c>
      <c r="G47" s="232">
        <f>IF($B47&gt;INDEX($G$10:$G$19,$G$25),"",MAX(0,$G46-$F47))</f>
        <v/>
      </c>
    </row>
    <row r="48">
      <c r="B48" s="230" t="n">
        <v>22</v>
      </c>
      <c r="C48" s="231">
        <f>IF($B48&gt;INDEX($G$10:$G$19,$G$25),"",IFERROR(EDATE(INDEX($H$10:$H$19,$G$25),$B48-1),""))</f>
        <v/>
      </c>
      <c r="D48" s="232">
        <f>IF($B48&gt;INDEX($G$10:$G$19,$G$25),"",INDEX($I$10:$I$19,$G$25))</f>
        <v/>
      </c>
      <c r="E48" s="232">
        <f>IF($B48&gt;INDEX($G$10:$G$19,$G$25),"",$G47*INDEX($F$10:$F$19,$G$25)/12)</f>
        <v/>
      </c>
      <c r="F48" s="232">
        <f>IF($B48&gt;INDEX($G$10:$G$19,$G$25),"",$D48-$E48)</f>
        <v/>
      </c>
      <c r="G48" s="232">
        <f>IF($B48&gt;INDEX($G$10:$G$19,$G$25),"",MAX(0,$G47-$F48))</f>
        <v/>
      </c>
    </row>
    <row r="49">
      <c r="B49" s="230" t="n">
        <v>23</v>
      </c>
      <c r="C49" s="231">
        <f>IF($B49&gt;INDEX($G$10:$G$19,$G$25),"",IFERROR(EDATE(INDEX($H$10:$H$19,$G$25),$B49-1),""))</f>
        <v/>
      </c>
      <c r="D49" s="232">
        <f>IF($B49&gt;INDEX($G$10:$G$19,$G$25),"",INDEX($I$10:$I$19,$G$25))</f>
        <v/>
      </c>
      <c r="E49" s="232">
        <f>IF($B49&gt;INDEX($G$10:$G$19,$G$25),"",$G48*INDEX($F$10:$F$19,$G$25)/12)</f>
        <v/>
      </c>
      <c r="F49" s="232">
        <f>IF($B49&gt;INDEX($G$10:$G$19,$G$25),"",$D49-$E49)</f>
        <v/>
      </c>
      <c r="G49" s="232">
        <f>IF($B49&gt;INDEX($G$10:$G$19,$G$25),"",MAX(0,$G48-$F49))</f>
        <v/>
      </c>
    </row>
    <row r="50">
      <c r="B50" s="230" t="n">
        <v>24</v>
      </c>
      <c r="C50" s="231">
        <f>IF($B50&gt;INDEX($G$10:$G$19,$G$25),"",IFERROR(EDATE(INDEX($H$10:$H$19,$G$25),$B50-1),""))</f>
        <v/>
      </c>
      <c r="D50" s="232">
        <f>IF($B50&gt;INDEX($G$10:$G$19,$G$25),"",INDEX($I$10:$I$19,$G$25))</f>
        <v/>
      </c>
      <c r="E50" s="232">
        <f>IF($B50&gt;INDEX($G$10:$G$19,$G$25),"",$G49*INDEX($F$10:$F$19,$G$25)/12)</f>
        <v/>
      </c>
      <c r="F50" s="232">
        <f>IF($B50&gt;INDEX($G$10:$G$19,$G$25),"",$D50-$E50)</f>
        <v/>
      </c>
      <c r="G50" s="232">
        <f>IF($B50&gt;INDEX($G$10:$G$19,$G$25),"",MAX(0,$G49-$F50))</f>
        <v/>
      </c>
    </row>
    <row r="51">
      <c r="B51" s="230" t="n">
        <v>25</v>
      </c>
      <c r="C51" s="231">
        <f>IF($B51&gt;INDEX($G$10:$G$19,$G$25),"",IFERROR(EDATE(INDEX($H$10:$H$19,$G$25),$B51-1),""))</f>
        <v/>
      </c>
      <c r="D51" s="232">
        <f>IF($B51&gt;INDEX($G$10:$G$19,$G$25),"",INDEX($I$10:$I$19,$G$25))</f>
        <v/>
      </c>
      <c r="E51" s="232">
        <f>IF($B51&gt;INDEX($G$10:$G$19,$G$25),"",$G50*INDEX($F$10:$F$19,$G$25)/12)</f>
        <v/>
      </c>
      <c r="F51" s="232">
        <f>IF($B51&gt;INDEX($G$10:$G$19,$G$25),"",$D51-$E51)</f>
        <v/>
      </c>
      <c r="G51" s="232">
        <f>IF($B51&gt;INDEX($G$10:$G$19,$G$25),"",MAX(0,$G50-$F51))</f>
        <v/>
      </c>
    </row>
    <row r="52">
      <c r="B52" s="230" t="n">
        <v>26</v>
      </c>
      <c r="C52" s="231">
        <f>IF($B52&gt;INDEX($G$10:$G$19,$G$25),"",IFERROR(EDATE(INDEX($H$10:$H$19,$G$25),$B52-1),""))</f>
        <v/>
      </c>
      <c r="D52" s="232">
        <f>IF($B52&gt;INDEX($G$10:$G$19,$G$25),"",INDEX($I$10:$I$19,$G$25))</f>
        <v/>
      </c>
      <c r="E52" s="232">
        <f>IF($B52&gt;INDEX($G$10:$G$19,$G$25),"",$G51*INDEX($F$10:$F$19,$G$25)/12)</f>
        <v/>
      </c>
      <c r="F52" s="232">
        <f>IF($B52&gt;INDEX($G$10:$G$19,$G$25),"",$D52-$E52)</f>
        <v/>
      </c>
      <c r="G52" s="232">
        <f>IF($B52&gt;INDEX($G$10:$G$19,$G$25),"",MAX(0,$G51-$F52))</f>
        <v/>
      </c>
    </row>
    <row r="53">
      <c r="B53" s="230" t="n">
        <v>27</v>
      </c>
      <c r="C53" s="231">
        <f>IF($B53&gt;INDEX($G$10:$G$19,$G$25),"",IFERROR(EDATE(INDEX($H$10:$H$19,$G$25),$B53-1),""))</f>
        <v/>
      </c>
      <c r="D53" s="232">
        <f>IF($B53&gt;INDEX($G$10:$G$19,$G$25),"",INDEX($I$10:$I$19,$G$25))</f>
        <v/>
      </c>
      <c r="E53" s="232">
        <f>IF($B53&gt;INDEX($G$10:$G$19,$G$25),"",$G52*INDEX($F$10:$F$19,$G$25)/12)</f>
        <v/>
      </c>
      <c r="F53" s="232">
        <f>IF($B53&gt;INDEX($G$10:$G$19,$G$25),"",$D53-$E53)</f>
        <v/>
      </c>
      <c r="G53" s="232">
        <f>IF($B53&gt;INDEX($G$10:$G$19,$G$25),"",MAX(0,$G52-$F53))</f>
        <v/>
      </c>
    </row>
    <row r="54">
      <c r="B54" s="230" t="n">
        <v>28</v>
      </c>
      <c r="C54" s="231">
        <f>IF($B54&gt;INDEX($G$10:$G$19,$G$25),"",IFERROR(EDATE(INDEX($H$10:$H$19,$G$25),$B54-1),""))</f>
        <v/>
      </c>
      <c r="D54" s="232">
        <f>IF($B54&gt;INDEX($G$10:$G$19,$G$25),"",INDEX($I$10:$I$19,$G$25))</f>
        <v/>
      </c>
      <c r="E54" s="232">
        <f>IF($B54&gt;INDEX($G$10:$G$19,$G$25),"",$G53*INDEX($F$10:$F$19,$G$25)/12)</f>
        <v/>
      </c>
      <c r="F54" s="232">
        <f>IF($B54&gt;INDEX($G$10:$G$19,$G$25),"",$D54-$E54)</f>
        <v/>
      </c>
      <c r="G54" s="232">
        <f>IF($B54&gt;INDEX($G$10:$G$19,$G$25),"",MAX(0,$G53-$F54))</f>
        <v/>
      </c>
    </row>
    <row r="55">
      <c r="B55" s="230" t="n">
        <v>29</v>
      </c>
      <c r="C55" s="231">
        <f>IF($B55&gt;INDEX($G$10:$G$19,$G$25),"",IFERROR(EDATE(INDEX($H$10:$H$19,$G$25),$B55-1),""))</f>
        <v/>
      </c>
      <c r="D55" s="232">
        <f>IF($B55&gt;INDEX($G$10:$G$19,$G$25),"",INDEX($I$10:$I$19,$G$25))</f>
        <v/>
      </c>
      <c r="E55" s="232">
        <f>IF($B55&gt;INDEX($G$10:$G$19,$G$25),"",$G54*INDEX($F$10:$F$19,$G$25)/12)</f>
        <v/>
      </c>
      <c r="F55" s="232">
        <f>IF($B55&gt;INDEX($G$10:$G$19,$G$25),"",$D55-$E55)</f>
        <v/>
      </c>
      <c r="G55" s="232">
        <f>IF($B55&gt;INDEX($G$10:$G$19,$G$25),"",MAX(0,$G54-$F55))</f>
        <v/>
      </c>
    </row>
    <row r="56">
      <c r="B56" s="230" t="n">
        <v>30</v>
      </c>
      <c r="C56" s="231">
        <f>IF($B56&gt;INDEX($G$10:$G$19,$G$25),"",IFERROR(EDATE(INDEX($H$10:$H$19,$G$25),$B56-1),""))</f>
        <v/>
      </c>
      <c r="D56" s="232">
        <f>IF($B56&gt;INDEX($G$10:$G$19,$G$25),"",INDEX($I$10:$I$19,$G$25))</f>
        <v/>
      </c>
      <c r="E56" s="232">
        <f>IF($B56&gt;INDEX($G$10:$G$19,$G$25),"",$G55*INDEX($F$10:$F$19,$G$25)/12)</f>
        <v/>
      </c>
      <c r="F56" s="232">
        <f>IF($B56&gt;INDEX($G$10:$G$19,$G$25),"",$D56-$E56)</f>
        <v/>
      </c>
      <c r="G56" s="232">
        <f>IF($B56&gt;INDEX($G$10:$G$19,$G$25),"",MAX(0,$G55-$F56))</f>
        <v/>
      </c>
    </row>
    <row r="57">
      <c r="B57" s="230" t="n">
        <v>31</v>
      </c>
      <c r="C57" s="231">
        <f>IF($B57&gt;INDEX($G$10:$G$19,$G$25),"",IFERROR(EDATE(INDEX($H$10:$H$19,$G$25),$B57-1),""))</f>
        <v/>
      </c>
      <c r="D57" s="232">
        <f>IF($B57&gt;INDEX($G$10:$G$19,$G$25),"",INDEX($I$10:$I$19,$G$25))</f>
        <v/>
      </c>
      <c r="E57" s="232">
        <f>IF($B57&gt;INDEX($G$10:$G$19,$G$25),"",$G56*INDEX($F$10:$F$19,$G$25)/12)</f>
        <v/>
      </c>
      <c r="F57" s="232">
        <f>IF($B57&gt;INDEX($G$10:$G$19,$G$25),"",$D57-$E57)</f>
        <v/>
      </c>
      <c r="G57" s="232">
        <f>IF($B57&gt;INDEX($G$10:$G$19,$G$25),"",MAX(0,$G56-$F57))</f>
        <v/>
      </c>
    </row>
    <row r="58">
      <c r="B58" s="230" t="n">
        <v>32</v>
      </c>
      <c r="C58" s="231">
        <f>IF($B58&gt;INDEX($G$10:$G$19,$G$25),"",IFERROR(EDATE(INDEX($H$10:$H$19,$G$25),$B58-1),""))</f>
        <v/>
      </c>
      <c r="D58" s="232">
        <f>IF($B58&gt;INDEX($G$10:$G$19,$G$25),"",INDEX($I$10:$I$19,$G$25))</f>
        <v/>
      </c>
      <c r="E58" s="232">
        <f>IF($B58&gt;INDEX($G$10:$G$19,$G$25),"",$G57*INDEX($F$10:$F$19,$G$25)/12)</f>
        <v/>
      </c>
      <c r="F58" s="232">
        <f>IF($B58&gt;INDEX($G$10:$G$19,$G$25),"",$D58-$E58)</f>
        <v/>
      </c>
      <c r="G58" s="232">
        <f>IF($B58&gt;INDEX($G$10:$G$19,$G$25),"",MAX(0,$G57-$F58))</f>
        <v/>
      </c>
    </row>
    <row r="59">
      <c r="B59" s="230" t="n">
        <v>33</v>
      </c>
      <c r="C59" s="231">
        <f>IF($B59&gt;INDEX($G$10:$G$19,$G$25),"",IFERROR(EDATE(INDEX($H$10:$H$19,$G$25),$B59-1),""))</f>
        <v/>
      </c>
      <c r="D59" s="232">
        <f>IF($B59&gt;INDEX($G$10:$G$19,$G$25),"",INDEX($I$10:$I$19,$G$25))</f>
        <v/>
      </c>
      <c r="E59" s="232">
        <f>IF($B59&gt;INDEX($G$10:$G$19,$G$25),"",$G58*INDEX($F$10:$F$19,$G$25)/12)</f>
        <v/>
      </c>
      <c r="F59" s="232">
        <f>IF($B59&gt;INDEX($G$10:$G$19,$G$25),"",$D59-$E59)</f>
        <v/>
      </c>
      <c r="G59" s="232">
        <f>IF($B59&gt;INDEX($G$10:$G$19,$G$25),"",MAX(0,$G58-$F59))</f>
        <v/>
      </c>
    </row>
    <row r="60">
      <c r="B60" s="230" t="n">
        <v>34</v>
      </c>
      <c r="C60" s="231">
        <f>IF($B60&gt;INDEX($G$10:$G$19,$G$25),"",IFERROR(EDATE(INDEX($H$10:$H$19,$G$25),$B60-1),""))</f>
        <v/>
      </c>
      <c r="D60" s="232">
        <f>IF($B60&gt;INDEX($G$10:$G$19,$G$25),"",INDEX($I$10:$I$19,$G$25))</f>
        <v/>
      </c>
      <c r="E60" s="232">
        <f>IF($B60&gt;INDEX($G$10:$G$19,$G$25),"",$G59*INDEX($F$10:$F$19,$G$25)/12)</f>
        <v/>
      </c>
      <c r="F60" s="232">
        <f>IF($B60&gt;INDEX($G$10:$G$19,$G$25),"",$D60-$E60)</f>
        <v/>
      </c>
      <c r="G60" s="232">
        <f>IF($B60&gt;INDEX($G$10:$G$19,$G$25),"",MAX(0,$G59-$F60))</f>
        <v/>
      </c>
    </row>
    <row r="61">
      <c r="B61" s="230" t="n">
        <v>35</v>
      </c>
      <c r="C61" s="231">
        <f>IF($B61&gt;INDEX($G$10:$G$19,$G$25),"",IFERROR(EDATE(INDEX($H$10:$H$19,$G$25),$B61-1),""))</f>
        <v/>
      </c>
      <c r="D61" s="232">
        <f>IF($B61&gt;INDEX($G$10:$G$19,$G$25),"",INDEX($I$10:$I$19,$G$25))</f>
        <v/>
      </c>
      <c r="E61" s="232">
        <f>IF($B61&gt;INDEX($G$10:$G$19,$G$25),"",$G60*INDEX($F$10:$F$19,$G$25)/12)</f>
        <v/>
      </c>
      <c r="F61" s="232">
        <f>IF($B61&gt;INDEX($G$10:$G$19,$G$25),"",$D61-$E61)</f>
        <v/>
      </c>
      <c r="G61" s="232">
        <f>IF($B61&gt;INDEX($G$10:$G$19,$G$25),"",MAX(0,$G60-$F61))</f>
        <v/>
      </c>
    </row>
    <row r="62">
      <c r="B62" s="230" t="n">
        <v>36</v>
      </c>
      <c r="C62" s="231">
        <f>IF($B62&gt;INDEX($G$10:$G$19,$G$25),"",IFERROR(EDATE(INDEX($H$10:$H$19,$G$25),$B62-1),""))</f>
        <v/>
      </c>
      <c r="D62" s="232">
        <f>IF($B62&gt;INDEX($G$10:$G$19,$G$25),"",INDEX($I$10:$I$19,$G$25))</f>
        <v/>
      </c>
      <c r="E62" s="232">
        <f>IF($B62&gt;INDEX($G$10:$G$19,$G$25),"",$G61*INDEX($F$10:$F$19,$G$25)/12)</f>
        <v/>
      </c>
      <c r="F62" s="232">
        <f>IF($B62&gt;INDEX($G$10:$G$19,$G$25),"",$D62-$E62)</f>
        <v/>
      </c>
      <c r="G62" s="232">
        <f>IF($B62&gt;INDEX($G$10:$G$19,$G$25),"",MAX(0,$G61-$F62))</f>
        <v/>
      </c>
    </row>
    <row r="63">
      <c r="B63" s="230" t="n">
        <v>37</v>
      </c>
      <c r="C63" s="231">
        <f>IF($B63&gt;INDEX($G$10:$G$19,$G$25),"",IFERROR(EDATE(INDEX($H$10:$H$19,$G$25),$B63-1),""))</f>
        <v/>
      </c>
      <c r="D63" s="232">
        <f>IF($B63&gt;INDEX($G$10:$G$19,$G$25),"",INDEX($I$10:$I$19,$G$25))</f>
        <v/>
      </c>
      <c r="E63" s="232">
        <f>IF($B63&gt;INDEX($G$10:$G$19,$G$25),"",$G62*INDEX($F$10:$F$19,$G$25)/12)</f>
        <v/>
      </c>
      <c r="F63" s="232">
        <f>IF($B63&gt;INDEX($G$10:$G$19,$G$25),"",$D63-$E63)</f>
        <v/>
      </c>
      <c r="G63" s="232">
        <f>IF($B63&gt;INDEX($G$10:$G$19,$G$25),"",MAX(0,$G62-$F63))</f>
        <v/>
      </c>
    </row>
    <row r="64">
      <c r="B64" s="230" t="n">
        <v>38</v>
      </c>
      <c r="C64" s="231">
        <f>IF($B64&gt;INDEX($G$10:$G$19,$G$25),"",IFERROR(EDATE(INDEX($H$10:$H$19,$G$25),$B64-1),""))</f>
        <v/>
      </c>
      <c r="D64" s="232">
        <f>IF($B64&gt;INDEX($G$10:$G$19,$G$25),"",INDEX($I$10:$I$19,$G$25))</f>
        <v/>
      </c>
      <c r="E64" s="232">
        <f>IF($B64&gt;INDEX($G$10:$G$19,$G$25),"",$G63*INDEX($F$10:$F$19,$G$25)/12)</f>
        <v/>
      </c>
      <c r="F64" s="232">
        <f>IF($B64&gt;INDEX($G$10:$G$19,$G$25),"",$D64-$E64)</f>
        <v/>
      </c>
      <c r="G64" s="232">
        <f>IF($B64&gt;INDEX($G$10:$G$19,$G$25),"",MAX(0,$G63-$F64))</f>
        <v/>
      </c>
    </row>
    <row r="65">
      <c r="B65" s="230" t="n">
        <v>39</v>
      </c>
      <c r="C65" s="231">
        <f>IF($B65&gt;INDEX($G$10:$G$19,$G$25),"",IFERROR(EDATE(INDEX($H$10:$H$19,$G$25),$B65-1),""))</f>
        <v/>
      </c>
      <c r="D65" s="232">
        <f>IF($B65&gt;INDEX($G$10:$G$19,$G$25),"",INDEX($I$10:$I$19,$G$25))</f>
        <v/>
      </c>
      <c r="E65" s="232">
        <f>IF($B65&gt;INDEX($G$10:$G$19,$G$25),"",$G64*INDEX($F$10:$F$19,$G$25)/12)</f>
        <v/>
      </c>
      <c r="F65" s="232">
        <f>IF($B65&gt;INDEX($G$10:$G$19,$G$25),"",$D65-$E65)</f>
        <v/>
      </c>
      <c r="G65" s="232">
        <f>IF($B65&gt;INDEX($G$10:$G$19,$G$25),"",MAX(0,$G64-$F65))</f>
        <v/>
      </c>
    </row>
    <row r="66">
      <c r="B66" s="230" t="n">
        <v>40</v>
      </c>
      <c r="C66" s="231">
        <f>IF($B66&gt;INDEX($G$10:$G$19,$G$25),"",IFERROR(EDATE(INDEX($H$10:$H$19,$G$25),$B66-1),""))</f>
        <v/>
      </c>
      <c r="D66" s="232">
        <f>IF($B66&gt;INDEX($G$10:$G$19,$G$25),"",INDEX($I$10:$I$19,$G$25))</f>
        <v/>
      </c>
      <c r="E66" s="232">
        <f>IF($B66&gt;INDEX($G$10:$G$19,$G$25),"",$G65*INDEX($F$10:$F$19,$G$25)/12)</f>
        <v/>
      </c>
      <c r="F66" s="232">
        <f>IF($B66&gt;INDEX($G$10:$G$19,$G$25),"",$D66-$E66)</f>
        <v/>
      </c>
      <c r="G66" s="232">
        <f>IF($B66&gt;INDEX($G$10:$G$19,$G$25),"",MAX(0,$G65-$F66))</f>
        <v/>
      </c>
    </row>
    <row r="67">
      <c r="B67" s="230" t="n">
        <v>41</v>
      </c>
      <c r="C67" s="231">
        <f>IF($B67&gt;INDEX($G$10:$G$19,$G$25),"",IFERROR(EDATE(INDEX($H$10:$H$19,$G$25),$B67-1),""))</f>
        <v/>
      </c>
      <c r="D67" s="232">
        <f>IF($B67&gt;INDEX($G$10:$G$19,$G$25),"",INDEX($I$10:$I$19,$G$25))</f>
        <v/>
      </c>
      <c r="E67" s="232">
        <f>IF($B67&gt;INDEX($G$10:$G$19,$G$25),"",$G66*INDEX($F$10:$F$19,$G$25)/12)</f>
        <v/>
      </c>
      <c r="F67" s="232">
        <f>IF($B67&gt;INDEX($G$10:$G$19,$G$25),"",$D67-$E67)</f>
        <v/>
      </c>
      <c r="G67" s="232">
        <f>IF($B67&gt;INDEX($G$10:$G$19,$G$25),"",MAX(0,$G66-$F67))</f>
        <v/>
      </c>
    </row>
    <row r="68">
      <c r="B68" s="230" t="n">
        <v>42</v>
      </c>
      <c r="C68" s="231">
        <f>IF($B68&gt;INDEX($G$10:$G$19,$G$25),"",IFERROR(EDATE(INDEX($H$10:$H$19,$G$25),$B68-1),""))</f>
        <v/>
      </c>
      <c r="D68" s="232">
        <f>IF($B68&gt;INDEX($G$10:$G$19,$G$25),"",INDEX($I$10:$I$19,$G$25))</f>
        <v/>
      </c>
      <c r="E68" s="232">
        <f>IF($B68&gt;INDEX($G$10:$G$19,$G$25),"",$G67*INDEX($F$10:$F$19,$G$25)/12)</f>
        <v/>
      </c>
      <c r="F68" s="232">
        <f>IF($B68&gt;INDEX($G$10:$G$19,$G$25),"",$D68-$E68)</f>
        <v/>
      </c>
      <c r="G68" s="232">
        <f>IF($B68&gt;INDEX($G$10:$G$19,$G$25),"",MAX(0,$G67-$F68))</f>
        <v/>
      </c>
    </row>
    <row r="69">
      <c r="B69" s="230" t="n">
        <v>43</v>
      </c>
      <c r="C69" s="231">
        <f>IF($B69&gt;INDEX($G$10:$G$19,$G$25),"",IFERROR(EDATE(INDEX($H$10:$H$19,$G$25),$B69-1),""))</f>
        <v/>
      </c>
      <c r="D69" s="232">
        <f>IF($B69&gt;INDEX($G$10:$G$19,$G$25),"",INDEX($I$10:$I$19,$G$25))</f>
        <v/>
      </c>
      <c r="E69" s="232">
        <f>IF($B69&gt;INDEX($G$10:$G$19,$G$25),"",$G68*INDEX($F$10:$F$19,$G$25)/12)</f>
        <v/>
      </c>
      <c r="F69" s="232">
        <f>IF($B69&gt;INDEX($G$10:$G$19,$G$25),"",$D69-$E69)</f>
        <v/>
      </c>
      <c r="G69" s="232">
        <f>IF($B69&gt;INDEX($G$10:$G$19,$G$25),"",MAX(0,$G68-$F69))</f>
        <v/>
      </c>
    </row>
    <row r="70">
      <c r="B70" s="230" t="n">
        <v>44</v>
      </c>
      <c r="C70" s="231">
        <f>IF($B70&gt;INDEX($G$10:$G$19,$G$25),"",IFERROR(EDATE(INDEX($H$10:$H$19,$G$25),$B70-1),""))</f>
        <v/>
      </c>
      <c r="D70" s="232">
        <f>IF($B70&gt;INDEX($G$10:$G$19,$G$25),"",INDEX($I$10:$I$19,$G$25))</f>
        <v/>
      </c>
      <c r="E70" s="232">
        <f>IF($B70&gt;INDEX($G$10:$G$19,$G$25),"",$G69*INDEX($F$10:$F$19,$G$25)/12)</f>
        <v/>
      </c>
      <c r="F70" s="232">
        <f>IF($B70&gt;INDEX($G$10:$G$19,$G$25),"",$D70-$E70)</f>
        <v/>
      </c>
      <c r="G70" s="232">
        <f>IF($B70&gt;INDEX($G$10:$G$19,$G$25),"",MAX(0,$G69-$F70))</f>
        <v/>
      </c>
    </row>
    <row r="71">
      <c r="B71" s="230" t="n">
        <v>45</v>
      </c>
      <c r="C71" s="231">
        <f>IF($B71&gt;INDEX($G$10:$G$19,$G$25),"",IFERROR(EDATE(INDEX($H$10:$H$19,$G$25),$B71-1),""))</f>
        <v/>
      </c>
      <c r="D71" s="232">
        <f>IF($B71&gt;INDEX($G$10:$G$19,$G$25),"",INDEX($I$10:$I$19,$G$25))</f>
        <v/>
      </c>
      <c r="E71" s="232">
        <f>IF($B71&gt;INDEX($G$10:$G$19,$G$25),"",$G70*INDEX($F$10:$F$19,$G$25)/12)</f>
        <v/>
      </c>
      <c r="F71" s="232">
        <f>IF($B71&gt;INDEX($G$10:$G$19,$G$25),"",$D71-$E71)</f>
        <v/>
      </c>
      <c r="G71" s="232">
        <f>IF($B71&gt;INDEX($G$10:$G$19,$G$25),"",MAX(0,$G70-$F71))</f>
        <v/>
      </c>
    </row>
    <row r="72">
      <c r="B72" s="230" t="n">
        <v>46</v>
      </c>
      <c r="C72" s="231">
        <f>IF($B72&gt;INDEX($G$10:$G$19,$G$25),"",IFERROR(EDATE(INDEX($H$10:$H$19,$G$25),$B72-1),""))</f>
        <v/>
      </c>
      <c r="D72" s="232">
        <f>IF($B72&gt;INDEX($G$10:$G$19,$G$25),"",INDEX($I$10:$I$19,$G$25))</f>
        <v/>
      </c>
      <c r="E72" s="232">
        <f>IF($B72&gt;INDEX($G$10:$G$19,$G$25),"",$G71*INDEX($F$10:$F$19,$G$25)/12)</f>
        <v/>
      </c>
      <c r="F72" s="232">
        <f>IF($B72&gt;INDEX($G$10:$G$19,$G$25),"",$D72-$E72)</f>
        <v/>
      </c>
      <c r="G72" s="232">
        <f>IF($B72&gt;INDEX($G$10:$G$19,$G$25),"",MAX(0,$G71-$F72))</f>
        <v/>
      </c>
    </row>
    <row r="73">
      <c r="B73" s="230" t="n">
        <v>47</v>
      </c>
      <c r="C73" s="231">
        <f>IF($B73&gt;INDEX($G$10:$G$19,$G$25),"",IFERROR(EDATE(INDEX($H$10:$H$19,$G$25),$B73-1),""))</f>
        <v/>
      </c>
      <c r="D73" s="232">
        <f>IF($B73&gt;INDEX($G$10:$G$19,$G$25),"",INDEX($I$10:$I$19,$G$25))</f>
        <v/>
      </c>
      <c r="E73" s="232">
        <f>IF($B73&gt;INDEX($G$10:$G$19,$G$25),"",$G72*INDEX($F$10:$F$19,$G$25)/12)</f>
        <v/>
      </c>
      <c r="F73" s="232">
        <f>IF($B73&gt;INDEX($G$10:$G$19,$G$25),"",$D73-$E73)</f>
        <v/>
      </c>
      <c r="G73" s="232">
        <f>IF($B73&gt;INDEX($G$10:$G$19,$G$25),"",MAX(0,$G72-$F73))</f>
        <v/>
      </c>
    </row>
    <row r="74">
      <c r="B74" s="230" t="n">
        <v>48</v>
      </c>
      <c r="C74" s="231">
        <f>IF($B74&gt;INDEX($G$10:$G$19,$G$25),"",IFERROR(EDATE(INDEX($H$10:$H$19,$G$25),$B74-1),""))</f>
        <v/>
      </c>
      <c r="D74" s="232">
        <f>IF($B74&gt;INDEX($G$10:$G$19,$G$25),"",INDEX($I$10:$I$19,$G$25))</f>
        <v/>
      </c>
      <c r="E74" s="232">
        <f>IF($B74&gt;INDEX($G$10:$G$19,$G$25),"",$G73*INDEX($F$10:$F$19,$G$25)/12)</f>
        <v/>
      </c>
      <c r="F74" s="232">
        <f>IF($B74&gt;INDEX($G$10:$G$19,$G$25),"",$D74-$E74)</f>
        <v/>
      </c>
      <c r="G74" s="232">
        <f>IF($B74&gt;INDEX($G$10:$G$19,$G$25),"",MAX(0,$G73-$F74))</f>
        <v/>
      </c>
    </row>
    <row r="75">
      <c r="B75" s="230" t="n">
        <v>49</v>
      </c>
      <c r="C75" s="231">
        <f>IF($B75&gt;INDEX($G$10:$G$19,$G$25),"",IFERROR(EDATE(INDEX($H$10:$H$19,$G$25),$B75-1),""))</f>
        <v/>
      </c>
      <c r="D75" s="232">
        <f>IF($B75&gt;INDEX($G$10:$G$19,$G$25),"",INDEX($I$10:$I$19,$G$25))</f>
        <v/>
      </c>
      <c r="E75" s="232">
        <f>IF($B75&gt;INDEX($G$10:$G$19,$G$25),"",$G74*INDEX($F$10:$F$19,$G$25)/12)</f>
        <v/>
      </c>
      <c r="F75" s="232">
        <f>IF($B75&gt;INDEX($G$10:$G$19,$G$25),"",$D75-$E75)</f>
        <v/>
      </c>
      <c r="G75" s="232">
        <f>IF($B75&gt;INDEX($G$10:$G$19,$G$25),"",MAX(0,$G74-$F75))</f>
        <v/>
      </c>
    </row>
    <row r="76">
      <c r="B76" s="230" t="n">
        <v>50</v>
      </c>
      <c r="C76" s="231">
        <f>IF($B76&gt;INDEX($G$10:$G$19,$G$25),"",IFERROR(EDATE(INDEX($H$10:$H$19,$G$25),$B76-1),""))</f>
        <v/>
      </c>
      <c r="D76" s="232">
        <f>IF($B76&gt;INDEX($G$10:$G$19,$G$25),"",INDEX($I$10:$I$19,$G$25))</f>
        <v/>
      </c>
      <c r="E76" s="232">
        <f>IF($B76&gt;INDEX($G$10:$G$19,$G$25),"",$G75*INDEX($F$10:$F$19,$G$25)/12)</f>
        <v/>
      </c>
      <c r="F76" s="232">
        <f>IF($B76&gt;INDEX($G$10:$G$19,$G$25),"",$D76-$E76)</f>
        <v/>
      </c>
      <c r="G76" s="232">
        <f>IF($B76&gt;INDEX($G$10:$G$19,$G$25),"",MAX(0,$G75-$F76))</f>
        <v/>
      </c>
    </row>
    <row r="77">
      <c r="B77" s="230" t="n">
        <v>51</v>
      </c>
      <c r="C77" s="231">
        <f>IF($B77&gt;INDEX($G$10:$G$19,$G$25),"",IFERROR(EDATE(INDEX($H$10:$H$19,$G$25),$B77-1),""))</f>
        <v/>
      </c>
      <c r="D77" s="232">
        <f>IF($B77&gt;INDEX($G$10:$G$19,$G$25),"",INDEX($I$10:$I$19,$G$25))</f>
        <v/>
      </c>
      <c r="E77" s="232">
        <f>IF($B77&gt;INDEX($G$10:$G$19,$G$25),"",$G76*INDEX($F$10:$F$19,$G$25)/12)</f>
        <v/>
      </c>
      <c r="F77" s="232">
        <f>IF($B77&gt;INDEX($G$10:$G$19,$G$25),"",$D77-$E77)</f>
        <v/>
      </c>
      <c r="G77" s="232">
        <f>IF($B77&gt;INDEX($G$10:$G$19,$G$25),"",MAX(0,$G76-$F77))</f>
        <v/>
      </c>
    </row>
    <row r="78">
      <c r="B78" s="230" t="n">
        <v>52</v>
      </c>
      <c r="C78" s="231">
        <f>IF($B78&gt;INDEX($G$10:$G$19,$G$25),"",IFERROR(EDATE(INDEX($H$10:$H$19,$G$25),$B78-1),""))</f>
        <v/>
      </c>
      <c r="D78" s="232">
        <f>IF($B78&gt;INDEX($G$10:$G$19,$G$25),"",INDEX($I$10:$I$19,$G$25))</f>
        <v/>
      </c>
      <c r="E78" s="232">
        <f>IF($B78&gt;INDEX($G$10:$G$19,$G$25),"",$G77*INDEX($F$10:$F$19,$G$25)/12)</f>
        <v/>
      </c>
      <c r="F78" s="232">
        <f>IF($B78&gt;INDEX($G$10:$G$19,$G$25),"",$D78-$E78)</f>
        <v/>
      </c>
      <c r="G78" s="232">
        <f>IF($B78&gt;INDEX($G$10:$G$19,$G$25),"",MAX(0,$G77-$F78))</f>
        <v/>
      </c>
    </row>
    <row r="79">
      <c r="B79" s="230" t="n">
        <v>53</v>
      </c>
      <c r="C79" s="231">
        <f>IF($B79&gt;INDEX($G$10:$G$19,$G$25),"",IFERROR(EDATE(INDEX($H$10:$H$19,$G$25),$B79-1),""))</f>
        <v/>
      </c>
      <c r="D79" s="232">
        <f>IF($B79&gt;INDEX($G$10:$G$19,$G$25),"",INDEX($I$10:$I$19,$G$25))</f>
        <v/>
      </c>
      <c r="E79" s="232">
        <f>IF($B79&gt;INDEX($G$10:$G$19,$G$25),"",$G78*INDEX($F$10:$F$19,$G$25)/12)</f>
        <v/>
      </c>
      <c r="F79" s="232">
        <f>IF($B79&gt;INDEX($G$10:$G$19,$G$25),"",$D79-$E79)</f>
        <v/>
      </c>
      <c r="G79" s="232">
        <f>IF($B79&gt;INDEX($G$10:$G$19,$G$25),"",MAX(0,$G78-$F79))</f>
        <v/>
      </c>
    </row>
    <row r="80">
      <c r="B80" s="230" t="n">
        <v>54</v>
      </c>
      <c r="C80" s="231">
        <f>IF($B80&gt;INDEX($G$10:$G$19,$G$25),"",IFERROR(EDATE(INDEX($H$10:$H$19,$G$25),$B80-1),""))</f>
        <v/>
      </c>
      <c r="D80" s="232">
        <f>IF($B80&gt;INDEX($G$10:$G$19,$G$25),"",INDEX($I$10:$I$19,$G$25))</f>
        <v/>
      </c>
      <c r="E80" s="232">
        <f>IF($B80&gt;INDEX($G$10:$G$19,$G$25),"",$G79*INDEX($F$10:$F$19,$G$25)/12)</f>
        <v/>
      </c>
      <c r="F80" s="232">
        <f>IF($B80&gt;INDEX($G$10:$G$19,$G$25),"",$D80-$E80)</f>
        <v/>
      </c>
      <c r="G80" s="232">
        <f>IF($B80&gt;INDEX($G$10:$G$19,$G$25),"",MAX(0,$G79-$F80))</f>
        <v/>
      </c>
    </row>
    <row r="81">
      <c r="B81" s="230" t="n">
        <v>55</v>
      </c>
      <c r="C81" s="231">
        <f>IF($B81&gt;INDEX($G$10:$G$19,$G$25),"",IFERROR(EDATE(INDEX($H$10:$H$19,$G$25),$B81-1),""))</f>
        <v/>
      </c>
      <c r="D81" s="232">
        <f>IF($B81&gt;INDEX($G$10:$G$19,$G$25),"",INDEX($I$10:$I$19,$G$25))</f>
        <v/>
      </c>
      <c r="E81" s="232">
        <f>IF($B81&gt;INDEX($G$10:$G$19,$G$25),"",$G80*INDEX($F$10:$F$19,$G$25)/12)</f>
        <v/>
      </c>
      <c r="F81" s="232">
        <f>IF($B81&gt;INDEX($G$10:$G$19,$G$25),"",$D81-$E81)</f>
        <v/>
      </c>
      <c r="G81" s="232">
        <f>IF($B81&gt;INDEX($G$10:$G$19,$G$25),"",MAX(0,$G80-$F81))</f>
        <v/>
      </c>
    </row>
    <row r="82">
      <c r="B82" s="230" t="n">
        <v>56</v>
      </c>
      <c r="C82" s="231">
        <f>IF($B82&gt;INDEX($G$10:$G$19,$G$25),"",IFERROR(EDATE(INDEX($H$10:$H$19,$G$25),$B82-1),""))</f>
        <v/>
      </c>
      <c r="D82" s="232">
        <f>IF($B82&gt;INDEX($G$10:$G$19,$G$25),"",INDEX($I$10:$I$19,$G$25))</f>
        <v/>
      </c>
      <c r="E82" s="232">
        <f>IF($B82&gt;INDEX($G$10:$G$19,$G$25),"",$G81*INDEX($F$10:$F$19,$G$25)/12)</f>
        <v/>
      </c>
      <c r="F82" s="232">
        <f>IF($B82&gt;INDEX($G$10:$G$19,$G$25),"",$D82-$E82)</f>
        <v/>
      </c>
      <c r="G82" s="232">
        <f>IF($B82&gt;INDEX($G$10:$G$19,$G$25),"",MAX(0,$G81-$F82))</f>
        <v/>
      </c>
    </row>
    <row r="83">
      <c r="B83" s="230" t="n">
        <v>57</v>
      </c>
      <c r="C83" s="231">
        <f>IF($B83&gt;INDEX($G$10:$G$19,$G$25),"",IFERROR(EDATE(INDEX($H$10:$H$19,$G$25),$B83-1),""))</f>
        <v/>
      </c>
      <c r="D83" s="232">
        <f>IF($B83&gt;INDEX($G$10:$G$19,$G$25),"",INDEX($I$10:$I$19,$G$25))</f>
        <v/>
      </c>
      <c r="E83" s="232">
        <f>IF($B83&gt;INDEX($G$10:$G$19,$G$25),"",$G82*INDEX($F$10:$F$19,$G$25)/12)</f>
        <v/>
      </c>
      <c r="F83" s="232">
        <f>IF($B83&gt;INDEX($G$10:$G$19,$G$25),"",$D83-$E83)</f>
        <v/>
      </c>
      <c r="G83" s="232">
        <f>IF($B83&gt;INDEX($G$10:$G$19,$G$25),"",MAX(0,$G82-$F83))</f>
        <v/>
      </c>
    </row>
    <row r="84">
      <c r="B84" s="230" t="n">
        <v>58</v>
      </c>
      <c r="C84" s="231">
        <f>IF($B84&gt;INDEX($G$10:$G$19,$G$25),"",IFERROR(EDATE(INDEX($H$10:$H$19,$G$25),$B84-1),""))</f>
        <v/>
      </c>
      <c r="D84" s="232">
        <f>IF($B84&gt;INDEX($G$10:$G$19,$G$25),"",INDEX($I$10:$I$19,$G$25))</f>
        <v/>
      </c>
      <c r="E84" s="232">
        <f>IF($B84&gt;INDEX($G$10:$G$19,$G$25),"",$G83*INDEX($F$10:$F$19,$G$25)/12)</f>
        <v/>
      </c>
      <c r="F84" s="232">
        <f>IF($B84&gt;INDEX($G$10:$G$19,$G$25),"",$D84-$E84)</f>
        <v/>
      </c>
      <c r="G84" s="232">
        <f>IF($B84&gt;INDEX($G$10:$G$19,$G$25),"",MAX(0,$G83-$F84))</f>
        <v/>
      </c>
    </row>
    <row r="85">
      <c r="B85" s="230" t="n">
        <v>59</v>
      </c>
      <c r="C85" s="231">
        <f>IF($B85&gt;INDEX($G$10:$G$19,$G$25),"",IFERROR(EDATE(INDEX($H$10:$H$19,$G$25),$B85-1),""))</f>
        <v/>
      </c>
      <c r="D85" s="232">
        <f>IF($B85&gt;INDEX($G$10:$G$19,$G$25),"",INDEX($I$10:$I$19,$G$25))</f>
        <v/>
      </c>
      <c r="E85" s="232">
        <f>IF($B85&gt;INDEX($G$10:$G$19,$G$25),"",$G84*INDEX($F$10:$F$19,$G$25)/12)</f>
        <v/>
      </c>
      <c r="F85" s="232">
        <f>IF($B85&gt;INDEX($G$10:$G$19,$G$25),"",$D85-$E85)</f>
        <v/>
      </c>
      <c r="G85" s="232">
        <f>IF($B85&gt;INDEX($G$10:$G$19,$G$25),"",MAX(0,$G84-$F85))</f>
        <v/>
      </c>
    </row>
    <row r="86">
      <c r="B86" s="230" t="n">
        <v>60</v>
      </c>
      <c r="C86" s="231">
        <f>IF($B86&gt;INDEX($G$10:$G$19,$G$25),"",IFERROR(EDATE(INDEX($H$10:$H$19,$G$25),$B86-1),""))</f>
        <v/>
      </c>
      <c r="D86" s="232">
        <f>IF($B86&gt;INDEX($G$10:$G$19,$G$25),"",INDEX($I$10:$I$19,$G$25))</f>
        <v/>
      </c>
      <c r="E86" s="232">
        <f>IF($B86&gt;INDEX($G$10:$G$19,$G$25),"",$G85*INDEX($F$10:$F$19,$G$25)/12)</f>
        <v/>
      </c>
      <c r="F86" s="232">
        <f>IF($B86&gt;INDEX($G$10:$G$19,$G$25),"",$D86-$E86)</f>
        <v/>
      </c>
      <c r="G86" s="232">
        <f>IF($B86&gt;INDEX($G$10:$G$19,$G$25),"",MAX(0,$G85-$F86))</f>
        <v/>
      </c>
    </row>
    <row r="87">
      <c r="B87" s="230" t="n">
        <v>61</v>
      </c>
      <c r="C87" s="231">
        <f>IF($B87&gt;INDEX($G$10:$G$19,$G$25),"",IFERROR(EDATE(INDEX($H$10:$H$19,$G$25),$B87-1),""))</f>
        <v/>
      </c>
      <c r="D87" s="232">
        <f>IF($B87&gt;INDEX($G$10:$G$19,$G$25),"",INDEX($I$10:$I$19,$G$25))</f>
        <v/>
      </c>
      <c r="E87" s="232">
        <f>IF($B87&gt;INDEX($G$10:$G$19,$G$25),"",$G86*INDEX($F$10:$F$19,$G$25)/12)</f>
        <v/>
      </c>
      <c r="F87" s="232">
        <f>IF($B87&gt;INDEX($G$10:$G$19,$G$25),"",$D87-$E87)</f>
        <v/>
      </c>
      <c r="G87" s="232">
        <f>IF($B87&gt;INDEX($G$10:$G$19,$G$25),"",MAX(0,$G86-$F87))</f>
        <v/>
      </c>
    </row>
    <row r="88">
      <c r="B88" s="230" t="n">
        <v>62</v>
      </c>
      <c r="C88" s="231">
        <f>IF($B88&gt;INDEX($G$10:$G$19,$G$25),"",IFERROR(EDATE(INDEX($H$10:$H$19,$G$25),$B88-1),""))</f>
        <v/>
      </c>
      <c r="D88" s="232">
        <f>IF($B88&gt;INDEX($G$10:$G$19,$G$25),"",INDEX($I$10:$I$19,$G$25))</f>
        <v/>
      </c>
      <c r="E88" s="232">
        <f>IF($B88&gt;INDEX($G$10:$G$19,$G$25),"",$G87*INDEX($F$10:$F$19,$G$25)/12)</f>
        <v/>
      </c>
      <c r="F88" s="232">
        <f>IF($B88&gt;INDEX($G$10:$G$19,$G$25),"",$D88-$E88)</f>
        <v/>
      </c>
      <c r="G88" s="232">
        <f>IF($B88&gt;INDEX($G$10:$G$19,$G$25),"",MAX(0,$G87-$F88))</f>
        <v/>
      </c>
    </row>
    <row r="89">
      <c r="B89" s="230" t="n">
        <v>63</v>
      </c>
      <c r="C89" s="231">
        <f>IF($B89&gt;INDEX($G$10:$G$19,$G$25),"",IFERROR(EDATE(INDEX($H$10:$H$19,$G$25),$B89-1),""))</f>
        <v/>
      </c>
      <c r="D89" s="232">
        <f>IF($B89&gt;INDEX($G$10:$G$19,$G$25),"",INDEX($I$10:$I$19,$G$25))</f>
        <v/>
      </c>
      <c r="E89" s="232">
        <f>IF($B89&gt;INDEX($G$10:$G$19,$G$25),"",$G88*INDEX($F$10:$F$19,$G$25)/12)</f>
        <v/>
      </c>
      <c r="F89" s="232">
        <f>IF($B89&gt;INDEX($G$10:$G$19,$G$25),"",$D89-$E89)</f>
        <v/>
      </c>
      <c r="G89" s="232">
        <f>IF($B89&gt;INDEX($G$10:$G$19,$G$25),"",MAX(0,$G88-$F89))</f>
        <v/>
      </c>
    </row>
    <row r="90">
      <c r="B90" s="230" t="n">
        <v>64</v>
      </c>
      <c r="C90" s="231">
        <f>IF($B90&gt;INDEX($G$10:$G$19,$G$25),"",IFERROR(EDATE(INDEX($H$10:$H$19,$G$25),$B90-1),""))</f>
        <v/>
      </c>
      <c r="D90" s="232">
        <f>IF($B90&gt;INDEX($G$10:$G$19,$G$25),"",INDEX($I$10:$I$19,$G$25))</f>
        <v/>
      </c>
      <c r="E90" s="232">
        <f>IF($B90&gt;INDEX($G$10:$G$19,$G$25),"",$G89*INDEX($F$10:$F$19,$G$25)/12)</f>
        <v/>
      </c>
      <c r="F90" s="232">
        <f>IF($B90&gt;INDEX($G$10:$G$19,$G$25),"",$D90-$E90)</f>
        <v/>
      </c>
      <c r="G90" s="232">
        <f>IF($B90&gt;INDEX($G$10:$G$19,$G$25),"",MAX(0,$G89-$F90))</f>
        <v/>
      </c>
    </row>
    <row r="91">
      <c r="B91" s="230" t="n">
        <v>65</v>
      </c>
      <c r="C91" s="231">
        <f>IF($B91&gt;INDEX($G$10:$G$19,$G$25),"",IFERROR(EDATE(INDEX($H$10:$H$19,$G$25),$B91-1),""))</f>
        <v/>
      </c>
      <c r="D91" s="232">
        <f>IF($B91&gt;INDEX($G$10:$G$19,$G$25),"",INDEX($I$10:$I$19,$G$25))</f>
        <v/>
      </c>
      <c r="E91" s="232">
        <f>IF($B91&gt;INDEX($G$10:$G$19,$G$25),"",$G90*INDEX($F$10:$F$19,$G$25)/12)</f>
        <v/>
      </c>
      <c r="F91" s="232">
        <f>IF($B91&gt;INDEX($G$10:$G$19,$G$25),"",$D91-$E91)</f>
        <v/>
      </c>
      <c r="G91" s="232">
        <f>IF($B91&gt;INDEX($G$10:$G$19,$G$25),"",MAX(0,$G90-$F91))</f>
        <v/>
      </c>
    </row>
    <row r="92">
      <c r="B92" s="230" t="n">
        <v>66</v>
      </c>
      <c r="C92" s="231">
        <f>IF($B92&gt;INDEX($G$10:$G$19,$G$25),"",IFERROR(EDATE(INDEX($H$10:$H$19,$G$25),$B92-1),""))</f>
        <v/>
      </c>
      <c r="D92" s="232">
        <f>IF($B92&gt;INDEX($G$10:$G$19,$G$25),"",INDEX($I$10:$I$19,$G$25))</f>
        <v/>
      </c>
      <c r="E92" s="232">
        <f>IF($B92&gt;INDEX($G$10:$G$19,$G$25),"",$G91*INDEX($F$10:$F$19,$G$25)/12)</f>
        <v/>
      </c>
      <c r="F92" s="232">
        <f>IF($B92&gt;INDEX($G$10:$G$19,$G$25),"",$D92-$E92)</f>
        <v/>
      </c>
      <c r="G92" s="232">
        <f>IF($B92&gt;INDEX($G$10:$G$19,$G$25),"",MAX(0,$G91-$F92))</f>
        <v/>
      </c>
    </row>
    <row r="93">
      <c r="B93" s="230" t="n">
        <v>67</v>
      </c>
      <c r="C93" s="231">
        <f>IF($B93&gt;INDEX($G$10:$G$19,$G$25),"",IFERROR(EDATE(INDEX($H$10:$H$19,$G$25),$B93-1),""))</f>
        <v/>
      </c>
      <c r="D93" s="232">
        <f>IF($B93&gt;INDEX($G$10:$G$19,$G$25),"",INDEX($I$10:$I$19,$G$25))</f>
        <v/>
      </c>
      <c r="E93" s="232">
        <f>IF($B93&gt;INDEX($G$10:$G$19,$G$25),"",$G92*INDEX($F$10:$F$19,$G$25)/12)</f>
        <v/>
      </c>
      <c r="F93" s="232">
        <f>IF($B93&gt;INDEX($G$10:$G$19,$G$25),"",$D93-$E93)</f>
        <v/>
      </c>
      <c r="G93" s="232">
        <f>IF($B93&gt;INDEX($G$10:$G$19,$G$25),"",MAX(0,$G92-$F93))</f>
        <v/>
      </c>
    </row>
    <row r="94">
      <c r="B94" s="230" t="n">
        <v>68</v>
      </c>
      <c r="C94" s="231">
        <f>IF($B94&gt;INDEX($G$10:$G$19,$G$25),"",IFERROR(EDATE(INDEX($H$10:$H$19,$G$25),$B94-1),""))</f>
        <v/>
      </c>
      <c r="D94" s="232">
        <f>IF($B94&gt;INDEX($G$10:$G$19,$G$25),"",INDEX($I$10:$I$19,$G$25))</f>
        <v/>
      </c>
      <c r="E94" s="232">
        <f>IF($B94&gt;INDEX($G$10:$G$19,$G$25),"",$G93*INDEX($F$10:$F$19,$G$25)/12)</f>
        <v/>
      </c>
      <c r="F94" s="232">
        <f>IF($B94&gt;INDEX($G$10:$G$19,$G$25),"",$D94-$E94)</f>
        <v/>
      </c>
      <c r="G94" s="232">
        <f>IF($B94&gt;INDEX($G$10:$G$19,$G$25),"",MAX(0,$G93-$F94))</f>
        <v/>
      </c>
    </row>
    <row r="95">
      <c r="B95" s="230" t="n">
        <v>69</v>
      </c>
      <c r="C95" s="231">
        <f>IF($B95&gt;INDEX($G$10:$G$19,$G$25),"",IFERROR(EDATE(INDEX($H$10:$H$19,$G$25),$B95-1),""))</f>
        <v/>
      </c>
      <c r="D95" s="232">
        <f>IF($B95&gt;INDEX($G$10:$G$19,$G$25),"",INDEX($I$10:$I$19,$G$25))</f>
        <v/>
      </c>
      <c r="E95" s="232">
        <f>IF($B95&gt;INDEX($G$10:$G$19,$G$25),"",$G94*INDEX($F$10:$F$19,$G$25)/12)</f>
        <v/>
      </c>
      <c r="F95" s="232">
        <f>IF($B95&gt;INDEX($G$10:$G$19,$G$25),"",$D95-$E95)</f>
        <v/>
      </c>
      <c r="G95" s="232">
        <f>IF($B95&gt;INDEX($G$10:$G$19,$G$25),"",MAX(0,$G94-$F95))</f>
        <v/>
      </c>
    </row>
    <row r="96">
      <c r="B96" s="230" t="n">
        <v>70</v>
      </c>
      <c r="C96" s="231">
        <f>IF($B96&gt;INDEX($G$10:$G$19,$G$25),"",IFERROR(EDATE(INDEX($H$10:$H$19,$G$25),$B96-1),""))</f>
        <v/>
      </c>
      <c r="D96" s="232">
        <f>IF($B96&gt;INDEX($G$10:$G$19,$G$25),"",INDEX($I$10:$I$19,$G$25))</f>
        <v/>
      </c>
      <c r="E96" s="232">
        <f>IF($B96&gt;INDEX($G$10:$G$19,$G$25),"",$G95*INDEX($F$10:$F$19,$G$25)/12)</f>
        <v/>
      </c>
      <c r="F96" s="232">
        <f>IF($B96&gt;INDEX($G$10:$G$19,$G$25),"",$D96-$E96)</f>
        <v/>
      </c>
      <c r="G96" s="232">
        <f>IF($B96&gt;INDEX($G$10:$G$19,$G$25),"",MAX(0,$G95-$F96))</f>
        <v/>
      </c>
    </row>
    <row r="97">
      <c r="B97" s="230" t="n">
        <v>71</v>
      </c>
      <c r="C97" s="231">
        <f>IF($B97&gt;INDEX($G$10:$G$19,$G$25),"",IFERROR(EDATE(INDEX($H$10:$H$19,$G$25),$B97-1),""))</f>
        <v/>
      </c>
      <c r="D97" s="232">
        <f>IF($B97&gt;INDEX($G$10:$G$19,$G$25),"",INDEX($I$10:$I$19,$G$25))</f>
        <v/>
      </c>
      <c r="E97" s="232">
        <f>IF($B97&gt;INDEX($G$10:$G$19,$G$25),"",$G96*INDEX($F$10:$F$19,$G$25)/12)</f>
        <v/>
      </c>
      <c r="F97" s="232">
        <f>IF($B97&gt;INDEX($G$10:$G$19,$G$25),"",$D97-$E97)</f>
        <v/>
      </c>
      <c r="G97" s="232">
        <f>IF($B97&gt;INDEX($G$10:$G$19,$G$25),"",MAX(0,$G96-$F97))</f>
        <v/>
      </c>
    </row>
    <row r="98">
      <c r="B98" s="230" t="n">
        <v>72</v>
      </c>
      <c r="C98" s="231">
        <f>IF($B98&gt;INDEX($G$10:$G$19,$G$25),"",IFERROR(EDATE(INDEX($H$10:$H$19,$G$25),$B98-1),""))</f>
        <v/>
      </c>
      <c r="D98" s="232">
        <f>IF($B98&gt;INDEX($G$10:$G$19,$G$25),"",INDEX($I$10:$I$19,$G$25))</f>
        <v/>
      </c>
      <c r="E98" s="232">
        <f>IF($B98&gt;INDEX($G$10:$G$19,$G$25),"",$G97*INDEX($F$10:$F$19,$G$25)/12)</f>
        <v/>
      </c>
      <c r="F98" s="232">
        <f>IF($B98&gt;INDEX($G$10:$G$19,$G$25),"",$D98-$E98)</f>
        <v/>
      </c>
      <c r="G98" s="232">
        <f>IF($B98&gt;INDEX($G$10:$G$19,$G$25),"",MAX(0,$G97-$F98))</f>
        <v/>
      </c>
    </row>
    <row r="99">
      <c r="B99" s="230" t="n">
        <v>73</v>
      </c>
      <c r="C99" s="231">
        <f>IF($B99&gt;INDEX($G$10:$G$19,$G$25),"",IFERROR(EDATE(INDEX($H$10:$H$19,$G$25),$B99-1),""))</f>
        <v/>
      </c>
      <c r="D99" s="232">
        <f>IF($B99&gt;INDEX($G$10:$G$19,$G$25),"",INDEX($I$10:$I$19,$G$25))</f>
        <v/>
      </c>
      <c r="E99" s="232">
        <f>IF($B99&gt;INDEX($G$10:$G$19,$G$25),"",$G98*INDEX($F$10:$F$19,$G$25)/12)</f>
        <v/>
      </c>
      <c r="F99" s="232">
        <f>IF($B99&gt;INDEX($G$10:$G$19,$G$25),"",$D99-$E99)</f>
        <v/>
      </c>
      <c r="G99" s="232">
        <f>IF($B99&gt;INDEX($G$10:$G$19,$G$25),"",MAX(0,$G98-$F99))</f>
        <v/>
      </c>
    </row>
    <row r="100">
      <c r="B100" s="230" t="n">
        <v>74</v>
      </c>
      <c r="C100" s="231">
        <f>IF($B100&gt;INDEX($G$10:$G$19,$G$25),"",IFERROR(EDATE(INDEX($H$10:$H$19,$G$25),$B100-1),""))</f>
        <v/>
      </c>
      <c r="D100" s="232">
        <f>IF($B100&gt;INDEX($G$10:$G$19,$G$25),"",INDEX($I$10:$I$19,$G$25))</f>
        <v/>
      </c>
      <c r="E100" s="232">
        <f>IF($B100&gt;INDEX($G$10:$G$19,$G$25),"",$G99*INDEX($F$10:$F$19,$G$25)/12)</f>
        <v/>
      </c>
      <c r="F100" s="232">
        <f>IF($B100&gt;INDEX($G$10:$G$19,$G$25),"",$D100-$E100)</f>
        <v/>
      </c>
      <c r="G100" s="232">
        <f>IF($B100&gt;INDEX($G$10:$G$19,$G$25),"",MAX(0,$G99-$F100))</f>
        <v/>
      </c>
    </row>
    <row r="101">
      <c r="B101" s="230" t="n">
        <v>75</v>
      </c>
      <c r="C101" s="231">
        <f>IF($B101&gt;INDEX($G$10:$G$19,$G$25),"",IFERROR(EDATE(INDEX($H$10:$H$19,$G$25),$B101-1),""))</f>
        <v/>
      </c>
      <c r="D101" s="232">
        <f>IF($B101&gt;INDEX($G$10:$G$19,$G$25),"",INDEX($I$10:$I$19,$G$25))</f>
        <v/>
      </c>
      <c r="E101" s="232">
        <f>IF($B101&gt;INDEX($G$10:$G$19,$G$25),"",$G100*INDEX($F$10:$F$19,$G$25)/12)</f>
        <v/>
      </c>
      <c r="F101" s="232">
        <f>IF($B101&gt;INDEX($G$10:$G$19,$G$25),"",$D101-$E101)</f>
        <v/>
      </c>
      <c r="G101" s="232">
        <f>IF($B101&gt;INDEX($G$10:$G$19,$G$25),"",MAX(0,$G100-$F101))</f>
        <v/>
      </c>
    </row>
    <row r="102">
      <c r="B102" s="230" t="n">
        <v>76</v>
      </c>
      <c r="C102" s="231">
        <f>IF($B102&gt;INDEX($G$10:$G$19,$G$25),"",IFERROR(EDATE(INDEX($H$10:$H$19,$G$25),$B102-1),""))</f>
        <v/>
      </c>
      <c r="D102" s="232">
        <f>IF($B102&gt;INDEX($G$10:$G$19,$G$25),"",INDEX($I$10:$I$19,$G$25))</f>
        <v/>
      </c>
      <c r="E102" s="232">
        <f>IF($B102&gt;INDEX($G$10:$G$19,$G$25),"",$G101*INDEX($F$10:$F$19,$G$25)/12)</f>
        <v/>
      </c>
      <c r="F102" s="232">
        <f>IF($B102&gt;INDEX($G$10:$G$19,$G$25),"",$D102-$E102)</f>
        <v/>
      </c>
      <c r="G102" s="232">
        <f>IF($B102&gt;INDEX($G$10:$G$19,$G$25),"",MAX(0,$G101-$F102))</f>
        <v/>
      </c>
    </row>
    <row r="103">
      <c r="B103" s="230" t="n">
        <v>77</v>
      </c>
      <c r="C103" s="231">
        <f>IF($B103&gt;INDEX($G$10:$G$19,$G$25),"",IFERROR(EDATE(INDEX($H$10:$H$19,$G$25),$B103-1),""))</f>
        <v/>
      </c>
      <c r="D103" s="232">
        <f>IF($B103&gt;INDEX($G$10:$G$19,$G$25),"",INDEX($I$10:$I$19,$G$25))</f>
        <v/>
      </c>
      <c r="E103" s="232">
        <f>IF($B103&gt;INDEX($G$10:$G$19,$G$25),"",$G102*INDEX($F$10:$F$19,$G$25)/12)</f>
        <v/>
      </c>
      <c r="F103" s="232">
        <f>IF($B103&gt;INDEX($G$10:$G$19,$G$25),"",$D103-$E103)</f>
        <v/>
      </c>
      <c r="G103" s="232">
        <f>IF($B103&gt;INDEX($G$10:$G$19,$G$25),"",MAX(0,$G102-$F103))</f>
        <v/>
      </c>
    </row>
    <row r="104">
      <c r="B104" s="230" t="n">
        <v>78</v>
      </c>
      <c r="C104" s="231">
        <f>IF($B104&gt;INDEX($G$10:$G$19,$G$25),"",IFERROR(EDATE(INDEX($H$10:$H$19,$G$25),$B104-1),""))</f>
        <v/>
      </c>
      <c r="D104" s="232">
        <f>IF($B104&gt;INDEX($G$10:$G$19,$G$25),"",INDEX($I$10:$I$19,$G$25))</f>
        <v/>
      </c>
      <c r="E104" s="232">
        <f>IF($B104&gt;INDEX($G$10:$G$19,$G$25),"",$G103*INDEX($F$10:$F$19,$G$25)/12)</f>
        <v/>
      </c>
      <c r="F104" s="232">
        <f>IF($B104&gt;INDEX($G$10:$G$19,$G$25),"",$D104-$E104)</f>
        <v/>
      </c>
      <c r="G104" s="232">
        <f>IF($B104&gt;INDEX($G$10:$G$19,$G$25),"",MAX(0,$G103-$F104))</f>
        <v/>
      </c>
    </row>
    <row r="105">
      <c r="B105" s="230" t="n">
        <v>79</v>
      </c>
      <c r="C105" s="231">
        <f>IF($B105&gt;INDEX($G$10:$G$19,$G$25),"",IFERROR(EDATE(INDEX($H$10:$H$19,$G$25),$B105-1),""))</f>
        <v/>
      </c>
      <c r="D105" s="232">
        <f>IF($B105&gt;INDEX($G$10:$G$19,$G$25),"",INDEX($I$10:$I$19,$G$25))</f>
        <v/>
      </c>
      <c r="E105" s="232">
        <f>IF($B105&gt;INDEX($G$10:$G$19,$G$25),"",$G104*INDEX($F$10:$F$19,$G$25)/12)</f>
        <v/>
      </c>
      <c r="F105" s="232">
        <f>IF($B105&gt;INDEX($G$10:$G$19,$G$25),"",$D105-$E105)</f>
        <v/>
      </c>
      <c r="G105" s="232">
        <f>IF($B105&gt;INDEX($G$10:$G$19,$G$25),"",MAX(0,$G104-$F105))</f>
        <v/>
      </c>
    </row>
    <row r="106">
      <c r="B106" s="230" t="n">
        <v>80</v>
      </c>
      <c r="C106" s="231">
        <f>IF($B106&gt;INDEX($G$10:$G$19,$G$25),"",IFERROR(EDATE(INDEX($H$10:$H$19,$G$25),$B106-1),""))</f>
        <v/>
      </c>
      <c r="D106" s="232">
        <f>IF($B106&gt;INDEX($G$10:$G$19,$G$25),"",INDEX($I$10:$I$19,$G$25))</f>
        <v/>
      </c>
      <c r="E106" s="232">
        <f>IF($B106&gt;INDEX($G$10:$G$19,$G$25),"",$G105*INDEX($F$10:$F$19,$G$25)/12)</f>
        <v/>
      </c>
      <c r="F106" s="232">
        <f>IF($B106&gt;INDEX($G$10:$G$19,$G$25),"",$D106-$E106)</f>
        <v/>
      </c>
      <c r="G106" s="232">
        <f>IF($B106&gt;INDEX($G$10:$G$19,$G$25),"",MAX(0,$G105-$F106))</f>
        <v/>
      </c>
    </row>
    <row r="107">
      <c r="B107" s="230" t="n">
        <v>81</v>
      </c>
      <c r="C107" s="231">
        <f>IF($B107&gt;INDEX($G$10:$G$19,$G$25),"",IFERROR(EDATE(INDEX($H$10:$H$19,$G$25),$B107-1),""))</f>
        <v/>
      </c>
      <c r="D107" s="232">
        <f>IF($B107&gt;INDEX($G$10:$G$19,$G$25),"",INDEX($I$10:$I$19,$G$25))</f>
        <v/>
      </c>
      <c r="E107" s="232">
        <f>IF($B107&gt;INDEX($G$10:$G$19,$G$25),"",$G106*INDEX($F$10:$F$19,$G$25)/12)</f>
        <v/>
      </c>
      <c r="F107" s="232">
        <f>IF($B107&gt;INDEX($G$10:$G$19,$G$25),"",$D107-$E107)</f>
        <v/>
      </c>
      <c r="G107" s="232">
        <f>IF($B107&gt;INDEX($G$10:$G$19,$G$25),"",MAX(0,$G106-$F107))</f>
        <v/>
      </c>
    </row>
    <row r="108">
      <c r="B108" s="230" t="n">
        <v>82</v>
      </c>
      <c r="C108" s="231">
        <f>IF($B108&gt;INDEX($G$10:$G$19,$G$25),"",IFERROR(EDATE(INDEX($H$10:$H$19,$G$25),$B108-1),""))</f>
        <v/>
      </c>
      <c r="D108" s="232">
        <f>IF($B108&gt;INDEX($G$10:$G$19,$G$25),"",INDEX($I$10:$I$19,$G$25))</f>
        <v/>
      </c>
      <c r="E108" s="232">
        <f>IF($B108&gt;INDEX($G$10:$G$19,$G$25),"",$G107*INDEX($F$10:$F$19,$G$25)/12)</f>
        <v/>
      </c>
      <c r="F108" s="232">
        <f>IF($B108&gt;INDEX($G$10:$G$19,$G$25),"",$D108-$E108)</f>
        <v/>
      </c>
      <c r="G108" s="232">
        <f>IF($B108&gt;INDEX($G$10:$G$19,$G$25),"",MAX(0,$G107-$F108))</f>
        <v/>
      </c>
    </row>
    <row r="109">
      <c r="B109" s="230" t="n">
        <v>83</v>
      </c>
      <c r="C109" s="231">
        <f>IF($B109&gt;INDEX($G$10:$G$19,$G$25),"",IFERROR(EDATE(INDEX($H$10:$H$19,$G$25),$B109-1),""))</f>
        <v/>
      </c>
      <c r="D109" s="232">
        <f>IF($B109&gt;INDEX($G$10:$G$19,$G$25),"",INDEX($I$10:$I$19,$G$25))</f>
        <v/>
      </c>
      <c r="E109" s="232">
        <f>IF($B109&gt;INDEX($G$10:$G$19,$G$25),"",$G108*INDEX($F$10:$F$19,$G$25)/12)</f>
        <v/>
      </c>
      <c r="F109" s="232">
        <f>IF($B109&gt;INDEX($G$10:$G$19,$G$25),"",$D109-$E109)</f>
        <v/>
      </c>
      <c r="G109" s="232">
        <f>IF($B109&gt;INDEX($G$10:$G$19,$G$25),"",MAX(0,$G108-$F109))</f>
        <v/>
      </c>
    </row>
    <row r="110">
      <c r="B110" s="230" t="n">
        <v>84</v>
      </c>
      <c r="C110" s="231">
        <f>IF($B110&gt;INDEX($G$10:$G$19,$G$25),"",IFERROR(EDATE(INDEX($H$10:$H$19,$G$25),$B110-1),""))</f>
        <v/>
      </c>
      <c r="D110" s="232">
        <f>IF($B110&gt;INDEX($G$10:$G$19,$G$25),"",INDEX($I$10:$I$19,$G$25))</f>
        <v/>
      </c>
      <c r="E110" s="232">
        <f>IF($B110&gt;INDEX($G$10:$G$19,$G$25),"",$G109*INDEX($F$10:$F$19,$G$25)/12)</f>
        <v/>
      </c>
      <c r="F110" s="232">
        <f>IF($B110&gt;INDEX($G$10:$G$19,$G$25),"",$D110-$E110)</f>
        <v/>
      </c>
      <c r="G110" s="232">
        <f>IF($B110&gt;INDEX($G$10:$G$19,$G$25),"",MAX(0,$G109-$F110))</f>
        <v/>
      </c>
    </row>
    <row r="111">
      <c r="B111" s="230" t="n">
        <v>85</v>
      </c>
      <c r="C111" s="231">
        <f>IF($B111&gt;INDEX($G$10:$G$19,$G$25),"",IFERROR(EDATE(INDEX($H$10:$H$19,$G$25),$B111-1),""))</f>
        <v/>
      </c>
      <c r="D111" s="232">
        <f>IF($B111&gt;INDEX($G$10:$G$19,$G$25),"",INDEX($I$10:$I$19,$G$25))</f>
        <v/>
      </c>
      <c r="E111" s="232">
        <f>IF($B111&gt;INDEX($G$10:$G$19,$G$25),"",$G110*INDEX($F$10:$F$19,$G$25)/12)</f>
        <v/>
      </c>
      <c r="F111" s="232">
        <f>IF($B111&gt;INDEX($G$10:$G$19,$G$25),"",$D111-$E111)</f>
        <v/>
      </c>
      <c r="G111" s="232">
        <f>IF($B111&gt;INDEX($G$10:$G$19,$G$25),"",MAX(0,$G110-$F111))</f>
        <v/>
      </c>
    </row>
    <row r="112">
      <c r="B112" s="230" t="n">
        <v>86</v>
      </c>
      <c r="C112" s="231">
        <f>IF($B112&gt;INDEX($G$10:$G$19,$G$25),"",IFERROR(EDATE(INDEX($H$10:$H$19,$G$25),$B112-1),""))</f>
        <v/>
      </c>
      <c r="D112" s="232">
        <f>IF($B112&gt;INDEX($G$10:$G$19,$G$25),"",INDEX($I$10:$I$19,$G$25))</f>
        <v/>
      </c>
      <c r="E112" s="232">
        <f>IF($B112&gt;INDEX($G$10:$G$19,$G$25),"",$G111*INDEX($F$10:$F$19,$G$25)/12)</f>
        <v/>
      </c>
      <c r="F112" s="232">
        <f>IF($B112&gt;INDEX($G$10:$G$19,$G$25),"",$D112-$E112)</f>
        <v/>
      </c>
      <c r="G112" s="232">
        <f>IF($B112&gt;INDEX($G$10:$G$19,$G$25),"",MAX(0,$G111-$F112))</f>
        <v/>
      </c>
    </row>
    <row r="113">
      <c r="B113" s="230" t="n">
        <v>87</v>
      </c>
      <c r="C113" s="231">
        <f>IF($B113&gt;INDEX($G$10:$G$19,$G$25),"",IFERROR(EDATE(INDEX($H$10:$H$19,$G$25),$B113-1),""))</f>
        <v/>
      </c>
      <c r="D113" s="232">
        <f>IF($B113&gt;INDEX($G$10:$G$19,$G$25),"",INDEX($I$10:$I$19,$G$25))</f>
        <v/>
      </c>
      <c r="E113" s="232">
        <f>IF($B113&gt;INDEX($G$10:$G$19,$G$25),"",$G112*INDEX($F$10:$F$19,$G$25)/12)</f>
        <v/>
      </c>
      <c r="F113" s="232">
        <f>IF($B113&gt;INDEX($G$10:$G$19,$G$25),"",$D113-$E113)</f>
        <v/>
      </c>
      <c r="G113" s="232">
        <f>IF($B113&gt;INDEX($G$10:$G$19,$G$25),"",MAX(0,$G112-$F113))</f>
        <v/>
      </c>
    </row>
    <row r="114">
      <c r="B114" s="230" t="n">
        <v>88</v>
      </c>
      <c r="C114" s="231">
        <f>IF($B114&gt;INDEX($G$10:$G$19,$G$25),"",IFERROR(EDATE(INDEX($H$10:$H$19,$G$25),$B114-1),""))</f>
        <v/>
      </c>
      <c r="D114" s="232">
        <f>IF($B114&gt;INDEX($G$10:$G$19,$G$25),"",INDEX($I$10:$I$19,$G$25))</f>
        <v/>
      </c>
      <c r="E114" s="232">
        <f>IF($B114&gt;INDEX($G$10:$G$19,$G$25),"",$G113*INDEX($F$10:$F$19,$G$25)/12)</f>
        <v/>
      </c>
      <c r="F114" s="232">
        <f>IF($B114&gt;INDEX($G$10:$G$19,$G$25),"",$D114-$E114)</f>
        <v/>
      </c>
      <c r="G114" s="232">
        <f>IF($B114&gt;INDEX($G$10:$G$19,$G$25),"",MAX(0,$G113-$F114))</f>
        <v/>
      </c>
    </row>
    <row r="115">
      <c r="B115" s="230" t="n">
        <v>89</v>
      </c>
      <c r="C115" s="231">
        <f>IF($B115&gt;INDEX($G$10:$G$19,$G$25),"",IFERROR(EDATE(INDEX($H$10:$H$19,$G$25),$B115-1),""))</f>
        <v/>
      </c>
      <c r="D115" s="232">
        <f>IF($B115&gt;INDEX($G$10:$G$19,$G$25),"",INDEX($I$10:$I$19,$G$25))</f>
        <v/>
      </c>
      <c r="E115" s="232">
        <f>IF($B115&gt;INDEX($G$10:$G$19,$G$25),"",$G114*INDEX($F$10:$F$19,$G$25)/12)</f>
        <v/>
      </c>
      <c r="F115" s="232">
        <f>IF($B115&gt;INDEX($G$10:$G$19,$G$25),"",$D115-$E115)</f>
        <v/>
      </c>
      <c r="G115" s="232">
        <f>IF($B115&gt;INDEX($G$10:$G$19,$G$25),"",MAX(0,$G114-$F115))</f>
        <v/>
      </c>
    </row>
    <row r="116">
      <c r="B116" s="230" t="n">
        <v>90</v>
      </c>
      <c r="C116" s="231">
        <f>IF($B116&gt;INDEX($G$10:$G$19,$G$25),"",IFERROR(EDATE(INDEX($H$10:$H$19,$G$25),$B116-1),""))</f>
        <v/>
      </c>
      <c r="D116" s="232">
        <f>IF($B116&gt;INDEX($G$10:$G$19,$G$25),"",INDEX($I$10:$I$19,$G$25))</f>
        <v/>
      </c>
      <c r="E116" s="232">
        <f>IF($B116&gt;INDEX($G$10:$G$19,$G$25),"",$G115*INDEX($F$10:$F$19,$G$25)/12)</f>
        <v/>
      </c>
      <c r="F116" s="232">
        <f>IF($B116&gt;INDEX($G$10:$G$19,$G$25),"",$D116-$E116)</f>
        <v/>
      </c>
      <c r="G116" s="232">
        <f>IF($B116&gt;INDEX($G$10:$G$19,$G$25),"",MAX(0,$G115-$F116))</f>
        <v/>
      </c>
    </row>
    <row r="117">
      <c r="B117" s="230" t="n">
        <v>91</v>
      </c>
      <c r="C117" s="231">
        <f>IF($B117&gt;INDEX($G$10:$G$19,$G$25),"",IFERROR(EDATE(INDEX($H$10:$H$19,$G$25),$B117-1),""))</f>
        <v/>
      </c>
      <c r="D117" s="232">
        <f>IF($B117&gt;INDEX($G$10:$G$19,$G$25),"",INDEX($I$10:$I$19,$G$25))</f>
        <v/>
      </c>
      <c r="E117" s="232">
        <f>IF($B117&gt;INDEX($G$10:$G$19,$G$25),"",$G116*INDEX($F$10:$F$19,$G$25)/12)</f>
        <v/>
      </c>
      <c r="F117" s="232">
        <f>IF($B117&gt;INDEX($G$10:$G$19,$G$25),"",$D117-$E117)</f>
        <v/>
      </c>
      <c r="G117" s="232">
        <f>IF($B117&gt;INDEX($G$10:$G$19,$G$25),"",MAX(0,$G116-$F117))</f>
        <v/>
      </c>
    </row>
    <row r="118">
      <c r="B118" s="230" t="n">
        <v>92</v>
      </c>
      <c r="C118" s="231">
        <f>IF($B118&gt;INDEX($G$10:$G$19,$G$25),"",IFERROR(EDATE(INDEX($H$10:$H$19,$G$25),$B118-1),""))</f>
        <v/>
      </c>
      <c r="D118" s="232">
        <f>IF($B118&gt;INDEX($G$10:$G$19,$G$25),"",INDEX($I$10:$I$19,$G$25))</f>
        <v/>
      </c>
      <c r="E118" s="232">
        <f>IF($B118&gt;INDEX($G$10:$G$19,$G$25),"",$G117*INDEX($F$10:$F$19,$G$25)/12)</f>
        <v/>
      </c>
      <c r="F118" s="232">
        <f>IF($B118&gt;INDEX($G$10:$G$19,$G$25),"",$D118-$E118)</f>
        <v/>
      </c>
      <c r="G118" s="232">
        <f>IF($B118&gt;INDEX($G$10:$G$19,$G$25),"",MAX(0,$G117-$F118))</f>
        <v/>
      </c>
    </row>
    <row r="119">
      <c r="B119" s="230" t="n">
        <v>93</v>
      </c>
      <c r="C119" s="231">
        <f>IF($B119&gt;INDEX($G$10:$G$19,$G$25),"",IFERROR(EDATE(INDEX($H$10:$H$19,$G$25),$B119-1),""))</f>
        <v/>
      </c>
      <c r="D119" s="232">
        <f>IF($B119&gt;INDEX($G$10:$G$19,$G$25),"",INDEX($I$10:$I$19,$G$25))</f>
        <v/>
      </c>
      <c r="E119" s="232">
        <f>IF($B119&gt;INDEX($G$10:$G$19,$G$25),"",$G118*INDEX($F$10:$F$19,$G$25)/12)</f>
        <v/>
      </c>
      <c r="F119" s="232">
        <f>IF($B119&gt;INDEX($G$10:$G$19,$G$25),"",$D119-$E119)</f>
        <v/>
      </c>
      <c r="G119" s="232">
        <f>IF($B119&gt;INDEX($G$10:$G$19,$G$25),"",MAX(0,$G118-$F119))</f>
        <v/>
      </c>
    </row>
    <row r="120">
      <c r="B120" s="230" t="n">
        <v>94</v>
      </c>
      <c r="C120" s="231">
        <f>IF($B120&gt;INDEX($G$10:$G$19,$G$25),"",IFERROR(EDATE(INDEX($H$10:$H$19,$G$25),$B120-1),""))</f>
        <v/>
      </c>
      <c r="D120" s="232">
        <f>IF($B120&gt;INDEX($G$10:$G$19,$G$25),"",INDEX($I$10:$I$19,$G$25))</f>
        <v/>
      </c>
      <c r="E120" s="232">
        <f>IF($B120&gt;INDEX($G$10:$G$19,$G$25),"",$G119*INDEX($F$10:$F$19,$G$25)/12)</f>
        <v/>
      </c>
      <c r="F120" s="232">
        <f>IF($B120&gt;INDEX($G$10:$G$19,$G$25),"",$D120-$E120)</f>
        <v/>
      </c>
      <c r="G120" s="232">
        <f>IF($B120&gt;INDEX($G$10:$G$19,$G$25),"",MAX(0,$G119-$F120))</f>
        <v/>
      </c>
    </row>
    <row r="121">
      <c r="B121" s="230" t="n">
        <v>95</v>
      </c>
      <c r="C121" s="231">
        <f>IF($B121&gt;INDEX($G$10:$G$19,$G$25),"",IFERROR(EDATE(INDEX($H$10:$H$19,$G$25),$B121-1),""))</f>
        <v/>
      </c>
      <c r="D121" s="232">
        <f>IF($B121&gt;INDEX($G$10:$G$19,$G$25),"",INDEX($I$10:$I$19,$G$25))</f>
        <v/>
      </c>
      <c r="E121" s="232">
        <f>IF($B121&gt;INDEX($G$10:$G$19,$G$25),"",$G120*INDEX($F$10:$F$19,$G$25)/12)</f>
        <v/>
      </c>
      <c r="F121" s="232">
        <f>IF($B121&gt;INDEX($G$10:$G$19,$G$25),"",$D121-$E121)</f>
        <v/>
      </c>
      <c r="G121" s="232">
        <f>IF($B121&gt;INDEX($G$10:$G$19,$G$25),"",MAX(0,$G120-$F121))</f>
        <v/>
      </c>
    </row>
    <row r="122">
      <c r="B122" s="230" t="n">
        <v>96</v>
      </c>
      <c r="C122" s="231">
        <f>IF($B122&gt;INDEX($G$10:$G$19,$G$25),"",IFERROR(EDATE(INDEX($H$10:$H$19,$G$25),$B122-1),""))</f>
        <v/>
      </c>
      <c r="D122" s="232">
        <f>IF($B122&gt;INDEX($G$10:$G$19,$G$25),"",INDEX($I$10:$I$19,$G$25))</f>
        <v/>
      </c>
      <c r="E122" s="232">
        <f>IF($B122&gt;INDEX($G$10:$G$19,$G$25),"",$G121*INDEX($F$10:$F$19,$G$25)/12)</f>
        <v/>
      </c>
      <c r="F122" s="232">
        <f>IF($B122&gt;INDEX($G$10:$G$19,$G$25),"",$D122-$E122)</f>
        <v/>
      </c>
      <c r="G122" s="232">
        <f>IF($B122&gt;INDEX($G$10:$G$19,$G$25),"",MAX(0,$G121-$F122))</f>
        <v/>
      </c>
    </row>
    <row r="123">
      <c r="B123" s="230" t="n">
        <v>97</v>
      </c>
      <c r="C123" s="231">
        <f>IF($B123&gt;INDEX($G$10:$G$19,$G$25),"",IFERROR(EDATE(INDEX($H$10:$H$19,$G$25),$B123-1),""))</f>
        <v/>
      </c>
      <c r="D123" s="232">
        <f>IF($B123&gt;INDEX($G$10:$G$19,$G$25),"",INDEX($I$10:$I$19,$G$25))</f>
        <v/>
      </c>
      <c r="E123" s="232">
        <f>IF($B123&gt;INDEX($G$10:$G$19,$G$25),"",$G122*INDEX($F$10:$F$19,$G$25)/12)</f>
        <v/>
      </c>
      <c r="F123" s="232">
        <f>IF($B123&gt;INDEX($G$10:$G$19,$G$25),"",$D123-$E123)</f>
        <v/>
      </c>
      <c r="G123" s="232">
        <f>IF($B123&gt;INDEX($G$10:$G$19,$G$25),"",MAX(0,$G122-$F123))</f>
        <v/>
      </c>
    </row>
    <row r="124">
      <c r="B124" s="230" t="n">
        <v>98</v>
      </c>
      <c r="C124" s="231">
        <f>IF($B124&gt;INDEX($G$10:$G$19,$G$25),"",IFERROR(EDATE(INDEX($H$10:$H$19,$G$25),$B124-1),""))</f>
        <v/>
      </c>
      <c r="D124" s="232">
        <f>IF($B124&gt;INDEX($G$10:$G$19,$G$25),"",INDEX($I$10:$I$19,$G$25))</f>
        <v/>
      </c>
      <c r="E124" s="232">
        <f>IF($B124&gt;INDEX($G$10:$G$19,$G$25),"",$G123*INDEX($F$10:$F$19,$G$25)/12)</f>
        <v/>
      </c>
      <c r="F124" s="232">
        <f>IF($B124&gt;INDEX($G$10:$G$19,$G$25),"",$D124-$E124)</f>
        <v/>
      </c>
      <c r="G124" s="232">
        <f>IF($B124&gt;INDEX($G$10:$G$19,$G$25),"",MAX(0,$G123-$F124))</f>
        <v/>
      </c>
    </row>
    <row r="125">
      <c r="B125" s="230" t="n">
        <v>99</v>
      </c>
      <c r="C125" s="231">
        <f>IF($B125&gt;INDEX($G$10:$G$19,$G$25),"",IFERROR(EDATE(INDEX($H$10:$H$19,$G$25),$B125-1),""))</f>
        <v/>
      </c>
      <c r="D125" s="232">
        <f>IF($B125&gt;INDEX($G$10:$G$19,$G$25),"",INDEX($I$10:$I$19,$G$25))</f>
        <v/>
      </c>
      <c r="E125" s="232">
        <f>IF($B125&gt;INDEX($G$10:$G$19,$G$25),"",$G124*INDEX($F$10:$F$19,$G$25)/12)</f>
        <v/>
      </c>
      <c r="F125" s="232">
        <f>IF($B125&gt;INDEX($G$10:$G$19,$G$25),"",$D125-$E125)</f>
        <v/>
      </c>
      <c r="G125" s="232">
        <f>IF($B125&gt;INDEX($G$10:$G$19,$G$25),"",MAX(0,$G124-$F125))</f>
        <v/>
      </c>
    </row>
    <row r="126">
      <c r="B126" s="230" t="n">
        <v>100</v>
      </c>
      <c r="C126" s="231">
        <f>IF($B126&gt;INDEX($G$10:$G$19,$G$25),"",IFERROR(EDATE(INDEX($H$10:$H$19,$G$25),$B126-1),""))</f>
        <v/>
      </c>
      <c r="D126" s="232">
        <f>IF($B126&gt;INDEX($G$10:$G$19,$G$25),"",INDEX($I$10:$I$19,$G$25))</f>
        <v/>
      </c>
      <c r="E126" s="232">
        <f>IF($B126&gt;INDEX($G$10:$G$19,$G$25),"",$G125*INDEX($F$10:$F$19,$G$25)/12)</f>
        <v/>
      </c>
      <c r="F126" s="232">
        <f>IF($B126&gt;INDEX($G$10:$G$19,$G$25),"",$D126-$E126)</f>
        <v/>
      </c>
      <c r="G126" s="232">
        <f>IF($B126&gt;INDEX($G$10:$G$19,$G$25),"",MAX(0,$G125-$F126))</f>
        <v/>
      </c>
    </row>
    <row r="127">
      <c r="B127" s="230" t="n">
        <v>101</v>
      </c>
      <c r="C127" s="231">
        <f>IF($B127&gt;INDEX($G$10:$G$19,$G$25),"",IFERROR(EDATE(INDEX($H$10:$H$19,$G$25),$B127-1),""))</f>
        <v/>
      </c>
      <c r="D127" s="232">
        <f>IF($B127&gt;INDEX($G$10:$G$19,$G$25),"",INDEX($I$10:$I$19,$G$25))</f>
        <v/>
      </c>
      <c r="E127" s="232">
        <f>IF($B127&gt;INDEX($G$10:$G$19,$G$25),"",$G126*INDEX($F$10:$F$19,$G$25)/12)</f>
        <v/>
      </c>
      <c r="F127" s="232">
        <f>IF($B127&gt;INDEX($G$10:$G$19,$G$25),"",$D127-$E127)</f>
        <v/>
      </c>
      <c r="G127" s="232">
        <f>IF($B127&gt;INDEX($G$10:$G$19,$G$25),"",MAX(0,$G126-$F127))</f>
        <v/>
      </c>
    </row>
    <row r="128">
      <c r="B128" s="230" t="n">
        <v>102</v>
      </c>
      <c r="C128" s="231">
        <f>IF($B128&gt;INDEX($G$10:$G$19,$G$25),"",IFERROR(EDATE(INDEX($H$10:$H$19,$G$25),$B128-1),""))</f>
        <v/>
      </c>
      <c r="D128" s="232">
        <f>IF($B128&gt;INDEX($G$10:$G$19,$G$25),"",INDEX($I$10:$I$19,$G$25))</f>
        <v/>
      </c>
      <c r="E128" s="232">
        <f>IF($B128&gt;INDEX($G$10:$G$19,$G$25),"",$G127*INDEX($F$10:$F$19,$G$25)/12)</f>
        <v/>
      </c>
      <c r="F128" s="232">
        <f>IF($B128&gt;INDEX($G$10:$G$19,$G$25),"",$D128-$E128)</f>
        <v/>
      </c>
      <c r="G128" s="232">
        <f>IF($B128&gt;INDEX($G$10:$G$19,$G$25),"",MAX(0,$G127-$F128))</f>
        <v/>
      </c>
    </row>
    <row r="129">
      <c r="B129" s="230" t="n">
        <v>103</v>
      </c>
      <c r="C129" s="231">
        <f>IF($B129&gt;INDEX($G$10:$G$19,$G$25),"",IFERROR(EDATE(INDEX($H$10:$H$19,$G$25),$B129-1),""))</f>
        <v/>
      </c>
      <c r="D129" s="232">
        <f>IF($B129&gt;INDEX($G$10:$G$19,$G$25),"",INDEX($I$10:$I$19,$G$25))</f>
        <v/>
      </c>
      <c r="E129" s="232">
        <f>IF($B129&gt;INDEX($G$10:$G$19,$G$25),"",$G128*INDEX($F$10:$F$19,$G$25)/12)</f>
        <v/>
      </c>
      <c r="F129" s="232">
        <f>IF($B129&gt;INDEX($G$10:$G$19,$G$25),"",$D129-$E129)</f>
        <v/>
      </c>
      <c r="G129" s="232">
        <f>IF($B129&gt;INDEX($G$10:$G$19,$G$25),"",MAX(0,$G128-$F129))</f>
        <v/>
      </c>
    </row>
    <row r="130">
      <c r="B130" s="230" t="n">
        <v>104</v>
      </c>
      <c r="C130" s="231">
        <f>IF($B130&gt;INDEX($G$10:$G$19,$G$25),"",IFERROR(EDATE(INDEX($H$10:$H$19,$G$25),$B130-1),""))</f>
        <v/>
      </c>
      <c r="D130" s="232">
        <f>IF($B130&gt;INDEX($G$10:$G$19,$G$25),"",INDEX($I$10:$I$19,$G$25))</f>
        <v/>
      </c>
      <c r="E130" s="232">
        <f>IF($B130&gt;INDEX($G$10:$G$19,$G$25),"",$G129*INDEX($F$10:$F$19,$G$25)/12)</f>
        <v/>
      </c>
      <c r="F130" s="232">
        <f>IF($B130&gt;INDEX($G$10:$G$19,$G$25),"",$D130-$E130)</f>
        <v/>
      </c>
      <c r="G130" s="232">
        <f>IF($B130&gt;INDEX($G$10:$G$19,$G$25),"",MAX(0,$G129-$F130))</f>
        <v/>
      </c>
    </row>
    <row r="131">
      <c r="B131" s="230" t="n">
        <v>105</v>
      </c>
      <c r="C131" s="231">
        <f>IF($B131&gt;INDEX($G$10:$G$19,$G$25),"",IFERROR(EDATE(INDEX($H$10:$H$19,$G$25),$B131-1),""))</f>
        <v/>
      </c>
      <c r="D131" s="232">
        <f>IF($B131&gt;INDEX($G$10:$G$19,$G$25),"",INDEX($I$10:$I$19,$G$25))</f>
        <v/>
      </c>
      <c r="E131" s="232">
        <f>IF($B131&gt;INDEX($G$10:$G$19,$G$25),"",$G130*INDEX($F$10:$F$19,$G$25)/12)</f>
        <v/>
      </c>
      <c r="F131" s="232">
        <f>IF($B131&gt;INDEX($G$10:$G$19,$G$25),"",$D131-$E131)</f>
        <v/>
      </c>
      <c r="G131" s="232">
        <f>IF($B131&gt;INDEX($G$10:$G$19,$G$25),"",MAX(0,$G130-$F131))</f>
        <v/>
      </c>
    </row>
    <row r="132">
      <c r="B132" s="230" t="n">
        <v>106</v>
      </c>
      <c r="C132" s="231">
        <f>IF($B132&gt;INDEX($G$10:$G$19,$G$25),"",IFERROR(EDATE(INDEX($H$10:$H$19,$G$25),$B132-1),""))</f>
        <v/>
      </c>
      <c r="D132" s="232">
        <f>IF($B132&gt;INDEX($G$10:$G$19,$G$25),"",INDEX($I$10:$I$19,$G$25))</f>
        <v/>
      </c>
      <c r="E132" s="232">
        <f>IF($B132&gt;INDEX($G$10:$G$19,$G$25),"",$G131*INDEX($F$10:$F$19,$G$25)/12)</f>
        <v/>
      </c>
      <c r="F132" s="232">
        <f>IF($B132&gt;INDEX($G$10:$G$19,$G$25),"",$D132-$E132)</f>
        <v/>
      </c>
      <c r="G132" s="232">
        <f>IF($B132&gt;INDEX($G$10:$G$19,$G$25),"",MAX(0,$G131-$F132))</f>
        <v/>
      </c>
    </row>
    <row r="133">
      <c r="B133" s="230" t="n">
        <v>107</v>
      </c>
      <c r="C133" s="231">
        <f>IF($B133&gt;INDEX($G$10:$G$19,$G$25),"",IFERROR(EDATE(INDEX($H$10:$H$19,$G$25),$B133-1),""))</f>
        <v/>
      </c>
      <c r="D133" s="232">
        <f>IF($B133&gt;INDEX($G$10:$G$19,$G$25),"",INDEX($I$10:$I$19,$G$25))</f>
        <v/>
      </c>
      <c r="E133" s="232">
        <f>IF($B133&gt;INDEX($G$10:$G$19,$G$25),"",$G132*INDEX($F$10:$F$19,$G$25)/12)</f>
        <v/>
      </c>
      <c r="F133" s="232">
        <f>IF($B133&gt;INDEX($G$10:$G$19,$G$25),"",$D133-$E133)</f>
        <v/>
      </c>
      <c r="G133" s="232">
        <f>IF($B133&gt;INDEX($G$10:$G$19,$G$25),"",MAX(0,$G132-$F133))</f>
        <v/>
      </c>
    </row>
    <row r="134">
      <c r="B134" s="230" t="n">
        <v>108</v>
      </c>
      <c r="C134" s="231">
        <f>IF($B134&gt;INDEX($G$10:$G$19,$G$25),"",IFERROR(EDATE(INDEX($H$10:$H$19,$G$25),$B134-1),""))</f>
        <v/>
      </c>
      <c r="D134" s="232">
        <f>IF($B134&gt;INDEX($G$10:$G$19,$G$25),"",INDEX($I$10:$I$19,$G$25))</f>
        <v/>
      </c>
      <c r="E134" s="232">
        <f>IF($B134&gt;INDEX($G$10:$G$19,$G$25),"",$G133*INDEX($F$10:$F$19,$G$25)/12)</f>
        <v/>
      </c>
      <c r="F134" s="232">
        <f>IF($B134&gt;INDEX($G$10:$G$19,$G$25),"",$D134-$E134)</f>
        <v/>
      </c>
      <c r="G134" s="232">
        <f>IF($B134&gt;INDEX($G$10:$G$19,$G$25),"",MAX(0,$G133-$F134))</f>
        <v/>
      </c>
    </row>
    <row r="135">
      <c r="B135" s="230" t="n">
        <v>109</v>
      </c>
      <c r="C135" s="231">
        <f>IF($B135&gt;INDEX($G$10:$G$19,$G$25),"",IFERROR(EDATE(INDEX($H$10:$H$19,$G$25),$B135-1),""))</f>
        <v/>
      </c>
      <c r="D135" s="232">
        <f>IF($B135&gt;INDEX($G$10:$G$19,$G$25),"",INDEX($I$10:$I$19,$G$25))</f>
        <v/>
      </c>
      <c r="E135" s="232">
        <f>IF($B135&gt;INDEX($G$10:$G$19,$G$25),"",$G134*INDEX($F$10:$F$19,$G$25)/12)</f>
        <v/>
      </c>
      <c r="F135" s="232">
        <f>IF($B135&gt;INDEX($G$10:$G$19,$G$25),"",$D135-$E135)</f>
        <v/>
      </c>
      <c r="G135" s="232">
        <f>IF($B135&gt;INDEX($G$10:$G$19,$G$25),"",MAX(0,$G134-$F135))</f>
        <v/>
      </c>
    </row>
    <row r="136">
      <c r="B136" s="230" t="n">
        <v>110</v>
      </c>
      <c r="C136" s="231">
        <f>IF($B136&gt;INDEX($G$10:$G$19,$G$25),"",IFERROR(EDATE(INDEX($H$10:$H$19,$G$25),$B136-1),""))</f>
        <v/>
      </c>
      <c r="D136" s="232">
        <f>IF($B136&gt;INDEX($G$10:$G$19,$G$25),"",INDEX($I$10:$I$19,$G$25))</f>
        <v/>
      </c>
      <c r="E136" s="232">
        <f>IF($B136&gt;INDEX($G$10:$G$19,$G$25),"",$G135*INDEX($F$10:$F$19,$G$25)/12)</f>
        <v/>
      </c>
      <c r="F136" s="232">
        <f>IF($B136&gt;INDEX($G$10:$G$19,$G$25),"",$D136-$E136)</f>
        <v/>
      </c>
      <c r="G136" s="232">
        <f>IF($B136&gt;INDEX($G$10:$G$19,$G$25),"",MAX(0,$G135-$F136))</f>
        <v/>
      </c>
    </row>
    <row r="137">
      <c r="B137" s="230" t="n">
        <v>111</v>
      </c>
      <c r="C137" s="231">
        <f>IF($B137&gt;INDEX($G$10:$G$19,$G$25),"",IFERROR(EDATE(INDEX($H$10:$H$19,$G$25),$B137-1),""))</f>
        <v/>
      </c>
      <c r="D137" s="232">
        <f>IF($B137&gt;INDEX($G$10:$G$19,$G$25),"",INDEX($I$10:$I$19,$G$25))</f>
        <v/>
      </c>
      <c r="E137" s="232">
        <f>IF($B137&gt;INDEX($G$10:$G$19,$G$25),"",$G136*INDEX($F$10:$F$19,$G$25)/12)</f>
        <v/>
      </c>
      <c r="F137" s="232">
        <f>IF($B137&gt;INDEX($G$10:$G$19,$G$25),"",$D137-$E137)</f>
        <v/>
      </c>
      <c r="G137" s="232">
        <f>IF($B137&gt;INDEX($G$10:$G$19,$G$25),"",MAX(0,$G136-$F137))</f>
        <v/>
      </c>
    </row>
    <row r="138">
      <c r="B138" s="230" t="n">
        <v>112</v>
      </c>
      <c r="C138" s="231">
        <f>IF($B138&gt;INDEX($G$10:$G$19,$G$25),"",IFERROR(EDATE(INDEX($H$10:$H$19,$G$25),$B138-1),""))</f>
        <v/>
      </c>
      <c r="D138" s="232">
        <f>IF($B138&gt;INDEX($G$10:$G$19,$G$25),"",INDEX($I$10:$I$19,$G$25))</f>
        <v/>
      </c>
      <c r="E138" s="232">
        <f>IF($B138&gt;INDEX($G$10:$G$19,$G$25),"",$G137*INDEX($F$10:$F$19,$G$25)/12)</f>
        <v/>
      </c>
      <c r="F138" s="232">
        <f>IF($B138&gt;INDEX($G$10:$G$19,$G$25),"",$D138-$E138)</f>
        <v/>
      </c>
      <c r="G138" s="232">
        <f>IF($B138&gt;INDEX($G$10:$G$19,$G$25),"",MAX(0,$G137-$F138))</f>
        <v/>
      </c>
    </row>
    <row r="139">
      <c r="B139" s="230" t="n">
        <v>113</v>
      </c>
      <c r="C139" s="231">
        <f>IF($B139&gt;INDEX($G$10:$G$19,$G$25),"",IFERROR(EDATE(INDEX($H$10:$H$19,$G$25),$B139-1),""))</f>
        <v/>
      </c>
      <c r="D139" s="232">
        <f>IF($B139&gt;INDEX($G$10:$G$19,$G$25),"",INDEX($I$10:$I$19,$G$25))</f>
        <v/>
      </c>
      <c r="E139" s="232">
        <f>IF($B139&gt;INDEX($G$10:$G$19,$G$25),"",$G138*INDEX($F$10:$F$19,$G$25)/12)</f>
        <v/>
      </c>
      <c r="F139" s="232">
        <f>IF($B139&gt;INDEX($G$10:$G$19,$G$25),"",$D139-$E139)</f>
        <v/>
      </c>
      <c r="G139" s="232">
        <f>IF($B139&gt;INDEX($G$10:$G$19,$G$25),"",MAX(0,$G138-$F139))</f>
        <v/>
      </c>
    </row>
    <row r="140">
      <c r="B140" s="230" t="n">
        <v>114</v>
      </c>
      <c r="C140" s="231">
        <f>IF($B140&gt;INDEX($G$10:$G$19,$G$25),"",IFERROR(EDATE(INDEX($H$10:$H$19,$G$25),$B140-1),""))</f>
        <v/>
      </c>
      <c r="D140" s="232">
        <f>IF($B140&gt;INDEX($G$10:$G$19,$G$25),"",INDEX($I$10:$I$19,$G$25))</f>
        <v/>
      </c>
      <c r="E140" s="232">
        <f>IF($B140&gt;INDEX($G$10:$G$19,$G$25),"",$G139*INDEX($F$10:$F$19,$G$25)/12)</f>
        <v/>
      </c>
      <c r="F140" s="232">
        <f>IF($B140&gt;INDEX($G$10:$G$19,$G$25),"",$D140-$E140)</f>
        <v/>
      </c>
      <c r="G140" s="232">
        <f>IF($B140&gt;INDEX($G$10:$G$19,$G$25),"",MAX(0,$G139-$F140))</f>
        <v/>
      </c>
    </row>
    <row r="141">
      <c r="B141" s="230" t="n">
        <v>115</v>
      </c>
      <c r="C141" s="231">
        <f>IF($B141&gt;INDEX($G$10:$G$19,$G$25),"",IFERROR(EDATE(INDEX($H$10:$H$19,$G$25),$B141-1),""))</f>
        <v/>
      </c>
      <c r="D141" s="232">
        <f>IF($B141&gt;INDEX($G$10:$G$19,$G$25),"",INDEX($I$10:$I$19,$G$25))</f>
        <v/>
      </c>
      <c r="E141" s="232">
        <f>IF($B141&gt;INDEX($G$10:$G$19,$G$25),"",$G140*INDEX($F$10:$F$19,$G$25)/12)</f>
        <v/>
      </c>
      <c r="F141" s="232">
        <f>IF($B141&gt;INDEX($G$10:$G$19,$G$25),"",$D141-$E141)</f>
        <v/>
      </c>
      <c r="G141" s="232">
        <f>IF($B141&gt;INDEX($G$10:$G$19,$G$25),"",MAX(0,$G140-$F141))</f>
        <v/>
      </c>
    </row>
    <row r="142">
      <c r="B142" s="230" t="n">
        <v>116</v>
      </c>
      <c r="C142" s="231">
        <f>IF($B142&gt;INDEX($G$10:$G$19,$G$25),"",IFERROR(EDATE(INDEX($H$10:$H$19,$G$25),$B142-1),""))</f>
        <v/>
      </c>
      <c r="D142" s="232">
        <f>IF($B142&gt;INDEX($G$10:$G$19,$G$25),"",INDEX($I$10:$I$19,$G$25))</f>
        <v/>
      </c>
      <c r="E142" s="232">
        <f>IF($B142&gt;INDEX($G$10:$G$19,$G$25),"",$G141*INDEX($F$10:$F$19,$G$25)/12)</f>
        <v/>
      </c>
      <c r="F142" s="232">
        <f>IF($B142&gt;INDEX($G$10:$G$19,$G$25),"",$D142-$E142)</f>
        <v/>
      </c>
      <c r="G142" s="232">
        <f>IF($B142&gt;INDEX($G$10:$G$19,$G$25),"",MAX(0,$G141-$F142))</f>
        <v/>
      </c>
    </row>
    <row r="143">
      <c r="B143" s="230" t="n">
        <v>117</v>
      </c>
      <c r="C143" s="231">
        <f>IF($B143&gt;INDEX($G$10:$G$19,$G$25),"",IFERROR(EDATE(INDEX($H$10:$H$19,$G$25),$B143-1),""))</f>
        <v/>
      </c>
      <c r="D143" s="232">
        <f>IF($B143&gt;INDEX($G$10:$G$19,$G$25),"",INDEX($I$10:$I$19,$G$25))</f>
        <v/>
      </c>
      <c r="E143" s="232">
        <f>IF($B143&gt;INDEX($G$10:$G$19,$G$25),"",$G142*INDEX($F$10:$F$19,$G$25)/12)</f>
        <v/>
      </c>
      <c r="F143" s="232">
        <f>IF($B143&gt;INDEX($G$10:$G$19,$G$25),"",$D143-$E143)</f>
        <v/>
      </c>
      <c r="G143" s="232">
        <f>IF($B143&gt;INDEX($G$10:$G$19,$G$25),"",MAX(0,$G142-$F143))</f>
        <v/>
      </c>
    </row>
    <row r="144">
      <c r="B144" s="230" t="n">
        <v>118</v>
      </c>
      <c r="C144" s="231">
        <f>IF($B144&gt;INDEX($G$10:$G$19,$G$25),"",IFERROR(EDATE(INDEX($H$10:$H$19,$G$25),$B144-1),""))</f>
        <v/>
      </c>
      <c r="D144" s="232">
        <f>IF($B144&gt;INDEX($G$10:$G$19,$G$25),"",INDEX($I$10:$I$19,$G$25))</f>
        <v/>
      </c>
      <c r="E144" s="232">
        <f>IF($B144&gt;INDEX($G$10:$G$19,$G$25),"",$G143*INDEX($F$10:$F$19,$G$25)/12)</f>
        <v/>
      </c>
      <c r="F144" s="232">
        <f>IF($B144&gt;INDEX($G$10:$G$19,$G$25),"",$D144-$E144)</f>
        <v/>
      </c>
      <c r="G144" s="232">
        <f>IF($B144&gt;INDEX($G$10:$G$19,$G$25),"",MAX(0,$G143-$F144))</f>
        <v/>
      </c>
    </row>
    <row r="145">
      <c r="B145" s="230" t="n">
        <v>119</v>
      </c>
      <c r="C145" s="231">
        <f>IF($B145&gt;INDEX($G$10:$G$19,$G$25),"",IFERROR(EDATE(INDEX($H$10:$H$19,$G$25),$B145-1),""))</f>
        <v/>
      </c>
      <c r="D145" s="232">
        <f>IF($B145&gt;INDEX($G$10:$G$19,$G$25),"",INDEX($I$10:$I$19,$G$25))</f>
        <v/>
      </c>
      <c r="E145" s="232">
        <f>IF($B145&gt;INDEX($G$10:$G$19,$G$25),"",$G144*INDEX($F$10:$F$19,$G$25)/12)</f>
        <v/>
      </c>
      <c r="F145" s="232">
        <f>IF($B145&gt;INDEX($G$10:$G$19,$G$25),"",$D145-$E145)</f>
        <v/>
      </c>
      <c r="G145" s="232">
        <f>IF($B145&gt;INDEX($G$10:$G$19,$G$25),"",MAX(0,$G144-$F145))</f>
        <v/>
      </c>
    </row>
    <row r="146">
      <c r="B146" s="230" t="n">
        <v>120</v>
      </c>
      <c r="C146" s="231">
        <f>IF($B146&gt;INDEX($G$10:$G$19,$G$25),"",IFERROR(EDATE(INDEX($H$10:$H$19,$G$25),$B146-1),""))</f>
        <v/>
      </c>
      <c r="D146" s="232">
        <f>IF($B146&gt;INDEX($G$10:$G$19,$G$25),"",INDEX($I$10:$I$19,$G$25))</f>
        <v/>
      </c>
      <c r="E146" s="232">
        <f>IF($B146&gt;INDEX($G$10:$G$19,$G$25),"",$G145*INDEX($F$10:$F$19,$G$25)/12)</f>
        <v/>
      </c>
      <c r="F146" s="232">
        <f>IF($B146&gt;INDEX($G$10:$G$19,$G$25),"",$D146-$E146)</f>
        <v/>
      </c>
      <c r="G146" s="232">
        <f>IF($B146&gt;INDEX($G$10:$G$19,$G$25),"",MAX(0,$G145-$F146))</f>
        <v/>
      </c>
    </row>
    <row r="147">
      <c r="B147" s="230" t="n">
        <v>121</v>
      </c>
      <c r="C147" s="231">
        <f>IF($B147&gt;INDEX($G$10:$G$19,$G$25),"",IFERROR(EDATE(INDEX($H$10:$H$19,$G$25),$B147-1),""))</f>
        <v/>
      </c>
      <c r="D147" s="232">
        <f>IF($B147&gt;INDEX($G$10:$G$19,$G$25),"",INDEX($I$10:$I$19,$G$25))</f>
        <v/>
      </c>
      <c r="E147" s="232">
        <f>IF($B147&gt;INDEX($G$10:$G$19,$G$25),"",$G146*INDEX($F$10:$F$19,$G$25)/12)</f>
        <v/>
      </c>
      <c r="F147" s="232">
        <f>IF($B147&gt;INDEX($G$10:$G$19,$G$25),"",$D147-$E147)</f>
        <v/>
      </c>
      <c r="G147" s="232">
        <f>IF($B147&gt;INDEX($G$10:$G$19,$G$25),"",MAX(0,$G146-$F147))</f>
        <v/>
      </c>
    </row>
    <row r="148">
      <c r="B148" s="230" t="n">
        <v>122</v>
      </c>
      <c r="C148" s="231">
        <f>IF($B148&gt;INDEX($G$10:$G$19,$G$25),"",IFERROR(EDATE(INDEX($H$10:$H$19,$G$25),$B148-1),""))</f>
        <v/>
      </c>
      <c r="D148" s="232">
        <f>IF($B148&gt;INDEX($G$10:$G$19,$G$25),"",INDEX($I$10:$I$19,$G$25))</f>
        <v/>
      </c>
      <c r="E148" s="232">
        <f>IF($B148&gt;INDEX($G$10:$G$19,$G$25),"",$G147*INDEX($F$10:$F$19,$G$25)/12)</f>
        <v/>
      </c>
      <c r="F148" s="232">
        <f>IF($B148&gt;INDEX($G$10:$G$19,$G$25),"",$D148-$E148)</f>
        <v/>
      </c>
      <c r="G148" s="232">
        <f>IF($B148&gt;INDEX($G$10:$G$19,$G$25),"",MAX(0,$G147-$F148))</f>
        <v/>
      </c>
    </row>
    <row r="149">
      <c r="B149" s="230" t="n">
        <v>123</v>
      </c>
      <c r="C149" s="231">
        <f>IF($B149&gt;INDEX($G$10:$G$19,$G$25),"",IFERROR(EDATE(INDEX($H$10:$H$19,$G$25),$B149-1),""))</f>
        <v/>
      </c>
      <c r="D149" s="232">
        <f>IF($B149&gt;INDEX($G$10:$G$19,$G$25),"",INDEX($I$10:$I$19,$G$25))</f>
        <v/>
      </c>
      <c r="E149" s="232">
        <f>IF($B149&gt;INDEX($G$10:$G$19,$G$25),"",$G148*INDEX($F$10:$F$19,$G$25)/12)</f>
        <v/>
      </c>
      <c r="F149" s="232">
        <f>IF($B149&gt;INDEX($G$10:$G$19,$G$25),"",$D149-$E149)</f>
        <v/>
      </c>
      <c r="G149" s="232">
        <f>IF($B149&gt;INDEX($G$10:$G$19,$G$25),"",MAX(0,$G148-$F149))</f>
        <v/>
      </c>
    </row>
    <row r="150">
      <c r="B150" s="230" t="n">
        <v>124</v>
      </c>
      <c r="C150" s="231">
        <f>IF($B150&gt;INDEX($G$10:$G$19,$G$25),"",IFERROR(EDATE(INDEX($H$10:$H$19,$G$25),$B150-1),""))</f>
        <v/>
      </c>
      <c r="D150" s="232">
        <f>IF($B150&gt;INDEX($G$10:$G$19,$G$25),"",INDEX($I$10:$I$19,$G$25))</f>
        <v/>
      </c>
      <c r="E150" s="232">
        <f>IF($B150&gt;INDEX($G$10:$G$19,$G$25),"",$G149*INDEX($F$10:$F$19,$G$25)/12)</f>
        <v/>
      </c>
      <c r="F150" s="232">
        <f>IF($B150&gt;INDEX($G$10:$G$19,$G$25),"",$D150-$E150)</f>
        <v/>
      </c>
      <c r="G150" s="232">
        <f>IF($B150&gt;INDEX($G$10:$G$19,$G$25),"",MAX(0,$G149-$F150))</f>
        <v/>
      </c>
    </row>
    <row r="151">
      <c r="B151" s="230" t="n">
        <v>125</v>
      </c>
      <c r="C151" s="231">
        <f>IF($B151&gt;INDEX($G$10:$G$19,$G$25),"",IFERROR(EDATE(INDEX($H$10:$H$19,$G$25),$B151-1),""))</f>
        <v/>
      </c>
      <c r="D151" s="232">
        <f>IF($B151&gt;INDEX($G$10:$G$19,$G$25),"",INDEX($I$10:$I$19,$G$25))</f>
        <v/>
      </c>
      <c r="E151" s="232">
        <f>IF($B151&gt;INDEX($G$10:$G$19,$G$25),"",$G150*INDEX($F$10:$F$19,$G$25)/12)</f>
        <v/>
      </c>
      <c r="F151" s="232">
        <f>IF($B151&gt;INDEX($G$10:$G$19,$G$25),"",$D151-$E151)</f>
        <v/>
      </c>
      <c r="G151" s="232">
        <f>IF($B151&gt;INDEX($G$10:$G$19,$G$25),"",MAX(0,$G150-$F151))</f>
        <v/>
      </c>
    </row>
    <row r="152">
      <c r="B152" s="230" t="n">
        <v>126</v>
      </c>
      <c r="C152" s="231">
        <f>IF($B152&gt;INDEX($G$10:$G$19,$G$25),"",IFERROR(EDATE(INDEX($H$10:$H$19,$G$25),$B152-1),""))</f>
        <v/>
      </c>
      <c r="D152" s="232">
        <f>IF($B152&gt;INDEX($G$10:$G$19,$G$25),"",INDEX($I$10:$I$19,$G$25))</f>
        <v/>
      </c>
      <c r="E152" s="232">
        <f>IF($B152&gt;INDEX($G$10:$G$19,$G$25),"",$G151*INDEX($F$10:$F$19,$G$25)/12)</f>
        <v/>
      </c>
      <c r="F152" s="232">
        <f>IF($B152&gt;INDEX($G$10:$G$19,$G$25),"",$D152-$E152)</f>
        <v/>
      </c>
      <c r="G152" s="232">
        <f>IF($B152&gt;INDEX($G$10:$G$19,$G$25),"",MAX(0,$G151-$F152))</f>
        <v/>
      </c>
    </row>
    <row r="153">
      <c r="B153" s="230" t="n">
        <v>127</v>
      </c>
      <c r="C153" s="231">
        <f>IF($B153&gt;INDEX($G$10:$G$19,$G$25),"",IFERROR(EDATE(INDEX($H$10:$H$19,$G$25),$B153-1),""))</f>
        <v/>
      </c>
      <c r="D153" s="232">
        <f>IF($B153&gt;INDEX($G$10:$G$19,$G$25),"",INDEX($I$10:$I$19,$G$25))</f>
        <v/>
      </c>
      <c r="E153" s="232">
        <f>IF($B153&gt;INDEX($G$10:$G$19,$G$25),"",$G152*INDEX($F$10:$F$19,$G$25)/12)</f>
        <v/>
      </c>
      <c r="F153" s="232">
        <f>IF($B153&gt;INDEX($G$10:$G$19,$G$25),"",$D153-$E153)</f>
        <v/>
      </c>
      <c r="G153" s="232">
        <f>IF($B153&gt;INDEX($G$10:$G$19,$G$25),"",MAX(0,$G152-$F153))</f>
        <v/>
      </c>
    </row>
    <row r="154">
      <c r="B154" s="230" t="n">
        <v>128</v>
      </c>
      <c r="C154" s="231">
        <f>IF($B154&gt;INDEX($G$10:$G$19,$G$25),"",IFERROR(EDATE(INDEX($H$10:$H$19,$G$25),$B154-1),""))</f>
        <v/>
      </c>
      <c r="D154" s="232">
        <f>IF($B154&gt;INDEX($G$10:$G$19,$G$25),"",INDEX($I$10:$I$19,$G$25))</f>
        <v/>
      </c>
      <c r="E154" s="232">
        <f>IF($B154&gt;INDEX($G$10:$G$19,$G$25),"",$G153*INDEX($F$10:$F$19,$G$25)/12)</f>
        <v/>
      </c>
      <c r="F154" s="232">
        <f>IF($B154&gt;INDEX($G$10:$G$19,$G$25),"",$D154-$E154)</f>
        <v/>
      </c>
      <c r="G154" s="232">
        <f>IF($B154&gt;INDEX($G$10:$G$19,$G$25),"",MAX(0,$G153-$F154))</f>
        <v/>
      </c>
    </row>
    <row r="155">
      <c r="B155" s="230" t="n">
        <v>129</v>
      </c>
      <c r="C155" s="231">
        <f>IF($B155&gt;INDEX($G$10:$G$19,$G$25),"",IFERROR(EDATE(INDEX($H$10:$H$19,$G$25),$B155-1),""))</f>
        <v/>
      </c>
      <c r="D155" s="232">
        <f>IF($B155&gt;INDEX($G$10:$G$19,$G$25),"",INDEX($I$10:$I$19,$G$25))</f>
        <v/>
      </c>
      <c r="E155" s="232">
        <f>IF($B155&gt;INDEX($G$10:$G$19,$G$25),"",$G154*INDEX($F$10:$F$19,$G$25)/12)</f>
        <v/>
      </c>
      <c r="F155" s="232">
        <f>IF($B155&gt;INDEX($G$10:$G$19,$G$25),"",$D155-$E155)</f>
        <v/>
      </c>
      <c r="G155" s="232">
        <f>IF($B155&gt;INDEX($G$10:$G$19,$G$25),"",MAX(0,$G154-$F155))</f>
        <v/>
      </c>
    </row>
    <row r="156">
      <c r="B156" s="230" t="n">
        <v>130</v>
      </c>
      <c r="C156" s="231">
        <f>IF($B156&gt;INDEX($G$10:$G$19,$G$25),"",IFERROR(EDATE(INDEX($H$10:$H$19,$G$25),$B156-1),""))</f>
        <v/>
      </c>
      <c r="D156" s="232">
        <f>IF($B156&gt;INDEX($G$10:$G$19,$G$25),"",INDEX($I$10:$I$19,$G$25))</f>
        <v/>
      </c>
      <c r="E156" s="232">
        <f>IF($B156&gt;INDEX($G$10:$G$19,$G$25),"",$G155*INDEX($F$10:$F$19,$G$25)/12)</f>
        <v/>
      </c>
      <c r="F156" s="232">
        <f>IF($B156&gt;INDEX($G$10:$G$19,$G$25),"",$D156-$E156)</f>
        <v/>
      </c>
      <c r="G156" s="232">
        <f>IF($B156&gt;INDEX($G$10:$G$19,$G$25),"",MAX(0,$G155-$F156))</f>
        <v/>
      </c>
    </row>
    <row r="157">
      <c r="B157" s="230" t="n">
        <v>131</v>
      </c>
      <c r="C157" s="231">
        <f>IF($B157&gt;INDEX($G$10:$G$19,$G$25),"",IFERROR(EDATE(INDEX($H$10:$H$19,$G$25),$B157-1),""))</f>
        <v/>
      </c>
      <c r="D157" s="232">
        <f>IF($B157&gt;INDEX($G$10:$G$19,$G$25),"",INDEX($I$10:$I$19,$G$25))</f>
        <v/>
      </c>
      <c r="E157" s="232">
        <f>IF($B157&gt;INDEX($G$10:$G$19,$G$25),"",$G156*INDEX($F$10:$F$19,$G$25)/12)</f>
        <v/>
      </c>
      <c r="F157" s="232">
        <f>IF($B157&gt;INDEX($G$10:$G$19,$G$25),"",$D157-$E157)</f>
        <v/>
      </c>
      <c r="G157" s="232">
        <f>IF($B157&gt;INDEX($G$10:$G$19,$G$25),"",MAX(0,$G156-$F157))</f>
        <v/>
      </c>
    </row>
    <row r="158">
      <c r="B158" s="230" t="n">
        <v>132</v>
      </c>
      <c r="C158" s="231">
        <f>IF($B158&gt;INDEX($G$10:$G$19,$G$25),"",IFERROR(EDATE(INDEX($H$10:$H$19,$G$25),$B158-1),""))</f>
        <v/>
      </c>
      <c r="D158" s="232">
        <f>IF($B158&gt;INDEX($G$10:$G$19,$G$25),"",INDEX($I$10:$I$19,$G$25))</f>
        <v/>
      </c>
      <c r="E158" s="232">
        <f>IF($B158&gt;INDEX($G$10:$G$19,$G$25),"",$G157*INDEX($F$10:$F$19,$G$25)/12)</f>
        <v/>
      </c>
      <c r="F158" s="232">
        <f>IF($B158&gt;INDEX($G$10:$G$19,$G$25),"",$D158-$E158)</f>
        <v/>
      </c>
      <c r="G158" s="232">
        <f>IF($B158&gt;INDEX($G$10:$G$19,$G$25),"",MAX(0,$G157-$F158))</f>
        <v/>
      </c>
    </row>
    <row r="159">
      <c r="B159" s="230" t="n">
        <v>133</v>
      </c>
      <c r="C159" s="231">
        <f>IF($B159&gt;INDEX($G$10:$G$19,$G$25),"",IFERROR(EDATE(INDEX($H$10:$H$19,$G$25),$B159-1),""))</f>
        <v/>
      </c>
      <c r="D159" s="232">
        <f>IF($B159&gt;INDEX($G$10:$G$19,$G$25),"",INDEX($I$10:$I$19,$G$25))</f>
        <v/>
      </c>
      <c r="E159" s="232">
        <f>IF($B159&gt;INDEX($G$10:$G$19,$G$25),"",$G158*INDEX($F$10:$F$19,$G$25)/12)</f>
        <v/>
      </c>
      <c r="F159" s="232">
        <f>IF($B159&gt;INDEX($G$10:$G$19,$G$25),"",$D159-$E159)</f>
        <v/>
      </c>
      <c r="G159" s="232">
        <f>IF($B159&gt;INDEX($G$10:$G$19,$G$25),"",MAX(0,$G158-$F159))</f>
        <v/>
      </c>
    </row>
    <row r="160">
      <c r="B160" s="230" t="n">
        <v>134</v>
      </c>
      <c r="C160" s="231">
        <f>IF($B160&gt;INDEX($G$10:$G$19,$G$25),"",IFERROR(EDATE(INDEX($H$10:$H$19,$G$25),$B160-1),""))</f>
        <v/>
      </c>
      <c r="D160" s="232">
        <f>IF($B160&gt;INDEX($G$10:$G$19,$G$25),"",INDEX($I$10:$I$19,$G$25))</f>
        <v/>
      </c>
      <c r="E160" s="232">
        <f>IF($B160&gt;INDEX($G$10:$G$19,$G$25),"",$G159*INDEX($F$10:$F$19,$G$25)/12)</f>
        <v/>
      </c>
      <c r="F160" s="232">
        <f>IF($B160&gt;INDEX($G$10:$G$19,$G$25),"",$D160-$E160)</f>
        <v/>
      </c>
      <c r="G160" s="232">
        <f>IF($B160&gt;INDEX($G$10:$G$19,$G$25),"",MAX(0,$G159-$F160))</f>
        <v/>
      </c>
    </row>
    <row r="161">
      <c r="B161" s="230" t="n">
        <v>135</v>
      </c>
      <c r="C161" s="231">
        <f>IF($B161&gt;INDEX($G$10:$G$19,$G$25),"",IFERROR(EDATE(INDEX($H$10:$H$19,$G$25),$B161-1),""))</f>
        <v/>
      </c>
      <c r="D161" s="232">
        <f>IF($B161&gt;INDEX($G$10:$G$19,$G$25),"",INDEX($I$10:$I$19,$G$25))</f>
        <v/>
      </c>
      <c r="E161" s="232">
        <f>IF($B161&gt;INDEX($G$10:$G$19,$G$25),"",$G160*INDEX($F$10:$F$19,$G$25)/12)</f>
        <v/>
      </c>
      <c r="F161" s="232">
        <f>IF($B161&gt;INDEX($G$10:$G$19,$G$25),"",$D161-$E161)</f>
        <v/>
      </c>
      <c r="G161" s="232">
        <f>IF($B161&gt;INDEX($G$10:$G$19,$G$25),"",MAX(0,$G160-$F161))</f>
        <v/>
      </c>
    </row>
    <row r="162">
      <c r="B162" s="230" t="n">
        <v>136</v>
      </c>
      <c r="C162" s="231">
        <f>IF($B162&gt;INDEX($G$10:$G$19,$G$25),"",IFERROR(EDATE(INDEX($H$10:$H$19,$G$25),$B162-1),""))</f>
        <v/>
      </c>
      <c r="D162" s="232">
        <f>IF($B162&gt;INDEX($G$10:$G$19,$G$25),"",INDEX($I$10:$I$19,$G$25))</f>
        <v/>
      </c>
      <c r="E162" s="232">
        <f>IF($B162&gt;INDEX($G$10:$G$19,$G$25),"",$G161*INDEX($F$10:$F$19,$G$25)/12)</f>
        <v/>
      </c>
      <c r="F162" s="232">
        <f>IF($B162&gt;INDEX($G$10:$G$19,$G$25),"",$D162-$E162)</f>
        <v/>
      </c>
      <c r="G162" s="232">
        <f>IF($B162&gt;INDEX($G$10:$G$19,$G$25),"",MAX(0,$G161-$F162))</f>
        <v/>
      </c>
    </row>
    <row r="163">
      <c r="B163" s="230" t="n">
        <v>137</v>
      </c>
      <c r="C163" s="231">
        <f>IF($B163&gt;INDEX($G$10:$G$19,$G$25),"",IFERROR(EDATE(INDEX($H$10:$H$19,$G$25),$B163-1),""))</f>
        <v/>
      </c>
      <c r="D163" s="232">
        <f>IF($B163&gt;INDEX($G$10:$G$19,$G$25),"",INDEX($I$10:$I$19,$G$25))</f>
        <v/>
      </c>
      <c r="E163" s="232">
        <f>IF($B163&gt;INDEX($G$10:$G$19,$G$25),"",$G162*INDEX($F$10:$F$19,$G$25)/12)</f>
        <v/>
      </c>
      <c r="F163" s="232">
        <f>IF($B163&gt;INDEX($G$10:$G$19,$G$25),"",$D163-$E163)</f>
        <v/>
      </c>
      <c r="G163" s="232">
        <f>IF($B163&gt;INDEX($G$10:$G$19,$G$25),"",MAX(0,$G162-$F163))</f>
        <v/>
      </c>
    </row>
    <row r="164">
      <c r="B164" s="230" t="n">
        <v>138</v>
      </c>
      <c r="C164" s="231">
        <f>IF($B164&gt;INDEX($G$10:$G$19,$G$25),"",IFERROR(EDATE(INDEX($H$10:$H$19,$G$25),$B164-1),""))</f>
        <v/>
      </c>
      <c r="D164" s="232">
        <f>IF($B164&gt;INDEX($G$10:$G$19,$G$25),"",INDEX($I$10:$I$19,$G$25))</f>
        <v/>
      </c>
      <c r="E164" s="232">
        <f>IF($B164&gt;INDEX($G$10:$G$19,$G$25),"",$G163*INDEX($F$10:$F$19,$G$25)/12)</f>
        <v/>
      </c>
      <c r="F164" s="232">
        <f>IF($B164&gt;INDEX($G$10:$G$19,$G$25),"",$D164-$E164)</f>
        <v/>
      </c>
      <c r="G164" s="232">
        <f>IF($B164&gt;INDEX($G$10:$G$19,$G$25),"",MAX(0,$G163-$F164))</f>
        <v/>
      </c>
    </row>
    <row r="165">
      <c r="B165" s="230" t="n">
        <v>139</v>
      </c>
      <c r="C165" s="231">
        <f>IF($B165&gt;INDEX($G$10:$G$19,$G$25),"",IFERROR(EDATE(INDEX($H$10:$H$19,$G$25),$B165-1),""))</f>
        <v/>
      </c>
      <c r="D165" s="232">
        <f>IF($B165&gt;INDEX($G$10:$G$19,$G$25),"",INDEX($I$10:$I$19,$G$25))</f>
        <v/>
      </c>
      <c r="E165" s="232">
        <f>IF($B165&gt;INDEX($G$10:$G$19,$G$25),"",$G164*INDEX($F$10:$F$19,$G$25)/12)</f>
        <v/>
      </c>
      <c r="F165" s="232">
        <f>IF($B165&gt;INDEX($G$10:$G$19,$G$25),"",$D165-$E165)</f>
        <v/>
      </c>
      <c r="G165" s="232">
        <f>IF($B165&gt;INDEX($G$10:$G$19,$G$25),"",MAX(0,$G164-$F165))</f>
        <v/>
      </c>
    </row>
    <row r="166">
      <c r="B166" s="230" t="n">
        <v>140</v>
      </c>
      <c r="C166" s="231">
        <f>IF($B166&gt;INDEX($G$10:$G$19,$G$25),"",IFERROR(EDATE(INDEX($H$10:$H$19,$G$25),$B166-1),""))</f>
        <v/>
      </c>
      <c r="D166" s="232">
        <f>IF($B166&gt;INDEX($G$10:$G$19,$G$25),"",INDEX($I$10:$I$19,$G$25))</f>
        <v/>
      </c>
      <c r="E166" s="232">
        <f>IF($B166&gt;INDEX($G$10:$G$19,$G$25),"",$G165*INDEX($F$10:$F$19,$G$25)/12)</f>
        <v/>
      </c>
      <c r="F166" s="232">
        <f>IF($B166&gt;INDEX($G$10:$G$19,$G$25),"",$D166-$E166)</f>
        <v/>
      </c>
      <c r="G166" s="232">
        <f>IF($B166&gt;INDEX($G$10:$G$19,$G$25),"",MAX(0,$G165-$F166))</f>
        <v/>
      </c>
    </row>
    <row r="167">
      <c r="B167" s="230" t="n">
        <v>141</v>
      </c>
      <c r="C167" s="231">
        <f>IF($B167&gt;INDEX($G$10:$G$19,$G$25),"",IFERROR(EDATE(INDEX($H$10:$H$19,$G$25),$B167-1),""))</f>
        <v/>
      </c>
      <c r="D167" s="232">
        <f>IF($B167&gt;INDEX($G$10:$G$19,$G$25),"",INDEX($I$10:$I$19,$G$25))</f>
        <v/>
      </c>
      <c r="E167" s="232">
        <f>IF($B167&gt;INDEX($G$10:$G$19,$G$25),"",$G166*INDEX($F$10:$F$19,$G$25)/12)</f>
        <v/>
      </c>
      <c r="F167" s="232">
        <f>IF($B167&gt;INDEX($G$10:$G$19,$G$25),"",$D167-$E167)</f>
        <v/>
      </c>
      <c r="G167" s="232">
        <f>IF($B167&gt;INDEX($G$10:$G$19,$G$25),"",MAX(0,$G166-$F167))</f>
        <v/>
      </c>
    </row>
    <row r="168">
      <c r="B168" s="230" t="n">
        <v>142</v>
      </c>
      <c r="C168" s="231">
        <f>IF($B168&gt;INDEX($G$10:$G$19,$G$25),"",IFERROR(EDATE(INDEX($H$10:$H$19,$G$25),$B168-1),""))</f>
        <v/>
      </c>
      <c r="D168" s="232">
        <f>IF($B168&gt;INDEX($G$10:$G$19,$G$25),"",INDEX($I$10:$I$19,$G$25))</f>
        <v/>
      </c>
      <c r="E168" s="232">
        <f>IF($B168&gt;INDEX($G$10:$G$19,$G$25),"",$G167*INDEX($F$10:$F$19,$G$25)/12)</f>
        <v/>
      </c>
      <c r="F168" s="232">
        <f>IF($B168&gt;INDEX($G$10:$G$19,$G$25),"",$D168-$E168)</f>
        <v/>
      </c>
      <c r="G168" s="232">
        <f>IF($B168&gt;INDEX($G$10:$G$19,$G$25),"",MAX(0,$G167-$F168))</f>
        <v/>
      </c>
    </row>
    <row r="169">
      <c r="B169" s="230" t="n">
        <v>143</v>
      </c>
      <c r="C169" s="231">
        <f>IF($B169&gt;INDEX($G$10:$G$19,$G$25),"",IFERROR(EDATE(INDEX($H$10:$H$19,$G$25),$B169-1),""))</f>
        <v/>
      </c>
      <c r="D169" s="232">
        <f>IF($B169&gt;INDEX($G$10:$G$19,$G$25),"",INDEX($I$10:$I$19,$G$25))</f>
        <v/>
      </c>
      <c r="E169" s="232">
        <f>IF($B169&gt;INDEX($G$10:$G$19,$G$25),"",$G168*INDEX($F$10:$F$19,$G$25)/12)</f>
        <v/>
      </c>
      <c r="F169" s="232">
        <f>IF($B169&gt;INDEX($G$10:$G$19,$G$25),"",$D169-$E169)</f>
        <v/>
      </c>
      <c r="G169" s="232">
        <f>IF($B169&gt;INDEX($G$10:$G$19,$G$25),"",MAX(0,$G168-$F169))</f>
        <v/>
      </c>
    </row>
    <row r="170">
      <c r="B170" s="230" t="n">
        <v>144</v>
      </c>
      <c r="C170" s="231">
        <f>IF($B170&gt;INDEX($G$10:$G$19,$G$25),"",IFERROR(EDATE(INDEX($H$10:$H$19,$G$25),$B170-1),""))</f>
        <v/>
      </c>
      <c r="D170" s="232">
        <f>IF($B170&gt;INDEX($G$10:$G$19,$G$25),"",INDEX($I$10:$I$19,$G$25))</f>
        <v/>
      </c>
      <c r="E170" s="232">
        <f>IF($B170&gt;INDEX($G$10:$G$19,$G$25),"",$G169*INDEX($F$10:$F$19,$G$25)/12)</f>
        <v/>
      </c>
      <c r="F170" s="232">
        <f>IF($B170&gt;INDEX($G$10:$G$19,$G$25),"",$D170-$E170)</f>
        <v/>
      </c>
      <c r="G170" s="232">
        <f>IF($B170&gt;INDEX($G$10:$G$19,$G$25),"",MAX(0,$G169-$F170))</f>
        <v/>
      </c>
    </row>
    <row r="171">
      <c r="B171" s="230" t="n">
        <v>145</v>
      </c>
      <c r="C171" s="231">
        <f>IF($B171&gt;INDEX($G$10:$G$19,$G$25),"",IFERROR(EDATE(INDEX($H$10:$H$19,$G$25),$B171-1),""))</f>
        <v/>
      </c>
      <c r="D171" s="232">
        <f>IF($B171&gt;INDEX($G$10:$G$19,$G$25),"",INDEX($I$10:$I$19,$G$25))</f>
        <v/>
      </c>
      <c r="E171" s="232">
        <f>IF($B171&gt;INDEX($G$10:$G$19,$G$25),"",$G170*INDEX($F$10:$F$19,$G$25)/12)</f>
        <v/>
      </c>
      <c r="F171" s="232">
        <f>IF($B171&gt;INDEX($G$10:$G$19,$G$25),"",$D171-$E171)</f>
        <v/>
      </c>
      <c r="G171" s="232">
        <f>IF($B171&gt;INDEX($G$10:$G$19,$G$25),"",MAX(0,$G170-$F171))</f>
        <v/>
      </c>
    </row>
    <row r="172">
      <c r="B172" s="230" t="n">
        <v>146</v>
      </c>
      <c r="C172" s="231">
        <f>IF($B172&gt;INDEX($G$10:$G$19,$G$25),"",IFERROR(EDATE(INDEX($H$10:$H$19,$G$25),$B172-1),""))</f>
        <v/>
      </c>
      <c r="D172" s="232">
        <f>IF($B172&gt;INDEX($G$10:$G$19,$G$25),"",INDEX($I$10:$I$19,$G$25))</f>
        <v/>
      </c>
      <c r="E172" s="232">
        <f>IF($B172&gt;INDEX($G$10:$G$19,$G$25),"",$G171*INDEX($F$10:$F$19,$G$25)/12)</f>
        <v/>
      </c>
      <c r="F172" s="232">
        <f>IF($B172&gt;INDEX($G$10:$G$19,$G$25),"",$D172-$E172)</f>
        <v/>
      </c>
      <c r="G172" s="232">
        <f>IF($B172&gt;INDEX($G$10:$G$19,$G$25),"",MAX(0,$G171-$F172))</f>
        <v/>
      </c>
    </row>
    <row r="173">
      <c r="B173" s="230" t="n">
        <v>147</v>
      </c>
      <c r="C173" s="231">
        <f>IF($B173&gt;INDEX($G$10:$G$19,$G$25),"",IFERROR(EDATE(INDEX($H$10:$H$19,$G$25),$B173-1),""))</f>
        <v/>
      </c>
      <c r="D173" s="232">
        <f>IF($B173&gt;INDEX($G$10:$G$19,$G$25),"",INDEX($I$10:$I$19,$G$25))</f>
        <v/>
      </c>
      <c r="E173" s="232">
        <f>IF($B173&gt;INDEX($G$10:$G$19,$G$25),"",$G172*INDEX($F$10:$F$19,$G$25)/12)</f>
        <v/>
      </c>
      <c r="F173" s="232">
        <f>IF($B173&gt;INDEX($G$10:$G$19,$G$25),"",$D173-$E173)</f>
        <v/>
      </c>
      <c r="G173" s="232">
        <f>IF($B173&gt;INDEX($G$10:$G$19,$G$25),"",MAX(0,$G172-$F173))</f>
        <v/>
      </c>
    </row>
    <row r="174">
      <c r="B174" s="230" t="n">
        <v>148</v>
      </c>
      <c r="C174" s="231">
        <f>IF($B174&gt;INDEX($G$10:$G$19,$G$25),"",IFERROR(EDATE(INDEX($H$10:$H$19,$G$25),$B174-1),""))</f>
        <v/>
      </c>
      <c r="D174" s="232">
        <f>IF($B174&gt;INDEX($G$10:$G$19,$G$25),"",INDEX($I$10:$I$19,$G$25))</f>
        <v/>
      </c>
      <c r="E174" s="232">
        <f>IF($B174&gt;INDEX($G$10:$G$19,$G$25),"",$G173*INDEX($F$10:$F$19,$G$25)/12)</f>
        <v/>
      </c>
      <c r="F174" s="232">
        <f>IF($B174&gt;INDEX($G$10:$G$19,$G$25),"",$D174-$E174)</f>
        <v/>
      </c>
      <c r="G174" s="232">
        <f>IF($B174&gt;INDEX($G$10:$G$19,$G$25),"",MAX(0,$G173-$F174))</f>
        <v/>
      </c>
    </row>
    <row r="175">
      <c r="B175" s="230" t="n">
        <v>149</v>
      </c>
      <c r="C175" s="231">
        <f>IF($B175&gt;INDEX($G$10:$G$19,$G$25),"",IFERROR(EDATE(INDEX($H$10:$H$19,$G$25),$B175-1),""))</f>
        <v/>
      </c>
      <c r="D175" s="232">
        <f>IF($B175&gt;INDEX($G$10:$G$19,$G$25),"",INDEX($I$10:$I$19,$G$25))</f>
        <v/>
      </c>
      <c r="E175" s="232">
        <f>IF($B175&gt;INDEX($G$10:$G$19,$G$25),"",$G174*INDEX($F$10:$F$19,$G$25)/12)</f>
        <v/>
      </c>
      <c r="F175" s="232">
        <f>IF($B175&gt;INDEX($G$10:$G$19,$G$25),"",$D175-$E175)</f>
        <v/>
      </c>
      <c r="G175" s="232">
        <f>IF($B175&gt;INDEX($G$10:$G$19,$G$25),"",MAX(0,$G174-$F175))</f>
        <v/>
      </c>
    </row>
    <row r="176">
      <c r="B176" s="230" t="n">
        <v>150</v>
      </c>
      <c r="C176" s="231">
        <f>IF($B176&gt;INDEX($G$10:$G$19,$G$25),"",IFERROR(EDATE(INDEX($H$10:$H$19,$G$25),$B176-1),""))</f>
        <v/>
      </c>
      <c r="D176" s="232">
        <f>IF($B176&gt;INDEX($G$10:$G$19,$G$25),"",INDEX($I$10:$I$19,$G$25))</f>
        <v/>
      </c>
      <c r="E176" s="232">
        <f>IF($B176&gt;INDEX($G$10:$G$19,$G$25),"",$G175*INDEX($F$10:$F$19,$G$25)/12)</f>
        <v/>
      </c>
      <c r="F176" s="232">
        <f>IF($B176&gt;INDEX($G$10:$G$19,$G$25),"",$D176-$E176)</f>
        <v/>
      </c>
      <c r="G176" s="232">
        <f>IF($B176&gt;INDEX($G$10:$G$19,$G$25),"",MAX(0,$G175-$F176))</f>
        <v/>
      </c>
    </row>
    <row r="177">
      <c r="B177" s="230" t="n">
        <v>151</v>
      </c>
      <c r="C177" s="231">
        <f>IF($B177&gt;INDEX($G$10:$G$19,$G$25),"",IFERROR(EDATE(INDEX($H$10:$H$19,$G$25),$B177-1),""))</f>
        <v/>
      </c>
      <c r="D177" s="232">
        <f>IF($B177&gt;INDEX($G$10:$G$19,$G$25),"",INDEX($I$10:$I$19,$G$25))</f>
        <v/>
      </c>
      <c r="E177" s="232">
        <f>IF($B177&gt;INDEX($G$10:$G$19,$G$25),"",$G176*INDEX($F$10:$F$19,$G$25)/12)</f>
        <v/>
      </c>
      <c r="F177" s="232">
        <f>IF($B177&gt;INDEX($G$10:$G$19,$G$25),"",$D177-$E177)</f>
        <v/>
      </c>
      <c r="G177" s="232">
        <f>IF($B177&gt;INDEX($G$10:$G$19,$G$25),"",MAX(0,$G176-$F177))</f>
        <v/>
      </c>
    </row>
    <row r="178">
      <c r="B178" s="230" t="n">
        <v>152</v>
      </c>
      <c r="C178" s="231">
        <f>IF($B178&gt;INDEX($G$10:$G$19,$G$25),"",IFERROR(EDATE(INDEX($H$10:$H$19,$G$25),$B178-1),""))</f>
        <v/>
      </c>
      <c r="D178" s="232">
        <f>IF($B178&gt;INDEX($G$10:$G$19,$G$25),"",INDEX($I$10:$I$19,$G$25))</f>
        <v/>
      </c>
      <c r="E178" s="232">
        <f>IF($B178&gt;INDEX($G$10:$G$19,$G$25),"",$G177*INDEX($F$10:$F$19,$G$25)/12)</f>
        <v/>
      </c>
      <c r="F178" s="232">
        <f>IF($B178&gt;INDEX($G$10:$G$19,$G$25),"",$D178-$E178)</f>
        <v/>
      </c>
      <c r="G178" s="232">
        <f>IF($B178&gt;INDEX($G$10:$G$19,$G$25),"",MAX(0,$G177-$F178))</f>
        <v/>
      </c>
    </row>
    <row r="179">
      <c r="B179" s="230" t="n">
        <v>153</v>
      </c>
      <c r="C179" s="231">
        <f>IF($B179&gt;INDEX($G$10:$G$19,$G$25),"",IFERROR(EDATE(INDEX($H$10:$H$19,$G$25),$B179-1),""))</f>
        <v/>
      </c>
      <c r="D179" s="232">
        <f>IF($B179&gt;INDEX($G$10:$G$19,$G$25),"",INDEX($I$10:$I$19,$G$25))</f>
        <v/>
      </c>
      <c r="E179" s="232">
        <f>IF($B179&gt;INDEX($G$10:$G$19,$G$25),"",$G178*INDEX($F$10:$F$19,$G$25)/12)</f>
        <v/>
      </c>
      <c r="F179" s="232">
        <f>IF($B179&gt;INDEX($G$10:$G$19,$G$25),"",$D179-$E179)</f>
        <v/>
      </c>
      <c r="G179" s="232">
        <f>IF($B179&gt;INDEX($G$10:$G$19,$G$25),"",MAX(0,$G178-$F179))</f>
        <v/>
      </c>
    </row>
    <row r="180">
      <c r="B180" s="230" t="n">
        <v>154</v>
      </c>
      <c r="C180" s="231">
        <f>IF($B180&gt;INDEX($G$10:$G$19,$G$25),"",IFERROR(EDATE(INDEX($H$10:$H$19,$G$25),$B180-1),""))</f>
        <v/>
      </c>
      <c r="D180" s="232">
        <f>IF($B180&gt;INDEX($G$10:$G$19,$G$25),"",INDEX($I$10:$I$19,$G$25))</f>
        <v/>
      </c>
      <c r="E180" s="232">
        <f>IF($B180&gt;INDEX($G$10:$G$19,$G$25),"",$G179*INDEX($F$10:$F$19,$G$25)/12)</f>
        <v/>
      </c>
      <c r="F180" s="232">
        <f>IF($B180&gt;INDEX($G$10:$G$19,$G$25),"",$D180-$E180)</f>
        <v/>
      </c>
      <c r="G180" s="232">
        <f>IF($B180&gt;INDEX($G$10:$G$19,$G$25),"",MAX(0,$G179-$F180))</f>
        <v/>
      </c>
    </row>
    <row r="181">
      <c r="B181" s="230" t="n">
        <v>155</v>
      </c>
      <c r="C181" s="231">
        <f>IF($B181&gt;INDEX($G$10:$G$19,$G$25),"",IFERROR(EDATE(INDEX($H$10:$H$19,$G$25),$B181-1),""))</f>
        <v/>
      </c>
      <c r="D181" s="232">
        <f>IF($B181&gt;INDEX($G$10:$G$19,$G$25),"",INDEX($I$10:$I$19,$G$25))</f>
        <v/>
      </c>
      <c r="E181" s="232">
        <f>IF($B181&gt;INDEX($G$10:$G$19,$G$25),"",$G180*INDEX($F$10:$F$19,$G$25)/12)</f>
        <v/>
      </c>
      <c r="F181" s="232">
        <f>IF($B181&gt;INDEX($G$10:$G$19,$G$25),"",$D181-$E181)</f>
        <v/>
      </c>
      <c r="G181" s="232">
        <f>IF($B181&gt;INDEX($G$10:$G$19,$G$25),"",MAX(0,$G180-$F181))</f>
        <v/>
      </c>
    </row>
    <row r="182">
      <c r="B182" s="230" t="n">
        <v>156</v>
      </c>
      <c r="C182" s="231">
        <f>IF($B182&gt;INDEX($G$10:$G$19,$G$25),"",IFERROR(EDATE(INDEX($H$10:$H$19,$G$25),$B182-1),""))</f>
        <v/>
      </c>
      <c r="D182" s="232">
        <f>IF($B182&gt;INDEX($G$10:$G$19,$G$25),"",INDEX($I$10:$I$19,$G$25))</f>
        <v/>
      </c>
      <c r="E182" s="232">
        <f>IF($B182&gt;INDEX($G$10:$G$19,$G$25),"",$G181*INDEX($F$10:$F$19,$G$25)/12)</f>
        <v/>
      </c>
      <c r="F182" s="232">
        <f>IF($B182&gt;INDEX($G$10:$G$19,$G$25),"",$D182-$E182)</f>
        <v/>
      </c>
      <c r="G182" s="232">
        <f>IF($B182&gt;INDEX($G$10:$G$19,$G$25),"",MAX(0,$G181-$F182))</f>
        <v/>
      </c>
    </row>
    <row r="183">
      <c r="B183" s="230" t="n">
        <v>157</v>
      </c>
      <c r="C183" s="231">
        <f>IF($B183&gt;INDEX($G$10:$G$19,$G$25),"",IFERROR(EDATE(INDEX($H$10:$H$19,$G$25),$B183-1),""))</f>
        <v/>
      </c>
      <c r="D183" s="232">
        <f>IF($B183&gt;INDEX($G$10:$G$19,$G$25),"",INDEX($I$10:$I$19,$G$25))</f>
        <v/>
      </c>
      <c r="E183" s="232">
        <f>IF($B183&gt;INDEX($G$10:$G$19,$G$25),"",$G182*INDEX($F$10:$F$19,$G$25)/12)</f>
        <v/>
      </c>
      <c r="F183" s="232">
        <f>IF($B183&gt;INDEX($G$10:$G$19,$G$25),"",$D183-$E183)</f>
        <v/>
      </c>
      <c r="G183" s="232">
        <f>IF($B183&gt;INDEX($G$10:$G$19,$G$25),"",MAX(0,$G182-$F183))</f>
        <v/>
      </c>
    </row>
    <row r="184">
      <c r="B184" s="230" t="n">
        <v>158</v>
      </c>
      <c r="C184" s="231">
        <f>IF($B184&gt;INDEX($G$10:$G$19,$G$25),"",IFERROR(EDATE(INDEX($H$10:$H$19,$G$25),$B184-1),""))</f>
        <v/>
      </c>
      <c r="D184" s="232">
        <f>IF($B184&gt;INDEX($G$10:$G$19,$G$25),"",INDEX($I$10:$I$19,$G$25))</f>
        <v/>
      </c>
      <c r="E184" s="232">
        <f>IF($B184&gt;INDEX($G$10:$G$19,$G$25),"",$G183*INDEX($F$10:$F$19,$G$25)/12)</f>
        <v/>
      </c>
      <c r="F184" s="232">
        <f>IF($B184&gt;INDEX($G$10:$G$19,$G$25),"",$D184-$E184)</f>
        <v/>
      </c>
      <c r="G184" s="232">
        <f>IF($B184&gt;INDEX($G$10:$G$19,$G$25),"",MAX(0,$G183-$F184))</f>
        <v/>
      </c>
    </row>
    <row r="185">
      <c r="B185" s="230" t="n">
        <v>159</v>
      </c>
      <c r="C185" s="231">
        <f>IF($B185&gt;INDEX($G$10:$G$19,$G$25),"",IFERROR(EDATE(INDEX($H$10:$H$19,$G$25),$B185-1),""))</f>
        <v/>
      </c>
      <c r="D185" s="232">
        <f>IF($B185&gt;INDEX($G$10:$G$19,$G$25),"",INDEX($I$10:$I$19,$G$25))</f>
        <v/>
      </c>
      <c r="E185" s="232">
        <f>IF($B185&gt;INDEX($G$10:$G$19,$G$25),"",$G184*INDEX($F$10:$F$19,$G$25)/12)</f>
        <v/>
      </c>
      <c r="F185" s="232">
        <f>IF($B185&gt;INDEX($G$10:$G$19,$G$25),"",$D185-$E185)</f>
        <v/>
      </c>
      <c r="G185" s="232">
        <f>IF($B185&gt;INDEX($G$10:$G$19,$G$25),"",MAX(0,$G184-$F185))</f>
        <v/>
      </c>
    </row>
    <row r="186">
      <c r="B186" s="230" t="n">
        <v>160</v>
      </c>
      <c r="C186" s="231">
        <f>IF($B186&gt;INDEX($G$10:$G$19,$G$25),"",IFERROR(EDATE(INDEX($H$10:$H$19,$G$25),$B186-1),""))</f>
        <v/>
      </c>
      <c r="D186" s="232">
        <f>IF($B186&gt;INDEX($G$10:$G$19,$G$25),"",INDEX($I$10:$I$19,$G$25))</f>
        <v/>
      </c>
      <c r="E186" s="232">
        <f>IF($B186&gt;INDEX($G$10:$G$19,$G$25),"",$G185*INDEX($F$10:$F$19,$G$25)/12)</f>
        <v/>
      </c>
      <c r="F186" s="232">
        <f>IF($B186&gt;INDEX($G$10:$G$19,$G$25),"",$D186-$E186)</f>
        <v/>
      </c>
      <c r="G186" s="232">
        <f>IF($B186&gt;INDEX($G$10:$G$19,$G$25),"",MAX(0,$G185-$F186))</f>
        <v/>
      </c>
    </row>
    <row r="187">
      <c r="B187" s="230" t="n">
        <v>161</v>
      </c>
      <c r="C187" s="231">
        <f>IF($B187&gt;INDEX($G$10:$G$19,$G$25),"",IFERROR(EDATE(INDEX($H$10:$H$19,$G$25),$B187-1),""))</f>
        <v/>
      </c>
      <c r="D187" s="232">
        <f>IF($B187&gt;INDEX($G$10:$G$19,$G$25),"",INDEX($I$10:$I$19,$G$25))</f>
        <v/>
      </c>
      <c r="E187" s="232">
        <f>IF($B187&gt;INDEX($G$10:$G$19,$G$25),"",$G186*INDEX($F$10:$F$19,$G$25)/12)</f>
        <v/>
      </c>
      <c r="F187" s="232">
        <f>IF($B187&gt;INDEX($G$10:$G$19,$G$25),"",$D187-$E187)</f>
        <v/>
      </c>
      <c r="G187" s="232">
        <f>IF($B187&gt;INDEX($G$10:$G$19,$G$25),"",MAX(0,$G186-$F187))</f>
        <v/>
      </c>
    </row>
    <row r="188">
      <c r="B188" s="230" t="n">
        <v>162</v>
      </c>
      <c r="C188" s="231">
        <f>IF($B188&gt;INDEX($G$10:$G$19,$G$25),"",IFERROR(EDATE(INDEX($H$10:$H$19,$G$25),$B188-1),""))</f>
        <v/>
      </c>
      <c r="D188" s="232">
        <f>IF($B188&gt;INDEX($G$10:$G$19,$G$25),"",INDEX($I$10:$I$19,$G$25))</f>
        <v/>
      </c>
      <c r="E188" s="232">
        <f>IF($B188&gt;INDEX($G$10:$G$19,$G$25),"",$G187*INDEX($F$10:$F$19,$G$25)/12)</f>
        <v/>
      </c>
      <c r="F188" s="232">
        <f>IF($B188&gt;INDEX($G$10:$G$19,$G$25),"",$D188-$E188)</f>
        <v/>
      </c>
      <c r="G188" s="232">
        <f>IF($B188&gt;INDEX($G$10:$G$19,$G$25),"",MAX(0,$G187-$F188))</f>
        <v/>
      </c>
    </row>
    <row r="189">
      <c r="B189" s="230" t="n">
        <v>163</v>
      </c>
      <c r="C189" s="231">
        <f>IF($B189&gt;INDEX($G$10:$G$19,$G$25),"",IFERROR(EDATE(INDEX($H$10:$H$19,$G$25),$B189-1),""))</f>
        <v/>
      </c>
      <c r="D189" s="232">
        <f>IF($B189&gt;INDEX($G$10:$G$19,$G$25),"",INDEX($I$10:$I$19,$G$25))</f>
        <v/>
      </c>
      <c r="E189" s="232">
        <f>IF($B189&gt;INDEX($G$10:$G$19,$G$25),"",$G188*INDEX($F$10:$F$19,$G$25)/12)</f>
        <v/>
      </c>
      <c r="F189" s="232">
        <f>IF($B189&gt;INDEX($G$10:$G$19,$G$25),"",$D189-$E189)</f>
        <v/>
      </c>
      <c r="G189" s="232">
        <f>IF($B189&gt;INDEX($G$10:$G$19,$G$25),"",MAX(0,$G188-$F189))</f>
        <v/>
      </c>
    </row>
    <row r="190">
      <c r="B190" s="230" t="n">
        <v>164</v>
      </c>
      <c r="C190" s="231">
        <f>IF($B190&gt;INDEX($G$10:$G$19,$G$25),"",IFERROR(EDATE(INDEX($H$10:$H$19,$G$25),$B190-1),""))</f>
        <v/>
      </c>
      <c r="D190" s="232">
        <f>IF($B190&gt;INDEX($G$10:$G$19,$G$25),"",INDEX($I$10:$I$19,$G$25))</f>
        <v/>
      </c>
      <c r="E190" s="232">
        <f>IF($B190&gt;INDEX($G$10:$G$19,$G$25),"",$G189*INDEX($F$10:$F$19,$G$25)/12)</f>
        <v/>
      </c>
      <c r="F190" s="232">
        <f>IF($B190&gt;INDEX($G$10:$G$19,$G$25),"",$D190-$E190)</f>
        <v/>
      </c>
      <c r="G190" s="232">
        <f>IF($B190&gt;INDEX($G$10:$G$19,$G$25),"",MAX(0,$G189-$F190))</f>
        <v/>
      </c>
    </row>
    <row r="191">
      <c r="B191" s="230" t="n">
        <v>165</v>
      </c>
      <c r="C191" s="231">
        <f>IF($B191&gt;INDEX($G$10:$G$19,$G$25),"",IFERROR(EDATE(INDEX($H$10:$H$19,$G$25),$B191-1),""))</f>
        <v/>
      </c>
      <c r="D191" s="232">
        <f>IF($B191&gt;INDEX($G$10:$G$19,$G$25),"",INDEX($I$10:$I$19,$G$25))</f>
        <v/>
      </c>
      <c r="E191" s="232">
        <f>IF($B191&gt;INDEX($G$10:$G$19,$G$25),"",$G190*INDEX($F$10:$F$19,$G$25)/12)</f>
        <v/>
      </c>
      <c r="F191" s="232">
        <f>IF($B191&gt;INDEX($G$10:$G$19,$G$25),"",$D191-$E191)</f>
        <v/>
      </c>
      <c r="G191" s="232">
        <f>IF($B191&gt;INDEX($G$10:$G$19,$G$25),"",MAX(0,$G190-$F191))</f>
        <v/>
      </c>
    </row>
    <row r="192">
      <c r="B192" s="230" t="n">
        <v>166</v>
      </c>
      <c r="C192" s="231">
        <f>IF($B192&gt;INDEX($G$10:$G$19,$G$25),"",IFERROR(EDATE(INDEX($H$10:$H$19,$G$25),$B192-1),""))</f>
        <v/>
      </c>
      <c r="D192" s="232">
        <f>IF($B192&gt;INDEX($G$10:$G$19,$G$25),"",INDEX($I$10:$I$19,$G$25))</f>
        <v/>
      </c>
      <c r="E192" s="232">
        <f>IF($B192&gt;INDEX($G$10:$G$19,$G$25),"",$G191*INDEX($F$10:$F$19,$G$25)/12)</f>
        <v/>
      </c>
      <c r="F192" s="232">
        <f>IF($B192&gt;INDEX($G$10:$G$19,$G$25),"",$D192-$E192)</f>
        <v/>
      </c>
      <c r="G192" s="232">
        <f>IF($B192&gt;INDEX($G$10:$G$19,$G$25),"",MAX(0,$G191-$F192))</f>
        <v/>
      </c>
    </row>
    <row r="193">
      <c r="B193" s="230" t="n">
        <v>167</v>
      </c>
      <c r="C193" s="231">
        <f>IF($B193&gt;INDEX($G$10:$G$19,$G$25),"",IFERROR(EDATE(INDEX($H$10:$H$19,$G$25),$B193-1),""))</f>
        <v/>
      </c>
      <c r="D193" s="232">
        <f>IF($B193&gt;INDEX($G$10:$G$19,$G$25),"",INDEX($I$10:$I$19,$G$25))</f>
        <v/>
      </c>
      <c r="E193" s="232">
        <f>IF($B193&gt;INDEX($G$10:$G$19,$G$25),"",$G192*INDEX($F$10:$F$19,$G$25)/12)</f>
        <v/>
      </c>
      <c r="F193" s="232">
        <f>IF($B193&gt;INDEX($G$10:$G$19,$G$25),"",$D193-$E193)</f>
        <v/>
      </c>
      <c r="G193" s="232">
        <f>IF($B193&gt;INDEX($G$10:$G$19,$G$25),"",MAX(0,$G192-$F193))</f>
        <v/>
      </c>
    </row>
    <row r="194">
      <c r="B194" s="230" t="n">
        <v>168</v>
      </c>
      <c r="C194" s="231">
        <f>IF($B194&gt;INDEX($G$10:$G$19,$G$25),"",IFERROR(EDATE(INDEX($H$10:$H$19,$G$25),$B194-1),""))</f>
        <v/>
      </c>
      <c r="D194" s="232">
        <f>IF($B194&gt;INDEX($G$10:$G$19,$G$25),"",INDEX($I$10:$I$19,$G$25))</f>
        <v/>
      </c>
      <c r="E194" s="232">
        <f>IF($B194&gt;INDEX($G$10:$G$19,$G$25),"",$G193*INDEX($F$10:$F$19,$G$25)/12)</f>
        <v/>
      </c>
      <c r="F194" s="232">
        <f>IF($B194&gt;INDEX($G$10:$G$19,$G$25),"",$D194-$E194)</f>
        <v/>
      </c>
      <c r="G194" s="232">
        <f>IF($B194&gt;INDEX($G$10:$G$19,$G$25),"",MAX(0,$G193-$F194))</f>
        <v/>
      </c>
    </row>
    <row r="195">
      <c r="B195" s="230" t="n">
        <v>169</v>
      </c>
      <c r="C195" s="231">
        <f>IF($B195&gt;INDEX($G$10:$G$19,$G$25),"",IFERROR(EDATE(INDEX($H$10:$H$19,$G$25),$B195-1),""))</f>
        <v/>
      </c>
      <c r="D195" s="232">
        <f>IF($B195&gt;INDEX($G$10:$G$19,$G$25),"",INDEX($I$10:$I$19,$G$25))</f>
        <v/>
      </c>
      <c r="E195" s="232">
        <f>IF($B195&gt;INDEX($G$10:$G$19,$G$25),"",$G194*INDEX($F$10:$F$19,$G$25)/12)</f>
        <v/>
      </c>
      <c r="F195" s="232">
        <f>IF($B195&gt;INDEX($G$10:$G$19,$G$25),"",$D195-$E195)</f>
        <v/>
      </c>
      <c r="G195" s="232">
        <f>IF($B195&gt;INDEX($G$10:$G$19,$G$25),"",MAX(0,$G194-$F195))</f>
        <v/>
      </c>
    </row>
    <row r="196">
      <c r="B196" s="230" t="n">
        <v>170</v>
      </c>
      <c r="C196" s="231">
        <f>IF($B196&gt;INDEX($G$10:$G$19,$G$25),"",IFERROR(EDATE(INDEX($H$10:$H$19,$G$25),$B196-1),""))</f>
        <v/>
      </c>
      <c r="D196" s="232">
        <f>IF($B196&gt;INDEX($G$10:$G$19,$G$25),"",INDEX($I$10:$I$19,$G$25))</f>
        <v/>
      </c>
      <c r="E196" s="232">
        <f>IF($B196&gt;INDEX($G$10:$G$19,$G$25),"",$G195*INDEX($F$10:$F$19,$G$25)/12)</f>
        <v/>
      </c>
      <c r="F196" s="232">
        <f>IF($B196&gt;INDEX($G$10:$G$19,$G$25),"",$D196-$E196)</f>
        <v/>
      </c>
      <c r="G196" s="232">
        <f>IF($B196&gt;INDEX($G$10:$G$19,$G$25),"",MAX(0,$G195-$F196))</f>
        <v/>
      </c>
    </row>
    <row r="197">
      <c r="B197" s="230" t="n">
        <v>171</v>
      </c>
      <c r="C197" s="231">
        <f>IF($B197&gt;INDEX($G$10:$G$19,$G$25),"",IFERROR(EDATE(INDEX($H$10:$H$19,$G$25),$B197-1),""))</f>
        <v/>
      </c>
      <c r="D197" s="232">
        <f>IF($B197&gt;INDEX($G$10:$G$19,$G$25),"",INDEX($I$10:$I$19,$G$25))</f>
        <v/>
      </c>
      <c r="E197" s="232">
        <f>IF($B197&gt;INDEX($G$10:$G$19,$G$25),"",$G196*INDEX($F$10:$F$19,$G$25)/12)</f>
        <v/>
      </c>
      <c r="F197" s="232">
        <f>IF($B197&gt;INDEX($G$10:$G$19,$G$25),"",$D197-$E197)</f>
        <v/>
      </c>
      <c r="G197" s="232">
        <f>IF($B197&gt;INDEX($G$10:$G$19,$G$25),"",MAX(0,$G196-$F197))</f>
        <v/>
      </c>
    </row>
    <row r="198">
      <c r="B198" s="230" t="n">
        <v>172</v>
      </c>
      <c r="C198" s="231">
        <f>IF($B198&gt;INDEX($G$10:$G$19,$G$25),"",IFERROR(EDATE(INDEX($H$10:$H$19,$G$25),$B198-1),""))</f>
        <v/>
      </c>
      <c r="D198" s="232">
        <f>IF($B198&gt;INDEX($G$10:$G$19,$G$25),"",INDEX($I$10:$I$19,$G$25))</f>
        <v/>
      </c>
      <c r="E198" s="232">
        <f>IF($B198&gt;INDEX($G$10:$G$19,$G$25),"",$G197*INDEX($F$10:$F$19,$G$25)/12)</f>
        <v/>
      </c>
      <c r="F198" s="232">
        <f>IF($B198&gt;INDEX($G$10:$G$19,$G$25),"",$D198-$E198)</f>
        <v/>
      </c>
      <c r="G198" s="232">
        <f>IF($B198&gt;INDEX($G$10:$G$19,$G$25),"",MAX(0,$G197-$F198))</f>
        <v/>
      </c>
    </row>
    <row r="199">
      <c r="B199" s="230" t="n">
        <v>173</v>
      </c>
      <c r="C199" s="231">
        <f>IF($B199&gt;INDEX($G$10:$G$19,$G$25),"",IFERROR(EDATE(INDEX($H$10:$H$19,$G$25),$B199-1),""))</f>
        <v/>
      </c>
      <c r="D199" s="232">
        <f>IF($B199&gt;INDEX($G$10:$G$19,$G$25),"",INDEX($I$10:$I$19,$G$25))</f>
        <v/>
      </c>
      <c r="E199" s="232">
        <f>IF($B199&gt;INDEX($G$10:$G$19,$G$25),"",$G198*INDEX($F$10:$F$19,$G$25)/12)</f>
        <v/>
      </c>
      <c r="F199" s="232">
        <f>IF($B199&gt;INDEX($G$10:$G$19,$G$25),"",$D199-$E199)</f>
        <v/>
      </c>
      <c r="G199" s="232">
        <f>IF($B199&gt;INDEX($G$10:$G$19,$G$25),"",MAX(0,$G198-$F199))</f>
        <v/>
      </c>
    </row>
    <row r="200">
      <c r="B200" s="230" t="n">
        <v>174</v>
      </c>
      <c r="C200" s="231">
        <f>IF($B200&gt;INDEX($G$10:$G$19,$G$25),"",IFERROR(EDATE(INDEX($H$10:$H$19,$G$25),$B200-1),""))</f>
        <v/>
      </c>
      <c r="D200" s="232">
        <f>IF($B200&gt;INDEX($G$10:$G$19,$G$25),"",INDEX($I$10:$I$19,$G$25))</f>
        <v/>
      </c>
      <c r="E200" s="232">
        <f>IF($B200&gt;INDEX($G$10:$G$19,$G$25),"",$G199*INDEX($F$10:$F$19,$G$25)/12)</f>
        <v/>
      </c>
      <c r="F200" s="232">
        <f>IF($B200&gt;INDEX($G$10:$G$19,$G$25),"",$D200-$E200)</f>
        <v/>
      </c>
      <c r="G200" s="232">
        <f>IF($B200&gt;INDEX($G$10:$G$19,$G$25),"",MAX(0,$G199-$F200))</f>
        <v/>
      </c>
    </row>
    <row r="201">
      <c r="B201" s="230" t="n">
        <v>175</v>
      </c>
      <c r="C201" s="231">
        <f>IF($B201&gt;INDEX($G$10:$G$19,$G$25),"",IFERROR(EDATE(INDEX($H$10:$H$19,$G$25),$B201-1),""))</f>
        <v/>
      </c>
      <c r="D201" s="232">
        <f>IF($B201&gt;INDEX($G$10:$G$19,$G$25),"",INDEX($I$10:$I$19,$G$25))</f>
        <v/>
      </c>
      <c r="E201" s="232">
        <f>IF($B201&gt;INDEX($G$10:$G$19,$G$25),"",$G200*INDEX($F$10:$F$19,$G$25)/12)</f>
        <v/>
      </c>
      <c r="F201" s="232">
        <f>IF($B201&gt;INDEX($G$10:$G$19,$G$25),"",$D201-$E201)</f>
        <v/>
      </c>
      <c r="G201" s="232">
        <f>IF($B201&gt;INDEX($G$10:$G$19,$G$25),"",MAX(0,$G200-$F201))</f>
        <v/>
      </c>
    </row>
    <row r="202">
      <c r="B202" s="230" t="n">
        <v>176</v>
      </c>
      <c r="C202" s="231">
        <f>IF($B202&gt;INDEX($G$10:$G$19,$G$25),"",IFERROR(EDATE(INDEX($H$10:$H$19,$G$25),$B202-1),""))</f>
        <v/>
      </c>
      <c r="D202" s="232">
        <f>IF($B202&gt;INDEX($G$10:$G$19,$G$25),"",INDEX($I$10:$I$19,$G$25))</f>
        <v/>
      </c>
      <c r="E202" s="232">
        <f>IF($B202&gt;INDEX($G$10:$G$19,$G$25),"",$G201*INDEX($F$10:$F$19,$G$25)/12)</f>
        <v/>
      </c>
      <c r="F202" s="232">
        <f>IF($B202&gt;INDEX($G$10:$G$19,$G$25),"",$D202-$E202)</f>
        <v/>
      </c>
      <c r="G202" s="232">
        <f>IF($B202&gt;INDEX($G$10:$G$19,$G$25),"",MAX(0,$G201-$F202))</f>
        <v/>
      </c>
    </row>
    <row r="203">
      <c r="B203" s="230" t="n">
        <v>177</v>
      </c>
      <c r="C203" s="231">
        <f>IF($B203&gt;INDEX($G$10:$G$19,$G$25),"",IFERROR(EDATE(INDEX($H$10:$H$19,$G$25),$B203-1),""))</f>
        <v/>
      </c>
      <c r="D203" s="232">
        <f>IF($B203&gt;INDEX($G$10:$G$19,$G$25),"",INDEX($I$10:$I$19,$G$25))</f>
        <v/>
      </c>
      <c r="E203" s="232">
        <f>IF($B203&gt;INDEX($G$10:$G$19,$G$25),"",$G202*INDEX($F$10:$F$19,$G$25)/12)</f>
        <v/>
      </c>
      <c r="F203" s="232">
        <f>IF($B203&gt;INDEX($G$10:$G$19,$G$25),"",$D203-$E203)</f>
        <v/>
      </c>
      <c r="G203" s="232">
        <f>IF($B203&gt;INDEX($G$10:$G$19,$G$25),"",MAX(0,$G202-$F203))</f>
        <v/>
      </c>
    </row>
    <row r="204">
      <c r="B204" s="230" t="n">
        <v>178</v>
      </c>
      <c r="C204" s="231">
        <f>IF($B204&gt;INDEX($G$10:$G$19,$G$25),"",IFERROR(EDATE(INDEX($H$10:$H$19,$G$25),$B204-1),""))</f>
        <v/>
      </c>
      <c r="D204" s="232">
        <f>IF($B204&gt;INDEX($G$10:$G$19,$G$25),"",INDEX($I$10:$I$19,$G$25))</f>
        <v/>
      </c>
      <c r="E204" s="232">
        <f>IF($B204&gt;INDEX($G$10:$G$19,$G$25),"",$G203*INDEX($F$10:$F$19,$G$25)/12)</f>
        <v/>
      </c>
      <c r="F204" s="232">
        <f>IF($B204&gt;INDEX($G$10:$G$19,$G$25),"",$D204-$E204)</f>
        <v/>
      </c>
      <c r="G204" s="232">
        <f>IF($B204&gt;INDEX($G$10:$G$19,$G$25),"",MAX(0,$G203-$F204))</f>
        <v/>
      </c>
    </row>
    <row r="205">
      <c r="B205" s="230" t="n">
        <v>179</v>
      </c>
      <c r="C205" s="231">
        <f>IF($B205&gt;INDEX($G$10:$G$19,$G$25),"",IFERROR(EDATE(INDEX($H$10:$H$19,$G$25),$B205-1),""))</f>
        <v/>
      </c>
      <c r="D205" s="232">
        <f>IF($B205&gt;INDEX($G$10:$G$19,$G$25),"",INDEX($I$10:$I$19,$G$25))</f>
        <v/>
      </c>
      <c r="E205" s="232">
        <f>IF($B205&gt;INDEX($G$10:$G$19,$G$25),"",$G204*INDEX($F$10:$F$19,$G$25)/12)</f>
        <v/>
      </c>
      <c r="F205" s="232">
        <f>IF($B205&gt;INDEX($G$10:$G$19,$G$25),"",$D205-$E205)</f>
        <v/>
      </c>
      <c r="G205" s="232">
        <f>IF($B205&gt;INDEX($G$10:$G$19,$G$25),"",MAX(0,$G204-$F205))</f>
        <v/>
      </c>
    </row>
    <row r="206">
      <c r="B206" s="230" t="n">
        <v>180</v>
      </c>
      <c r="C206" s="231">
        <f>IF($B206&gt;INDEX($G$10:$G$19,$G$25),"",IFERROR(EDATE(INDEX($H$10:$H$19,$G$25),$B206-1),""))</f>
        <v/>
      </c>
      <c r="D206" s="232">
        <f>IF($B206&gt;INDEX($G$10:$G$19,$G$25),"",INDEX($I$10:$I$19,$G$25))</f>
        <v/>
      </c>
      <c r="E206" s="232">
        <f>IF($B206&gt;INDEX($G$10:$G$19,$G$25),"",$G205*INDEX($F$10:$F$19,$G$25)/12)</f>
        <v/>
      </c>
      <c r="F206" s="232">
        <f>IF($B206&gt;INDEX($G$10:$G$19,$G$25),"",$D206-$E206)</f>
        <v/>
      </c>
      <c r="G206" s="232">
        <f>IF($B206&gt;INDEX($G$10:$G$19,$G$25),"",MAX(0,$G205-$F206))</f>
        <v/>
      </c>
    </row>
    <row r="207">
      <c r="B207" s="230" t="n">
        <v>181</v>
      </c>
      <c r="C207" s="231">
        <f>IF($B207&gt;INDEX($G$10:$G$19,$G$25),"",IFERROR(EDATE(INDEX($H$10:$H$19,$G$25),$B207-1),""))</f>
        <v/>
      </c>
      <c r="D207" s="232">
        <f>IF($B207&gt;INDEX($G$10:$G$19,$G$25),"",INDEX($I$10:$I$19,$G$25))</f>
        <v/>
      </c>
      <c r="E207" s="232">
        <f>IF($B207&gt;INDEX($G$10:$G$19,$G$25),"",$G206*INDEX($F$10:$F$19,$G$25)/12)</f>
        <v/>
      </c>
      <c r="F207" s="232">
        <f>IF($B207&gt;INDEX($G$10:$G$19,$G$25),"",$D207-$E207)</f>
        <v/>
      </c>
      <c r="G207" s="232">
        <f>IF($B207&gt;INDEX($G$10:$G$19,$G$25),"",MAX(0,$G206-$F207))</f>
        <v/>
      </c>
    </row>
    <row r="208">
      <c r="B208" s="230" t="n">
        <v>182</v>
      </c>
      <c r="C208" s="231">
        <f>IF($B208&gt;INDEX($G$10:$G$19,$G$25),"",IFERROR(EDATE(INDEX($H$10:$H$19,$G$25),$B208-1),""))</f>
        <v/>
      </c>
      <c r="D208" s="232">
        <f>IF($B208&gt;INDEX($G$10:$G$19,$G$25),"",INDEX($I$10:$I$19,$G$25))</f>
        <v/>
      </c>
      <c r="E208" s="232">
        <f>IF($B208&gt;INDEX($G$10:$G$19,$G$25),"",$G207*INDEX($F$10:$F$19,$G$25)/12)</f>
        <v/>
      </c>
      <c r="F208" s="232">
        <f>IF($B208&gt;INDEX($G$10:$G$19,$G$25),"",$D208-$E208)</f>
        <v/>
      </c>
      <c r="G208" s="232">
        <f>IF($B208&gt;INDEX($G$10:$G$19,$G$25),"",MAX(0,$G207-$F208))</f>
        <v/>
      </c>
    </row>
    <row r="209">
      <c r="B209" s="230" t="n">
        <v>183</v>
      </c>
      <c r="C209" s="231">
        <f>IF($B209&gt;INDEX($G$10:$G$19,$G$25),"",IFERROR(EDATE(INDEX($H$10:$H$19,$G$25),$B209-1),""))</f>
        <v/>
      </c>
      <c r="D209" s="232">
        <f>IF($B209&gt;INDEX($G$10:$G$19,$G$25),"",INDEX($I$10:$I$19,$G$25))</f>
        <v/>
      </c>
      <c r="E209" s="232">
        <f>IF($B209&gt;INDEX($G$10:$G$19,$G$25),"",$G208*INDEX($F$10:$F$19,$G$25)/12)</f>
        <v/>
      </c>
      <c r="F209" s="232">
        <f>IF($B209&gt;INDEX($G$10:$G$19,$G$25),"",$D209-$E209)</f>
        <v/>
      </c>
      <c r="G209" s="232">
        <f>IF($B209&gt;INDEX($G$10:$G$19,$G$25),"",MAX(0,$G208-$F209))</f>
        <v/>
      </c>
    </row>
    <row r="210">
      <c r="B210" s="230" t="n">
        <v>184</v>
      </c>
      <c r="C210" s="231">
        <f>IF($B210&gt;INDEX($G$10:$G$19,$G$25),"",IFERROR(EDATE(INDEX($H$10:$H$19,$G$25),$B210-1),""))</f>
        <v/>
      </c>
      <c r="D210" s="232">
        <f>IF($B210&gt;INDEX($G$10:$G$19,$G$25),"",INDEX($I$10:$I$19,$G$25))</f>
        <v/>
      </c>
      <c r="E210" s="232">
        <f>IF($B210&gt;INDEX($G$10:$G$19,$G$25),"",$G209*INDEX($F$10:$F$19,$G$25)/12)</f>
        <v/>
      </c>
      <c r="F210" s="232">
        <f>IF($B210&gt;INDEX($G$10:$G$19,$G$25),"",$D210-$E210)</f>
        <v/>
      </c>
      <c r="G210" s="232">
        <f>IF($B210&gt;INDEX($G$10:$G$19,$G$25),"",MAX(0,$G209-$F210))</f>
        <v/>
      </c>
    </row>
    <row r="211">
      <c r="B211" s="230" t="n">
        <v>185</v>
      </c>
      <c r="C211" s="231">
        <f>IF($B211&gt;INDEX($G$10:$G$19,$G$25),"",IFERROR(EDATE(INDEX($H$10:$H$19,$G$25),$B211-1),""))</f>
        <v/>
      </c>
      <c r="D211" s="232">
        <f>IF($B211&gt;INDEX($G$10:$G$19,$G$25),"",INDEX($I$10:$I$19,$G$25))</f>
        <v/>
      </c>
      <c r="E211" s="232">
        <f>IF($B211&gt;INDEX($G$10:$G$19,$G$25),"",$G210*INDEX($F$10:$F$19,$G$25)/12)</f>
        <v/>
      </c>
      <c r="F211" s="232">
        <f>IF($B211&gt;INDEX($G$10:$G$19,$G$25),"",$D211-$E211)</f>
        <v/>
      </c>
      <c r="G211" s="232">
        <f>IF($B211&gt;INDEX($G$10:$G$19,$G$25),"",MAX(0,$G210-$F211))</f>
        <v/>
      </c>
    </row>
    <row r="212">
      <c r="B212" s="230" t="n">
        <v>186</v>
      </c>
      <c r="C212" s="231">
        <f>IF($B212&gt;INDEX($G$10:$G$19,$G$25),"",IFERROR(EDATE(INDEX($H$10:$H$19,$G$25),$B212-1),""))</f>
        <v/>
      </c>
      <c r="D212" s="232">
        <f>IF($B212&gt;INDEX($G$10:$G$19,$G$25),"",INDEX($I$10:$I$19,$G$25))</f>
        <v/>
      </c>
      <c r="E212" s="232">
        <f>IF($B212&gt;INDEX($G$10:$G$19,$G$25),"",$G211*INDEX($F$10:$F$19,$G$25)/12)</f>
        <v/>
      </c>
      <c r="F212" s="232">
        <f>IF($B212&gt;INDEX($G$10:$G$19,$G$25),"",$D212-$E212)</f>
        <v/>
      </c>
      <c r="G212" s="232">
        <f>IF($B212&gt;INDEX($G$10:$G$19,$G$25),"",MAX(0,$G211-$F212))</f>
        <v/>
      </c>
    </row>
    <row r="213">
      <c r="B213" s="230" t="n">
        <v>187</v>
      </c>
      <c r="C213" s="231">
        <f>IF($B213&gt;INDEX($G$10:$G$19,$G$25),"",IFERROR(EDATE(INDEX($H$10:$H$19,$G$25),$B213-1),""))</f>
        <v/>
      </c>
      <c r="D213" s="232">
        <f>IF($B213&gt;INDEX($G$10:$G$19,$G$25),"",INDEX($I$10:$I$19,$G$25))</f>
        <v/>
      </c>
      <c r="E213" s="232">
        <f>IF($B213&gt;INDEX($G$10:$G$19,$G$25),"",$G212*INDEX($F$10:$F$19,$G$25)/12)</f>
        <v/>
      </c>
      <c r="F213" s="232">
        <f>IF($B213&gt;INDEX($G$10:$G$19,$G$25),"",$D213-$E213)</f>
        <v/>
      </c>
      <c r="G213" s="232">
        <f>IF($B213&gt;INDEX($G$10:$G$19,$G$25),"",MAX(0,$G212-$F213))</f>
        <v/>
      </c>
    </row>
    <row r="214">
      <c r="B214" s="230" t="n">
        <v>188</v>
      </c>
      <c r="C214" s="231">
        <f>IF($B214&gt;INDEX($G$10:$G$19,$G$25),"",IFERROR(EDATE(INDEX($H$10:$H$19,$G$25),$B214-1),""))</f>
        <v/>
      </c>
      <c r="D214" s="232">
        <f>IF($B214&gt;INDEX($G$10:$G$19,$G$25),"",INDEX($I$10:$I$19,$G$25))</f>
        <v/>
      </c>
      <c r="E214" s="232">
        <f>IF($B214&gt;INDEX($G$10:$G$19,$G$25),"",$G213*INDEX($F$10:$F$19,$G$25)/12)</f>
        <v/>
      </c>
      <c r="F214" s="232">
        <f>IF($B214&gt;INDEX($G$10:$G$19,$G$25),"",$D214-$E214)</f>
        <v/>
      </c>
      <c r="G214" s="232">
        <f>IF($B214&gt;INDEX($G$10:$G$19,$G$25),"",MAX(0,$G213-$F214))</f>
        <v/>
      </c>
    </row>
    <row r="215">
      <c r="B215" s="230" t="n">
        <v>189</v>
      </c>
      <c r="C215" s="231">
        <f>IF($B215&gt;INDEX($G$10:$G$19,$G$25),"",IFERROR(EDATE(INDEX($H$10:$H$19,$G$25),$B215-1),""))</f>
        <v/>
      </c>
      <c r="D215" s="232">
        <f>IF($B215&gt;INDEX($G$10:$G$19,$G$25),"",INDEX($I$10:$I$19,$G$25))</f>
        <v/>
      </c>
      <c r="E215" s="232">
        <f>IF($B215&gt;INDEX($G$10:$G$19,$G$25),"",$G214*INDEX($F$10:$F$19,$G$25)/12)</f>
        <v/>
      </c>
      <c r="F215" s="232">
        <f>IF($B215&gt;INDEX($G$10:$G$19,$G$25),"",$D215-$E215)</f>
        <v/>
      </c>
      <c r="G215" s="232">
        <f>IF($B215&gt;INDEX($G$10:$G$19,$G$25),"",MAX(0,$G214-$F215))</f>
        <v/>
      </c>
    </row>
    <row r="216">
      <c r="B216" s="230" t="n">
        <v>190</v>
      </c>
      <c r="C216" s="231">
        <f>IF($B216&gt;INDEX($G$10:$G$19,$G$25),"",IFERROR(EDATE(INDEX($H$10:$H$19,$G$25),$B216-1),""))</f>
        <v/>
      </c>
      <c r="D216" s="232">
        <f>IF($B216&gt;INDEX($G$10:$G$19,$G$25),"",INDEX($I$10:$I$19,$G$25))</f>
        <v/>
      </c>
      <c r="E216" s="232">
        <f>IF($B216&gt;INDEX($G$10:$G$19,$G$25),"",$G215*INDEX($F$10:$F$19,$G$25)/12)</f>
        <v/>
      </c>
      <c r="F216" s="232">
        <f>IF($B216&gt;INDEX($G$10:$G$19,$G$25),"",$D216-$E216)</f>
        <v/>
      </c>
      <c r="G216" s="232">
        <f>IF($B216&gt;INDEX($G$10:$G$19,$G$25),"",MAX(0,$G215-$F216))</f>
        <v/>
      </c>
    </row>
    <row r="217">
      <c r="B217" s="230" t="n">
        <v>191</v>
      </c>
      <c r="C217" s="231">
        <f>IF($B217&gt;INDEX($G$10:$G$19,$G$25),"",IFERROR(EDATE(INDEX($H$10:$H$19,$G$25),$B217-1),""))</f>
        <v/>
      </c>
      <c r="D217" s="232">
        <f>IF($B217&gt;INDEX($G$10:$G$19,$G$25),"",INDEX($I$10:$I$19,$G$25))</f>
        <v/>
      </c>
      <c r="E217" s="232">
        <f>IF($B217&gt;INDEX($G$10:$G$19,$G$25),"",$G216*INDEX($F$10:$F$19,$G$25)/12)</f>
        <v/>
      </c>
      <c r="F217" s="232">
        <f>IF($B217&gt;INDEX($G$10:$G$19,$G$25),"",$D217-$E217)</f>
        <v/>
      </c>
      <c r="G217" s="232">
        <f>IF($B217&gt;INDEX($G$10:$G$19,$G$25),"",MAX(0,$G216-$F217))</f>
        <v/>
      </c>
    </row>
    <row r="218">
      <c r="B218" s="230" t="n">
        <v>192</v>
      </c>
      <c r="C218" s="231">
        <f>IF($B218&gt;INDEX($G$10:$G$19,$G$25),"",IFERROR(EDATE(INDEX($H$10:$H$19,$G$25),$B218-1),""))</f>
        <v/>
      </c>
      <c r="D218" s="232">
        <f>IF($B218&gt;INDEX($G$10:$G$19,$G$25),"",INDEX($I$10:$I$19,$G$25))</f>
        <v/>
      </c>
      <c r="E218" s="232">
        <f>IF($B218&gt;INDEX($G$10:$G$19,$G$25),"",$G217*INDEX($F$10:$F$19,$G$25)/12)</f>
        <v/>
      </c>
      <c r="F218" s="232">
        <f>IF($B218&gt;INDEX($G$10:$G$19,$G$25),"",$D218-$E218)</f>
        <v/>
      </c>
      <c r="G218" s="232">
        <f>IF($B218&gt;INDEX($G$10:$G$19,$G$25),"",MAX(0,$G217-$F218))</f>
        <v/>
      </c>
    </row>
    <row r="219">
      <c r="B219" s="230" t="n">
        <v>193</v>
      </c>
      <c r="C219" s="231">
        <f>IF($B219&gt;INDEX($G$10:$G$19,$G$25),"",IFERROR(EDATE(INDEX($H$10:$H$19,$G$25),$B219-1),""))</f>
        <v/>
      </c>
      <c r="D219" s="232">
        <f>IF($B219&gt;INDEX($G$10:$G$19,$G$25),"",INDEX($I$10:$I$19,$G$25))</f>
        <v/>
      </c>
      <c r="E219" s="232">
        <f>IF($B219&gt;INDEX($G$10:$G$19,$G$25),"",$G218*INDEX($F$10:$F$19,$G$25)/12)</f>
        <v/>
      </c>
      <c r="F219" s="232">
        <f>IF($B219&gt;INDEX($G$10:$G$19,$G$25),"",$D219-$E219)</f>
        <v/>
      </c>
      <c r="G219" s="232">
        <f>IF($B219&gt;INDEX($G$10:$G$19,$G$25),"",MAX(0,$G218-$F219))</f>
        <v/>
      </c>
    </row>
    <row r="220">
      <c r="B220" s="230" t="n">
        <v>194</v>
      </c>
      <c r="C220" s="231">
        <f>IF($B220&gt;INDEX($G$10:$G$19,$G$25),"",IFERROR(EDATE(INDEX($H$10:$H$19,$G$25),$B220-1),""))</f>
        <v/>
      </c>
      <c r="D220" s="232">
        <f>IF($B220&gt;INDEX($G$10:$G$19,$G$25),"",INDEX($I$10:$I$19,$G$25))</f>
        <v/>
      </c>
      <c r="E220" s="232">
        <f>IF($B220&gt;INDEX($G$10:$G$19,$G$25),"",$G219*INDEX($F$10:$F$19,$G$25)/12)</f>
        <v/>
      </c>
      <c r="F220" s="232">
        <f>IF($B220&gt;INDEX($G$10:$G$19,$G$25),"",$D220-$E220)</f>
        <v/>
      </c>
      <c r="G220" s="232">
        <f>IF($B220&gt;INDEX($G$10:$G$19,$G$25),"",MAX(0,$G219-$F220))</f>
        <v/>
      </c>
    </row>
    <row r="221">
      <c r="B221" s="230" t="n">
        <v>195</v>
      </c>
      <c r="C221" s="231">
        <f>IF($B221&gt;INDEX($G$10:$G$19,$G$25),"",IFERROR(EDATE(INDEX($H$10:$H$19,$G$25),$B221-1),""))</f>
        <v/>
      </c>
      <c r="D221" s="232">
        <f>IF($B221&gt;INDEX($G$10:$G$19,$G$25),"",INDEX($I$10:$I$19,$G$25))</f>
        <v/>
      </c>
      <c r="E221" s="232">
        <f>IF($B221&gt;INDEX($G$10:$G$19,$G$25),"",$G220*INDEX($F$10:$F$19,$G$25)/12)</f>
        <v/>
      </c>
      <c r="F221" s="232">
        <f>IF($B221&gt;INDEX($G$10:$G$19,$G$25),"",$D221-$E221)</f>
        <v/>
      </c>
      <c r="G221" s="232">
        <f>IF($B221&gt;INDEX($G$10:$G$19,$G$25),"",MAX(0,$G220-$F221))</f>
        <v/>
      </c>
    </row>
    <row r="222">
      <c r="B222" s="230" t="n">
        <v>196</v>
      </c>
      <c r="C222" s="231">
        <f>IF($B222&gt;INDEX($G$10:$G$19,$G$25),"",IFERROR(EDATE(INDEX($H$10:$H$19,$G$25),$B222-1),""))</f>
        <v/>
      </c>
      <c r="D222" s="232">
        <f>IF($B222&gt;INDEX($G$10:$G$19,$G$25),"",INDEX($I$10:$I$19,$G$25))</f>
        <v/>
      </c>
      <c r="E222" s="232">
        <f>IF($B222&gt;INDEX($G$10:$G$19,$G$25),"",$G221*INDEX($F$10:$F$19,$G$25)/12)</f>
        <v/>
      </c>
      <c r="F222" s="232">
        <f>IF($B222&gt;INDEX($G$10:$G$19,$G$25),"",$D222-$E222)</f>
        <v/>
      </c>
      <c r="G222" s="232">
        <f>IF($B222&gt;INDEX($G$10:$G$19,$G$25),"",MAX(0,$G221-$F222))</f>
        <v/>
      </c>
    </row>
    <row r="223">
      <c r="B223" s="230" t="n">
        <v>197</v>
      </c>
      <c r="C223" s="231">
        <f>IF($B223&gt;INDEX($G$10:$G$19,$G$25),"",IFERROR(EDATE(INDEX($H$10:$H$19,$G$25),$B223-1),""))</f>
        <v/>
      </c>
      <c r="D223" s="232">
        <f>IF($B223&gt;INDEX($G$10:$G$19,$G$25),"",INDEX($I$10:$I$19,$G$25))</f>
        <v/>
      </c>
      <c r="E223" s="232">
        <f>IF($B223&gt;INDEX($G$10:$G$19,$G$25),"",$G222*INDEX($F$10:$F$19,$G$25)/12)</f>
        <v/>
      </c>
      <c r="F223" s="232">
        <f>IF($B223&gt;INDEX($G$10:$G$19,$G$25),"",$D223-$E223)</f>
        <v/>
      </c>
      <c r="G223" s="232">
        <f>IF($B223&gt;INDEX($G$10:$G$19,$G$25),"",MAX(0,$G222-$F223))</f>
        <v/>
      </c>
    </row>
    <row r="224">
      <c r="B224" s="230" t="n">
        <v>198</v>
      </c>
      <c r="C224" s="231">
        <f>IF($B224&gt;INDEX($G$10:$G$19,$G$25),"",IFERROR(EDATE(INDEX($H$10:$H$19,$G$25),$B224-1),""))</f>
        <v/>
      </c>
      <c r="D224" s="232">
        <f>IF($B224&gt;INDEX($G$10:$G$19,$G$25),"",INDEX($I$10:$I$19,$G$25))</f>
        <v/>
      </c>
      <c r="E224" s="232">
        <f>IF($B224&gt;INDEX($G$10:$G$19,$G$25),"",$G223*INDEX($F$10:$F$19,$G$25)/12)</f>
        <v/>
      </c>
      <c r="F224" s="232">
        <f>IF($B224&gt;INDEX($G$10:$G$19,$G$25),"",$D224-$E224)</f>
        <v/>
      </c>
      <c r="G224" s="232">
        <f>IF($B224&gt;INDEX($G$10:$G$19,$G$25),"",MAX(0,$G223-$F224))</f>
        <v/>
      </c>
    </row>
    <row r="225">
      <c r="B225" s="230" t="n">
        <v>199</v>
      </c>
      <c r="C225" s="231">
        <f>IF($B225&gt;INDEX($G$10:$G$19,$G$25),"",IFERROR(EDATE(INDEX($H$10:$H$19,$G$25),$B225-1),""))</f>
        <v/>
      </c>
      <c r="D225" s="232">
        <f>IF($B225&gt;INDEX($G$10:$G$19,$G$25),"",INDEX($I$10:$I$19,$G$25))</f>
        <v/>
      </c>
      <c r="E225" s="232">
        <f>IF($B225&gt;INDEX($G$10:$G$19,$G$25),"",$G224*INDEX($F$10:$F$19,$G$25)/12)</f>
        <v/>
      </c>
      <c r="F225" s="232">
        <f>IF($B225&gt;INDEX($G$10:$G$19,$G$25),"",$D225-$E225)</f>
        <v/>
      </c>
      <c r="G225" s="232">
        <f>IF($B225&gt;INDEX($G$10:$G$19,$G$25),"",MAX(0,$G224-$F225))</f>
        <v/>
      </c>
    </row>
    <row r="226">
      <c r="B226" s="230" t="n">
        <v>200</v>
      </c>
      <c r="C226" s="231">
        <f>IF($B226&gt;INDEX($G$10:$G$19,$G$25),"",IFERROR(EDATE(INDEX($H$10:$H$19,$G$25),$B226-1),""))</f>
        <v/>
      </c>
      <c r="D226" s="232">
        <f>IF($B226&gt;INDEX($G$10:$G$19,$G$25),"",INDEX($I$10:$I$19,$G$25))</f>
        <v/>
      </c>
      <c r="E226" s="232">
        <f>IF($B226&gt;INDEX($G$10:$G$19,$G$25),"",$G225*INDEX($F$10:$F$19,$G$25)/12)</f>
        <v/>
      </c>
      <c r="F226" s="232">
        <f>IF($B226&gt;INDEX($G$10:$G$19,$G$25),"",$D226-$E226)</f>
        <v/>
      </c>
      <c r="G226" s="232">
        <f>IF($B226&gt;INDEX($G$10:$G$19,$G$25),"",MAX(0,$G225-$F226))</f>
        <v/>
      </c>
    </row>
    <row r="227">
      <c r="B227" s="230" t="n">
        <v>201</v>
      </c>
      <c r="C227" s="231">
        <f>IF($B227&gt;INDEX($G$10:$G$19,$G$25),"",IFERROR(EDATE(INDEX($H$10:$H$19,$G$25),$B227-1),""))</f>
        <v/>
      </c>
      <c r="D227" s="232">
        <f>IF($B227&gt;INDEX($G$10:$G$19,$G$25),"",INDEX($I$10:$I$19,$G$25))</f>
        <v/>
      </c>
      <c r="E227" s="232">
        <f>IF($B227&gt;INDEX($G$10:$G$19,$G$25),"",$G226*INDEX($F$10:$F$19,$G$25)/12)</f>
        <v/>
      </c>
      <c r="F227" s="232">
        <f>IF($B227&gt;INDEX($G$10:$G$19,$G$25),"",$D227-$E227)</f>
        <v/>
      </c>
      <c r="G227" s="232">
        <f>IF($B227&gt;INDEX($G$10:$G$19,$G$25),"",MAX(0,$G226-$F227))</f>
        <v/>
      </c>
    </row>
    <row r="228">
      <c r="B228" s="230" t="n">
        <v>202</v>
      </c>
      <c r="C228" s="231">
        <f>IF($B228&gt;INDEX($G$10:$G$19,$G$25),"",IFERROR(EDATE(INDEX($H$10:$H$19,$G$25),$B228-1),""))</f>
        <v/>
      </c>
      <c r="D228" s="232">
        <f>IF($B228&gt;INDEX($G$10:$G$19,$G$25),"",INDEX($I$10:$I$19,$G$25))</f>
        <v/>
      </c>
      <c r="E228" s="232">
        <f>IF($B228&gt;INDEX($G$10:$G$19,$G$25),"",$G227*INDEX($F$10:$F$19,$G$25)/12)</f>
        <v/>
      </c>
      <c r="F228" s="232">
        <f>IF($B228&gt;INDEX($G$10:$G$19,$G$25),"",$D228-$E228)</f>
        <v/>
      </c>
      <c r="G228" s="232">
        <f>IF($B228&gt;INDEX($G$10:$G$19,$G$25),"",MAX(0,$G227-$F228))</f>
        <v/>
      </c>
    </row>
    <row r="229">
      <c r="B229" s="230" t="n">
        <v>203</v>
      </c>
      <c r="C229" s="231">
        <f>IF($B229&gt;INDEX($G$10:$G$19,$G$25),"",IFERROR(EDATE(INDEX($H$10:$H$19,$G$25),$B229-1),""))</f>
        <v/>
      </c>
      <c r="D229" s="232">
        <f>IF($B229&gt;INDEX($G$10:$G$19,$G$25),"",INDEX($I$10:$I$19,$G$25))</f>
        <v/>
      </c>
      <c r="E229" s="232">
        <f>IF($B229&gt;INDEX($G$10:$G$19,$G$25),"",$G228*INDEX($F$10:$F$19,$G$25)/12)</f>
        <v/>
      </c>
      <c r="F229" s="232">
        <f>IF($B229&gt;INDEX($G$10:$G$19,$G$25),"",$D229-$E229)</f>
        <v/>
      </c>
      <c r="G229" s="232">
        <f>IF($B229&gt;INDEX($G$10:$G$19,$G$25),"",MAX(0,$G228-$F229))</f>
        <v/>
      </c>
    </row>
    <row r="230">
      <c r="B230" s="230" t="n">
        <v>204</v>
      </c>
      <c r="C230" s="231">
        <f>IF($B230&gt;INDEX($G$10:$G$19,$G$25),"",IFERROR(EDATE(INDEX($H$10:$H$19,$G$25),$B230-1),""))</f>
        <v/>
      </c>
      <c r="D230" s="232">
        <f>IF($B230&gt;INDEX($G$10:$G$19,$G$25),"",INDEX($I$10:$I$19,$G$25))</f>
        <v/>
      </c>
      <c r="E230" s="232">
        <f>IF($B230&gt;INDEX($G$10:$G$19,$G$25),"",$G229*INDEX($F$10:$F$19,$G$25)/12)</f>
        <v/>
      </c>
      <c r="F230" s="232">
        <f>IF($B230&gt;INDEX($G$10:$G$19,$G$25),"",$D230-$E230)</f>
        <v/>
      </c>
      <c r="G230" s="232">
        <f>IF($B230&gt;INDEX($G$10:$G$19,$G$25),"",MAX(0,$G229-$F230))</f>
        <v/>
      </c>
    </row>
    <row r="231">
      <c r="B231" s="230" t="n">
        <v>205</v>
      </c>
      <c r="C231" s="231">
        <f>IF($B231&gt;INDEX($G$10:$G$19,$G$25),"",IFERROR(EDATE(INDEX($H$10:$H$19,$G$25),$B231-1),""))</f>
        <v/>
      </c>
      <c r="D231" s="232">
        <f>IF($B231&gt;INDEX($G$10:$G$19,$G$25),"",INDEX($I$10:$I$19,$G$25))</f>
        <v/>
      </c>
      <c r="E231" s="232">
        <f>IF($B231&gt;INDEX($G$10:$G$19,$G$25),"",$G230*INDEX($F$10:$F$19,$G$25)/12)</f>
        <v/>
      </c>
      <c r="F231" s="232">
        <f>IF($B231&gt;INDEX($G$10:$G$19,$G$25),"",$D231-$E231)</f>
        <v/>
      </c>
      <c r="G231" s="232">
        <f>IF($B231&gt;INDEX($G$10:$G$19,$G$25),"",MAX(0,$G230-$F231))</f>
        <v/>
      </c>
    </row>
    <row r="232">
      <c r="B232" s="230" t="n">
        <v>206</v>
      </c>
      <c r="C232" s="231">
        <f>IF($B232&gt;INDEX($G$10:$G$19,$G$25),"",IFERROR(EDATE(INDEX($H$10:$H$19,$G$25),$B232-1),""))</f>
        <v/>
      </c>
      <c r="D232" s="232">
        <f>IF($B232&gt;INDEX($G$10:$G$19,$G$25),"",INDEX($I$10:$I$19,$G$25))</f>
        <v/>
      </c>
      <c r="E232" s="232">
        <f>IF($B232&gt;INDEX($G$10:$G$19,$G$25),"",$G231*INDEX($F$10:$F$19,$G$25)/12)</f>
        <v/>
      </c>
      <c r="F232" s="232">
        <f>IF($B232&gt;INDEX($G$10:$G$19,$G$25),"",$D232-$E232)</f>
        <v/>
      </c>
      <c r="G232" s="232">
        <f>IF($B232&gt;INDEX($G$10:$G$19,$G$25),"",MAX(0,$G231-$F232))</f>
        <v/>
      </c>
    </row>
    <row r="233">
      <c r="B233" s="230" t="n">
        <v>207</v>
      </c>
      <c r="C233" s="231">
        <f>IF($B233&gt;INDEX($G$10:$G$19,$G$25),"",IFERROR(EDATE(INDEX($H$10:$H$19,$G$25),$B233-1),""))</f>
        <v/>
      </c>
      <c r="D233" s="232">
        <f>IF($B233&gt;INDEX($G$10:$G$19,$G$25),"",INDEX($I$10:$I$19,$G$25))</f>
        <v/>
      </c>
      <c r="E233" s="232">
        <f>IF($B233&gt;INDEX($G$10:$G$19,$G$25),"",$G232*INDEX($F$10:$F$19,$G$25)/12)</f>
        <v/>
      </c>
      <c r="F233" s="232">
        <f>IF($B233&gt;INDEX($G$10:$G$19,$G$25),"",$D233-$E233)</f>
        <v/>
      </c>
      <c r="G233" s="232">
        <f>IF($B233&gt;INDEX($G$10:$G$19,$G$25),"",MAX(0,$G232-$F233))</f>
        <v/>
      </c>
    </row>
    <row r="234">
      <c r="B234" s="230" t="n">
        <v>208</v>
      </c>
      <c r="C234" s="231">
        <f>IF($B234&gt;INDEX($G$10:$G$19,$G$25),"",IFERROR(EDATE(INDEX($H$10:$H$19,$G$25),$B234-1),""))</f>
        <v/>
      </c>
      <c r="D234" s="232">
        <f>IF($B234&gt;INDEX($G$10:$G$19,$G$25),"",INDEX($I$10:$I$19,$G$25))</f>
        <v/>
      </c>
      <c r="E234" s="232">
        <f>IF($B234&gt;INDEX($G$10:$G$19,$G$25),"",$G233*INDEX($F$10:$F$19,$G$25)/12)</f>
        <v/>
      </c>
      <c r="F234" s="232">
        <f>IF($B234&gt;INDEX($G$10:$G$19,$G$25),"",$D234-$E234)</f>
        <v/>
      </c>
      <c r="G234" s="232">
        <f>IF($B234&gt;INDEX($G$10:$G$19,$G$25),"",MAX(0,$G233-$F234))</f>
        <v/>
      </c>
    </row>
    <row r="235">
      <c r="B235" s="230" t="n">
        <v>209</v>
      </c>
      <c r="C235" s="231">
        <f>IF($B235&gt;INDEX($G$10:$G$19,$G$25),"",IFERROR(EDATE(INDEX($H$10:$H$19,$G$25),$B235-1),""))</f>
        <v/>
      </c>
      <c r="D235" s="232">
        <f>IF($B235&gt;INDEX($G$10:$G$19,$G$25),"",INDEX($I$10:$I$19,$G$25))</f>
        <v/>
      </c>
      <c r="E235" s="232">
        <f>IF($B235&gt;INDEX($G$10:$G$19,$G$25),"",$G234*INDEX($F$10:$F$19,$G$25)/12)</f>
        <v/>
      </c>
      <c r="F235" s="232">
        <f>IF($B235&gt;INDEX($G$10:$G$19,$G$25),"",$D235-$E235)</f>
        <v/>
      </c>
      <c r="G235" s="232">
        <f>IF($B235&gt;INDEX($G$10:$G$19,$G$25),"",MAX(0,$G234-$F235))</f>
        <v/>
      </c>
    </row>
    <row r="236">
      <c r="B236" s="230" t="n">
        <v>210</v>
      </c>
      <c r="C236" s="231">
        <f>IF($B236&gt;INDEX($G$10:$G$19,$G$25),"",IFERROR(EDATE(INDEX($H$10:$H$19,$G$25),$B236-1),""))</f>
        <v/>
      </c>
      <c r="D236" s="232">
        <f>IF($B236&gt;INDEX($G$10:$G$19,$G$25),"",INDEX($I$10:$I$19,$G$25))</f>
        <v/>
      </c>
      <c r="E236" s="232">
        <f>IF($B236&gt;INDEX($G$10:$G$19,$G$25),"",$G235*INDEX($F$10:$F$19,$G$25)/12)</f>
        <v/>
      </c>
      <c r="F236" s="232">
        <f>IF($B236&gt;INDEX($G$10:$G$19,$G$25),"",$D236-$E236)</f>
        <v/>
      </c>
      <c r="G236" s="232">
        <f>IF($B236&gt;INDEX($G$10:$G$19,$G$25),"",MAX(0,$G235-$F236))</f>
        <v/>
      </c>
    </row>
    <row r="237">
      <c r="B237" s="230" t="n">
        <v>211</v>
      </c>
      <c r="C237" s="231">
        <f>IF($B237&gt;INDEX($G$10:$G$19,$G$25),"",IFERROR(EDATE(INDEX($H$10:$H$19,$G$25),$B237-1),""))</f>
        <v/>
      </c>
      <c r="D237" s="232">
        <f>IF($B237&gt;INDEX($G$10:$G$19,$G$25),"",INDEX($I$10:$I$19,$G$25))</f>
        <v/>
      </c>
      <c r="E237" s="232">
        <f>IF($B237&gt;INDEX($G$10:$G$19,$G$25),"",$G236*INDEX($F$10:$F$19,$G$25)/12)</f>
        <v/>
      </c>
      <c r="F237" s="232">
        <f>IF($B237&gt;INDEX($G$10:$G$19,$G$25),"",$D237-$E237)</f>
        <v/>
      </c>
      <c r="G237" s="232">
        <f>IF($B237&gt;INDEX($G$10:$G$19,$G$25),"",MAX(0,$G236-$F237))</f>
        <v/>
      </c>
    </row>
    <row r="238">
      <c r="B238" s="230" t="n">
        <v>212</v>
      </c>
      <c r="C238" s="231">
        <f>IF($B238&gt;INDEX($G$10:$G$19,$G$25),"",IFERROR(EDATE(INDEX($H$10:$H$19,$G$25),$B238-1),""))</f>
        <v/>
      </c>
      <c r="D238" s="232">
        <f>IF($B238&gt;INDEX($G$10:$G$19,$G$25),"",INDEX($I$10:$I$19,$G$25))</f>
        <v/>
      </c>
      <c r="E238" s="232">
        <f>IF($B238&gt;INDEX($G$10:$G$19,$G$25),"",$G237*INDEX($F$10:$F$19,$G$25)/12)</f>
        <v/>
      </c>
      <c r="F238" s="232">
        <f>IF($B238&gt;INDEX($G$10:$G$19,$G$25),"",$D238-$E238)</f>
        <v/>
      </c>
      <c r="G238" s="232">
        <f>IF($B238&gt;INDEX($G$10:$G$19,$G$25),"",MAX(0,$G237-$F238))</f>
        <v/>
      </c>
    </row>
    <row r="239">
      <c r="B239" s="230" t="n">
        <v>213</v>
      </c>
      <c r="C239" s="231">
        <f>IF($B239&gt;INDEX($G$10:$G$19,$G$25),"",IFERROR(EDATE(INDEX($H$10:$H$19,$G$25),$B239-1),""))</f>
        <v/>
      </c>
      <c r="D239" s="232">
        <f>IF($B239&gt;INDEX($G$10:$G$19,$G$25),"",INDEX($I$10:$I$19,$G$25))</f>
        <v/>
      </c>
      <c r="E239" s="232">
        <f>IF($B239&gt;INDEX($G$10:$G$19,$G$25),"",$G238*INDEX($F$10:$F$19,$G$25)/12)</f>
        <v/>
      </c>
      <c r="F239" s="232">
        <f>IF($B239&gt;INDEX($G$10:$G$19,$G$25),"",$D239-$E239)</f>
        <v/>
      </c>
      <c r="G239" s="232">
        <f>IF($B239&gt;INDEX($G$10:$G$19,$G$25),"",MAX(0,$G238-$F239))</f>
        <v/>
      </c>
    </row>
    <row r="240">
      <c r="B240" s="230" t="n">
        <v>214</v>
      </c>
      <c r="C240" s="231">
        <f>IF($B240&gt;INDEX($G$10:$G$19,$G$25),"",IFERROR(EDATE(INDEX($H$10:$H$19,$G$25),$B240-1),""))</f>
        <v/>
      </c>
      <c r="D240" s="232">
        <f>IF($B240&gt;INDEX($G$10:$G$19,$G$25),"",INDEX($I$10:$I$19,$G$25))</f>
        <v/>
      </c>
      <c r="E240" s="232">
        <f>IF($B240&gt;INDEX($G$10:$G$19,$G$25),"",$G239*INDEX($F$10:$F$19,$G$25)/12)</f>
        <v/>
      </c>
      <c r="F240" s="232">
        <f>IF($B240&gt;INDEX($G$10:$G$19,$G$25),"",$D240-$E240)</f>
        <v/>
      </c>
      <c r="G240" s="232">
        <f>IF($B240&gt;INDEX($G$10:$G$19,$G$25),"",MAX(0,$G239-$F240))</f>
        <v/>
      </c>
    </row>
    <row r="241">
      <c r="B241" s="230" t="n">
        <v>215</v>
      </c>
      <c r="C241" s="231">
        <f>IF($B241&gt;INDEX($G$10:$G$19,$G$25),"",IFERROR(EDATE(INDEX($H$10:$H$19,$G$25),$B241-1),""))</f>
        <v/>
      </c>
      <c r="D241" s="232">
        <f>IF($B241&gt;INDEX($G$10:$G$19,$G$25),"",INDEX($I$10:$I$19,$G$25))</f>
        <v/>
      </c>
      <c r="E241" s="232">
        <f>IF($B241&gt;INDEX($G$10:$G$19,$G$25),"",$G240*INDEX($F$10:$F$19,$G$25)/12)</f>
        <v/>
      </c>
      <c r="F241" s="232">
        <f>IF($B241&gt;INDEX($G$10:$G$19,$G$25),"",$D241-$E241)</f>
        <v/>
      </c>
      <c r="G241" s="232">
        <f>IF($B241&gt;INDEX($G$10:$G$19,$G$25),"",MAX(0,$G240-$F241))</f>
        <v/>
      </c>
    </row>
    <row r="242">
      <c r="B242" s="230" t="n">
        <v>216</v>
      </c>
      <c r="C242" s="231">
        <f>IF($B242&gt;INDEX($G$10:$G$19,$G$25),"",IFERROR(EDATE(INDEX($H$10:$H$19,$G$25),$B242-1),""))</f>
        <v/>
      </c>
      <c r="D242" s="232">
        <f>IF($B242&gt;INDEX($G$10:$G$19,$G$25),"",INDEX($I$10:$I$19,$G$25))</f>
        <v/>
      </c>
      <c r="E242" s="232">
        <f>IF($B242&gt;INDEX($G$10:$G$19,$G$25),"",$G241*INDEX($F$10:$F$19,$G$25)/12)</f>
        <v/>
      </c>
      <c r="F242" s="232">
        <f>IF($B242&gt;INDEX($G$10:$G$19,$G$25),"",$D242-$E242)</f>
        <v/>
      </c>
      <c r="G242" s="232">
        <f>IF($B242&gt;INDEX($G$10:$G$19,$G$25),"",MAX(0,$G241-$F242))</f>
        <v/>
      </c>
    </row>
    <row r="243">
      <c r="B243" s="230" t="n">
        <v>217</v>
      </c>
      <c r="C243" s="231">
        <f>IF($B243&gt;INDEX($G$10:$G$19,$G$25),"",IFERROR(EDATE(INDEX($H$10:$H$19,$G$25),$B243-1),""))</f>
        <v/>
      </c>
      <c r="D243" s="232">
        <f>IF($B243&gt;INDEX($G$10:$G$19,$G$25),"",INDEX($I$10:$I$19,$G$25))</f>
        <v/>
      </c>
      <c r="E243" s="232">
        <f>IF($B243&gt;INDEX($G$10:$G$19,$G$25),"",$G242*INDEX($F$10:$F$19,$G$25)/12)</f>
        <v/>
      </c>
      <c r="F243" s="232">
        <f>IF($B243&gt;INDEX($G$10:$G$19,$G$25),"",$D243-$E243)</f>
        <v/>
      </c>
      <c r="G243" s="232">
        <f>IF($B243&gt;INDEX($G$10:$G$19,$G$25),"",MAX(0,$G242-$F243))</f>
        <v/>
      </c>
    </row>
    <row r="244">
      <c r="B244" s="230" t="n">
        <v>218</v>
      </c>
      <c r="C244" s="231">
        <f>IF($B244&gt;INDEX($G$10:$G$19,$G$25),"",IFERROR(EDATE(INDEX($H$10:$H$19,$G$25),$B244-1),""))</f>
        <v/>
      </c>
      <c r="D244" s="232">
        <f>IF($B244&gt;INDEX($G$10:$G$19,$G$25),"",INDEX($I$10:$I$19,$G$25))</f>
        <v/>
      </c>
      <c r="E244" s="232">
        <f>IF($B244&gt;INDEX($G$10:$G$19,$G$25),"",$G243*INDEX($F$10:$F$19,$G$25)/12)</f>
        <v/>
      </c>
      <c r="F244" s="232">
        <f>IF($B244&gt;INDEX($G$10:$G$19,$G$25),"",$D244-$E244)</f>
        <v/>
      </c>
      <c r="G244" s="232">
        <f>IF($B244&gt;INDEX($G$10:$G$19,$G$25),"",MAX(0,$G243-$F244))</f>
        <v/>
      </c>
    </row>
    <row r="245">
      <c r="B245" s="230" t="n">
        <v>219</v>
      </c>
      <c r="C245" s="231">
        <f>IF($B245&gt;INDEX($G$10:$G$19,$G$25),"",IFERROR(EDATE(INDEX($H$10:$H$19,$G$25),$B245-1),""))</f>
        <v/>
      </c>
      <c r="D245" s="232">
        <f>IF($B245&gt;INDEX($G$10:$G$19,$G$25),"",INDEX($I$10:$I$19,$G$25))</f>
        <v/>
      </c>
      <c r="E245" s="232">
        <f>IF($B245&gt;INDEX($G$10:$G$19,$G$25),"",$G244*INDEX($F$10:$F$19,$G$25)/12)</f>
        <v/>
      </c>
      <c r="F245" s="232">
        <f>IF($B245&gt;INDEX($G$10:$G$19,$G$25),"",$D245-$E245)</f>
        <v/>
      </c>
      <c r="G245" s="232">
        <f>IF($B245&gt;INDEX($G$10:$G$19,$G$25),"",MAX(0,$G244-$F245))</f>
        <v/>
      </c>
    </row>
    <row r="246">
      <c r="B246" s="230" t="n">
        <v>220</v>
      </c>
      <c r="C246" s="231">
        <f>IF($B246&gt;INDEX($G$10:$G$19,$G$25),"",IFERROR(EDATE(INDEX($H$10:$H$19,$G$25),$B246-1),""))</f>
        <v/>
      </c>
      <c r="D246" s="232">
        <f>IF($B246&gt;INDEX($G$10:$G$19,$G$25),"",INDEX($I$10:$I$19,$G$25))</f>
        <v/>
      </c>
      <c r="E246" s="232">
        <f>IF($B246&gt;INDEX($G$10:$G$19,$G$25),"",$G245*INDEX($F$10:$F$19,$G$25)/12)</f>
        <v/>
      </c>
      <c r="F246" s="232">
        <f>IF($B246&gt;INDEX($G$10:$G$19,$G$25),"",$D246-$E246)</f>
        <v/>
      </c>
      <c r="G246" s="232">
        <f>IF($B246&gt;INDEX($G$10:$G$19,$G$25),"",MAX(0,$G245-$F246))</f>
        <v/>
      </c>
    </row>
    <row r="247">
      <c r="B247" s="230" t="n">
        <v>221</v>
      </c>
      <c r="C247" s="231">
        <f>IF($B247&gt;INDEX($G$10:$G$19,$G$25),"",IFERROR(EDATE(INDEX($H$10:$H$19,$G$25),$B247-1),""))</f>
        <v/>
      </c>
      <c r="D247" s="232">
        <f>IF($B247&gt;INDEX($G$10:$G$19,$G$25),"",INDEX($I$10:$I$19,$G$25))</f>
        <v/>
      </c>
      <c r="E247" s="232">
        <f>IF($B247&gt;INDEX($G$10:$G$19,$G$25),"",$G246*INDEX($F$10:$F$19,$G$25)/12)</f>
        <v/>
      </c>
      <c r="F247" s="232">
        <f>IF($B247&gt;INDEX($G$10:$G$19,$G$25),"",$D247-$E247)</f>
        <v/>
      </c>
      <c r="G247" s="232">
        <f>IF($B247&gt;INDEX($G$10:$G$19,$G$25),"",MAX(0,$G246-$F247))</f>
        <v/>
      </c>
    </row>
    <row r="248">
      <c r="B248" s="230" t="n">
        <v>222</v>
      </c>
      <c r="C248" s="231">
        <f>IF($B248&gt;INDEX($G$10:$G$19,$G$25),"",IFERROR(EDATE(INDEX($H$10:$H$19,$G$25),$B248-1),""))</f>
        <v/>
      </c>
      <c r="D248" s="232">
        <f>IF($B248&gt;INDEX($G$10:$G$19,$G$25),"",INDEX($I$10:$I$19,$G$25))</f>
        <v/>
      </c>
      <c r="E248" s="232">
        <f>IF($B248&gt;INDEX($G$10:$G$19,$G$25),"",$G247*INDEX($F$10:$F$19,$G$25)/12)</f>
        <v/>
      </c>
      <c r="F248" s="232">
        <f>IF($B248&gt;INDEX($G$10:$G$19,$G$25),"",$D248-$E248)</f>
        <v/>
      </c>
      <c r="G248" s="232">
        <f>IF($B248&gt;INDEX($G$10:$G$19,$G$25),"",MAX(0,$G247-$F248))</f>
        <v/>
      </c>
    </row>
    <row r="249">
      <c r="B249" s="230" t="n">
        <v>223</v>
      </c>
      <c r="C249" s="231">
        <f>IF($B249&gt;INDEX($G$10:$G$19,$G$25),"",IFERROR(EDATE(INDEX($H$10:$H$19,$G$25),$B249-1),""))</f>
        <v/>
      </c>
      <c r="D249" s="232">
        <f>IF($B249&gt;INDEX($G$10:$G$19,$G$25),"",INDEX($I$10:$I$19,$G$25))</f>
        <v/>
      </c>
      <c r="E249" s="232">
        <f>IF($B249&gt;INDEX($G$10:$G$19,$G$25),"",$G248*INDEX($F$10:$F$19,$G$25)/12)</f>
        <v/>
      </c>
      <c r="F249" s="232">
        <f>IF($B249&gt;INDEX($G$10:$G$19,$G$25),"",$D249-$E249)</f>
        <v/>
      </c>
      <c r="G249" s="232">
        <f>IF($B249&gt;INDEX($G$10:$G$19,$G$25),"",MAX(0,$G248-$F249))</f>
        <v/>
      </c>
    </row>
    <row r="250">
      <c r="B250" s="230" t="n">
        <v>224</v>
      </c>
      <c r="C250" s="231">
        <f>IF($B250&gt;INDEX($G$10:$G$19,$G$25),"",IFERROR(EDATE(INDEX($H$10:$H$19,$G$25),$B250-1),""))</f>
        <v/>
      </c>
      <c r="D250" s="232">
        <f>IF($B250&gt;INDEX($G$10:$G$19,$G$25),"",INDEX($I$10:$I$19,$G$25))</f>
        <v/>
      </c>
      <c r="E250" s="232">
        <f>IF($B250&gt;INDEX($G$10:$G$19,$G$25),"",$G249*INDEX($F$10:$F$19,$G$25)/12)</f>
        <v/>
      </c>
      <c r="F250" s="232">
        <f>IF($B250&gt;INDEX($G$10:$G$19,$G$25),"",$D250-$E250)</f>
        <v/>
      </c>
      <c r="G250" s="232">
        <f>IF($B250&gt;INDEX($G$10:$G$19,$G$25),"",MAX(0,$G249-$F250))</f>
        <v/>
      </c>
    </row>
    <row r="251">
      <c r="B251" s="230" t="n">
        <v>225</v>
      </c>
      <c r="C251" s="231">
        <f>IF($B251&gt;INDEX($G$10:$G$19,$G$25),"",IFERROR(EDATE(INDEX($H$10:$H$19,$G$25),$B251-1),""))</f>
        <v/>
      </c>
      <c r="D251" s="232">
        <f>IF($B251&gt;INDEX($G$10:$G$19,$G$25),"",INDEX($I$10:$I$19,$G$25))</f>
        <v/>
      </c>
      <c r="E251" s="232">
        <f>IF($B251&gt;INDEX($G$10:$G$19,$G$25),"",$G250*INDEX($F$10:$F$19,$G$25)/12)</f>
        <v/>
      </c>
      <c r="F251" s="232">
        <f>IF($B251&gt;INDEX($G$10:$G$19,$G$25),"",$D251-$E251)</f>
        <v/>
      </c>
      <c r="G251" s="232">
        <f>IF($B251&gt;INDEX($G$10:$G$19,$G$25),"",MAX(0,$G250-$F251))</f>
        <v/>
      </c>
    </row>
    <row r="252">
      <c r="B252" s="230" t="n">
        <v>226</v>
      </c>
      <c r="C252" s="231">
        <f>IF($B252&gt;INDEX($G$10:$G$19,$G$25),"",IFERROR(EDATE(INDEX($H$10:$H$19,$G$25),$B252-1),""))</f>
        <v/>
      </c>
      <c r="D252" s="232">
        <f>IF($B252&gt;INDEX($G$10:$G$19,$G$25),"",INDEX($I$10:$I$19,$G$25))</f>
        <v/>
      </c>
      <c r="E252" s="232">
        <f>IF($B252&gt;INDEX($G$10:$G$19,$G$25),"",$G251*INDEX($F$10:$F$19,$G$25)/12)</f>
        <v/>
      </c>
      <c r="F252" s="232">
        <f>IF($B252&gt;INDEX($G$10:$G$19,$G$25),"",$D252-$E252)</f>
        <v/>
      </c>
      <c r="G252" s="232">
        <f>IF($B252&gt;INDEX($G$10:$G$19,$G$25),"",MAX(0,$G251-$F252))</f>
        <v/>
      </c>
    </row>
    <row r="253">
      <c r="B253" s="230" t="n">
        <v>227</v>
      </c>
      <c r="C253" s="231">
        <f>IF($B253&gt;INDEX($G$10:$G$19,$G$25),"",IFERROR(EDATE(INDEX($H$10:$H$19,$G$25),$B253-1),""))</f>
        <v/>
      </c>
      <c r="D253" s="232">
        <f>IF($B253&gt;INDEX($G$10:$G$19,$G$25),"",INDEX($I$10:$I$19,$G$25))</f>
        <v/>
      </c>
      <c r="E253" s="232">
        <f>IF($B253&gt;INDEX($G$10:$G$19,$G$25),"",$G252*INDEX($F$10:$F$19,$G$25)/12)</f>
        <v/>
      </c>
      <c r="F253" s="232">
        <f>IF($B253&gt;INDEX($G$10:$G$19,$G$25),"",$D253-$E253)</f>
        <v/>
      </c>
      <c r="G253" s="232">
        <f>IF($B253&gt;INDEX($G$10:$G$19,$G$25),"",MAX(0,$G252-$F253))</f>
        <v/>
      </c>
    </row>
    <row r="254">
      <c r="B254" s="230" t="n">
        <v>228</v>
      </c>
      <c r="C254" s="231">
        <f>IF($B254&gt;INDEX($G$10:$G$19,$G$25),"",IFERROR(EDATE(INDEX($H$10:$H$19,$G$25),$B254-1),""))</f>
        <v/>
      </c>
      <c r="D254" s="232">
        <f>IF($B254&gt;INDEX($G$10:$G$19,$G$25),"",INDEX($I$10:$I$19,$G$25))</f>
        <v/>
      </c>
      <c r="E254" s="232">
        <f>IF($B254&gt;INDEX($G$10:$G$19,$G$25),"",$G253*INDEX($F$10:$F$19,$G$25)/12)</f>
        <v/>
      </c>
      <c r="F254" s="232">
        <f>IF($B254&gt;INDEX($G$10:$G$19,$G$25),"",$D254-$E254)</f>
        <v/>
      </c>
      <c r="G254" s="232">
        <f>IF($B254&gt;INDEX($G$10:$G$19,$G$25),"",MAX(0,$G253-$F254))</f>
        <v/>
      </c>
    </row>
    <row r="255">
      <c r="B255" s="230" t="n">
        <v>229</v>
      </c>
      <c r="C255" s="231">
        <f>IF($B255&gt;INDEX($G$10:$G$19,$G$25),"",IFERROR(EDATE(INDEX($H$10:$H$19,$G$25),$B255-1),""))</f>
        <v/>
      </c>
      <c r="D255" s="232">
        <f>IF($B255&gt;INDEX($G$10:$G$19,$G$25),"",INDEX($I$10:$I$19,$G$25))</f>
        <v/>
      </c>
      <c r="E255" s="232">
        <f>IF($B255&gt;INDEX($G$10:$G$19,$G$25),"",$G254*INDEX($F$10:$F$19,$G$25)/12)</f>
        <v/>
      </c>
      <c r="F255" s="232">
        <f>IF($B255&gt;INDEX($G$10:$G$19,$G$25),"",$D255-$E255)</f>
        <v/>
      </c>
      <c r="G255" s="232">
        <f>IF($B255&gt;INDEX($G$10:$G$19,$G$25),"",MAX(0,$G254-$F255))</f>
        <v/>
      </c>
    </row>
    <row r="256">
      <c r="B256" s="230" t="n">
        <v>230</v>
      </c>
      <c r="C256" s="231">
        <f>IF($B256&gt;INDEX($G$10:$G$19,$G$25),"",IFERROR(EDATE(INDEX($H$10:$H$19,$G$25),$B256-1),""))</f>
        <v/>
      </c>
      <c r="D256" s="232">
        <f>IF($B256&gt;INDEX($G$10:$G$19,$G$25),"",INDEX($I$10:$I$19,$G$25))</f>
        <v/>
      </c>
      <c r="E256" s="232">
        <f>IF($B256&gt;INDEX($G$10:$G$19,$G$25),"",$G255*INDEX($F$10:$F$19,$G$25)/12)</f>
        <v/>
      </c>
      <c r="F256" s="232">
        <f>IF($B256&gt;INDEX($G$10:$G$19,$G$25),"",$D256-$E256)</f>
        <v/>
      </c>
      <c r="G256" s="232">
        <f>IF($B256&gt;INDEX($G$10:$G$19,$G$25),"",MAX(0,$G255-$F256))</f>
        <v/>
      </c>
    </row>
    <row r="257">
      <c r="B257" s="230" t="n">
        <v>231</v>
      </c>
      <c r="C257" s="231">
        <f>IF($B257&gt;INDEX($G$10:$G$19,$G$25),"",IFERROR(EDATE(INDEX($H$10:$H$19,$G$25),$B257-1),""))</f>
        <v/>
      </c>
      <c r="D257" s="232">
        <f>IF($B257&gt;INDEX($G$10:$G$19,$G$25),"",INDEX($I$10:$I$19,$G$25))</f>
        <v/>
      </c>
      <c r="E257" s="232">
        <f>IF($B257&gt;INDEX($G$10:$G$19,$G$25),"",$G256*INDEX($F$10:$F$19,$G$25)/12)</f>
        <v/>
      </c>
      <c r="F257" s="232">
        <f>IF($B257&gt;INDEX($G$10:$G$19,$G$25),"",$D257-$E257)</f>
        <v/>
      </c>
      <c r="G257" s="232">
        <f>IF($B257&gt;INDEX($G$10:$G$19,$G$25),"",MAX(0,$G256-$F257))</f>
        <v/>
      </c>
    </row>
    <row r="258">
      <c r="B258" s="230" t="n">
        <v>232</v>
      </c>
      <c r="C258" s="231">
        <f>IF($B258&gt;INDEX($G$10:$G$19,$G$25),"",IFERROR(EDATE(INDEX($H$10:$H$19,$G$25),$B258-1),""))</f>
        <v/>
      </c>
      <c r="D258" s="232">
        <f>IF($B258&gt;INDEX($G$10:$G$19,$G$25),"",INDEX($I$10:$I$19,$G$25))</f>
        <v/>
      </c>
      <c r="E258" s="232">
        <f>IF($B258&gt;INDEX($G$10:$G$19,$G$25),"",$G257*INDEX($F$10:$F$19,$G$25)/12)</f>
        <v/>
      </c>
      <c r="F258" s="232">
        <f>IF($B258&gt;INDEX($G$10:$G$19,$G$25),"",$D258-$E258)</f>
        <v/>
      </c>
      <c r="G258" s="232">
        <f>IF($B258&gt;INDEX($G$10:$G$19,$G$25),"",MAX(0,$G257-$F258))</f>
        <v/>
      </c>
    </row>
    <row r="259">
      <c r="B259" s="230" t="n">
        <v>233</v>
      </c>
      <c r="C259" s="231">
        <f>IF($B259&gt;INDEX($G$10:$G$19,$G$25),"",IFERROR(EDATE(INDEX($H$10:$H$19,$G$25),$B259-1),""))</f>
        <v/>
      </c>
      <c r="D259" s="232">
        <f>IF($B259&gt;INDEX($G$10:$G$19,$G$25),"",INDEX($I$10:$I$19,$G$25))</f>
        <v/>
      </c>
      <c r="E259" s="232">
        <f>IF($B259&gt;INDEX($G$10:$G$19,$G$25),"",$G258*INDEX($F$10:$F$19,$G$25)/12)</f>
        <v/>
      </c>
      <c r="F259" s="232">
        <f>IF($B259&gt;INDEX($G$10:$G$19,$G$25),"",$D259-$E259)</f>
        <v/>
      </c>
      <c r="G259" s="232">
        <f>IF($B259&gt;INDEX($G$10:$G$19,$G$25),"",MAX(0,$G258-$F259))</f>
        <v/>
      </c>
    </row>
    <row r="260">
      <c r="B260" s="230" t="n">
        <v>234</v>
      </c>
      <c r="C260" s="231">
        <f>IF($B260&gt;INDEX($G$10:$G$19,$G$25),"",IFERROR(EDATE(INDEX($H$10:$H$19,$G$25),$B260-1),""))</f>
        <v/>
      </c>
      <c r="D260" s="232">
        <f>IF($B260&gt;INDEX($G$10:$G$19,$G$25),"",INDEX($I$10:$I$19,$G$25))</f>
        <v/>
      </c>
      <c r="E260" s="232">
        <f>IF($B260&gt;INDEX($G$10:$G$19,$G$25),"",$G259*INDEX($F$10:$F$19,$G$25)/12)</f>
        <v/>
      </c>
      <c r="F260" s="232">
        <f>IF($B260&gt;INDEX($G$10:$G$19,$G$25),"",$D260-$E260)</f>
        <v/>
      </c>
      <c r="G260" s="232">
        <f>IF($B260&gt;INDEX($G$10:$G$19,$G$25),"",MAX(0,$G259-$F260))</f>
        <v/>
      </c>
    </row>
    <row r="261">
      <c r="B261" s="230" t="n">
        <v>235</v>
      </c>
      <c r="C261" s="231">
        <f>IF($B261&gt;INDEX($G$10:$G$19,$G$25),"",IFERROR(EDATE(INDEX($H$10:$H$19,$G$25),$B261-1),""))</f>
        <v/>
      </c>
      <c r="D261" s="232">
        <f>IF($B261&gt;INDEX($G$10:$G$19,$G$25),"",INDEX($I$10:$I$19,$G$25))</f>
        <v/>
      </c>
      <c r="E261" s="232">
        <f>IF($B261&gt;INDEX($G$10:$G$19,$G$25),"",$G260*INDEX($F$10:$F$19,$G$25)/12)</f>
        <v/>
      </c>
      <c r="F261" s="232">
        <f>IF($B261&gt;INDEX($G$10:$G$19,$G$25),"",$D261-$E261)</f>
        <v/>
      </c>
      <c r="G261" s="232">
        <f>IF($B261&gt;INDEX($G$10:$G$19,$G$25),"",MAX(0,$G260-$F261))</f>
        <v/>
      </c>
    </row>
    <row r="262">
      <c r="B262" s="230" t="n">
        <v>236</v>
      </c>
      <c r="C262" s="231">
        <f>IF($B262&gt;INDEX($G$10:$G$19,$G$25),"",IFERROR(EDATE(INDEX($H$10:$H$19,$G$25),$B262-1),""))</f>
        <v/>
      </c>
      <c r="D262" s="232">
        <f>IF($B262&gt;INDEX($G$10:$G$19,$G$25),"",INDEX($I$10:$I$19,$G$25))</f>
        <v/>
      </c>
      <c r="E262" s="232">
        <f>IF($B262&gt;INDEX($G$10:$G$19,$G$25),"",$G261*INDEX($F$10:$F$19,$G$25)/12)</f>
        <v/>
      </c>
      <c r="F262" s="232">
        <f>IF($B262&gt;INDEX($G$10:$G$19,$G$25),"",$D262-$E262)</f>
        <v/>
      </c>
      <c r="G262" s="232">
        <f>IF($B262&gt;INDEX($G$10:$G$19,$G$25),"",MAX(0,$G261-$F262))</f>
        <v/>
      </c>
    </row>
    <row r="263">
      <c r="B263" s="230" t="n">
        <v>237</v>
      </c>
      <c r="C263" s="231">
        <f>IF($B263&gt;INDEX($G$10:$G$19,$G$25),"",IFERROR(EDATE(INDEX($H$10:$H$19,$G$25),$B263-1),""))</f>
        <v/>
      </c>
      <c r="D263" s="232">
        <f>IF($B263&gt;INDEX($G$10:$G$19,$G$25),"",INDEX($I$10:$I$19,$G$25))</f>
        <v/>
      </c>
      <c r="E263" s="232">
        <f>IF($B263&gt;INDEX($G$10:$G$19,$G$25),"",$G262*INDEX($F$10:$F$19,$G$25)/12)</f>
        <v/>
      </c>
      <c r="F263" s="232">
        <f>IF($B263&gt;INDEX($G$10:$G$19,$G$25),"",$D263-$E263)</f>
        <v/>
      </c>
      <c r="G263" s="232">
        <f>IF($B263&gt;INDEX($G$10:$G$19,$G$25),"",MAX(0,$G262-$F263))</f>
        <v/>
      </c>
    </row>
    <row r="264">
      <c r="B264" s="230" t="n">
        <v>238</v>
      </c>
      <c r="C264" s="231">
        <f>IF($B264&gt;INDEX($G$10:$G$19,$G$25),"",IFERROR(EDATE(INDEX($H$10:$H$19,$G$25),$B264-1),""))</f>
        <v/>
      </c>
      <c r="D264" s="232">
        <f>IF($B264&gt;INDEX($G$10:$G$19,$G$25),"",INDEX($I$10:$I$19,$G$25))</f>
        <v/>
      </c>
      <c r="E264" s="232">
        <f>IF($B264&gt;INDEX($G$10:$G$19,$G$25),"",$G263*INDEX($F$10:$F$19,$G$25)/12)</f>
        <v/>
      </c>
      <c r="F264" s="232">
        <f>IF($B264&gt;INDEX($G$10:$G$19,$G$25),"",$D264-$E264)</f>
        <v/>
      </c>
      <c r="G264" s="232">
        <f>IF($B264&gt;INDEX($G$10:$G$19,$G$25),"",MAX(0,$G263-$F264))</f>
        <v/>
      </c>
    </row>
    <row r="265">
      <c r="B265" s="230" t="n">
        <v>239</v>
      </c>
      <c r="C265" s="231">
        <f>IF($B265&gt;INDEX($G$10:$G$19,$G$25),"",IFERROR(EDATE(INDEX($H$10:$H$19,$G$25),$B265-1),""))</f>
        <v/>
      </c>
      <c r="D265" s="232">
        <f>IF($B265&gt;INDEX($G$10:$G$19,$G$25),"",INDEX($I$10:$I$19,$G$25))</f>
        <v/>
      </c>
      <c r="E265" s="232">
        <f>IF($B265&gt;INDEX($G$10:$G$19,$G$25),"",$G264*INDEX($F$10:$F$19,$G$25)/12)</f>
        <v/>
      </c>
      <c r="F265" s="232">
        <f>IF($B265&gt;INDEX($G$10:$G$19,$G$25),"",$D265-$E265)</f>
        <v/>
      </c>
      <c r="G265" s="232">
        <f>IF($B265&gt;INDEX($G$10:$G$19,$G$25),"",MAX(0,$G264-$F265))</f>
        <v/>
      </c>
    </row>
    <row r="266">
      <c r="B266" s="230" t="n">
        <v>240</v>
      </c>
      <c r="C266" s="231">
        <f>IF($B266&gt;INDEX($G$10:$G$19,$G$25),"",IFERROR(EDATE(INDEX($H$10:$H$19,$G$25),$B266-1),""))</f>
        <v/>
      </c>
      <c r="D266" s="232">
        <f>IF($B266&gt;INDEX($G$10:$G$19,$G$25),"",INDEX($I$10:$I$19,$G$25))</f>
        <v/>
      </c>
      <c r="E266" s="232">
        <f>IF($B266&gt;INDEX($G$10:$G$19,$G$25),"",$G265*INDEX($F$10:$F$19,$G$25)/12)</f>
        <v/>
      </c>
      <c r="F266" s="232">
        <f>IF($B266&gt;INDEX($G$10:$G$19,$G$25),"",$D266-$E266)</f>
        <v/>
      </c>
      <c r="G266" s="232">
        <f>IF($B266&gt;INDEX($G$10:$G$19,$G$25),"",MAX(0,$G265-$F266))</f>
        <v/>
      </c>
    </row>
  </sheetData>
  <sheetProtection selectLockedCells="0" selectUnlockedCells="0" sheet="1" objects="1" insertRows="1" insertHyperlinks="1" autoFilter="0" scenarios="1" formatColumns="0" deleteColumns="1" insertColumns="1" pivotTables="1" deleteRows="1" formatCells="0" formatRows="0" sort="0" password="8708"/>
  <mergeCells count="27">
    <mergeCell ref="J6:L6"/>
    <mergeCell ref="G6:I6"/>
    <mergeCell ref="B3:C3"/>
    <mergeCell ref="J4:L4"/>
    <mergeCell ref="M5:N5"/>
    <mergeCell ref="F3:G3"/>
    <mergeCell ref="L3:M3"/>
    <mergeCell ref="G5:I5"/>
    <mergeCell ref="D4:F4"/>
    <mergeCell ref="G4:I4"/>
    <mergeCell ref="B7:N7"/>
    <mergeCell ref="D5:F5"/>
    <mergeCell ref="M6:N6"/>
    <mergeCell ref="D3:E3"/>
    <mergeCell ref="B2:N2"/>
    <mergeCell ref="H3:I3"/>
    <mergeCell ref="B23:H23"/>
    <mergeCell ref="J5:L5"/>
    <mergeCell ref="J3:K3"/>
    <mergeCell ref="B6:C6"/>
    <mergeCell ref="B1:N1"/>
    <mergeCell ref="B8:N8"/>
    <mergeCell ref="B5:C5"/>
    <mergeCell ref="E25:F25"/>
    <mergeCell ref="D6:F6"/>
    <mergeCell ref="M4:N4"/>
    <mergeCell ref="B4:C4"/>
  </mergeCells>
  <conditionalFormatting sqref="D5:F5">
    <cfRule type="expression" priority="1" dxfId="1692" stopIfTrue="1">
      <formula>Devise_Base="XOF"</formula>
    </cfRule>
    <cfRule type="expression" priority="2" dxfId="1693" stopIfTrue="1">
      <formula>Devise_Base="XAF"</formula>
    </cfRule>
    <cfRule type="expression" priority="3" dxfId="1694" stopIfTrue="1">
      <formula>Devise_Base="EUR"</formula>
    </cfRule>
    <cfRule type="expression" priority="4" dxfId="1695" stopIfTrue="1">
      <formula>Devise_Base="USD"</formula>
    </cfRule>
    <cfRule type="expression" priority="5" dxfId="1696" stopIfTrue="1">
      <formula>Devise_Base="GBP"</formula>
    </cfRule>
    <cfRule type="expression" priority="6" dxfId="1697" stopIfTrue="1">
      <formula>Devise_Base="CAD"</formula>
    </cfRule>
    <cfRule type="expression" priority="7" dxfId="1698" stopIfTrue="1">
      <formula>Devise_Base="CHF"</formula>
    </cfRule>
    <cfRule type="expression" priority="8" dxfId="1699" stopIfTrue="1">
      <formula>Devise_Base="MAD"</formula>
    </cfRule>
    <cfRule type="expression" priority="9" dxfId="1700" stopIfTrue="1">
      <formula>Devise_Base="NGN"</formula>
    </cfRule>
    <cfRule type="expression" priority="10" dxfId="1701" stopIfTrue="1">
      <formula>Devise_Base="GHS"</formula>
    </cfRule>
    <cfRule type="expression" priority="11" dxfId="1702" stopIfTrue="1">
      <formula>Devise_Base="CDF"</formula>
    </cfRule>
    <cfRule type="expression" priority="12" dxfId="1703" stopIfTrue="1">
      <formula>Devise_Base="ZAR"</formula>
    </cfRule>
    <cfRule type="expression" priority="13" dxfId="1704" stopIfTrue="1">
      <formula>Devise_Base="AED"</formula>
    </cfRule>
    <cfRule type="expression" priority="14" dxfId="1705" stopIfTrue="1">
      <formula>Devise_Base="MRU"</formula>
    </cfRule>
    <cfRule type="expression" priority="15" dxfId="1706" stopIfTrue="1">
      <formula>Devise_Base="GNF"</formula>
    </cfRule>
  </conditionalFormatting>
  <conditionalFormatting sqref="G5:I5">
    <cfRule type="expression" priority="16" dxfId="1707" stopIfTrue="1">
      <formula>Devise_Base="XOF"</formula>
    </cfRule>
    <cfRule type="expression" priority="17" dxfId="1708" stopIfTrue="1">
      <formula>Devise_Base="XAF"</formula>
    </cfRule>
    <cfRule type="expression" priority="18" dxfId="1709" stopIfTrue="1">
      <formula>Devise_Base="EUR"</formula>
    </cfRule>
    <cfRule type="expression" priority="19" dxfId="1710" stopIfTrue="1">
      <formula>Devise_Base="USD"</formula>
    </cfRule>
    <cfRule type="expression" priority="20" dxfId="1711" stopIfTrue="1">
      <formula>Devise_Base="GBP"</formula>
    </cfRule>
    <cfRule type="expression" priority="21" dxfId="1712" stopIfTrue="1">
      <formula>Devise_Base="CAD"</formula>
    </cfRule>
    <cfRule type="expression" priority="22" dxfId="1713" stopIfTrue="1">
      <formula>Devise_Base="CHF"</formula>
    </cfRule>
    <cfRule type="expression" priority="23" dxfId="1714" stopIfTrue="1">
      <formula>Devise_Base="MAD"</formula>
    </cfRule>
    <cfRule type="expression" priority="24" dxfId="1715" stopIfTrue="1">
      <formula>Devise_Base="NGN"</formula>
    </cfRule>
    <cfRule type="expression" priority="25" dxfId="1716" stopIfTrue="1">
      <formula>Devise_Base="GHS"</formula>
    </cfRule>
    <cfRule type="expression" priority="26" dxfId="1717" stopIfTrue="1">
      <formula>Devise_Base="CDF"</formula>
    </cfRule>
    <cfRule type="expression" priority="27" dxfId="1718" stopIfTrue="1">
      <formula>Devise_Base="ZAR"</formula>
    </cfRule>
    <cfRule type="expression" priority="28" dxfId="1719" stopIfTrue="1">
      <formula>Devise_Base="AED"</formula>
    </cfRule>
    <cfRule type="expression" priority="29" dxfId="1720" stopIfTrue="1">
      <formula>Devise_Base="MRU"</formula>
    </cfRule>
    <cfRule type="expression" priority="30" dxfId="1721" stopIfTrue="1">
      <formula>Devise_Base="GNF"</formula>
    </cfRule>
  </conditionalFormatting>
  <conditionalFormatting sqref="J5:L5">
    <cfRule type="expression" priority="31" dxfId="1722" stopIfTrue="1">
      <formula>Devise_Base="XOF"</formula>
    </cfRule>
    <cfRule type="expression" priority="32" dxfId="1723" stopIfTrue="1">
      <formula>Devise_Base="XAF"</formula>
    </cfRule>
    <cfRule type="expression" priority="33" dxfId="1724" stopIfTrue="1">
      <formula>Devise_Base="EUR"</formula>
    </cfRule>
    <cfRule type="expression" priority="34" dxfId="1725" stopIfTrue="1">
      <formula>Devise_Base="USD"</formula>
    </cfRule>
    <cfRule type="expression" priority="35" dxfId="1726" stopIfTrue="1">
      <formula>Devise_Base="GBP"</formula>
    </cfRule>
    <cfRule type="expression" priority="36" dxfId="1727" stopIfTrue="1">
      <formula>Devise_Base="CAD"</formula>
    </cfRule>
    <cfRule type="expression" priority="37" dxfId="1728" stopIfTrue="1">
      <formula>Devise_Base="CHF"</formula>
    </cfRule>
    <cfRule type="expression" priority="38" dxfId="1729" stopIfTrue="1">
      <formula>Devise_Base="MAD"</formula>
    </cfRule>
    <cfRule type="expression" priority="39" dxfId="1730" stopIfTrue="1">
      <formula>Devise_Base="NGN"</formula>
    </cfRule>
    <cfRule type="expression" priority="40" dxfId="1731" stopIfTrue="1">
      <formula>Devise_Base="GHS"</formula>
    </cfRule>
    <cfRule type="expression" priority="41" dxfId="1732" stopIfTrue="1">
      <formula>Devise_Base="CDF"</formula>
    </cfRule>
    <cfRule type="expression" priority="42" dxfId="1733" stopIfTrue="1">
      <formula>Devise_Base="ZAR"</formula>
    </cfRule>
    <cfRule type="expression" priority="43" dxfId="1734" stopIfTrue="1">
      <formula>Devise_Base="AED"</formula>
    </cfRule>
    <cfRule type="expression" priority="44" dxfId="1735" stopIfTrue="1">
      <formula>Devise_Base="MRU"</formula>
    </cfRule>
    <cfRule type="expression" priority="45" dxfId="1736" stopIfTrue="1">
      <formula>Devise_Base="GNF"</formula>
    </cfRule>
  </conditionalFormatting>
  <conditionalFormatting sqref="B10:N19">
    <cfRule type="expression" priority="46" dxfId="75" stopIfTrue="0">
      <formula>MOD(ROW()-10,2)=1</formula>
    </cfRule>
  </conditionalFormatting>
  <conditionalFormatting sqref="L10:L19">
    <cfRule type="dataBar" priority="47">
      <dataBar showValue="1">
        <cfvo type="num" val="0"/>
        <cfvo type="num" val="1"/>
        <color rgb="008B1A1A"/>
      </dataBar>
    </cfRule>
  </conditionalFormatting>
  <conditionalFormatting sqref="E10:E19">
    <cfRule type="expression" priority="48" dxfId="1737" stopIfTrue="1">
      <formula>Devise_Base="XOF"</formula>
    </cfRule>
    <cfRule type="expression" priority="49" dxfId="1738" stopIfTrue="1">
      <formula>Devise_Base="XAF"</formula>
    </cfRule>
    <cfRule type="expression" priority="50" dxfId="1739" stopIfTrue="1">
      <formula>Devise_Base="EUR"</formula>
    </cfRule>
    <cfRule type="expression" priority="51" dxfId="1740" stopIfTrue="1">
      <formula>Devise_Base="USD"</formula>
    </cfRule>
    <cfRule type="expression" priority="52" dxfId="1741" stopIfTrue="1">
      <formula>Devise_Base="GBP"</formula>
    </cfRule>
    <cfRule type="expression" priority="53" dxfId="1742" stopIfTrue="1">
      <formula>Devise_Base="CAD"</formula>
    </cfRule>
    <cfRule type="expression" priority="54" dxfId="1743" stopIfTrue="1">
      <formula>Devise_Base="CHF"</formula>
    </cfRule>
    <cfRule type="expression" priority="55" dxfId="1744" stopIfTrue="1">
      <formula>Devise_Base="MAD"</formula>
    </cfRule>
    <cfRule type="expression" priority="56" dxfId="1745" stopIfTrue="1">
      <formula>Devise_Base="NGN"</formula>
    </cfRule>
    <cfRule type="expression" priority="57" dxfId="1746" stopIfTrue="1">
      <formula>Devise_Base="GHS"</formula>
    </cfRule>
    <cfRule type="expression" priority="58" dxfId="1747" stopIfTrue="1">
      <formula>Devise_Base="CDF"</formula>
    </cfRule>
    <cfRule type="expression" priority="59" dxfId="1748" stopIfTrue="1">
      <formula>Devise_Base="ZAR"</formula>
    </cfRule>
    <cfRule type="expression" priority="60" dxfId="1749" stopIfTrue="1">
      <formula>Devise_Base="AED"</formula>
    </cfRule>
    <cfRule type="expression" priority="61" dxfId="1750" stopIfTrue="1">
      <formula>Devise_Base="MRU"</formula>
    </cfRule>
    <cfRule type="expression" priority="62" dxfId="1751" stopIfTrue="1">
      <formula>Devise_Base="GNF"</formula>
    </cfRule>
  </conditionalFormatting>
  <conditionalFormatting sqref="I10:K19">
    <cfRule type="expression" priority="63" dxfId="1752" stopIfTrue="1">
      <formula>Devise_Base="XOF"</formula>
    </cfRule>
    <cfRule type="expression" priority="64" dxfId="1753" stopIfTrue="1">
      <formula>Devise_Base="XAF"</formula>
    </cfRule>
    <cfRule type="expression" priority="65" dxfId="1754" stopIfTrue="1">
      <formula>Devise_Base="EUR"</formula>
    </cfRule>
    <cfRule type="expression" priority="66" dxfId="1755" stopIfTrue="1">
      <formula>Devise_Base="USD"</formula>
    </cfRule>
    <cfRule type="expression" priority="67" dxfId="1756" stopIfTrue="1">
      <formula>Devise_Base="GBP"</formula>
    </cfRule>
    <cfRule type="expression" priority="68" dxfId="1757" stopIfTrue="1">
      <formula>Devise_Base="CAD"</formula>
    </cfRule>
    <cfRule type="expression" priority="69" dxfId="1758" stopIfTrue="1">
      <formula>Devise_Base="CHF"</formula>
    </cfRule>
    <cfRule type="expression" priority="70" dxfId="1759" stopIfTrue="1">
      <formula>Devise_Base="MAD"</formula>
    </cfRule>
    <cfRule type="expression" priority="71" dxfId="1760" stopIfTrue="1">
      <formula>Devise_Base="NGN"</formula>
    </cfRule>
    <cfRule type="expression" priority="72" dxfId="1761" stopIfTrue="1">
      <formula>Devise_Base="GHS"</formula>
    </cfRule>
    <cfRule type="expression" priority="73" dxfId="1762" stopIfTrue="1">
      <formula>Devise_Base="CDF"</formula>
    </cfRule>
    <cfRule type="expression" priority="74" dxfId="1763" stopIfTrue="1">
      <formula>Devise_Base="ZAR"</formula>
    </cfRule>
    <cfRule type="expression" priority="75" dxfId="1764" stopIfTrue="1">
      <formula>Devise_Base="AED"</formula>
    </cfRule>
    <cfRule type="expression" priority="76" dxfId="1765" stopIfTrue="1">
      <formula>Devise_Base="MRU"</formula>
    </cfRule>
    <cfRule type="expression" priority="77" dxfId="1766" stopIfTrue="1">
      <formula>Devise_Base="GNF"</formula>
    </cfRule>
  </conditionalFormatting>
  <conditionalFormatting sqref="E20:K20">
    <cfRule type="expression" priority="78" dxfId="1767" stopIfTrue="1">
      <formula>Devise_Base="XOF"</formula>
    </cfRule>
    <cfRule type="expression" priority="79" dxfId="1768" stopIfTrue="1">
      <formula>Devise_Base="XAF"</formula>
    </cfRule>
    <cfRule type="expression" priority="80" dxfId="1769" stopIfTrue="1">
      <formula>Devise_Base="EUR"</formula>
    </cfRule>
    <cfRule type="expression" priority="81" dxfId="1770" stopIfTrue="1">
      <formula>Devise_Base="USD"</formula>
    </cfRule>
    <cfRule type="expression" priority="82" dxfId="1771" stopIfTrue="1">
      <formula>Devise_Base="GBP"</formula>
    </cfRule>
    <cfRule type="expression" priority="83" dxfId="1772" stopIfTrue="1">
      <formula>Devise_Base="CAD"</formula>
    </cfRule>
    <cfRule type="expression" priority="84" dxfId="1773" stopIfTrue="1">
      <formula>Devise_Base="CHF"</formula>
    </cfRule>
    <cfRule type="expression" priority="85" dxfId="1774" stopIfTrue="1">
      <formula>Devise_Base="MAD"</formula>
    </cfRule>
    <cfRule type="expression" priority="86" dxfId="1775" stopIfTrue="1">
      <formula>Devise_Base="NGN"</formula>
    </cfRule>
    <cfRule type="expression" priority="87" dxfId="1776" stopIfTrue="1">
      <formula>Devise_Base="GHS"</formula>
    </cfRule>
    <cfRule type="expression" priority="88" dxfId="1777" stopIfTrue="1">
      <formula>Devise_Base="CDF"</formula>
    </cfRule>
    <cfRule type="expression" priority="89" dxfId="1778" stopIfTrue="1">
      <formula>Devise_Base="ZAR"</formula>
    </cfRule>
    <cfRule type="expression" priority="90" dxfId="1779" stopIfTrue="1">
      <formula>Devise_Base="AED"</formula>
    </cfRule>
    <cfRule type="expression" priority="91" dxfId="1780" stopIfTrue="1">
      <formula>Devise_Base="MRU"</formula>
    </cfRule>
    <cfRule type="expression" priority="92" dxfId="1781" stopIfTrue="1">
      <formula>Devise_Base="GNF"</formula>
    </cfRule>
  </conditionalFormatting>
  <conditionalFormatting sqref="B27:G266">
    <cfRule type="expression" priority="93" dxfId="75" stopIfTrue="0">
      <formula>MOD(ROW()-27,2)=1</formula>
    </cfRule>
  </conditionalFormatting>
  <conditionalFormatting sqref="D27:G146">
    <cfRule type="expression" priority="94" dxfId="1782" stopIfTrue="1">
      <formula>Devise_Base="XOF"</formula>
    </cfRule>
    <cfRule type="expression" priority="95" dxfId="1783" stopIfTrue="1">
      <formula>Devise_Base="XAF"</formula>
    </cfRule>
    <cfRule type="expression" priority="96" dxfId="1784" stopIfTrue="1">
      <formula>Devise_Base="EUR"</formula>
    </cfRule>
    <cfRule type="expression" priority="97" dxfId="1785" stopIfTrue="1">
      <formula>Devise_Base="USD"</formula>
    </cfRule>
    <cfRule type="expression" priority="98" dxfId="1786" stopIfTrue="1">
      <formula>Devise_Base="GBP"</formula>
    </cfRule>
    <cfRule type="expression" priority="99" dxfId="1787" stopIfTrue="1">
      <formula>Devise_Base="CAD"</formula>
    </cfRule>
    <cfRule type="expression" priority="100" dxfId="1788" stopIfTrue="1">
      <formula>Devise_Base="CHF"</formula>
    </cfRule>
    <cfRule type="expression" priority="101" dxfId="1789" stopIfTrue="1">
      <formula>Devise_Base="MAD"</formula>
    </cfRule>
    <cfRule type="expression" priority="102" dxfId="1790" stopIfTrue="1">
      <formula>Devise_Base="NGN"</formula>
    </cfRule>
    <cfRule type="expression" priority="103" dxfId="1791" stopIfTrue="1">
      <formula>Devise_Base="GHS"</formula>
    </cfRule>
    <cfRule type="expression" priority="104" dxfId="1792" stopIfTrue="1">
      <formula>Devise_Base="CDF"</formula>
    </cfRule>
    <cfRule type="expression" priority="105" dxfId="1793" stopIfTrue="1">
      <formula>Devise_Base="ZAR"</formula>
    </cfRule>
    <cfRule type="expression" priority="106" dxfId="1794" stopIfTrue="1">
      <formula>Devise_Base="AED"</formula>
    </cfRule>
    <cfRule type="expression" priority="107" dxfId="1795" stopIfTrue="1">
      <formula>Devise_Base="MRU"</formula>
    </cfRule>
    <cfRule type="expression" priority="108" dxfId="1796" stopIfTrue="1">
      <formula>Devise_Base="GNF"</formula>
    </cfRule>
  </conditionalFormatting>
  <dataValidations count="1">
    <dataValidation sqref="E25" showDropDown="0" showInputMessage="0" showErrorMessage="0" allowBlank="1" type="list">
      <formula1>$C$10:$C$19</formula1>
    </dataValidation>
  </dataValidations>
  <hyperlinks>
    <hyperlink ref="B3" location="'Accueil'!A1"/>
    <hyperlink ref="D3" location="'Paramètres'!A1"/>
    <hyperlink ref="F3" location="'Estimation Annuelle'!A1"/>
    <hyperlink ref="H3" location="'Journal'!A1"/>
    <hyperlink ref="J3" location="'Tableau de Bord'!A1"/>
    <hyperlink ref="L3" location="'Budget 12 Mois'!A1"/>
  </hyperlink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10706B"/>
    <outlinePr summaryBelow="1" summaryRight="1"/>
    <pageSetUpPr/>
  </sheetPr>
  <dimension ref="A1:O61"/>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2" customWidth="1" min="1" max="1"/>
    <col width="30" customWidth="1" min="2" max="2"/>
    <col width="13" customWidth="1" min="3" max="3"/>
    <col width="26" customWidth="1" min="4" max="4"/>
    <col width="14" customWidth="1" min="5" max="5"/>
    <col width="8" customWidth="1" min="6" max="6"/>
    <col width="15" customWidth="1" min="7" max="7"/>
    <col width="22" customWidth="1" min="8" max="8"/>
    <col width="14" customWidth="1" min="9" max="9"/>
    <col width="9" customWidth="1" min="10" max="10"/>
    <col width="16" customWidth="1" min="11" max="11"/>
    <col width="16" customWidth="1" min="12" max="12"/>
    <col hidden="1" width="14" customWidth="1" min="13" max="13"/>
    <col width="24" customWidth="1" min="14" max="14"/>
    <col width="24" customWidth="1" min="15" max="15"/>
  </cols>
  <sheetData>
    <row r="1" ht="52" customHeight="1">
      <c r="B1" s="46" t="inlineStr">
        <is>
          <t>CHARGES &amp; REVENUS RÉCURRENTS</t>
        </is>
      </c>
      <c r="C1" s="47" t="n"/>
      <c r="D1" s="47" t="n"/>
      <c r="E1" s="47" t="n"/>
      <c r="F1" s="47" t="n"/>
      <c r="G1" s="47" t="n"/>
      <c r="H1" s="47" t="n"/>
      <c r="I1" s="47" t="n"/>
      <c r="J1" s="47" t="n"/>
      <c r="K1" s="47" t="n"/>
      <c r="L1" s="47" t="n"/>
      <c r="M1" s="47" t="n"/>
      <c r="N1" s="47" t="n"/>
      <c r="O1" s="47" t="n"/>
    </row>
    <row r="2" ht="20" customHeight="1">
      <c r="B2" s="48" t="inlineStr">
        <is>
          <t>Abonnements, loyers, mensualités : ce qui tombe chaque mois, avec les échéances à venir</t>
        </is>
      </c>
      <c r="C2" s="7" t="n"/>
      <c r="D2" s="7" t="n"/>
      <c r="E2" s="7" t="n"/>
      <c r="F2" s="7" t="n"/>
      <c r="G2" s="7" t="n"/>
      <c r="H2" s="7" t="n"/>
      <c r="I2" s="7" t="n"/>
      <c r="J2" s="7" t="n"/>
      <c r="K2" s="7" t="n"/>
      <c r="L2" s="7" t="n"/>
      <c r="M2" s="7" t="n"/>
      <c r="N2" s="7" t="n"/>
      <c r="O2" s="7" t="n"/>
    </row>
    <row r="3" ht="20" customHeight="1">
      <c r="B3" s="49" t="inlineStr">
        <is>
          <t>⌂  ACCUEIL</t>
        </is>
      </c>
      <c r="C3" s="42" t="n"/>
      <c r="D3" s="49" t="inlineStr">
        <is>
          <t>①  MES INFOS</t>
        </is>
      </c>
      <c r="E3" s="42" t="n"/>
      <c r="F3" s="49" t="inlineStr">
        <is>
          <t>②  ESTIMATION</t>
        </is>
      </c>
      <c r="G3" s="42" t="n"/>
      <c r="H3" s="49" t="inlineStr">
        <is>
          <t>③  BUDGET SMART</t>
        </is>
      </c>
      <c r="I3" s="42" t="n"/>
      <c r="J3" s="49" t="inlineStr">
        <is>
          <t>TABLEAU DE BORD</t>
        </is>
      </c>
      <c r="K3" s="42" t="n"/>
      <c r="L3" s="49" t="inlineStr">
        <is>
          <t>BUDGET 12 MOIS</t>
        </is>
      </c>
      <c r="M3" s="42" t="n"/>
    </row>
    <row r="4" ht="6" customHeight="1"/>
    <row r="5" ht="28" customHeight="1">
      <c r="B5" s="41" t="inlineStr">
        <is>
          <t>Renseignez la date de la prochaine échéance : la colonne « Alerte » vous prévient à J-30, J-7 et en cas de retard. Le coût mensuel est ramené au mois quelle que soit la fréquence, et converti dans votre devise de base.</t>
        </is>
      </c>
      <c r="C5" s="42" t="n"/>
      <c r="D5" s="42" t="n"/>
      <c r="E5" s="42" t="n"/>
      <c r="F5" s="42" t="n"/>
      <c r="G5" s="42" t="n"/>
      <c r="H5" s="42" t="n"/>
      <c r="I5" s="42" t="n"/>
      <c r="J5" s="42" t="n"/>
      <c r="K5" s="42" t="n"/>
      <c r="L5" s="42" t="n"/>
      <c r="M5" s="42" t="n"/>
      <c r="N5" s="42" t="n"/>
      <c r="O5" s="42" t="n"/>
    </row>
    <row r="6"/>
    <row r="7" ht="18" customHeight="1">
      <c r="B7" s="29" t="inlineStr">
        <is>
          <t>CHARGE MENSUELLE RÉCURRENTE</t>
        </is>
      </c>
      <c r="C7" s="75" t="n"/>
      <c r="D7" s="30" t="n"/>
      <c r="E7" s="80" t="inlineStr">
        <is>
          <t>COÛT ANNUALISÉ</t>
        </is>
      </c>
      <c r="F7" s="81" t="n"/>
      <c r="G7" s="82" t="n"/>
      <c r="H7" s="27" t="inlineStr">
        <is>
          <t>ÉCHÉANCES DANS 7 JOURS</t>
        </is>
      </c>
      <c r="I7" s="79" t="n"/>
      <c r="J7" s="28" t="n"/>
      <c r="K7" s="120" t="inlineStr">
        <is>
          <t>PART DES REVENUS MENSUELS</t>
        </is>
      </c>
      <c r="L7" s="121" t="n"/>
      <c r="M7" s="122" t="n"/>
    </row>
    <row r="8" ht="30" customHeight="1">
      <c r="B8" s="35">
        <f>SUMIFS($K$12:$K$61,$J$12:$J$61,"Oui")</f>
        <v/>
      </c>
      <c r="C8" s="83" t="n"/>
      <c r="D8" s="34" t="n"/>
      <c r="E8" s="97">
        <f>SUMIFS($L$12:$L$61,$J$12:$J$61,"Oui")</f>
        <v/>
      </c>
      <c r="F8" s="83" t="n"/>
      <c r="G8" s="34" t="n"/>
      <c r="H8" s="233">
        <f>SUMPRODUCT(($J$12:$J$61="Oui")*($G$12:$G$61&lt;&gt;"")*($G$12:$G$61&gt;=TODAY())*($G$12:$G$61&lt;=TODAY()+7))</f>
        <v/>
      </c>
      <c r="I8" s="83" t="n"/>
      <c r="J8" s="34" t="n"/>
      <c r="K8" s="123">
        <f>IFERROR(SUMIFS($K$12:$K$61,$J$12:$J$61,"Oui")/(SUMIFS(J_Montant,J_Annee,Annee_Travail,J_Type,"Revenu",J_Statut,"&lt;&gt;Annulé",J_Statut,"&lt;&gt;Prévu")/12),0)</f>
        <v/>
      </c>
      <c r="L8" s="83" t="n"/>
      <c r="M8" s="34" t="n"/>
    </row>
    <row r="9" ht="16" customHeight="1">
      <c r="B9" s="37" t="inlineStr"/>
      <c r="C9" s="86" t="n"/>
      <c r="D9" s="38" t="n"/>
      <c r="E9" s="37" t="inlineStr"/>
      <c r="F9" s="86" t="n"/>
      <c r="G9" s="38" t="n"/>
      <c r="H9" s="37" t="inlineStr"/>
      <c r="I9" s="86" t="n"/>
      <c r="J9" s="38" t="n"/>
      <c r="K9" s="37" t="inlineStr"/>
      <c r="L9" s="86" t="n"/>
      <c r="M9" s="38" t="n"/>
    </row>
    <row r="10"/>
    <row r="11" ht="32" customHeight="1">
      <c r="B11" s="63" t="inlineStr">
        <is>
          <t>Libellé</t>
        </is>
      </c>
      <c r="C11" s="63" t="inlineStr">
        <is>
          <t>Module</t>
        </is>
      </c>
      <c r="D11" s="63" t="inlineStr">
        <is>
          <t>Catégorie</t>
        </is>
      </c>
      <c r="E11" s="63" t="inlineStr">
        <is>
          <t>Montant</t>
        </is>
      </c>
      <c r="F11" s="63" t="inlineStr">
        <is>
          <t>Devise</t>
        </is>
      </c>
      <c r="G11" s="63" t="inlineStr">
        <is>
          <t>Fréquence</t>
        </is>
      </c>
      <c r="H11" s="63" t="inlineStr">
        <is>
          <t>Compte</t>
        </is>
      </c>
      <c r="I11" s="63" t="inlineStr">
        <is>
          <t>Moyen</t>
        </is>
      </c>
      <c r="J11" s="63" t="inlineStr">
        <is>
          <t>Actif</t>
        </is>
      </c>
      <c r="K11" s="63" t="inlineStr">
        <is>
          <t>Coût mensuel</t>
        </is>
      </c>
      <c r="L11" s="63" t="inlineStr">
        <is>
          <t>Coût annuel</t>
        </is>
      </c>
      <c r="M11" s="63" t="inlineStr">
        <is>
          <t>Prochaine échéance</t>
        </is>
      </c>
      <c r="N11" s="63" t="inlineStr">
        <is>
          <t>Alerte</t>
        </is>
      </c>
      <c r="O11" s="63" t="inlineStr">
        <is>
          <t>Notes</t>
        </is>
      </c>
    </row>
    <row r="12">
      <c r="B12" s="54" t="n"/>
      <c r="C12" s="54" t="n"/>
      <c r="D12" s="54" t="n"/>
      <c r="E12" s="65" t="n"/>
      <c r="F12" s="110" t="n"/>
      <c r="G12" s="105" t="n"/>
      <c r="H12" s="105" t="n"/>
      <c r="I12" s="54" t="n"/>
      <c r="J12" s="110" t="inlineStr">
        <is>
          <t>Oui</t>
        </is>
      </c>
      <c r="K12" s="234">
        <f>IF($E12="","",ROUND($E12*IFERROR(INDEX(Facteurs_Frequence,MATCH($G12,Liste_Frequences,0)),1)*IFERROR(INDEX(Taux_Devises,MATCH(IF($F12="",Devise_Base,$F12),Codes_Devises,0)),1),0))</f>
        <v/>
      </c>
      <c r="L12" s="234">
        <f>IF($K12="","",$K12*12)</f>
        <v/>
      </c>
      <c r="M12" s="226">
        <f>IF($H12="","",$H12)</f>
        <v/>
      </c>
      <c r="N12" s="106">
        <f>IF($H12="","",IF($H12&lt;TODAY(),"⚠ En retard",IF($H12&lt;=TODAY()+7,"⏳ Sous 7 jours",IF($H12&lt;=TODAY()+30,"À venir (30 j)","OK"))))</f>
        <v/>
      </c>
      <c r="O12" s="92" t="n"/>
    </row>
    <row r="13">
      <c r="B13" s="54" t="n"/>
      <c r="C13" s="54" t="n"/>
      <c r="D13" s="54" t="n"/>
      <c r="E13" s="65" t="n"/>
      <c r="F13" s="110" t="n"/>
      <c r="G13" s="105" t="n"/>
      <c r="H13" s="105" t="n"/>
      <c r="I13" s="54" t="n"/>
      <c r="J13" s="110" t="n"/>
      <c r="K13" s="234">
        <f>IF($E13="","",ROUND($E13*IFERROR(INDEX(Facteurs_Frequence,MATCH($G13,Liste_Frequences,0)),1)*IFERROR(INDEX(Taux_Devises,MATCH(IF($F13="",Devise_Base,$F13),Codes_Devises,0)),1),0))</f>
        <v/>
      </c>
      <c r="L13" s="234">
        <f>IF($K13="","",$K13*12)</f>
        <v/>
      </c>
      <c r="M13" s="226">
        <f>IF($H13="","",$H13)</f>
        <v/>
      </c>
      <c r="N13" s="106">
        <f>IF($H13="","",IF($H13&lt;TODAY(),"⚠ En retard",IF($H13&lt;=TODAY()+7,"⏳ Sous 7 jours",IF($H13&lt;=TODAY()+30,"À venir (30 j)","OK"))))</f>
        <v/>
      </c>
      <c r="O13" s="92" t="n"/>
    </row>
    <row r="14">
      <c r="B14" s="54" t="n"/>
      <c r="C14" s="54" t="n"/>
      <c r="D14" s="54" t="n"/>
      <c r="E14" s="65" t="n"/>
      <c r="F14" s="110" t="n"/>
      <c r="G14" s="105" t="n"/>
      <c r="H14" s="105" t="n"/>
      <c r="I14" s="54" t="n"/>
      <c r="J14" s="110" t="n"/>
      <c r="K14" s="234">
        <f>IF($E14="","",ROUND($E14*IFERROR(INDEX(Facteurs_Frequence,MATCH($G14,Liste_Frequences,0)),1)*IFERROR(INDEX(Taux_Devises,MATCH(IF($F14="",Devise_Base,$F14),Codes_Devises,0)),1),0))</f>
        <v/>
      </c>
      <c r="L14" s="234">
        <f>IF($K14="","",$K14*12)</f>
        <v/>
      </c>
      <c r="M14" s="226">
        <f>IF($H14="","",$H14)</f>
        <v/>
      </c>
      <c r="N14" s="106">
        <f>IF($H14="","",IF($H14&lt;TODAY(),"⚠ En retard",IF($H14&lt;=TODAY()+7,"⏳ Sous 7 jours",IF($H14&lt;=TODAY()+30,"À venir (30 j)","OK"))))</f>
        <v/>
      </c>
      <c r="O14" s="92" t="n"/>
    </row>
    <row r="15">
      <c r="B15" s="54" t="n"/>
      <c r="C15" s="54" t="n"/>
      <c r="D15" s="54" t="n"/>
      <c r="E15" s="65" t="n"/>
      <c r="F15" s="110" t="n"/>
      <c r="G15" s="105" t="n"/>
      <c r="H15" s="105" t="n"/>
      <c r="I15" s="54" t="n"/>
      <c r="J15" s="110" t="n"/>
      <c r="K15" s="234">
        <f>IF($E15="","",ROUND($E15*IFERROR(INDEX(Facteurs_Frequence,MATCH($G15,Liste_Frequences,0)),1)*IFERROR(INDEX(Taux_Devises,MATCH(IF($F15="",Devise_Base,$F15),Codes_Devises,0)),1),0))</f>
        <v/>
      </c>
      <c r="L15" s="234">
        <f>IF($K15="","",$K15*12)</f>
        <v/>
      </c>
      <c r="M15" s="226">
        <f>IF($H15="","",$H15)</f>
        <v/>
      </c>
      <c r="N15" s="106">
        <f>IF($H15="","",IF($H15&lt;TODAY(),"⚠ En retard",IF($H15&lt;=TODAY()+7,"⏳ Sous 7 jours",IF($H15&lt;=TODAY()+30,"À venir (30 j)","OK"))))</f>
        <v/>
      </c>
      <c r="O15" s="92" t="n"/>
    </row>
    <row r="16">
      <c r="B16" s="54" t="n"/>
      <c r="C16" s="54" t="n"/>
      <c r="D16" s="54" t="n"/>
      <c r="E16" s="65" t="n"/>
      <c r="F16" s="110" t="n"/>
      <c r="G16" s="105" t="n"/>
      <c r="H16" s="105" t="n"/>
      <c r="I16" s="54" t="n"/>
      <c r="J16" s="110" t="n"/>
      <c r="K16" s="234">
        <f>IF($E16="","",ROUND($E16*IFERROR(INDEX(Facteurs_Frequence,MATCH($G16,Liste_Frequences,0)),1)*IFERROR(INDEX(Taux_Devises,MATCH(IF($F16="",Devise_Base,$F16),Codes_Devises,0)),1),0))</f>
        <v/>
      </c>
      <c r="L16" s="234">
        <f>IF($K16="","",$K16*12)</f>
        <v/>
      </c>
      <c r="M16" s="226">
        <f>IF($H16="","",$H16)</f>
        <v/>
      </c>
      <c r="N16" s="106">
        <f>IF($H16="","",IF($H16&lt;TODAY(),"⚠ En retard",IF($H16&lt;=TODAY()+7,"⏳ Sous 7 jours",IF($H16&lt;=TODAY()+30,"À venir (30 j)","OK"))))</f>
        <v/>
      </c>
      <c r="O16" s="92" t="n"/>
    </row>
    <row r="17">
      <c r="B17" s="54" t="n"/>
      <c r="C17" s="54" t="n"/>
      <c r="D17" s="54" t="n"/>
      <c r="E17" s="65" t="n"/>
      <c r="F17" s="110" t="n"/>
      <c r="G17" s="105" t="n"/>
      <c r="H17" s="105" t="n"/>
      <c r="I17" s="54" t="n"/>
      <c r="J17" s="110" t="n"/>
      <c r="K17" s="234">
        <f>IF($E17="","",ROUND($E17*IFERROR(INDEX(Facteurs_Frequence,MATCH($G17,Liste_Frequences,0)),1)*IFERROR(INDEX(Taux_Devises,MATCH(IF($F17="",Devise_Base,$F17),Codes_Devises,0)),1),0))</f>
        <v/>
      </c>
      <c r="L17" s="234">
        <f>IF($K17="","",$K17*12)</f>
        <v/>
      </c>
      <c r="M17" s="226">
        <f>IF($H17="","",$H17)</f>
        <v/>
      </c>
      <c r="N17" s="106">
        <f>IF($H17="","",IF($H17&lt;TODAY(),"⚠ En retard",IF($H17&lt;=TODAY()+7,"⏳ Sous 7 jours",IF($H17&lt;=TODAY()+30,"À venir (30 j)","OK"))))</f>
        <v/>
      </c>
      <c r="O17" s="92" t="n"/>
    </row>
    <row r="18">
      <c r="B18" s="54" t="n"/>
      <c r="C18" s="54" t="n"/>
      <c r="D18" s="54" t="n"/>
      <c r="E18" s="65" t="n"/>
      <c r="F18" s="110" t="n"/>
      <c r="G18" s="105" t="n"/>
      <c r="H18" s="105" t="n"/>
      <c r="I18" s="54" t="n"/>
      <c r="J18" s="110" t="n"/>
      <c r="K18" s="234">
        <f>IF($E18="","",ROUND($E18*IFERROR(INDEX(Facteurs_Frequence,MATCH($G18,Liste_Frequences,0)),1)*IFERROR(INDEX(Taux_Devises,MATCH(IF($F18="",Devise_Base,$F18),Codes_Devises,0)),1),0))</f>
        <v/>
      </c>
      <c r="L18" s="234">
        <f>IF($K18="","",$K18*12)</f>
        <v/>
      </c>
      <c r="M18" s="226">
        <f>IF($H18="","",$H18)</f>
        <v/>
      </c>
      <c r="N18" s="106">
        <f>IF($H18="","",IF($H18&lt;TODAY(),"⚠ En retard",IF($H18&lt;=TODAY()+7,"⏳ Sous 7 jours",IF($H18&lt;=TODAY()+30,"À venir (30 j)","OK"))))</f>
        <v/>
      </c>
      <c r="O18" s="92" t="n"/>
    </row>
    <row r="19">
      <c r="B19" s="54" t="n"/>
      <c r="C19" s="54" t="n"/>
      <c r="D19" s="54" t="n"/>
      <c r="E19" s="65" t="n"/>
      <c r="F19" s="110" t="n"/>
      <c r="G19" s="105" t="n"/>
      <c r="H19" s="105" t="n"/>
      <c r="I19" s="54" t="n"/>
      <c r="J19" s="110" t="n"/>
      <c r="K19" s="234">
        <f>IF($E19="","",ROUND($E19*IFERROR(INDEX(Facteurs_Frequence,MATCH($G19,Liste_Frequences,0)),1)*IFERROR(INDEX(Taux_Devises,MATCH(IF($F19="",Devise_Base,$F19),Codes_Devises,0)),1),0))</f>
        <v/>
      </c>
      <c r="L19" s="234">
        <f>IF($K19="","",$K19*12)</f>
        <v/>
      </c>
      <c r="M19" s="226">
        <f>IF($H19="","",$H19)</f>
        <v/>
      </c>
      <c r="N19" s="106">
        <f>IF($H19="","",IF($H19&lt;TODAY(),"⚠ En retard",IF($H19&lt;=TODAY()+7,"⏳ Sous 7 jours",IF($H19&lt;=TODAY()+30,"À venir (30 j)","OK"))))</f>
        <v/>
      </c>
      <c r="O19" s="92" t="n"/>
    </row>
    <row r="20">
      <c r="B20" s="54" t="n"/>
      <c r="C20" s="54" t="n"/>
      <c r="D20" s="54" t="n"/>
      <c r="E20" s="65" t="n"/>
      <c r="F20" s="110" t="n"/>
      <c r="G20" s="105" t="n"/>
      <c r="H20" s="105" t="n"/>
      <c r="I20" s="54" t="n"/>
      <c r="J20" s="110" t="n"/>
      <c r="K20" s="234">
        <f>IF($E20="","",ROUND($E20*IFERROR(INDEX(Facteurs_Frequence,MATCH($G20,Liste_Frequences,0)),1)*IFERROR(INDEX(Taux_Devises,MATCH(IF($F20="",Devise_Base,$F20),Codes_Devises,0)),1),0))</f>
        <v/>
      </c>
      <c r="L20" s="234">
        <f>IF($K20="","",$K20*12)</f>
        <v/>
      </c>
      <c r="M20" s="226">
        <f>IF($H20="","",$H20)</f>
        <v/>
      </c>
      <c r="N20" s="106">
        <f>IF($H20="","",IF($H20&lt;TODAY(),"⚠ En retard",IF($H20&lt;=TODAY()+7,"⏳ Sous 7 jours",IF($H20&lt;=TODAY()+30,"À venir (30 j)","OK"))))</f>
        <v/>
      </c>
      <c r="O20" s="92" t="n"/>
    </row>
    <row r="21">
      <c r="B21" s="54" t="n"/>
      <c r="C21" s="54" t="n"/>
      <c r="D21" s="54" t="n"/>
      <c r="E21" s="65" t="n"/>
      <c r="F21" s="110" t="n"/>
      <c r="G21" s="105" t="n"/>
      <c r="H21" s="105" t="n"/>
      <c r="I21" s="54" t="n"/>
      <c r="J21" s="110" t="n"/>
      <c r="K21" s="234">
        <f>IF($E21="","",ROUND($E21*IFERROR(INDEX(Facteurs_Frequence,MATCH($G21,Liste_Frequences,0)),1)*IFERROR(INDEX(Taux_Devises,MATCH(IF($F21="",Devise_Base,$F21),Codes_Devises,0)),1),0))</f>
        <v/>
      </c>
      <c r="L21" s="234">
        <f>IF($K21="","",$K21*12)</f>
        <v/>
      </c>
      <c r="M21" s="226">
        <f>IF($H21="","",$H21)</f>
        <v/>
      </c>
      <c r="N21" s="106">
        <f>IF($H21="","",IF($H21&lt;TODAY(),"⚠ En retard",IF($H21&lt;=TODAY()+7,"⏳ Sous 7 jours",IF($H21&lt;=TODAY()+30,"À venir (30 j)","OK"))))</f>
        <v/>
      </c>
      <c r="O21" s="92" t="n"/>
    </row>
    <row r="22">
      <c r="B22" s="54" t="n"/>
      <c r="C22" s="54" t="n"/>
      <c r="D22" s="54" t="n"/>
      <c r="E22" s="65" t="n"/>
      <c r="F22" s="110" t="n"/>
      <c r="G22" s="105" t="n"/>
      <c r="H22" s="105" t="n"/>
      <c r="I22" s="54" t="n"/>
      <c r="J22" s="110" t="n"/>
      <c r="K22" s="234">
        <f>IF($E22="","",ROUND($E22*IFERROR(INDEX(Facteurs_Frequence,MATCH($G22,Liste_Frequences,0)),1)*IFERROR(INDEX(Taux_Devises,MATCH(IF($F22="",Devise_Base,$F22),Codes_Devises,0)),1),0))</f>
        <v/>
      </c>
      <c r="L22" s="234">
        <f>IF($K22="","",$K22*12)</f>
        <v/>
      </c>
      <c r="M22" s="226">
        <f>IF($H22="","",$H22)</f>
        <v/>
      </c>
      <c r="N22" s="106">
        <f>IF($H22="","",IF($H22&lt;TODAY(),"⚠ En retard",IF($H22&lt;=TODAY()+7,"⏳ Sous 7 jours",IF($H22&lt;=TODAY()+30,"À venir (30 j)","OK"))))</f>
        <v/>
      </c>
      <c r="O22" s="92" t="n"/>
    </row>
    <row r="23">
      <c r="B23" s="54" t="n"/>
      <c r="C23" s="54" t="n"/>
      <c r="D23" s="54" t="n"/>
      <c r="E23" s="65" t="n"/>
      <c r="F23" s="110" t="n"/>
      <c r="G23" s="105" t="n"/>
      <c r="H23" s="105" t="n"/>
      <c r="I23" s="54" t="n"/>
      <c r="J23" s="110" t="n"/>
      <c r="K23" s="234">
        <f>IF($E23="","",ROUND($E23*IFERROR(INDEX(Facteurs_Frequence,MATCH($G23,Liste_Frequences,0)),1)*IFERROR(INDEX(Taux_Devises,MATCH(IF($F23="",Devise_Base,$F23),Codes_Devises,0)),1),0))</f>
        <v/>
      </c>
      <c r="L23" s="234">
        <f>IF($K23="","",$K23*12)</f>
        <v/>
      </c>
      <c r="M23" s="226">
        <f>IF($H23="","",$H23)</f>
        <v/>
      </c>
      <c r="N23" s="106">
        <f>IF($H23="","",IF($H23&lt;TODAY(),"⚠ En retard",IF($H23&lt;=TODAY()+7,"⏳ Sous 7 jours",IF($H23&lt;=TODAY()+30,"À venir (30 j)","OK"))))</f>
        <v/>
      </c>
      <c r="O23" s="92" t="n"/>
    </row>
    <row r="24">
      <c r="B24" s="54" t="n"/>
      <c r="C24" s="54" t="n"/>
      <c r="D24" s="54" t="n"/>
      <c r="E24" s="65" t="n"/>
      <c r="F24" s="110" t="n"/>
      <c r="G24" s="105" t="n"/>
      <c r="H24" s="105" t="n"/>
      <c r="I24" s="54" t="n"/>
      <c r="J24" s="110" t="n"/>
      <c r="K24" s="234">
        <f>IF($E24="","",ROUND($E24*IFERROR(INDEX(Facteurs_Frequence,MATCH($G24,Liste_Frequences,0)),1)*IFERROR(INDEX(Taux_Devises,MATCH(IF($F24="",Devise_Base,$F24),Codes_Devises,0)),1),0))</f>
        <v/>
      </c>
      <c r="L24" s="234">
        <f>IF($K24="","",$K24*12)</f>
        <v/>
      </c>
      <c r="M24" s="226">
        <f>IF($H24="","",$H24)</f>
        <v/>
      </c>
      <c r="N24" s="106">
        <f>IF($H24="","",IF($H24&lt;TODAY(),"⚠ En retard",IF($H24&lt;=TODAY()+7,"⏳ Sous 7 jours",IF($H24&lt;=TODAY()+30,"À venir (30 j)","OK"))))</f>
        <v/>
      </c>
      <c r="O24" s="92" t="n"/>
    </row>
    <row r="25">
      <c r="B25" s="54" t="n"/>
      <c r="C25" s="54" t="n"/>
      <c r="D25" s="54" t="n"/>
      <c r="E25" s="65" t="n"/>
      <c r="F25" s="110" t="n"/>
      <c r="G25" s="105" t="n"/>
      <c r="H25" s="105" t="n"/>
      <c r="I25" s="54" t="n"/>
      <c r="J25" s="110" t="n"/>
      <c r="K25" s="234">
        <f>IF($E25="","",ROUND($E25*IFERROR(INDEX(Facteurs_Frequence,MATCH($G25,Liste_Frequences,0)),1)*IFERROR(INDEX(Taux_Devises,MATCH(IF($F25="",Devise_Base,$F25),Codes_Devises,0)),1),0))</f>
        <v/>
      </c>
      <c r="L25" s="234">
        <f>IF($K25="","",$K25*12)</f>
        <v/>
      </c>
      <c r="M25" s="226">
        <f>IF($H25="","",$H25)</f>
        <v/>
      </c>
      <c r="N25" s="106">
        <f>IF($H25="","",IF($H25&lt;TODAY(),"⚠ En retard",IF($H25&lt;=TODAY()+7,"⏳ Sous 7 jours",IF($H25&lt;=TODAY()+30,"À venir (30 j)","OK"))))</f>
        <v/>
      </c>
      <c r="O25" s="92" t="n"/>
    </row>
    <row r="26">
      <c r="B26" s="54" t="n"/>
      <c r="C26" s="54" t="n"/>
      <c r="D26" s="54" t="n"/>
      <c r="E26" s="65" t="n"/>
      <c r="F26" s="110" t="n"/>
      <c r="G26" s="105" t="n"/>
      <c r="H26" s="105" t="n"/>
      <c r="I26" s="54" t="n"/>
      <c r="J26" s="110" t="n"/>
      <c r="K26" s="234">
        <f>IF($E26="","",ROUND($E26*IFERROR(INDEX(Facteurs_Frequence,MATCH($G26,Liste_Frequences,0)),1)*IFERROR(INDEX(Taux_Devises,MATCH(IF($F26="",Devise_Base,$F26),Codes_Devises,0)),1),0))</f>
        <v/>
      </c>
      <c r="L26" s="234">
        <f>IF($K26="","",$K26*12)</f>
        <v/>
      </c>
      <c r="M26" s="226">
        <f>IF($H26="","",$H26)</f>
        <v/>
      </c>
      <c r="N26" s="106">
        <f>IF($H26="","",IF($H26&lt;TODAY(),"⚠ En retard",IF($H26&lt;=TODAY()+7,"⏳ Sous 7 jours",IF($H26&lt;=TODAY()+30,"À venir (30 j)","OK"))))</f>
        <v/>
      </c>
      <c r="O26" s="92" t="n"/>
    </row>
    <row r="27">
      <c r="B27" s="54" t="n"/>
      <c r="C27" s="54" t="n"/>
      <c r="D27" s="54" t="n"/>
      <c r="E27" s="65" t="n"/>
      <c r="F27" s="110" t="n"/>
      <c r="G27" s="105" t="n"/>
      <c r="H27" s="105" t="n"/>
      <c r="I27" s="54" t="n"/>
      <c r="J27" s="110" t="n"/>
      <c r="K27" s="234">
        <f>IF($E27="","",ROUND($E27*IFERROR(INDEX(Facteurs_Frequence,MATCH($G27,Liste_Frequences,0)),1)*IFERROR(INDEX(Taux_Devises,MATCH(IF($F27="",Devise_Base,$F27),Codes_Devises,0)),1),0))</f>
        <v/>
      </c>
      <c r="L27" s="234">
        <f>IF($K27="","",$K27*12)</f>
        <v/>
      </c>
      <c r="M27" s="226">
        <f>IF($H27="","",$H27)</f>
        <v/>
      </c>
      <c r="N27" s="106">
        <f>IF($H27="","",IF($H27&lt;TODAY(),"⚠ En retard",IF($H27&lt;=TODAY()+7,"⏳ Sous 7 jours",IF($H27&lt;=TODAY()+30,"À venir (30 j)","OK"))))</f>
        <v/>
      </c>
      <c r="O27" s="92" t="n"/>
    </row>
    <row r="28">
      <c r="B28" s="54" t="n"/>
      <c r="C28" s="54" t="n"/>
      <c r="D28" s="54" t="n"/>
      <c r="E28" s="65" t="n"/>
      <c r="F28" s="110" t="n"/>
      <c r="G28" s="105" t="n"/>
      <c r="H28" s="105" t="n"/>
      <c r="I28" s="54" t="n"/>
      <c r="J28" s="110" t="n"/>
      <c r="K28" s="234">
        <f>IF($E28="","",ROUND($E28*IFERROR(INDEX(Facteurs_Frequence,MATCH($G28,Liste_Frequences,0)),1)*IFERROR(INDEX(Taux_Devises,MATCH(IF($F28="",Devise_Base,$F28),Codes_Devises,0)),1),0))</f>
        <v/>
      </c>
      <c r="L28" s="234">
        <f>IF($K28="","",$K28*12)</f>
        <v/>
      </c>
      <c r="M28" s="226">
        <f>IF($H28="","",$H28)</f>
        <v/>
      </c>
      <c r="N28" s="106">
        <f>IF($H28="","",IF($H28&lt;TODAY(),"⚠ En retard",IF($H28&lt;=TODAY()+7,"⏳ Sous 7 jours",IF($H28&lt;=TODAY()+30,"À venir (30 j)","OK"))))</f>
        <v/>
      </c>
      <c r="O28" s="92" t="n"/>
    </row>
    <row r="29">
      <c r="B29" s="54" t="n"/>
      <c r="C29" s="54" t="n"/>
      <c r="D29" s="54" t="n"/>
      <c r="E29" s="65" t="n"/>
      <c r="F29" s="110" t="n"/>
      <c r="G29" s="105" t="n"/>
      <c r="H29" s="105" t="n"/>
      <c r="I29" s="54" t="n"/>
      <c r="J29" s="110" t="n"/>
      <c r="K29" s="234">
        <f>IF($E29="","",ROUND($E29*IFERROR(INDEX(Facteurs_Frequence,MATCH($G29,Liste_Frequences,0)),1)*IFERROR(INDEX(Taux_Devises,MATCH(IF($F29="",Devise_Base,$F29),Codes_Devises,0)),1),0))</f>
        <v/>
      </c>
      <c r="L29" s="234">
        <f>IF($K29="","",$K29*12)</f>
        <v/>
      </c>
      <c r="M29" s="226">
        <f>IF($H29="","",$H29)</f>
        <v/>
      </c>
      <c r="N29" s="106">
        <f>IF($H29="","",IF($H29&lt;TODAY(),"⚠ En retard",IF($H29&lt;=TODAY()+7,"⏳ Sous 7 jours",IF($H29&lt;=TODAY()+30,"À venir (30 j)","OK"))))</f>
        <v/>
      </c>
      <c r="O29" s="92" t="n"/>
    </row>
    <row r="30">
      <c r="B30" s="54" t="n"/>
      <c r="C30" s="54" t="n"/>
      <c r="D30" s="54" t="n"/>
      <c r="E30" s="65" t="n"/>
      <c r="F30" s="110" t="n"/>
      <c r="G30" s="105" t="n"/>
      <c r="H30" s="105" t="n"/>
      <c r="I30" s="54" t="n"/>
      <c r="J30" s="110" t="n"/>
      <c r="K30" s="234">
        <f>IF($E30="","",ROUND($E30*IFERROR(INDEX(Facteurs_Frequence,MATCH($G30,Liste_Frequences,0)),1)*IFERROR(INDEX(Taux_Devises,MATCH(IF($F30="",Devise_Base,$F30),Codes_Devises,0)),1),0))</f>
        <v/>
      </c>
      <c r="L30" s="234">
        <f>IF($K30="","",$K30*12)</f>
        <v/>
      </c>
      <c r="M30" s="226">
        <f>IF($H30="","",$H30)</f>
        <v/>
      </c>
      <c r="N30" s="106">
        <f>IF($H30="","",IF($H30&lt;TODAY(),"⚠ En retard",IF($H30&lt;=TODAY()+7,"⏳ Sous 7 jours",IF($H30&lt;=TODAY()+30,"À venir (30 j)","OK"))))</f>
        <v/>
      </c>
      <c r="O30" s="92" t="n"/>
    </row>
    <row r="31">
      <c r="B31" s="54" t="n"/>
      <c r="C31" s="54" t="n"/>
      <c r="D31" s="54" t="n"/>
      <c r="E31" s="65" t="n"/>
      <c r="F31" s="110" t="n"/>
      <c r="G31" s="105" t="n"/>
      <c r="H31" s="105" t="n"/>
      <c r="I31" s="54" t="n"/>
      <c r="J31" s="110" t="n"/>
      <c r="K31" s="234">
        <f>IF($E31="","",ROUND($E31*IFERROR(INDEX(Facteurs_Frequence,MATCH($G31,Liste_Frequences,0)),1)*IFERROR(INDEX(Taux_Devises,MATCH(IF($F31="",Devise_Base,$F31),Codes_Devises,0)),1),0))</f>
        <v/>
      </c>
      <c r="L31" s="234">
        <f>IF($K31="","",$K31*12)</f>
        <v/>
      </c>
      <c r="M31" s="226">
        <f>IF($H31="","",$H31)</f>
        <v/>
      </c>
      <c r="N31" s="106">
        <f>IF($H31="","",IF($H31&lt;TODAY(),"⚠ En retard",IF($H31&lt;=TODAY()+7,"⏳ Sous 7 jours",IF($H31&lt;=TODAY()+30,"À venir (30 j)","OK"))))</f>
        <v/>
      </c>
      <c r="O31" s="92" t="n"/>
    </row>
    <row r="32">
      <c r="B32" s="54" t="n"/>
      <c r="C32" s="54" t="n"/>
      <c r="D32" s="54" t="n"/>
      <c r="E32" s="65" t="n"/>
      <c r="F32" s="110" t="n"/>
      <c r="G32" s="105" t="n"/>
      <c r="H32" s="105" t="n"/>
      <c r="I32" s="54" t="n"/>
      <c r="J32" s="110" t="n"/>
      <c r="K32" s="234">
        <f>IF($E32="","",ROUND($E32*IFERROR(INDEX(Facteurs_Frequence,MATCH($G32,Liste_Frequences,0)),1)*IFERROR(INDEX(Taux_Devises,MATCH(IF($F32="",Devise_Base,$F32),Codes_Devises,0)),1),0))</f>
        <v/>
      </c>
      <c r="L32" s="234">
        <f>IF($K32="","",$K32*12)</f>
        <v/>
      </c>
      <c r="M32" s="226">
        <f>IF($H32="","",$H32)</f>
        <v/>
      </c>
      <c r="N32" s="106">
        <f>IF($H32="","",IF($H32&lt;TODAY(),"⚠ En retard",IF($H32&lt;=TODAY()+7,"⏳ Sous 7 jours",IF($H32&lt;=TODAY()+30,"À venir (30 j)","OK"))))</f>
        <v/>
      </c>
      <c r="O32" s="92" t="n"/>
    </row>
    <row r="33">
      <c r="B33" s="54" t="n"/>
      <c r="C33" s="54" t="n"/>
      <c r="D33" s="54" t="n"/>
      <c r="E33" s="65" t="n"/>
      <c r="F33" s="110" t="n"/>
      <c r="G33" s="105" t="n"/>
      <c r="H33" s="105" t="n"/>
      <c r="I33" s="54" t="n"/>
      <c r="J33" s="110" t="n"/>
      <c r="K33" s="234">
        <f>IF($E33="","",ROUND($E33*IFERROR(INDEX(Facteurs_Frequence,MATCH($G33,Liste_Frequences,0)),1)*IFERROR(INDEX(Taux_Devises,MATCH(IF($F33="",Devise_Base,$F33),Codes_Devises,0)),1),0))</f>
        <v/>
      </c>
      <c r="L33" s="234">
        <f>IF($K33="","",$K33*12)</f>
        <v/>
      </c>
      <c r="M33" s="226">
        <f>IF($H33="","",$H33)</f>
        <v/>
      </c>
      <c r="N33" s="106">
        <f>IF($H33="","",IF($H33&lt;TODAY(),"⚠ En retard",IF($H33&lt;=TODAY()+7,"⏳ Sous 7 jours",IF($H33&lt;=TODAY()+30,"À venir (30 j)","OK"))))</f>
        <v/>
      </c>
      <c r="O33" s="92" t="n"/>
    </row>
    <row r="34">
      <c r="B34" s="54" t="n"/>
      <c r="C34" s="54" t="n"/>
      <c r="D34" s="54" t="n"/>
      <c r="E34" s="65" t="n"/>
      <c r="F34" s="110" t="n"/>
      <c r="G34" s="105" t="n"/>
      <c r="H34" s="105" t="n"/>
      <c r="I34" s="54" t="n"/>
      <c r="J34" s="110" t="n"/>
      <c r="K34" s="234">
        <f>IF($E34="","",ROUND($E34*IFERROR(INDEX(Facteurs_Frequence,MATCH($G34,Liste_Frequences,0)),1)*IFERROR(INDEX(Taux_Devises,MATCH(IF($F34="",Devise_Base,$F34),Codes_Devises,0)),1),0))</f>
        <v/>
      </c>
      <c r="L34" s="234">
        <f>IF($K34="","",$K34*12)</f>
        <v/>
      </c>
      <c r="M34" s="226">
        <f>IF($H34="","",$H34)</f>
        <v/>
      </c>
      <c r="N34" s="106">
        <f>IF($H34="","",IF($H34&lt;TODAY(),"⚠ En retard",IF($H34&lt;=TODAY()+7,"⏳ Sous 7 jours",IF($H34&lt;=TODAY()+30,"À venir (30 j)","OK"))))</f>
        <v/>
      </c>
      <c r="O34" s="92" t="n"/>
    </row>
    <row r="35">
      <c r="B35" s="54" t="n"/>
      <c r="C35" s="54" t="n"/>
      <c r="D35" s="54" t="n"/>
      <c r="E35" s="65" t="n"/>
      <c r="F35" s="110" t="n"/>
      <c r="G35" s="105" t="n"/>
      <c r="H35" s="105" t="n"/>
      <c r="I35" s="54" t="n"/>
      <c r="J35" s="110" t="n"/>
      <c r="K35" s="234">
        <f>IF($E35="","",ROUND($E35*IFERROR(INDEX(Facteurs_Frequence,MATCH($G35,Liste_Frequences,0)),1)*IFERROR(INDEX(Taux_Devises,MATCH(IF($F35="",Devise_Base,$F35),Codes_Devises,0)),1),0))</f>
        <v/>
      </c>
      <c r="L35" s="234">
        <f>IF($K35="","",$K35*12)</f>
        <v/>
      </c>
      <c r="M35" s="226">
        <f>IF($H35="","",$H35)</f>
        <v/>
      </c>
      <c r="N35" s="106">
        <f>IF($H35="","",IF($H35&lt;TODAY(),"⚠ En retard",IF($H35&lt;=TODAY()+7,"⏳ Sous 7 jours",IF($H35&lt;=TODAY()+30,"À venir (30 j)","OK"))))</f>
        <v/>
      </c>
      <c r="O35" s="92" t="n"/>
    </row>
    <row r="36">
      <c r="B36" s="54" t="n"/>
      <c r="C36" s="54" t="n"/>
      <c r="D36" s="54" t="n"/>
      <c r="E36" s="65" t="n"/>
      <c r="F36" s="110" t="n"/>
      <c r="G36" s="105" t="n"/>
      <c r="H36" s="105" t="n"/>
      <c r="I36" s="54" t="n"/>
      <c r="J36" s="110" t="n"/>
      <c r="K36" s="234">
        <f>IF($E36="","",ROUND($E36*IFERROR(INDEX(Facteurs_Frequence,MATCH($G36,Liste_Frequences,0)),1)*IFERROR(INDEX(Taux_Devises,MATCH(IF($F36="",Devise_Base,$F36),Codes_Devises,0)),1),0))</f>
        <v/>
      </c>
      <c r="L36" s="234">
        <f>IF($K36="","",$K36*12)</f>
        <v/>
      </c>
      <c r="M36" s="226">
        <f>IF($H36="","",$H36)</f>
        <v/>
      </c>
      <c r="N36" s="106">
        <f>IF($H36="","",IF($H36&lt;TODAY(),"⚠ En retard",IF($H36&lt;=TODAY()+7,"⏳ Sous 7 jours",IF($H36&lt;=TODAY()+30,"À venir (30 j)","OK"))))</f>
        <v/>
      </c>
      <c r="O36" s="92" t="n"/>
    </row>
    <row r="37">
      <c r="B37" s="54" t="n"/>
      <c r="C37" s="54" t="n"/>
      <c r="D37" s="54" t="n"/>
      <c r="E37" s="65" t="n"/>
      <c r="F37" s="110" t="n"/>
      <c r="G37" s="105" t="n"/>
      <c r="H37" s="105" t="n"/>
      <c r="I37" s="54" t="n"/>
      <c r="J37" s="110" t="n"/>
      <c r="K37" s="234">
        <f>IF($E37="","",ROUND($E37*IFERROR(INDEX(Facteurs_Frequence,MATCH($G37,Liste_Frequences,0)),1)*IFERROR(INDEX(Taux_Devises,MATCH(IF($F37="",Devise_Base,$F37),Codes_Devises,0)),1),0))</f>
        <v/>
      </c>
      <c r="L37" s="234">
        <f>IF($K37="","",$K37*12)</f>
        <v/>
      </c>
      <c r="M37" s="226">
        <f>IF($H37="","",$H37)</f>
        <v/>
      </c>
      <c r="N37" s="106">
        <f>IF($H37="","",IF($H37&lt;TODAY(),"⚠ En retard",IF($H37&lt;=TODAY()+7,"⏳ Sous 7 jours",IF($H37&lt;=TODAY()+30,"À venir (30 j)","OK"))))</f>
        <v/>
      </c>
      <c r="O37" s="92" t="n"/>
    </row>
    <row r="38">
      <c r="B38" s="54" t="n"/>
      <c r="C38" s="54" t="n"/>
      <c r="D38" s="54" t="n"/>
      <c r="E38" s="65" t="n"/>
      <c r="F38" s="110" t="n"/>
      <c r="G38" s="105" t="n"/>
      <c r="H38" s="105" t="n"/>
      <c r="I38" s="54" t="n"/>
      <c r="J38" s="110" t="n"/>
      <c r="K38" s="234">
        <f>IF($E38="","",ROUND($E38*IFERROR(INDEX(Facteurs_Frequence,MATCH($G38,Liste_Frequences,0)),1)*IFERROR(INDEX(Taux_Devises,MATCH(IF($F38="",Devise_Base,$F38),Codes_Devises,0)),1),0))</f>
        <v/>
      </c>
      <c r="L38" s="234">
        <f>IF($K38="","",$K38*12)</f>
        <v/>
      </c>
      <c r="M38" s="226">
        <f>IF($H38="","",$H38)</f>
        <v/>
      </c>
      <c r="N38" s="106">
        <f>IF($H38="","",IF($H38&lt;TODAY(),"⚠ En retard",IF($H38&lt;=TODAY()+7,"⏳ Sous 7 jours",IF($H38&lt;=TODAY()+30,"À venir (30 j)","OK"))))</f>
        <v/>
      </c>
      <c r="O38" s="92" t="n"/>
    </row>
    <row r="39">
      <c r="B39" s="54" t="n"/>
      <c r="C39" s="54" t="n"/>
      <c r="D39" s="54" t="n"/>
      <c r="E39" s="65" t="n"/>
      <c r="F39" s="110" t="n"/>
      <c r="G39" s="105" t="n"/>
      <c r="H39" s="105" t="n"/>
      <c r="I39" s="54" t="n"/>
      <c r="J39" s="110" t="n"/>
      <c r="K39" s="234">
        <f>IF($E39="","",ROUND($E39*IFERROR(INDEX(Facteurs_Frequence,MATCH($G39,Liste_Frequences,0)),1)*IFERROR(INDEX(Taux_Devises,MATCH(IF($F39="",Devise_Base,$F39),Codes_Devises,0)),1),0))</f>
        <v/>
      </c>
      <c r="L39" s="234">
        <f>IF($K39="","",$K39*12)</f>
        <v/>
      </c>
      <c r="M39" s="226">
        <f>IF($H39="","",$H39)</f>
        <v/>
      </c>
      <c r="N39" s="106">
        <f>IF($H39="","",IF($H39&lt;TODAY(),"⚠ En retard",IF($H39&lt;=TODAY()+7,"⏳ Sous 7 jours",IF($H39&lt;=TODAY()+30,"À venir (30 j)","OK"))))</f>
        <v/>
      </c>
      <c r="O39" s="92" t="n"/>
    </row>
    <row r="40">
      <c r="B40" s="54" t="n"/>
      <c r="C40" s="54" t="n"/>
      <c r="D40" s="54" t="n"/>
      <c r="E40" s="65" t="n"/>
      <c r="F40" s="110" t="n"/>
      <c r="G40" s="105" t="n"/>
      <c r="H40" s="105" t="n"/>
      <c r="I40" s="54" t="n"/>
      <c r="J40" s="110" t="n"/>
      <c r="K40" s="234">
        <f>IF($E40="","",ROUND($E40*IFERROR(INDEX(Facteurs_Frequence,MATCH($G40,Liste_Frequences,0)),1)*IFERROR(INDEX(Taux_Devises,MATCH(IF($F40="",Devise_Base,$F40),Codes_Devises,0)),1),0))</f>
        <v/>
      </c>
      <c r="L40" s="234">
        <f>IF($K40="","",$K40*12)</f>
        <v/>
      </c>
      <c r="M40" s="226">
        <f>IF($H40="","",$H40)</f>
        <v/>
      </c>
      <c r="N40" s="106">
        <f>IF($H40="","",IF($H40&lt;TODAY(),"⚠ En retard",IF($H40&lt;=TODAY()+7,"⏳ Sous 7 jours",IF($H40&lt;=TODAY()+30,"À venir (30 j)","OK"))))</f>
        <v/>
      </c>
      <c r="O40" s="92" t="n"/>
    </row>
    <row r="41">
      <c r="B41" s="54" t="n"/>
      <c r="C41" s="54" t="n"/>
      <c r="D41" s="54" t="n"/>
      <c r="E41" s="65" t="n"/>
      <c r="F41" s="110" t="n"/>
      <c r="G41" s="105" t="n"/>
      <c r="H41" s="105" t="n"/>
      <c r="I41" s="54" t="n"/>
      <c r="J41" s="110" t="n"/>
      <c r="K41" s="234">
        <f>IF($E41="","",ROUND($E41*IFERROR(INDEX(Facteurs_Frequence,MATCH($G41,Liste_Frequences,0)),1)*IFERROR(INDEX(Taux_Devises,MATCH(IF($F41="",Devise_Base,$F41),Codes_Devises,0)),1),0))</f>
        <v/>
      </c>
      <c r="L41" s="234">
        <f>IF($K41="","",$K41*12)</f>
        <v/>
      </c>
      <c r="M41" s="226">
        <f>IF($H41="","",$H41)</f>
        <v/>
      </c>
      <c r="N41" s="106">
        <f>IF($H41="","",IF($H41&lt;TODAY(),"⚠ En retard",IF($H41&lt;=TODAY()+7,"⏳ Sous 7 jours",IF($H41&lt;=TODAY()+30,"À venir (30 j)","OK"))))</f>
        <v/>
      </c>
      <c r="O41" s="92" t="n"/>
    </row>
    <row r="42">
      <c r="B42" s="54" t="n"/>
      <c r="C42" s="54" t="n"/>
      <c r="D42" s="54" t="n"/>
      <c r="E42" s="65" t="n"/>
      <c r="F42" s="110" t="n"/>
      <c r="G42" s="105" t="n"/>
      <c r="H42" s="105" t="n"/>
      <c r="I42" s="54" t="n"/>
      <c r="J42" s="110" t="n"/>
      <c r="K42" s="234">
        <f>IF($E42="","",ROUND($E42*IFERROR(INDEX(Facteurs_Frequence,MATCH($G42,Liste_Frequences,0)),1)*IFERROR(INDEX(Taux_Devises,MATCH(IF($F42="",Devise_Base,$F42),Codes_Devises,0)),1),0))</f>
        <v/>
      </c>
      <c r="L42" s="234">
        <f>IF($K42="","",$K42*12)</f>
        <v/>
      </c>
      <c r="M42" s="226">
        <f>IF($H42="","",$H42)</f>
        <v/>
      </c>
      <c r="N42" s="106">
        <f>IF($H42="","",IF($H42&lt;TODAY(),"⚠ En retard",IF($H42&lt;=TODAY()+7,"⏳ Sous 7 jours",IF($H42&lt;=TODAY()+30,"À venir (30 j)","OK"))))</f>
        <v/>
      </c>
      <c r="O42" s="92" t="n"/>
    </row>
    <row r="43">
      <c r="B43" s="54" t="n"/>
      <c r="C43" s="54" t="n"/>
      <c r="D43" s="54" t="n"/>
      <c r="E43" s="65" t="n"/>
      <c r="F43" s="110" t="n"/>
      <c r="G43" s="105" t="n"/>
      <c r="H43" s="105" t="n"/>
      <c r="I43" s="54" t="n"/>
      <c r="J43" s="110" t="n"/>
      <c r="K43" s="234">
        <f>IF($E43="","",ROUND($E43*IFERROR(INDEX(Facteurs_Frequence,MATCH($G43,Liste_Frequences,0)),1)*IFERROR(INDEX(Taux_Devises,MATCH(IF($F43="",Devise_Base,$F43),Codes_Devises,0)),1),0))</f>
        <v/>
      </c>
      <c r="L43" s="234">
        <f>IF($K43="","",$K43*12)</f>
        <v/>
      </c>
      <c r="M43" s="226">
        <f>IF($H43="","",$H43)</f>
        <v/>
      </c>
      <c r="N43" s="106">
        <f>IF($H43="","",IF($H43&lt;TODAY(),"⚠ En retard",IF($H43&lt;=TODAY()+7,"⏳ Sous 7 jours",IF($H43&lt;=TODAY()+30,"À venir (30 j)","OK"))))</f>
        <v/>
      </c>
      <c r="O43" s="92" t="n"/>
    </row>
    <row r="44">
      <c r="B44" s="54" t="n"/>
      <c r="C44" s="54" t="n"/>
      <c r="D44" s="54" t="n"/>
      <c r="E44" s="65" t="n"/>
      <c r="F44" s="110" t="n"/>
      <c r="G44" s="105" t="n"/>
      <c r="H44" s="105" t="n"/>
      <c r="I44" s="54" t="n"/>
      <c r="J44" s="110" t="n"/>
      <c r="K44" s="234">
        <f>IF($E44="","",ROUND($E44*IFERROR(INDEX(Facteurs_Frequence,MATCH($G44,Liste_Frequences,0)),1)*IFERROR(INDEX(Taux_Devises,MATCH(IF($F44="",Devise_Base,$F44),Codes_Devises,0)),1),0))</f>
        <v/>
      </c>
      <c r="L44" s="234">
        <f>IF($K44="","",$K44*12)</f>
        <v/>
      </c>
      <c r="M44" s="226">
        <f>IF($H44="","",$H44)</f>
        <v/>
      </c>
      <c r="N44" s="106">
        <f>IF($H44="","",IF($H44&lt;TODAY(),"⚠ En retard",IF($H44&lt;=TODAY()+7,"⏳ Sous 7 jours",IF($H44&lt;=TODAY()+30,"À venir (30 j)","OK"))))</f>
        <v/>
      </c>
      <c r="O44" s="92" t="n"/>
    </row>
    <row r="45">
      <c r="B45" s="54" t="n"/>
      <c r="C45" s="54" t="n"/>
      <c r="D45" s="54" t="n"/>
      <c r="E45" s="65" t="n"/>
      <c r="F45" s="110" t="n"/>
      <c r="G45" s="105" t="n"/>
      <c r="H45" s="105" t="n"/>
      <c r="I45" s="54" t="n"/>
      <c r="J45" s="110" t="n"/>
      <c r="K45" s="234">
        <f>IF($E45="","",ROUND($E45*IFERROR(INDEX(Facteurs_Frequence,MATCH($G45,Liste_Frequences,0)),1)*IFERROR(INDEX(Taux_Devises,MATCH(IF($F45="",Devise_Base,$F45),Codes_Devises,0)),1),0))</f>
        <v/>
      </c>
      <c r="L45" s="234">
        <f>IF($K45="","",$K45*12)</f>
        <v/>
      </c>
      <c r="M45" s="226">
        <f>IF($H45="","",$H45)</f>
        <v/>
      </c>
      <c r="N45" s="106">
        <f>IF($H45="","",IF($H45&lt;TODAY(),"⚠ En retard",IF($H45&lt;=TODAY()+7,"⏳ Sous 7 jours",IF($H45&lt;=TODAY()+30,"À venir (30 j)","OK"))))</f>
        <v/>
      </c>
      <c r="O45" s="92" t="n"/>
    </row>
    <row r="46">
      <c r="B46" s="54" t="n"/>
      <c r="C46" s="54" t="n"/>
      <c r="D46" s="54" t="n"/>
      <c r="E46" s="65" t="n"/>
      <c r="F46" s="110" t="n"/>
      <c r="G46" s="105" t="n"/>
      <c r="H46" s="105" t="n"/>
      <c r="I46" s="54" t="n"/>
      <c r="J46" s="110" t="n"/>
      <c r="K46" s="234">
        <f>IF($E46="","",ROUND($E46*IFERROR(INDEX(Facteurs_Frequence,MATCH($G46,Liste_Frequences,0)),1)*IFERROR(INDEX(Taux_Devises,MATCH(IF($F46="",Devise_Base,$F46),Codes_Devises,0)),1),0))</f>
        <v/>
      </c>
      <c r="L46" s="234">
        <f>IF($K46="","",$K46*12)</f>
        <v/>
      </c>
      <c r="M46" s="226">
        <f>IF($H46="","",$H46)</f>
        <v/>
      </c>
      <c r="N46" s="106">
        <f>IF($H46="","",IF($H46&lt;TODAY(),"⚠ En retard",IF($H46&lt;=TODAY()+7,"⏳ Sous 7 jours",IF($H46&lt;=TODAY()+30,"À venir (30 j)","OK"))))</f>
        <v/>
      </c>
      <c r="O46" s="92" t="n"/>
    </row>
    <row r="47">
      <c r="B47" s="54" t="n"/>
      <c r="C47" s="54" t="n"/>
      <c r="D47" s="54" t="n"/>
      <c r="E47" s="65" t="n"/>
      <c r="F47" s="110" t="n"/>
      <c r="G47" s="105" t="n"/>
      <c r="H47" s="105" t="n"/>
      <c r="I47" s="54" t="n"/>
      <c r="J47" s="110" t="n"/>
      <c r="K47" s="234">
        <f>IF($E47="","",ROUND($E47*IFERROR(INDEX(Facteurs_Frequence,MATCH($G47,Liste_Frequences,0)),1)*IFERROR(INDEX(Taux_Devises,MATCH(IF($F47="",Devise_Base,$F47),Codes_Devises,0)),1),0))</f>
        <v/>
      </c>
      <c r="L47" s="234">
        <f>IF($K47="","",$K47*12)</f>
        <v/>
      </c>
      <c r="M47" s="226">
        <f>IF($H47="","",$H47)</f>
        <v/>
      </c>
      <c r="N47" s="106">
        <f>IF($H47="","",IF($H47&lt;TODAY(),"⚠ En retard",IF($H47&lt;=TODAY()+7,"⏳ Sous 7 jours",IF($H47&lt;=TODAY()+30,"À venir (30 j)","OK"))))</f>
        <v/>
      </c>
      <c r="O47" s="92" t="n"/>
    </row>
    <row r="48">
      <c r="B48" s="54" t="n"/>
      <c r="C48" s="54" t="n"/>
      <c r="D48" s="54" t="n"/>
      <c r="E48" s="65" t="n"/>
      <c r="F48" s="110" t="n"/>
      <c r="G48" s="105" t="n"/>
      <c r="H48" s="105" t="n"/>
      <c r="I48" s="54" t="n"/>
      <c r="J48" s="110" t="n"/>
      <c r="K48" s="234">
        <f>IF($E48="","",ROUND($E48*IFERROR(INDEX(Facteurs_Frequence,MATCH($G48,Liste_Frequences,0)),1)*IFERROR(INDEX(Taux_Devises,MATCH(IF($F48="",Devise_Base,$F48),Codes_Devises,0)),1),0))</f>
        <v/>
      </c>
      <c r="L48" s="234">
        <f>IF($K48="","",$K48*12)</f>
        <v/>
      </c>
      <c r="M48" s="226">
        <f>IF($H48="","",$H48)</f>
        <v/>
      </c>
      <c r="N48" s="106">
        <f>IF($H48="","",IF($H48&lt;TODAY(),"⚠ En retard",IF($H48&lt;=TODAY()+7,"⏳ Sous 7 jours",IF($H48&lt;=TODAY()+30,"À venir (30 j)","OK"))))</f>
        <v/>
      </c>
      <c r="O48" s="92" t="n"/>
    </row>
    <row r="49">
      <c r="B49" s="54" t="n"/>
      <c r="C49" s="54" t="n"/>
      <c r="D49" s="54" t="n"/>
      <c r="E49" s="65" t="n"/>
      <c r="F49" s="110" t="n"/>
      <c r="G49" s="105" t="n"/>
      <c r="H49" s="105" t="n"/>
      <c r="I49" s="54" t="n"/>
      <c r="J49" s="110" t="n"/>
      <c r="K49" s="234">
        <f>IF($E49="","",ROUND($E49*IFERROR(INDEX(Facteurs_Frequence,MATCH($G49,Liste_Frequences,0)),1)*IFERROR(INDEX(Taux_Devises,MATCH(IF($F49="",Devise_Base,$F49),Codes_Devises,0)),1),0))</f>
        <v/>
      </c>
      <c r="L49" s="234">
        <f>IF($K49="","",$K49*12)</f>
        <v/>
      </c>
      <c r="M49" s="226">
        <f>IF($H49="","",$H49)</f>
        <v/>
      </c>
      <c r="N49" s="106">
        <f>IF($H49="","",IF($H49&lt;TODAY(),"⚠ En retard",IF($H49&lt;=TODAY()+7,"⏳ Sous 7 jours",IF($H49&lt;=TODAY()+30,"À venir (30 j)","OK"))))</f>
        <v/>
      </c>
      <c r="O49" s="92" t="n"/>
    </row>
    <row r="50">
      <c r="B50" s="54" t="n"/>
      <c r="C50" s="54" t="n"/>
      <c r="D50" s="54" t="n"/>
      <c r="E50" s="65" t="n"/>
      <c r="F50" s="110" t="n"/>
      <c r="G50" s="105" t="n"/>
      <c r="H50" s="105" t="n"/>
      <c r="I50" s="54" t="n"/>
      <c r="J50" s="110" t="n"/>
      <c r="K50" s="234">
        <f>IF($E50="","",ROUND($E50*IFERROR(INDEX(Facteurs_Frequence,MATCH($G50,Liste_Frequences,0)),1)*IFERROR(INDEX(Taux_Devises,MATCH(IF($F50="",Devise_Base,$F50),Codes_Devises,0)),1),0))</f>
        <v/>
      </c>
      <c r="L50" s="234">
        <f>IF($K50="","",$K50*12)</f>
        <v/>
      </c>
      <c r="M50" s="226">
        <f>IF($H50="","",$H50)</f>
        <v/>
      </c>
      <c r="N50" s="106">
        <f>IF($H50="","",IF($H50&lt;TODAY(),"⚠ En retard",IF($H50&lt;=TODAY()+7,"⏳ Sous 7 jours",IF($H50&lt;=TODAY()+30,"À venir (30 j)","OK"))))</f>
        <v/>
      </c>
      <c r="O50" s="92" t="n"/>
    </row>
    <row r="51">
      <c r="B51" s="54" t="n"/>
      <c r="C51" s="54" t="n"/>
      <c r="D51" s="54" t="n"/>
      <c r="E51" s="65" t="n"/>
      <c r="F51" s="110" t="n"/>
      <c r="G51" s="105" t="n"/>
      <c r="H51" s="105" t="n"/>
      <c r="I51" s="54" t="n"/>
      <c r="J51" s="110" t="n"/>
      <c r="K51" s="234">
        <f>IF($E51="","",ROUND($E51*IFERROR(INDEX(Facteurs_Frequence,MATCH($G51,Liste_Frequences,0)),1)*IFERROR(INDEX(Taux_Devises,MATCH(IF($F51="",Devise_Base,$F51),Codes_Devises,0)),1),0))</f>
        <v/>
      </c>
      <c r="L51" s="234">
        <f>IF($K51="","",$K51*12)</f>
        <v/>
      </c>
      <c r="M51" s="226">
        <f>IF($H51="","",$H51)</f>
        <v/>
      </c>
      <c r="N51" s="106">
        <f>IF($H51="","",IF($H51&lt;TODAY(),"⚠ En retard",IF($H51&lt;=TODAY()+7,"⏳ Sous 7 jours",IF($H51&lt;=TODAY()+30,"À venir (30 j)","OK"))))</f>
        <v/>
      </c>
      <c r="O51" s="92" t="n"/>
    </row>
    <row r="52">
      <c r="B52" s="54" t="n"/>
      <c r="C52" s="54" t="n"/>
      <c r="D52" s="54" t="n"/>
      <c r="E52" s="65" t="n"/>
      <c r="F52" s="110" t="n"/>
      <c r="G52" s="105" t="n"/>
      <c r="H52" s="105" t="n"/>
      <c r="I52" s="54" t="n"/>
      <c r="J52" s="110" t="n"/>
      <c r="K52" s="234">
        <f>IF($E52="","",ROUND($E52*IFERROR(INDEX(Facteurs_Frequence,MATCH($G52,Liste_Frequences,0)),1)*IFERROR(INDEX(Taux_Devises,MATCH(IF($F52="",Devise_Base,$F52),Codes_Devises,0)),1),0))</f>
        <v/>
      </c>
      <c r="L52" s="234">
        <f>IF($K52="","",$K52*12)</f>
        <v/>
      </c>
      <c r="M52" s="226">
        <f>IF($H52="","",$H52)</f>
        <v/>
      </c>
      <c r="N52" s="106">
        <f>IF($H52="","",IF($H52&lt;TODAY(),"⚠ En retard",IF($H52&lt;=TODAY()+7,"⏳ Sous 7 jours",IF($H52&lt;=TODAY()+30,"À venir (30 j)","OK"))))</f>
        <v/>
      </c>
      <c r="O52" s="92" t="n"/>
    </row>
    <row r="53">
      <c r="B53" s="54" t="n"/>
      <c r="C53" s="54" t="n"/>
      <c r="D53" s="54" t="n"/>
      <c r="E53" s="65" t="n"/>
      <c r="F53" s="110" t="n"/>
      <c r="G53" s="105" t="n"/>
      <c r="H53" s="105" t="n"/>
      <c r="I53" s="54" t="n"/>
      <c r="J53" s="110" t="n"/>
      <c r="K53" s="234">
        <f>IF($E53="","",ROUND($E53*IFERROR(INDEX(Facteurs_Frequence,MATCH($G53,Liste_Frequences,0)),1)*IFERROR(INDEX(Taux_Devises,MATCH(IF($F53="",Devise_Base,$F53),Codes_Devises,0)),1),0))</f>
        <v/>
      </c>
      <c r="L53" s="234">
        <f>IF($K53="","",$K53*12)</f>
        <v/>
      </c>
      <c r="M53" s="226">
        <f>IF($H53="","",$H53)</f>
        <v/>
      </c>
      <c r="N53" s="106">
        <f>IF($H53="","",IF($H53&lt;TODAY(),"⚠ En retard",IF($H53&lt;=TODAY()+7,"⏳ Sous 7 jours",IF($H53&lt;=TODAY()+30,"À venir (30 j)","OK"))))</f>
        <v/>
      </c>
      <c r="O53" s="92" t="n"/>
    </row>
    <row r="54">
      <c r="B54" s="54" t="n"/>
      <c r="C54" s="54" t="n"/>
      <c r="D54" s="54" t="n"/>
      <c r="E54" s="65" t="n"/>
      <c r="F54" s="110" t="n"/>
      <c r="G54" s="105" t="n"/>
      <c r="H54" s="105" t="n"/>
      <c r="I54" s="54" t="n"/>
      <c r="J54" s="110" t="n"/>
      <c r="K54" s="234">
        <f>IF($E54="","",ROUND($E54*IFERROR(INDEX(Facteurs_Frequence,MATCH($G54,Liste_Frequences,0)),1)*IFERROR(INDEX(Taux_Devises,MATCH(IF($F54="",Devise_Base,$F54),Codes_Devises,0)),1),0))</f>
        <v/>
      </c>
      <c r="L54" s="234">
        <f>IF($K54="","",$K54*12)</f>
        <v/>
      </c>
      <c r="M54" s="226">
        <f>IF($H54="","",$H54)</f>
        <v/>
      </c>
      <c r="N54" s="106">
        <f>IF($H54="","",IF($H54&lt;TODAY(),"⚠ En retard",IF($H54&lt;=TODAY()+7,"⏳ Sous 7 jours",IF($H54&lt;=TODAY()+30,"À venir (30 j)","OK"))))</f>
        <v/>
      </c>
      <c r="O54" s="92" t="n"/>
    </row>
    <row r="55">
      <c r="B55" s="54" t="n"/>
      <c r="C55" s="54" t="n"/>
      <c r="D55" s="54" t="n"/>
      <c r="E55" s="65" t="n"/>
      <c r="F55" s="110" t="n"/>
      <c r="G55" s="105" t="n"/>
      <c r="H55" s="105" t="n"/>
      <c r="I55" s="54" t="n"/>
      <c r="J55" s="110" t="n"/>
      <c r="K55" s="234">
        <f>IF($E55="","",ROUND($E55*IFERROR(INDEX(Facteurs_Frequence,MATCH($G55,Liste_Frequences,0)),1)*IFERROR(INDEX(Taux_Devises,MATCH(IF($F55="",Devise_Base,$F55),Codes_Devises,0)),1),0))</f>
        <v/>
      </c>
      <c r="L55" s="234">
        <f>IF($K55="","",$K55*12)</f>
        <v/>
      </c>
      <c r="M55" s="226">
        <f>IF($H55="","",$H55)</f>
        <v/>
      </c>
      <c r="N55" s="106">
        <f>IF($H55="","",IF($H55&lt;TODAY(),"⚠ En retard",IF($H55&lt;=TODAY()+7,"⏳ Sous 7 jours",IF($H55&lt;=TODAY()+30,"À venir (30 j)","OK"))))</f>
        <v/>
      </c>
      <c r="O55" s="92" t="n"/>
    </row>
    <row r="56">
      <c r="B56" s="54" t="n"/>
      <c r="C56" s="54" t="n"/>
      <c r="D56" s="54" t="n"/>
      <c r="E56" s="65" t="n"/>
      <c r="F56" s="110" t="n"/>
      <c r="G56" s="105" t="n"/>
      <c r="H56" s="105" t="n"/>
      <c r="I56" s="54" t="n"/>
      <c r="J56" s="110" t="n"/>
      <c r="K56" s="234">
        <f>IF($E56="","",ROUND($E56*IFERROR(INDEX(Facteurs_Frequence,MATCH($G56,Liste_Frequences,0)),1)*IFERROR(INDEX(Taux_Devises,MATCH(IF($F56="",Devise_Base,$F56),Codes_Devises,0)),1),0))</f>
        <v/>
      </c>
      <c r="L56" s="234">
        <f>IF($K56="","",$K56*12)</f>
        <v/>
      </c>
      <c r="M56" s="226">
        <f>IF($H56="","",$H56)</f>
        <v/>
      </c>
      <c r="N56" s="106">
        <f>IF($H56="","",IF($H56&lt;TODAY(),"⚠ En retard",IF($H56&lt;=TODAY()+7,"⏳ Sous 7 jours",IF($H56&lt;=TODAY()+30,"À venir (30 j)","OK"))))</f>
        <v/>
      </c>
      <c r="O56" s="92" t="n"/>
    </row>
    <row r="57">
      <c r="B57" s="54" t="n"/>
      <c r="C57" s="54" t="n"/>
      <c r="D57" s="54" t="n"/>
      <c r="E57" s="65" t="n"/>
      <c r="F57" s="110" t="n"/>
      <c r="G57" s="105" t="n"/>
      <c r="H57" s="105" t="n"/>
      <c r="I57" s="54" t="n"/>
      <c r="J57" s="110" t="n"/>
      <c r="K57" s="234">
        <f>IF($E57="","",ROUND($E57*IFERROR(INDEX(Facteurs_Frequence,MATCH($G57,Liste_Frequences,0)),1)*IFERROR(INDEX(Taux_Devises,MATCH(IF($F57="",Devise_Base,$F57),Codes_Devises,0)),1),0))</f>
        <v/>
      </c>
      <c r="L57" s="234">
        <f>IF($K57="","",$K57*12)</f>
        <v/>
      </c>
      <c r="M57" s="226">
        <f>IF($H57="","",$H57)</f>
        <v/>
      </c>
      <c r="N57" s="106">
        <f>IF($H57="","",IF($H57&lt;TODAY(),"⚠ En retard",IF($H57&lt;=TODAY()+7,"⏳ Sous 7 jours",IF($H57&lt;=TODAY()+30,"À venir (30 j)","OK"))))</f>
        <v/>
      </c>
      <c r="O57" s="92" t="n"/>
    </row>
    <row r="58">
      <c r="B58" s="54" t="n"/>
      <c r="C58" s="54" t="n"/>
      <c r="D58" s="54" t="n"/>
      <c r="E58" s="65" t="n"/>
      <c r="F58" s="110" t="n"/>
      <c r="G58" s="105" t="n"/>
      <c r="H58" s="105" t="n"/>
      <c r="I58" s="54" t="n"/>
      <c r="J58" s="110" t="n"/>
      <c r="K58" s="234">
        <f>IF($E58="","",ROUND($E58*IFERROR(INDEX(Facteurs_Frequence,MATCH($G58,Liste_Frequences,0)),1)*IFERROR(INDEX(Taux_Devises,MATCH(IF($F58="",Devise_Base,$F58),Codes_Devises,0)),1),0))</f>
        <v/>
      </c>
      <c r="L58" s="234">
        <f>IF($K58="","",$K58*12)</f>
        <v/>
      </c>
      <c r="M58" s="226">
        <f>IF($H58="","",$H58)</f>
        <v/>
      </c>
      <c r="N58" s="106">
        <f>IF($H58="","",IF($H58&lt;TODAY(),"⚠ En retard",IF($H58&lt;=TODAY()+7,"⏳ Sous 7 jours",IF($H58&lt;=TODAY()+30,"À venir (30 j)","OK"))))</f>
        <v/>
      </c>
      <c r="O58" s="92" t="n"/>
    </row>
    <row r="59">
      <c r="B59" s="54" t="n"/>
      <c r="C59" s="54" t="n"/>
      <c r="D59" s="54" t="n"/>
      <c r="E59" s="65" t="n"/>
      <c r="F59" s="110" t="n"/>
      <c r="G59" s="105" t="n"/>
      <c r="H59" s="105" t="n"/>
      <c r="I59" s="54" t="n"/>
      <c r="J59" s="110" t="n"/>
      <c r="K59" s="234">
        <f>IF($E59="","",ROUND($E59*IFERROR(INDEX(Facteurs_Frequence,MATCH($G59,Liste_Frequences,0)),1)*IFERROR(INDEX(Taux_Devises,MATCH(IF($F59="",Devise_Base,$F59),Codes_Devises,0)),1),0))</f>
        <v/>
      </c>
      <c r="L59" s="234">
        <f>IF($K59="","",$K59*12)</f>
        <v/>
      </c>
      <c r="M59" s="226">
        <f>IF($H59="","",$H59)</f>
        <v/>
      </c>
      <c r="N59" s="106">
        <f>IF($H59="","",IF($H59&lt;TODAY(),"⚠ En retard",IF($H59&lt;=TODAY()+7,"⏳ Sous 7 jours",IF($H59&lt;=TODAY()+30,"À venir (30 j)","OK"))))</f>
        <v/>
      </c>
      <c r="O59" s="92" t="n"/>
    </row>
    <row r="60">
      <c r="B60" s="54" t="n"/>
      <c r="C60" s="54" t="n"/>
      <c r="D60" s="54" t="n"/>
      <c r="E60" s="65" t="n"/>
      <c r="F60" s="110" t="n"/>
      <c r="G60" s="105" t="n"/>
      <c r="H60" s="105" t="n"/>
      <c r="I60" s="54" t="n"/>
      <c r="J60" s="110" t="n"/>
      <c r="K60" s="234">
        <f>IF($E60="","",ROUND($E60*IFERROR(INDEX(Facteurs_Frequence,MATCH($G60,Liste_Frequences,0)),1)*IFERROR(INDEX(Taux_Devises,MATCH(IF($F60="",Devise_Base,$F60),Codes_Devises,0)),1),0))</f>
        <v/>
      </c>
      <c r="L60" s="234">
        <f>IF($K60="","",$K60*12)</f>
        <v/>
      </c>
      <c r="M60" s="226">
        <f>IF($H60="","",$H60)</f>
        <v/>
      </c>
      <c r="N60" s="106">
        <f>IF($H60="","",IF($H60&lt;TODAY(),"⚠ En retard",IF($H60&lt;=TODAY()+7,"⏳ Sous 7 jours",IF($H60&lt;=TODAY()+30,"À venir (30 j)","OK"))))</f>
        <v/>
      </c>
      <c r="O60" s="92" t="n"/>
    </row>
    <row r="61">
      <c r="B61" s="54" t="n"/>
      <c r="C61" s="54" t="n"/>
      <c r="D61" s="54" t="n"/>
      <c r="E61" s="65" t="n"/>
      <c r="F61" s="110" t="n"/>
      <c r="G61" s="105" t="n"/>
      <c r="H61" s="105" t="n"/>
      <c r="I61" s="54" t="n"/>
      <c r="J61" s="110" t="n"/>
      <c r="K61" s="234">
        <f>IF($E61="","",ROUND($E61*IFERROR(INDEX(Facteurs_Frequence,MATCH($G61,Liste_Frequences,0)),1)*IFERROR(INDEX(Taux_Devises,MATCH(IF($F61="",Devise_Base,$F61),Codes_Devises,0)),1),0))</f>
        <v/>
      </c>
      <c r="L61" s="234">
        <f>IF($K61="","",$K61*12)</f>
        <v/>
      </c>
      <c r="M61" s="226">
        <f>IF($H61="","",$H61)</f>
        <v/>
      </c>
      <c r="N61" s="106">
        <f>IF($H61="","",IF($H61&lt;TODAY(),"⚠ En retard",IF($H61&lt;=TODAY()+7,"⏳ Sous 7 jours",IF($H61&lt;=TODAY()+30,"À venir (30 j)","OK"))))</f>
        <v/>
      </c>
      <c r="O61" s="92" t="n"/>
    </row>
  </sheetData>
  <sheetProtection selectLockedCells="0" selectUnlockedCells="0" sheet="1" objects="1" insertRows="1" insertHyperlinks="1" autoFilter="0" scenarios="1" formatColumns="0" deleteColumns="1" insertColumns="1" pivotTables="1" deleteRows="1" formatCells="0" formatRows="0" sort="0" password="8708"/>
  <mergeCells count="21">
    <mergeCell ref="B3:C3"/>
    <mergeCell ref="B8:D8"/>
    <mergeCell ref="E9:G9"/>
    <mergeCell ref="H7:J7"/>
    <mergeCell ref="F3:G3"/>
    <mergeCell ref="L3:M3"/>
    <mergeCell ref="K8:M8"/>
    <mergeCell ref="B2:O2"/>
    <mergeCell ref="B9:D9"/>
    <mergeCell ref="E7:G7"/>
    <mergeCell ref="K7:M7"/>
    <mergeCell ref="B1:O1"/>
    <mergeCell ref="H8:J8"/>
    <mergeCell ref="B7:D7"/>
    <mergeCell ref="D3:E3"/>
    <mergeCell ref="H3:I3"/>
    <mergeCell ref="J3:K3"/>
    <mergeCell ref="K9:M9"/>
    <mergeCell ref="E8:G8"/>
    <mergeCell ref="B5:O5"/>
    <mergeCell ref="H9:J9"/>
  </mergeCells>
  <conditionalFormatting sqref="B8:G8">
    <cfRule type="expression" priority="1" dxfId="1797" stopIfTrue="1">
      <formula>Devise_Base="XOF"</formula>
    </cfRule>
    <cfRule type="expression" priority="2" dxfId="1798" stopIfTrue="1">
      <formula>Devise_Base="XAF"</formula>
    </cfRule>
    <cfRule type="expression" priority="3" dxfId="1799" stopIfTrue="1">
      <formula>Devise_Base="EUR"</formula>
    </cfRule>
    <cfRule type="expression" priority="4" dxfId="1800" stopIfTrue="1">
      <formula>Devise_Base="USD"</formula>
    </cfRule>
    <cfRule type="expression" priority="5" dxfId="1801" stopIfTrue="1">
      <formula>Devise_Base="GBP"</formula>
    </cfRule>
    <cfRule type="expression" priority="6" dxfId="1802" stopIfTrue="1">
      <formula>Devise_Base="CAD"</formula>
    </cfRule>
    <cfRule type="expression" priority="7" dxfId="1803" stopIfTrue="1">
      <formula>Devise_Base="CHF"</formula>
    </cfRule>
    <cfRule type="expression" priority="8" dxfId="1804" stopIfTrue="1">
      <formula>Devise_Base="MAD"</formula>
    </cfRule>
    <cfRule type="expression" priority="9" dxfId="1805" stopIfTrue="1">
      <formula>Devise_Base="NGN"</formula>
    </cfRule>
    <cfRule type="expression" priority="10" dxfId="1806" stopIfTrue="1">
      <formula>Devise_Base="GHS"</formula>
    </cfRule>
    <cfRule type="expression" priority="11" dxfId="1807" stopIfTrue="1">
      <formula>Devise_Base="CDF"</formula>
    </cfRule>
    <cfRule type="expression" priority="12" dxfId="1808" stopIfTrue="1">
      <formula>Devise_Base="ZAR"</formula>
    </cfRule>
    <cfRule type="expression" priority="13" dxfId="1809" stopIfTrue="1">
      <formula>Devise_Base="AED"</formula>
    </cfRule>
    <cfRule type="expression" priority="14" dxfId="1810" stopIfTrue="1">
      <formula>Devise_Base="MRU"</formula>
    </cfRule>
    <cfRule type="expression" priority="15" dxfId="1811" stopIfTrue="1">
      <formula>Devise_Base="GNF"</formula>
    </cfRule>
  </conditionalFormatting>
  <conditionalFormatting sqref="B12:O61">
    <cfRule type="expression" priority="16" dxfId="75" stopIfTrue="0">
      <formula>MOD(ROW()-12,2)=1</formula>
    </cfRule>
    <cfRule type="expression" priority="47" dxfId="1812" stopIfTrue="0">
      <formula>$N12="⚠ En retard"</formula>
    </cfRule>
    <cfRule type="expression" priority="48" dxfId="1813" stopIfTrue="0">
      <formula>$N12="⏳ Sous 7 jours"</formula>
    </cfRule>
    <cfRule type="expression" priority="49" dxfId="1814" stopIfTrue="0">
      <formula>$N12="OK"</formula>
    </cfRule>
  </conditionalFormatting>
  <conditionalFormatting sqref="E12:E61">
    <cfRule type="expression" priority="17" dxfId="1815" stopIfTrue="1">
      <formula>Devise_Base="XOF"</formula>
    </cfRule>
    <cfRule type="expression" priority="18" dxfId="1816" stopIfTrue="1">
      <formula>Devise_Base="XAF"</formula>
    </cfRule>
    <cfRule type="expression" priority="19" dxfId="1817" stopIfTrue="1">
      <formula>Devise_Base="EUR"</formula>
    </cfRule>
    <cfRule type="expression" priority="20" dxfId="1818" stopIfTrue="1">
      <formula>Devise_Base="USD"</formula>
    </cfRule>
    <cfRule type="expression" priority="21" dxfId="1819" stopIfTrue="1">
      <formula>Devise_Base="GBP"</formula>
    </cfRule>
    <cfRule type="expression" priority="22" dxfId="1820" stopIfTrue="1">
      <formula>Devise_Base="CAD"</formula>
    </cfRule>
    <cfRule type="expression" priority="23" dxfId="1821" stopIfTrue="1">
      <formula>Devise_Base="CHF"</formula>
    </cfRule>
    <cfRule type="expression" priority="24" dxfId="1822" stopIfTrue="1">
      <formula>Devise_Base="MAD"</formula>
    </cfRule>
    <cfRule type="expression" priority="25" dxfId="1823" stopIfTrue="1">
      <formula>Devise_Base="NGN"</formula>
    </cfRule>
    <cfRule type="expression" priority="26" dxfId="1824" stopIfTrue="1">
      <formula>Devise_Base="GHS"</formula>
    </cfRule>
    <cfRule type="expression" priority="27" dxfId="1825" stopIfTrue="1">
      <formula>Devise_Base="CDF"</formula>
    </cfRule>
    <cfRule type="expression" priority="28" dxfId="1826" stopIfTrue="1">
      <formula>Devise_Base="ZAR"</formula>
    </cfRule>
    <cfRule type="expression" priority="29" dxfId="1827" stopIfTrue="1">
      <formula>Devise_Base="AED"</formula>
    </cfRule>
    <cfRule type="expression" priority="30" dxfId="1828" stopIfTrue="1">
      <formula>Devise_Base="MRU"</formula>
    </cfRule>
    <cfRule type="expression" priority="31" dxfId="1829" stopIfTrue="1">
      <formula>Devise_Base="GNF"</formula>
    </cfRule>
  </conditionalFormatting>
  <conditionalFormatting sqref="K12:L61">
    <cfRule type="expression" priority="32" dxfId="1830" stopIfTrue="1">
      <formula>Devise_Base="XOF"</formula>
    </cfRule>
    <cfRule type="expression" priority="33" dxfId="1831" stopIfTrue="1">
      <formula>Devise_Base="XAF"</formula>
    </cfRule>
    <cfRule type="expression" priority="34" dxfId="1832" stopIfTrue="1">
      <formula>Devise_Base="EUR"</formula>
    </cfRule>
    <cfRule type="expression" priority="35" dxfId="1833" stopIfTrue="1">
      <formula>Devise_Base="USD"</formula>
    </cfRule>
    <cfRule type="expression" priority="36" dxfId="1834" stopIfTrue="1">
      <formula>Devise_Base="GBP"</formula>
    </cfRule>
    <cfRule type="expression" priority="37" dxfId="1835" stopIfTrue="1">
      <formula>Devise_Base="CAD"</formula>
    </cfRule>
    <cfRule type="expression" priority="38" dxfId="1836" stopIfTrue="1">
      <formula>Devise_Base="CHF"</formula>
    </cfRule>
    <cfRule type="expression" priority="39" dxfId="1837" stopIfTrue="1">
      <formula>Devise_Base="MAD"</formula>
    </cfRule>
    <cfRule type="expression" priority="40" dxfId="1838" stopIfTrue="1">
      <formula>Devise_Base="NGN"</formula>
    </cfRule>
    <cfRule type="expression" priority="41" dxfId="1839" stopIfTrue="1">
      <formula>Devise_Base="GHS"</formula>
    </cfRule>
    <cfRule type="expression" priority="42" dxfId="1840" stopIfTrue="1">
      <formula>Devise_Base="CDF"</formula>
    </cfRule>
    <cfRule type="expression" priority="43" dxfId="1841" stopIfTrue="1">
      <formula>Devise_Base="ZAR"</formula>
    </cfRule>
    <cfRule type="expression" priority="44" dxfId="1842" stopIfTrue="1">
      <formula>Devise_Base="AED"</formula>
    </cfRule>
    <cfRule type="expression" priority="45" dxfId="1843" stopIfTrue="1">
      <formula>Devise_Base="MRU"</formula>
    </cfRule>
    <cfRule type="expression" priority="46" dxfId="1844" stopIfTrue="1">
      <formula>Devise_Base="GNF"</formula>
    </cfRule>
  </conditionalFormatting>
  <dataValidations count="7">
    <dataValidation sqref="C12:C61" showDropDown="0" showInputMessage="0" showErrorMessage="0" allowBlank="1" type="list">
      <formula1>Liste_Modules</formula1>
    </dataValidation>
    <dataValidation sqref="D12:D61" showDropDown="0" showInputMessage="0" showErrorMessage="0" allowBlank="1" type="list">
      <formula1>INDIRECT("Cat_"&amp;IFERROR(MATCH($C12,Liste_Modules,0),1))</formula1>
    </dataValidation>
    <dataValidation sqref="F12:F61" showDropDown="0" showInputMessage="0" showErrorMessage="0" allowBlank="1" type="list">
      <formula1>Codes_Devises</formula1>
    </dataValidation>
    <dataValidation sqref="G12:G61" showDropDown="0" showInputMessage="0" showErrorMessage="0" allowBlank="1" type="list">
      <formula1>Liste_Frequences</formula1>
    </dataValidation>
    <dataValidation sqref="H12:H61" showDropDown="0" showInputMessage="0" showErrorMessage="0" allowBlank="1" type="list">
      <formula1>Liste_Comptes</formula1>
    </dataValidation>
    <dataValidation sqref="I12:I61" showDropDown="0" showInputMessage="0" showErrorMessage="0" allowBlank="1" type="list">
      <formula1>Liste_Moyens</formula1>
    </dataValidation>
    <dataValidation sqref="J12:J61" showDropDown="0" showInputMessage="0" showErrorMessage="0" allowBlank="1" type="list">
      <formula1>Liste_OuiNon</formula1>
    </dataValidation>
  </dataValidations>
  <hyperlinks>
    <hyperlink ref="B3" location="'Accueil'!A1"/>
    <hyperlink ref="D3" location="'Paramètres'!A1"/>
    <hyperlink ref="F3" location="'Estimation Annuelle'!A1"/>
    <hyperlink ref="H3" location="'Journal'!A1"/>
    <hyperlink ref="J3" location="'Tableau de Bord'!A1"/>
    <hyperlink ref="L3" location="'Budget 12 Mois'!A1"/>
  </hyperlinks>
  <pageMargins left="0.75" right="0.75" top="1" bottom="1" header="0.5" footer="0.5"/>
</worksheet>
</file>

<file path=xl/worksheets/sheet14.xml><?xml version="1.0" encoding="utf-8"?>
<worksheet xmlns="http://schemas.openxmlformats.org/spreadsheetml/2006/main">
  <sheetPr>
    <tabColor rgb="007A8794"/>
    <outlinePr summaryBelow="1" summaryRight="1"/>
    <pageSetUpPr/>
  </sheetPr>
  <dimension ref="A1:AO60"/>
  <sheetViews>
    <sheetView showGridLines="0" zoomScale="90" workbookViewId="0">
      <pane xSplit="1" ySplit="4" topLeftCell="B5" activePane="bottomRight" state="frozen"/>
      <selection pane="topRight"/>
      <selection pane="bottomLeft"/>
      <selection pane="bottomRight" activeCell="A1" sqref="A1"/>
    </sheetView>
  </sheetViews>
  <sheetFormatPr baseColWidth="8" defaultRowHeight="15"/>
  <cols>
    <col width="2" customWidth="1" min="1" max="1"/>
    <col width="9" customWidth="1" min="2" max="2"/>
    <col width="30" customWidth="1" min="3" max="3"/>
    <col width="10" customWidth="1" min="4" max="4"/>
    <col width="16" customWidth="1" min="5" max="5"/>
    <col width="9" customWidth="1" min="6" max="6"/>
    <col width="14" customWidth="1" min="7" max="7"/>
    <col width="2"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 customWidth="1" min="23" max="23"/>
    <col width="32" customWidth="1" min="24" max="24"/>
    <col width="30" customWidth="1" min="25" max="25"/>
    <col width="32" customWidth="1" min="26" max="26"/>
    <col width="30" customWidth="1" min="27" max="27"/>
    <col width="2" customWidth="1" min="28" max="28"/>
    <col width="16" customWidth="1" min="29" max="29"/>
    <col width="20" customWidth="1" min="30" max="30"/>
    <col width="16" customWidth="1" min="31" max="31"/>
  </cols>
  <sheetData>
    <row r="1" ht="52" customHeight="1">
      <c r="B1" s="46" t="inlineStr">
        <is>
          <t>RÉFÉRENTIELS &amp; LISTES DE CHOIX</t>
        </is>
      </c>
      <c r="C1" s="47" t="n"/>
      <c r="D1" s="47" t="n"/>
      <c r="E1" s="47" t="n"/>
      <c r="F1" s="47" t="n"/>
      <c r="G1" s="47" t="n"/>
      <c r="H1" s="47" t="n"/>
      <c r="I1" s="47" t="n"/>
      <c r="J1" s="47" t="n"/>
      <c r="K1" s="47" t="n"/>
      <c r="L1" s="47" t="n"/>
      <c r="M1" s="47" t="n"/>
      <c r="N1" s="47" t="n"/>
      <c r="O1" s="47" t="n"/>
      <c r="P1" s="47" t="n"/>
      <c r="Q1" s="47" t="n"/>
      <c r="R1" s="47" t="n"/>
      <c r="S1" s="47" t="n"/>
      <c r="T1" s="47" t="n"/>
      <c r="U1" s="47" t="n"/>
      <c r="V1" s="47" t="n"/>
      <c r="W1" s="47" t="n"/>
      <c r="X1" s="47" t="n"/>
      <c r="Y1" s="47" t="n"/>
      <c r="Z1" s="47" t="n"/>
      <c r="AA1" s="47" t="n"/>
    </row>
    <row r="2" ht="20" customHeight="1">
      <c r="B2" s="48" t="inlineStr">
        <is>
          <t>Cours des devises, catégories et listes déroulantes utilisées par tout le classeur</t>
        </is>
      </c>
      <c r="C2" s="7"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row>
    <row r="3" ht="20" customHeight="1">
      <c r="B3" s="49" t="inlineStr">
        <is>
          <t>⌂  ACCUEIL</t>
        </is>
      </c>
      <c r="C3" s="42" t="n"/>
      <c r="D3" s="42" t="n"/>
      <c r="E3" s="42" t="n"/>
      <c r="F3" s="49" t="inlineStr">
        <is>
          <t>①  MES INFOS</t>
        </is>
      </c>
      <c r="G3" s="42" t="n"/>
      <c r="H3" s="42" t="n"/>
      <c r="I3" s="42" t="n"/>
      <c r="J3" s="49" t="inlineStr">
        <is>
          <t>②  ESTIMATION</t>
        </is>
      </c>
      <c r="K3" s="42" t="n"/>
      <c r="L3" s="42" t="n"/>
      <c r="M3" s="42" t="n"/>
      <c r="N3" s="49" t="inlineStr">
        <is>
          <t>③  BUDGET SMART</t>
        </is>
      </c>
      <c r="O3" s="42" t="n"/>
      <c r="P3" s="42" t="n"/>
      <c r="Q3" s="42" t="n"/>
      <c r="R3" s="49" t="inlineStr">
        <is>
          <t>TABLEAU DE BORD</t>
        </is>
      </c>
      <c r="S3" s="42" t="n"/>
      <c r="T3" s="42" t="n"/>
      <c r="U3" s="42" t="n"/>
      <c r="V3" s="49" t="inlineStr">
        <is>
          <t>BUDGET 12 MOIS</t>
        </is>
      </c>
      <c r="W3" s="42" t="n"/>
      <c r="X3" s="42" t="n"/>
      <c r="Y3" s="42" t="n"/>
    </row>
    <row r="4" ht="24" customHeight="1">
      <c r="B4" s="235" t="inlineStr">
        <is>
          <t>DEVISES — cours indicatifs, à actualiser librement</t>
        </is>
      </c>
      <c r="C4" s="1" t="n"/>
      <c r="D4" s="1" t="n"/>
      <c r="E4" s="1" t="n"/>
      <c r="F4" s="1" t="n"/>
      <c r="G4" s="1" t="n"/>
      <c r="N4" s="236" t="inlineStr">
        <is>
          <t>Facteur mensuel →</t>
        </is>
      </c>
      <c r="X4" s="235" t="inlineStr">
        <is>
          <t>CATÉGORIES PAR MODULE</t>
        </is>
      </c>
      <c r="Y4" s="1" t="n"/>
      <c r="Z4" s="1" t="n"/>
      <c r="AA4" s="1" t="n"/>
    </row>
    <row r="5" ht="30" customHeight="1">
      <c r="B5" s="63" t="inlineStr">
        <is>
          <t>Code</t>
        </is>
      </c>
      <c r="C5" s="63" t="inlineStr">
        <is>
          <t>Devise</t>
        </is>
      </c>
      <c r="D5" s="63" t="inlineStr">
        <is>
          <t>Symbole</t>
        </is>
      </c>
      <c r="E5" s="63" t="inlineStr">
        <is>
          <t>Cours indicatif
(1 unité = X XOF)</t>
        </is>
      </c>
      <c r="F5" s="63" t="inlineStr">
        <is>
          <t>Déci-
males</t>
        </is>
      </c>
      <c r="G5" s="63" t="inlineStr">
        <is>
          <t>Taux vers la
devise de base</t>
        </is>
      </c>
      <c r="I5" s="63" t="inlineStr">
        <is>
          <t>Modules</t>
        </is>
      </c>
      <c r="J5" s="63" t="inlineStr">
        <is>
          <t>Types d'opération</t>
        </is>
      </c>
      <c r="K5" s="63" t="inlineStr">
        <is>
          <t>Nature</t>
        </is>
      </c>
      <c r="L5" s="63" t="inlineStr">
        <is>
          <t>Statuts</t>
        </is>
      </c>
      <c r="M5" s="63" t="inlineStr">
        <is>
          <t>Moyens de paiement</t>
        </is>
      </c>
      <c r="N5" s="63" t="inlineStr">
        <is>
          <t>Fréquences</t>
        </is>
      </c>
      <c r="O5" s="63" t="inlineStr">
        <is>
          <t>Oui / Non</t>
        </is>
      </c>
      <c r="P5" s="63" t="inlineStr">
        <is>
          <t>Types de bien</t>
        </is>
      </c>
      <c r="Q5" s="63" t="inlineStr">
        <is>
          <t>Statuts du bien</t>
        </is>
      </c>
      <c r="R5" s="63" t="inlineStr">
        <is>
          <t>Titres fonciers</t>
        </is>
      </c>
      <c r="S5" s="63" t="inlineStr">
        <is>
          <t>Statuts de projet</t>
        </is>
      </c>
      <c r="T5" s="63" t="inlineStr">
        <is>
          <t>Types de projet</t>
        </is>
      </c>
      <c r="U5" s="63" t="inlineStr">
        <is>
          <t>Mois</t>
        </is>
      </c>
      <c r="V5" s="63" t="inlineStr">
        <is>
          <t>Situation familiale</t>
        </is>
      </c>
      <c r="X5" s="149" t="inlineStr">
        <is>
          <t>Général</t>
        </is>
      </c>
      <c r="Y5" s="149" t="inlineStr">
        <is>
          <t>Mariage</t>
        </is>
      </c>
      <c r="Z5" s="149" t="inlineStr">
        <is>
          <t>Immobilier</t>
        </is>
      </c>
      <c r="AA5" s="149" t="inlineStr">
        <is>
          <t>Business</t>
        </is>
      </c>
      <c r="AC5" s="63" t="inlineStr">
        <is>
          <t>Sens des types</t>
        </is>
      </c>
      <c r="AD5" s="63" t="inlineStr">
        <is>
          <t>Bases de dîme</t>
        </is>
      </c>
      <c r="AE5" s="63" t="inlineStr">
        <is>
          <t>Périmètres</t>
        </is>
      </c>
      <c r="AO5" s="237" t="inlineStr">
        <is>
          <t>Facteur mensuel</t>
        </is>
      </c>
    </row>
    <row r="6">
      <c r="B6" s="238" t="inlineStr">
        <is>
          <t>XOF</t>
        </is>
      </c>
      <c r="C6" s="212" t="inlineStr">
        <is>
          <t>Franc CFA — UEMOA (BCEAO)</t>
        </is>
      </c>
      <c r="D6" s="156" t="inlineStr">
        <is>
          <t>FCFA</t>
        </is>
      </c>
      <c r="E6" s="239" t="n">
        <v>1</v>
      </c>
      <c r="F6" s="156" t="n">
        <v>0</v>
      </c>
      <c r="G6" s="240">
        <f>IFERROR($E6/INDEX($E$6:$E$31,MATCH(Devise_Base,$B$6:$B$31,0)),1)</f>
        <v/>
      </c>
      <c r="I6" s="241" t="inlineStr">
        <is>
          <t>Général</t>
        </is>
      </c>
      <c r="J6" s="241" t="inlineStr">
        <is>
          <t>Revenu</t>
        </is>
      </c>
      <c r="K6" s="241" t="inlineStr">
        <is>
          <t>Fixe</t>
        </is>
      </c>
      <c r="L6" s="241" t="inlineStr">
        <is>
          <t>Payé</t>
        </is>
      </c>
      <c r="M6" s="241" t="inlineStr">
        <is>
          <t>Espèces</t>
        </is>
      </c>
      <c r="N6" s="241" t="inlineStr">
        <is>
          <t>Hebdomadaire</t>
        </is>
      </c>
      <c r="O6" s="241" t="inlineStr">
        <is>
          <t>Oui</t>
        </is>
      </c>
      <c r="P6" s="241" t="inlineStr">
        <is>
          <t>Terrain nu</t>
        </is>
      </c>
      <c r="Q6" s="241" t="inlineStr">
        <is>
          <t>Prospection</t>
        </is>
      </c>
      <c r="R6" s="241" t="inlineStr">
        <is>
          <t>Attestation villageoise</t>
        </is>
      </c>
      <c r="S6" s="241" t="inlineStr">
        <is>
          <t>Idée</t>
        </is>
      </c>
      <c r="T6" s="241" t="inlineStr">
        <is>
          <t>Commerce</t>
        </is>
      </c>
      <c r="U6" s="241" t="inlineStr">
        <is>
          <t>Janvier</t>
        </is>
      </c>
      <c r="V6" s="241" t="inlineStr">
        <is>
          <t>Célibataire</t>
        </is>
      </c>
      <c r="X6" s="241" t="inlineStr">
        <is>
          <t>Salaire</t>
        </is>
      </c>
      <c r="Y6" s="241" t="inlineStr">
        <is>
          <t>Dot &amp; coutume</t>
        </is>
      </c>
      <c r="Z6" s="241" t="inlineStr">
        <is>
          <t>Apport personnel</t>
        </is>
      </c>
      <c r="AA6" s="241" t="inlineStr">
        <is>
          <t>Apport en capital</t>
        </is>
      </c>
      <c r="AC6" s="242" t="inlineStr">
        <is>
          <t>▲ ENTRÉE</t>
        </is>
      </c>
      <c r="AD6" s="242" t="inlineStr">
        <is>
          <t>Salaire uniquement</t>
        </is>
      </c>
      <c r="AE6" s="242" t="inlineStr">
        <is>
          <t>Général seul</t>
        </is>
      </c>
      <c r="AO6" s="243" t="n">
        <v>4.3333</v>
      </c>
    </row>
    <row r="7">
      <c r="B7" s="238" t="inlineStr">
        <is>
          <t>XAF</t>
        </is>
      </c>
      <c r="C7" s="212" t="inlineStr">
        <is>
          <t>Franc CFA — CEMAC (BEAC)</t>
        </is>
      </c>
      <c r="D7" s="156" t="inlineStr">
        <is>
          <t>FCFA</t>
        </is>
      </c>
      <c r="E7" s="239" t="n">
        <v>1</v>
      </c>
      <c r="F7" s="156" t="n">
        <v>0</v>
      </c>
      <c r="G7" s="240">
        <f>IFERROR($E7/INDEX($E$6:$E$31,MATCH(Devise_Base,$B$6:$B$31,0)),1)</f>
        <v/>
      </c>
      <c r="I7" s="241" t="inlineStr">
        <is>
          <t>Mariage</t>
        </is>
      </c>
      <c r="J7" s="241" t="inlineStr">
        <is>
          <t>Dépense</t>
        </is>
      </c>
      <c r="K7" s="241" t="inlineStr">
        <is>
          <t>Variable</t>
        </is>
      </c>
      <c r="L7" s="241" t="inlineStr">
        <is>
          <t>Prévu</t>
        </is>
      </c>
      <c r="M7" s="241" t="inlineStr">
        <is>
          <t>Mobile Money</t>
        </is>
      </c>
      <c r="N7" s="241" t="inlineStr">
        <is>
          <t>Mensuelle</t>
        </is>
      </c>
      <c r="O7" s="241" t="inlineStr">
        <is>
          <t>Non</t>
        </is>
      </c>
      <c r="P7" s="241" t="inlineStr">
        <is>
          <t>Terrain viabilisé</t>
        </is>
      </c>
      <c r="Q7" s="241" t="inlineStr">
        <is>
          <t>Sous compromis</t>
        </is>
      </c>
      <c r="R7" s="241" t="inlineStr">
        <is>
          <t>Lettre d'attribution</t>
        </is>
      </c>
      <c r="S7" s="241" t="inlineStr">
        <is>
          <t>Étude</t>
        </is>
      </c>
      <c r="T7" s="241" t="inlineStr">
        <is>
          <t>Service</t>
        </is>
      </c>
      <c r="U7" s="241" t="inlineStr">
        <is>
          <t>Février</t>
        </is>
      </c>
      <c r="V7" s="241" t="inlineStr">
        <is>
          <t>En couple</t>
        </is>
      </c>
      <c r="X7" s="241" t="inlineStr">
        <is>
          <t>Prime / 13e mois</t>
        </is>
      </c>
      <c r="Y7" s="241" t="inlineStr">
        <is>
          <t>Mairie / État civil</t>
        </is>
      </c>
      <c r="Z7" s="241" t="inlineStr">
        <is>
          <t>Prix d'achat terrain</t>
        </is>
      </c>
      <c r="AA7" s="241" t="inlineStr">
        <is>
          <t>Chiffre d'affaires</t>
        </is>
      </c>
      <c r="AC7" s="242" t="inlineStr">
        <is>
          <t>▼ SORTIE</t>
        </is>
      </c>
      <c r="AD7" s="242" t="inlineStr">
        <is>
          <t>Salaire + primes</t>
        </is>
      </c>
      <c r="AE7" s="242" t="inlineStr">
        <is>
          <t>Tout confondu</t>
        </is>
      </c>
      <c r="AO7" s="243" t="n">
        <v>1</v>
      </c>
    </row>
    <row r="8">
      <c r="B8" s="238" t="inlineStr">
        <is>
          <t>EUR</t>
        </is>
      </c>
      <c r="C8" s="212" t="inlineStr">
        <is>
          <t>Euro</t>
        </is>
      </c>
      <c r="D8" s="156" t="inlineStr">
        <is>
          <t>€</t>
        </is>
      </c>
      <c r="E8" s="239" t="n">
        <v>655.957</v>
      </c>
      <c r="F8" s="156" t="n">
        <v>2</v>
      </c>
      <c r="G8" s="240">
        <f>IFERROR($E8/INDEX($E$6:$E$31,MATCH(Devise_Base,$B$6:$B$31,0)),1)</f>
        <v/>
      </c>
      <c r="I8" s="241" t="inlineStr">
        <is>
          <t>Immobilier</t>
        </is>
      </c>
      <c r="J8" s="241" t="inlineStr">
        <is>
          <t>Épargne</t>
        </is>
      </c>
      <c r="K8" s="241" t="inlineStr">
        <is>
          <t>Exceptionnelle</t>
        </is>
      </c>
      <c r="L8" s="241" t="inlineStr">
        <is>
          <t>En attente</t>
        </is>
      </c>
      <c r="M8" s="241" t="inlineStr">
        <is>
          <t>Wave</t>
        </is>
      </c>
      <c r="N8" s="241" t="inlineStr">
        <is>
          <t>Bimestrielle</t>
        </is>
      </c>
      <c r="O8" s="244" t="n"/>
      <c r="P8" s="241" t="inlineStr">
        <is>
          <t>Maison</t>
        </is>
      </c>
      <c r="Q8" s="241" t="inlineStr">
        <is>
          <t>Acquis</t>
        </is>
      </c>
      <c r="R8" s="241" t="inlineStr">
        <is>
          <t>ACD</t>
        </is>
      </c>
      <c r="S8" s="241" t="inlineStr">
        <is>
          <t>Lancement</t>
        </is>
      </c>
      <c r="T8" s="241" t="inlineStr">
        <is>
          <t>Agriculture</t>
        </is>
      </c>
      <c r="U8" s="241" t="inlineStr">
        <is>
          <t>Mars</t>
        </is>
      </c>
      <c r="V8" s="241" t="inlineStr">
        <is>
          <t>Marié(e)</t>
        </is>
      </c>
      <c r="X8" s="241" t="inlineStr">
        <is>
          <t>Freelance / Consulting</t>
        </is>
      </c>
      <c r="Y8" s="241" t="inlineStr">
        <is>
          <t>Cérémonie religieuse</t>
        </is>
      </c>
      <c r="Z8" s="241" t="inlineStr">
        <is>
          <t>Prix d'achat bien bâti</t>
        </is>
      </c>
      <c r="AA8" s="241" t="inlineStr">
        <is>
          <t>Prestation de service</t>
        </is>
      </c>
      <c r="AC8" s="242" t="inlineStr">
        <is>
          <t>▼ SORTIE</t>
        </is>
      </c>
      <c r="AD8" s="242" t="inlineStr">
        <is>
          <t>Tous les revenus</t>
        </is>
      </c>
      <c r="AE8" s="242" t="inlineStr">
        <is>
          <t>Mariage</t>
        </is>
      </c>
      <c r="AO8" s="243" t="n">
        <v>0.5</v>
      </c>
    </row>
    <row r="9">
      <c r="B9" s="238" t="inlineStr">
        <is>
          <t>USD</t>
        </is>
      </c>
      <c r="C9" s="212" t="inlineStr">
        <is>
          <t>Dollar américain</t>
        </is>
      </c>
      <c r="D9" s="156" t="inlineStr">
        <is>
          <t>$</t>
        </is>
      </c>
      <c r="E9" s="239" t="n">
        <v>600</v>
      </c>
      <c r="F9" s="156" t="n">
        <v>2</v>
      </c>
      <c r="G9" s="240">
        <f>IFERROR($E9/INDEX($E$6:$E$31,MATCH(Devise_Base,$B$6:$B$31,0)),1)</f>
        <v/>
      </c>
      <c r="I9" s="241" t="inlineStr">
        <is>
          <t>Business</t>
        </is>
      </c>
      <c r="J9" s="241" t="inlineStr">
        <is>
          <t>Investissement</t>
        </is>
      </c>
      <c r="K9" s="244" t="n"/>
      <c r="L9" s="241" t="inlineStr">
        <is>
          <t>Annulé</t>
        </is>
      </c>
      <c r="M9" s="241" t="inlineStr">
        <is>
          <t>Orange Money</t>
        </is>
      </c>
      <c r="N9" s="241" t="inlineStr">
        <is>
          <t>Trimestrielle</t>
        </is>
      </c>
      <c r="O9" s="244" t="n"/>
      <c r="P9" s="241" t="inlineStr">
        <is>
          <t>Villa</t>
        </is>
      </c>
      <c r="Q9" s="241" t="inlineStr">
        <is>
          <t>En construction</t>
        </is>
      </c>
      <c r="R9" s="241" t="inlineStr">
        <is>
          <t>Titre foncier</t>
        </is>
      </c>
      <c r="S9" s="241" t="inlineStr">
        <is>
          <t>En cours</t>
        </is>
      </c>
      <c r="T9" s="241" t="inlineStr">
        <is>
          <t>Immobilier</t>
        </is>
      </c>
      <c r="U9" s="241" t="inlineStr">
        <is>
          <t>Avril</t>
        </is>
      </c>
      <c r="V9" s="241" t="inlineStr">
        <is>
          <t>Parent seul</t>
        </is>
      </c>
      <c r="X9" s="241" t="inlineStr">
        <is>
          <t>Commerce / Ventes</t>
        </is>
      </c>
      <c r="Y9" s="241" t="inlineStr">
        <is>
          <t>Tenue de la mariée</t>
        </is>
      </c>
      <c r="Z9" s="241" t="inlineStr">
        <is>
          <t>Frais de notaire</t>
        </is>
      </c>
      <c r="AA9" s="241" t="inlineStr">
        <is>
          <t>Vente de produits</t>
        </is>
      </c>
      <c r="AC9" s="242" t="inlineStr">
        <is>
          <t>▼ SORTIE</t>
        </is>
      </c>
      <c r="AE9" s="242" t="inlineStr">
        <is>
          <t>Immobilier</t>
        </is>
      </c>
      <c r="AO9" s="243" t="n">
        <v>0.3333333333333333</v>
      </c>
    </row>
    <row r="10">
      <c r="B10" s="238" t="inlineStr">
        <is>
          <t>GBP</t>
        </is>
      </c>
      <c r="C10" s="212" t="inlineStr">
        <is>
          <t>Livre sterling</t>
        </is>
      </c>
      <c r="D10" s="156" t="inlineStr">
        <is>
          <t>£</t>
        </is>
      </c>
      <c r="E10" s="239" t="n">
        <v>765</v>
      </c>
      <c r="F10" s="156" t="n">
        <v>2</v>
      </c>
      <c r="G10" s="240">
        <f>IFERROR($E10/INDEX($E$6:$E$31,MATCH(Devise_Base,$B$6:$B$31,0)),1)</f>
        <v/>
      </c>
      <c r="I10" s="244" t="n"/>
      <c r="J10" s="241" t="inlineStr">
        <is>
          <t>Remboursement crédit</t>
        </is>
      </c>
      <c r="K10" s="244" t="n"/>
      <c r="L10" s="244" t="n"/>
      <c r="M10" s="241" t="inlineStr">
        <is>
          <t>MTN MoMo</t>
        </is>
      </c>
      <c r="N10" s="241" t="inlineStr">
        <is>
          <t>Semestrielle</t>
        </is>
      </c>
      <c r="O10" s="244" t="n"/>
      <c r="P10" s="241" t="inlineStr">
        <is>
          <t>Appartement</t>
        </is>
      </c>
      <c r="Q10" s="241" t="inlineStr">
        <is>
          <t>Achevé</t>
        </is>
      </c>
      <c r="R10" s="241" t="inlineStr">
        <is>
          <t>Bail emphytéotique</t>
        </is>
      </c>
      <c r="S10" s="241" t="inlineStr">
        <is>
          <t>En pause</t>
        </is>
      </c>
      <c r="T10" s="241" t="inlineStr">
        <is>
          <t>Technologie</t>
        </is>
      </c>
      <c r="U10" s="241" t="inlineStr">
        <is>
          <t>Mai</t>
        </is>
      </c>
      <c r="V10" s="241" t="inlineStr">
        <is>
          <t>Étudiant(e)</t>
        </is>
      </c>
      <c r="X10" s="241" t="inlineStr">
        <is>
          <t>Loyers perçus</t>
        </is>
      </c>
      <c r="Y10" s="241" t="inlineStr">
        <is>
          <t>Tenue du marié</t>
        </is>
      </c>
      <c r="Z10" s="241" t="inlineStr">
        <is>
          <t>Droits d'enregistrement</t>
        </is>
      </c>
      <c r="AA10" s="241" t="inlineStr">
        <is>
          <t>Subvention / Financement</t>
        </is>
      </c>
      <c r="AC10" s="242" t="inlineStr">
        <is>
          <t>▼ SORTIE</t>
        </is>
      </c>
      <c r="AE10" s="242" t="inlineStr">
        <is>
          <t>Business</t>
        </is>
      </c>
      <c r="AO10" s="243" t="n">
        <v>0.1666666666666667</v>
      </c>
    </row>
    <row r="11">
      <c r="B11" s="238" t="inlineStr">
        <is>
          <t>CAD</t>
        </is>
      </c>
      <c r="C11" s="212" t="inlineStr">
        <is>
          <t>Dollar canadien</t>
        </is>
      </c>
      <c r="D11" s="156" t="inlineStr">
        <is>
          <t>C$</t>
        </is>
      </c>
      <c r="E11" s="239" t="n">
        <v>440</v>
      </c>
      <c r="F11" s="156" t="n">
        <v>2</v>
      </c>
      <c r="G11" s="240">
        <f>IFERROR($E11/INDEX($E$6:$E$31,MATCH(Devise_Base,$B$6:$B$31,0)),1)</f>
        <v/>
      </c>
      <c r="I11" s="244" t="n"/>
      <c r="J11" s="241" t="inlineStr">
        <is>
          <t>Transfert</t>
        </is>
      </c>
      <c r="K11" s="244" t="n"/>
      <c r="L11" s="244" t="n"/>
      <c r="M11" s="241" t="inlineStr">
        <is>
          <t>Moov Money</t>
        </is>
      </c>
      <c r="N11" s="241" t="inlineStr">
        <is>
          <t>Annuelle</t>
        </is>
      </c>
      <c r="O11" s="244" t="n"/>
      <c r="P11" s="241" t="inlineStr">
        <is>
          <t>Immeuble</t>
        </is>
      </c>
      <c r="Q11" s="241" t="inlineStr">
        <is>
          <t>En location</t>
        </is>
      </c>
      <c r="R11" s="241" t="inlineStr">
        <is>
          <t>Acte notarié</t>
        </is>
      </c>
      <c r="S11" s="241" t="inlineStr">
        <is>
          <t>Terminé</t>
        </is>
      </c>
      <c r="T11" s="241" t="inlineStr">
        <is>
          <t>Transport</t>
        </is>
      </c>
      <c r="U11" s="241" t="inlineStr">
        <is>
          <t>Juin</t>
        </is>
      </c>
      <c r="V11" s="241" t="inlineStr">
        <is>
          <t>Autre</t>
        </is>
      </c>
      <c r="X11" s="241" t="inlineStr">
        <is>
          <t>Dividendes</t>
        </is>
      </c>
      <c r="Y11" s="241" t="inlineStr">
        <is>
          <t>Tenues des cortèges</t>
        </is>
      </c>
      <c r="Z11" s="241" t="inlineStr">
        <is>
          <t>Commission d'agence</t>
        </is>
      </c>
      <c r="AA11" s="241" t="inlineStr">
        <is>
          <t>Prêt reçu</t>
        </is>
      </c>
      <c r="AC11" s="242" t="inlineStr">
        <is>
          <t>↔ NEUTRE</t>
        </is>
      </c>
      <c r="AO11" s="243" t="n">
        <v>0.08333333333333333</v>
      </c>
    </row>
    <row r="12">
      <c r="B12" s="238" t="inlineStr">
        <is>
          <t>CHF</t>
        </is>
      </c>
      <c r="C12" s="212" t="inlineStr">
        <is>
          <t>Franc suisse</t>
        </is>
      </c>
      <c r="D12" s="156" t="inlineStr">
        <is>
          <t>CHF</t>
        </is>
      </c>
      <c r="E12" s="239" t="n">
        <v>685</v>
      </c>
      <c r="F12" s="156" t="n">
        <v>2</v>
      </c>
      <c r="G12" s="240">
        <f>IFERROR($E12/INDEX($E$6:$E$31,MATCH(Devise_Base,$B$6:$B$31,0)),1)</f>
        <v/>
      </c>
      <c r="I12" s="244" t="n"/>
      <c r="J12" s="244" t="n"/>
      <c r="K12" s="244" t="n"/>
      <c r="L12" s="244" t="n"/>
      <c r="M12" s="241" t="inlineStr">
        <is>
          <t>Virement bancaire</t>
        </is>
      </c>
      <c r="N12" s="244" t="n"/>
      <c r="O12" s="244" t="n"/>
      <c r="P12" s="241" t="inlineStr">
        <is>
          <t>Local commercial</t>
        </is>
      </c>
      <c r="Q12" s="241" t="inlineStr">
        <is>
          <t>Vendu</t>
        </is>
      </c>
      <c r="R12" s="241" t="inlineStr">
        <is>
          <t>En cours</t>
        </is>
      </c>
      <c r="S12" s="241" t="inlineStr">
        <is>
          <t>Abandonné</t>
        </is>
      </c>
      <c r="T12" s="241" t="inlineStr">
        <is>
          <t>Formation</t>
        </is>
      </c>
      <c r="U12" s="241" t="inlineStr">
        <is>
          <t>Juillet</t>
        </is>
      </c>
      <c r="V12" s="244" t="n"/>
      <c r="X12" s="241" t="inlineStr">
        <is>
          <t>Intérêts perçus</t>
        </is>
      </c>
      <c r="Y12" s="241" t="inlineStr">
        <is>
          <t>Beauté, coiffure &amp; maquillage</t>
        </is>
      </c>
      <c r="Z12" s="241" t="inlineStr">
        <is>
          <t>Bornage &amp; topographie</t>
        </is>
      </c>
      <c r="AA12" s="241" t="inlineStr">
        <is>
          <t>Achats de marchandises</t>
        </is>
      </c>
    </row>
    <row r="13">
      <c r="B13" s="238" t="inlineStr">
        <is>
          <t>MAD</t>
        </is>
      </c>
      <c r="C13" s="212" t="inlineStr">
        <is>
          <t>Dirham marocain</t>
        </is>
      </c>
      <c r="D13" s="156" t="inlineStr">
        <is>
          <t>DH</t>
        </is>
      </c>
      <c r="E13" s="239" t="n">
        <v>60</v>
      </c>
      <c r="F13" s="156" t="n">
        <v>2</v>
      </c>
      <c r="G13" s="240">
        <f>IFERROR($E13/INDEX($E$6:$E$31,MATCH(Devise_Base,$B$6:$B$31,0)),1)</f>
        <v/>
      </c>
      <c r="I13" s="244" t="n"/>
      <c r="J13" s="244" t="n"/>
      <c r="K13" s="244" t="n"/>
      <c r="L13" s="244" t="n"/>
      <c r="M13" s="241" t="inlineStr">
        <is>
          <t>Carte bancaire</t>
        </is>
      </c>
      <c r="N13" s="244" t="n"/>
      <c r="O13" s="244" t="n"/>
      <c r="P13" s="241" t="inlineStr">
        <is>
          <t>Entrepôt</t>
        </is>
      </c>
      <c r="Q13" s="244" t="n"/>
      <c r="R13" s="244" t="n"/>
      <c r="S13" s="244" t="n"/>
      <c r="T13" s="241" t="inlineStr">
        <is>
          <t>Événementiel</t>
        </is>
      </c>
      <c r="U13" s="241" t="inlineStr">
        <is>
          <t>Août</t>
        </is>
      </c>
      <c r="V13" s="244" t="n"/>
      <c r="X13" s="241" t="inlineStr">
        <is>
          <t>Aide familiale</t>
        </is>
      </c>
      <c r="Y13" s="241" t="inlineStr">
        <is>
          <t>Alliances &amp; bijoux</t>
        </is>
      </c>
      <c r="Z13" s="241" t="inlineStr">
        <is>
          <t>ACD / Titre foncier</t>
        </is>
      </c>
      <c r="AA13" s="241" t="inlineStr">
        <is>
          <t>Matières premières</t>
        </is>
      </c>
    </row>
    <row r="14">
      <c r="B14" s="238" t="inlineStr">
        <is>
          <t>TND</t>
        </is>
      </c>
      <c r="C14" s="212" t="inlineStr">
        <is>
          <t>Dinar tunisien</t>
        </is>
      </c>
      <c r="D14" s="156" t="inlineStr">
        <is>
          <t>DT</t>
        </is>
      </c>
      <c r="E14" s="239" t="n">
        <v>192</v>
      </c>
      <c r="F14" s="156" t="n">
        <v>3</v>
      </c>
      <c r="G14" s="240">
        <f>IFERROR($E14/INDEX($E$6:$E$31,MATCH(Devise_Base,$B$6:$B$31,0)),1)</f>
        <v/>
      </c>
      <c r="I14" s="244" t="n"/>
      <c r="J14" s="244" t="n"/>
      <c r="K14" s="244" t="n"/>
      <c r="L14" s="244" t="n"/>
      <c r="M14" s="241" t="inlineStr">
        <is>
          <t>Chèque</t>
        </is>
      </c>
      <c r="N14" s="244" t="n"/>
      <c r="O14" s="244" t="n"/>
      <c r="P14" s="241" t="inlineStr">
        <is>
          <t>Bureau</t>
        </is>
      </c>
      <c r="Q14" s="244" t="n"/>
      <c r="R14" s="244" t="n"/>
      <c r="S14" s="244" t="n"/>
      <c r="T14" s="241" t="inlineStr">
        <is>
          <t>Import-export</t>
        </is>
      </c>
      <c r="U14" s="241" t="inlineStr">
        <is>
          <t>Septembre</t>
        </is>
      </c>
      <c r="V14" s="244" t="n"/>
      <c r="X14" s="241" t="inlineStr">
        <is>
          <t>Remboursement reçu</t>
        </is>
      </c>
      <c r="Y14" s="241" t="inlineStr">
        <is>
          <t>Salle &amp; mobilier</t>
        </is>
      </c>
      <c r="Z14" s="241" t="inlineStr">
        <is>
          <t>Permis de construire</t>
        </is>
      </c>
      <c r="AA14" s="241" t="inlineStr">
        <is>
          <t>Sous-traitance</t>
        </is>
      </c>
    </row>
    <row r="15">
      <c r="B15" s="238" t="inlineStr">
        <is>
          <t>DZD</t>
        </is>
      </c>
      <c r="C15" s="212" t="inlineStr">
        <is>
          <t>Dinar algérien</t>
        </is>
      </c>
      <c r="D15" s="156" t="inlineStr">
        <is>
          <t>DA</t>
        </is>
      </c>
      <c r="E15" s="239" t="n">
        <v>4.45</v>
      </c>
      <c r="F15" s="156" t="n">
        <v>2</v>
      </c>
      <c r="G15" s="240">
        <f>IFERROR($E15/INDEX($E$6:$E$31,MATCH(Devise_Base,$B$6:$B$31,0)),1)</f>
        <v/>
      </c>
      <c r="I15" s="244" t="n"/>
      <c r="J15" s="244" t="n"/>
      <c r="K15" s="244" t="n"/>
      <c r="L15" s="244" t="n"/>
      <c r="M15" s="241" t="inlineStr">
        <is>
          <t>Prélèvement</t>
        </is>
      </c>
      <c r="N15" s="244" t="n"/>
      <c r="O15" s="244" t="n"/>
      <c r="P15" s="244" t="n"/>
      <c r="Q15" s="244" t="n"/>
      <c r="R15" s="244" t="n"/>
      <c r="S15" s="244" t="n"/>
      <c r="T15" s="241" t="inlineStr">
        <is>
          <t>Autre</t>
        </is>
      </c>
      <c r="U15" s="241" t="inlineStr">
        <is>
          <t>Octobre</t>
        </is>
      </c>
      <c r="V15" s="244" t="n"/>
      <c r="X15" s="241" t="inlineStr">
        <is>
          <t>Vente d'actifs</t>
        </is>
      </c>
      <c r="Y15" s="241" t="inlineStr">
        <is>
          <t>Décoration</t>
        </is>
      </c>
      <c r="Z15" s="241" t="inlineStr">
        <is>
          <t>Étude de sol</t>
        </is>
      </c>
      <c r="AA15" s="241" t="inlineStr">
        <is>
          <t>Salaires &amp; charges</t>
        </is>
      </c>
    </row>
    <row r="16">
      <c r="B16" s="238" t="inlineStr">
        <is>
          <t>EGP</t>
        </is>
      </c>
      <c r="C16" s="212" t="inlineStr">
        <is>
          <t>Livre égyptienne</t>
        </is>
      </c>
      <c r="D16" s="156" t="inlineStr">
        <is>
          <t>E£</t>
        </is>
      </c>
      <c r="E16" s="239" t="n">
        <v>12.5</v>
      </c>
      <c r="F16" s="156" t="n">
        <v>2</v>
      </c>
      <c r="G16" s="240">
        <f>IFERROR($E16/INDEX($E$6:$E$31,MATCH(Devise_Base,$B$6:$B$31,0)),1)</f>
        <v/>
      </c>
      <c r="I16" s="244" t="n"/>
      <c r="J16" s="244" t="n"/>
      <c r="K16" s="244" t="n"/>
      <c r="L16" s="244" t="n"/>
      <c r="M16" s="241" t="inlineStr">
        <is>
          <t>PayPal</t>
        </is>
      </c>
      <c r="N16" s="244" t="n"/>
      <c r="O16" s="244" t="n"/>
      <c r="P16" s="244" t="n"/>
      <c r="Q16" s="244" t="n"/>
      <c r="R16" s="244" t="n"/>
      <c r="S16" s="244" t="n"/>
      <c r="T16" s="244" t="n"/>
      <c r="U16" s="241" t="inlineStr">
        <is>
          <t>Novembre</t>
        </is>
      </c>
      <c r="V16" s="244" t="n"/>
      <c r="X16" s="241" t="inlineStr">
        <is>
          <t>Autre revenu</t>
        </is>
      </c>
      <c r="Y16" s="241" t="inlineStr">
        <is>
          <t>Traiteur &amp; repas</t>
        </is>
      </c>
      <c r="Z16" s="241" t="inlineStr">
        <is>
          <t>Architecte &amp; études</t>
        </is>
      </c>
      <c r="AA16" s="241" t="inlineStr">
        <is>
          <t>Honoraires</t>
        </is>
      </c>
    </row>
    <row r="17">
      <c r="B17" s="238" t="inlineStr">
        <is>
          <t>NGN</t>
        </is>
      </c>
      <c r="C17" s="212" t="inlineStr">
        <is>
          <t>Naira nigérian</t>
        </is>
      </c>
      <c r="D17" s="156" t="inlineStr">
        <is>
          <t>₦</t>
        </is>
      </c>
      <c r="E17" s="239" t="n">
        <v>0.4</v>
      </c>
      <c r="F17" s="156" t="n">
        <v>2</v>
      </c>
      <c r="G17" s="240">
        <f>IFERROR($E17/INDEX($E$6:$E$31,MATCH(Devise_Base,$B$6:$B$31,0)),1)</f>
        <v/>
      </c>
      <c r="I17" s="244" t="n"/>
      <c r="J17" s="244" t="n"/>
      <c r="K17" s="244" t="n"/>
      <c r="L17" s="244" t="n"/>
      <c r="M17" s="241" t="inlineStr">
        <is>
          <t>Crypto</t>
        </is>
      </c>
      <c r="N17" s="244" t="n"/>
      <c r="O17" s="244" t="n"/>
      <c r="P17" s="244" t="n"/>
      <c r="Q17" s="244" t="n"/>
      <c r="R17" s="244" t="n"/>
      <c r="S17" s="244" t="n"/>
      <c r="T17" s="244" t="n"/>
      <c r="U17" s="241" t="inlineStr">
        <is>
          <t>Décembre</t>
        </is>
      </c>
      <c r="V17" s="244" t="n"/>
      <c r="X17" s="241" t="inlineStr">
        <is>
          <t>Loyer</t>
        </is>
      </c>
      <c r="Y17" s="241" t="inlineStr">
        <is>
          <t>Boissons</t>
        </is>
      </c>
      <c r="Z17" s="241" t="inlineStr">
        <is>
          <t>Fondations &amp; gros œuvre</t>
        </is>
      </c>
      <c r="AA17" s="241" t="inlineStr">
        <is>
          <t>Loyer professionnel</t>
        </is>
      </c>
    </row>
    <row r="18">
      <c r="B18" s="238" t="inlineStr">
        <is>
          <t>GHS</t>
        </is>
      </c>
      <c r="C18" s="212" t="inlineStr">
        <is>
          <t>Cedi ghanéen</t>
        </is>
      </c>
      <c r="D18" s="156" t="inlineStr">
        <is>
          <t>₵</t>
        </is>
      </c>
      <c r="E18" s="239" t="n">
        <v>50</v>
      </c>
      <c r="F18" s="156" t="n">
        <v>2</v>
      </c>
      <c r="G18" s="240">
        <f>IFERROR($E18/INDEX($E$6:$E$31,MATCH(Devise_Base,$B$6:$B$31,0)),1)</f>
        <v/>
      </c>
      <c r="I18" s="244" t="n"/>
      <c r="J18" s="244" t="n"/>
      <c r="K18" s="244" t="n"/>
      <c r="L18" s="244" t="n"/>
      <c r="M18" s="241" t="inlineStr">
        <is>
          <t>Autre</t>
        </is>
      </c>
      <c r="N18" s="244" t="n"/>
      <c r="O18" s="244" t="n"/>
      <c r="P18" s="244" t="n"/>
      <c r="Q18" s="244" t="n"/>
      <c r="R18" s="244" t="n"/>
      <c r="S18" s="244" t="n"/>
      <c r="T18" s="244" t="n"/>
      <c r="U18" s="244" t="n"/>
      <c r="V18" s="244" t="n"/>
      <c r="X18" s="241" t="inlineStr">
        <is>
          <t>Électricité</t>
        </is>
      </c>
      <c r="Y18" s="241" t="inlineStr">
        <is>
          <t>Gâteau / pièce montée</t>
        </is>
      </c>
      <c r="Z18" s="241" t="inlineStr">
        <is>
          <t>Maçonnerie</t>
        </is>
      </c>
      <c r="AA18" s="241" t="inlineStr">
        <is>
          <t>Électricité &amp; eau (pro)</t>
        </is>
      </c>
    </row>
    <row r="19">
      <c r="B19" s="238" t="inlineStr">
        <is>
          <t>GNF</t>
        </is>
      </c>
      <c r="C19" s="212" t="inlineStr">
        <is>
          <t>Franc guinéen</t>
        </is>
      </c>
      <c r="D19" s="156" t="inlineStr">
        <is>
          <t>FG</t>
        </is>
      </c>
      <c r="E19" s="239" t="n">
        <v>0.07000000000000001</v>
      </c>
      <c r="F19" s="156" t="n">
        <v>0</v>
      </c>
      <c r="G19" s="240">
        <f>IFERROR($E19/INDEX($E$6:$E$31,MATCH(Devise_Base,$B$6:$B$31,0)),1)</f>
        <v/>
      </c>
      <c r="I19" s="244" t="n"/>
      <c r="J19" s="244" t="n"/>
      <c r="K19" s="244" t="n"/>
      <c r="L19" s="244" t="n"/>
      <c r="M19" s="244" t="n"/>
      <c r="N19" s="244" t="n"/>
      <c r="O19" s="244" t="n"/>
      <c r="P19" s="244" t="n"/>
      <c r="Q19" s="244" t="n"/>
      <c r="R19" s="244" t="n"/>
      <c r="S19" s="244" t="n"/>
      <c r="T19" s="244" t="n"/>
      <c r="U19" s="244" t="n"/>
      <c r="V19" s="244" t="n"/>
      <c r="X19" s="241" t="inlineStr">
        <is>
          <t>Eau</t>
        </is>
      </c>
      <c r="Y19" s="241" t="inlineStr">
        <is>
          <t>Photographe</t>
        </is>
      </c>
      <c r="Z19" s="241" t="inlineStr">
        <is>
          <t>Charpente &amp; toiture</t>
        </is>
      </c>
      <c r="AA19" s="241" t="inlineStr">
        <is>
          <t>Internet &amp; téléphonie (pro)</t>
        </is>
      </c>
    </row>
    <row r="20">
      <c r="B20" s="238" t="inlineStr">
        <is>
          <t>CDF</t>
        </is>
      </c>
      <c r="C20" s="212" t="inlineStr">
        <is>
          <t>Franc congolais</t>
        </is>
      </c>
      <c r="D20" s="156" t="inlineStr">
        <is>
          <t>FC</t>
        </is>
      </c>
      <c r="E20" s="239" t="n">
        <v>0.21</v>
      </c>
      <c r="F20" s="156" t="n">
        <v>0</v>
      </c>
      <c r="G20" s="240">
        <f>IFERROR($E20/INDEX($E$6:$E$31,MATCH(Devise_Base,$B$6:$B$31,0)),1)</f>
        <v/>
      </c>
      <c r="I20" s="244" t="n"/>
      <c r="J20" s="244" t="n"/>
      <c r="K20" s="244" t="n"/>
      <c r="L20" s="244" t="n"/>
      <c r="M20" s="244" t="n"/>
      <c r="N20" s="244" t="n"/>
      <c r="O20" s="244" t="n"/>
      <c r="P20" s="244" t="n"/>
      <c r="Q20" s="244" t="n"/>
      <c r="R20" s="244" t="n"/>
      <c r="S20" s="244" t="n"/>
      <c r="T20" s="244" t="n"/>
      <c r="U20" s="244" t="n"/>
      <c r="V20" s="244" t="n"/>
      <c r="X20" s="241" t="inlineStr">
        <is>
          <t>Gaz / Bouteille</t>
        </is>
      </c>
      <c r="Y20" s="241" t="inlineStr">
        <is>
          <t>Vidéaste / Drone</t>
        </is>
      </c>
      <c r="Z20" s="241" t="inlineStr">
        <is>
          <t>Menuiserie</t>
        </is>
      </c>
      <c r="AA20" s="241" t="inlineStr">
        <is>
          <t>Marketing &amp; publicité</t>
        </is>
      </c>
    </row>
    <row r="21">
      <c r="B21" s="238" t="inlineStr">
        <is>
          <t>MRU</t>
        </is>
      </c>
      <c r="C21" s="212" t="inlineStr">
        <is>
          <t>Ouguiya mauritanien</t>
        </is>
      </c>
      <c r="D21" s="156" t="inlineStr">
        <is>
          <t>UM</t>
        </is>
      </c>
      <c r="E21" s="239" t="n">
        <v>15</v>
      </c>
      <c r="F21" s="156" t="n">
        <v>2</v>
      </c>
      <c r="G21" s="240">
        <f>IFERROR($E21/INDEX($E$6:$E$31,MATCH(Devise_Base,$B$6:$B$31,0)),1)</f>
        <v/>
      </c>
      <c r="I21" s="244" t="n"/>
      <c r="J21" s="244" t="n"/>
      <c r="K21" s="244" t="n"/>
      <c r="L21" s="244" t="n"/>
      <c r="M21" s="244" t="n"/>
      <c r="N21" s="244" t="n"/>
      <c r="O21" s="244" t="n"/>
      <c r="P21" s="244" t="n"/>
      <c r="Q21" s="244" t="n"/>
      <c r="R21" s="244" t="n"/>
      <c r="S21" s="244" t="n"/>
      <c r="T21" s="244" t="n"/>
      <c r="U21" s="244" t="n"/>
      <c r="V21" s="244" t="n"/>
      <c r="X21" s="241" t="inlineStr">
        <is>
          <t>Internet / Box</t>
        </is>
      </c>
      <c r="Y21" s="241" t="inlineStr">
        <is>
          <t>DJ &amp; animation</t>
        </is>
      </c>
      <c r="Z21" s="241" t="inlineStr">
        <is>
          <t>Électricité (travaux)</t>
        </is>
      </c>
      <c r="AA21" s="241" t="inlineStr">
        <is>
          <t>Community management</t>
        </is>
      </c>
    </row>
    <row r="22">
      <c r="B22" s="238" t="inlineStr">
        <is>
          <t>RWF</t>
        </is>
      </c>
      <c r="C22" s="212" t="inlineStr">
        <is>
          <t>Franc rwandais</t>
        </is>
      </c>
      <c r="D22" s="156" t="inlineStr">
        <is>
          <t>FRw</t>
        </is>
      </c>
      <c r="E22" s="239" t="n">
        <v>0.46</v>
      </c>
      <c r="F22" s="156" t="n">
        <v>0</v>
      </c>
      <c r="G22" s="240">
        <f>IFERROR($E22/INDEX($E$6:$E$31,MATCH(Devise_Base,$B$6:$B$31,0)),1)</f>
        <v/>
      </c>
      <c r="I22" s="244" t="n"/>
      <c r="J22" s="244" t="n"/>
      <c r="K22" s="244" t="n"/>
      <c r="L22" s="244" t="n"/>
      <c r="M22" s="244" t="n"/>
      <c r="N22" s="244" t="n"/>
      <c r="O22" s="244" t="n"/>
      <c r="P22" s="244" t="n"/>
      <c r="Q22" s="244" t="n"/>
      <c r="R22" s="244" t="n"/>
      <c r="S22" s="244" t="n"/>
      <c r="T22" s="244" t="n"/>
      <c r="U22" s="244" t="n"/>
      <c r="V22" s="244" t="n"/>
      <c r="X22" s="241" t="inlineStr">
        <is>
          <t>Téléphone</t>
        </is>
      </c>
      <c r="Y22" s="241" t="inlineStr">
        <is>
          <t>Orchestre / Chorale</t>
        </is>
      </c>
      <c r="Z22" s="241" t="inlineStr">
        <is>
          <t>Plomberie &amp; sanitaires</t>
        </is>
      </c>
      <c r="AA22" s="241" t="inlineStr">
        <is>
          <t>Site web &amp; hébergement</t>
        </is>
      </c>
    </row>
    <row r="23">
      <c r="B23" s="238" t="inlineStr">
        <is>
          <t>KES</t>
        </is>
      </c>
      <c r="C23" s="212" t="inlineStr">
        <is>
          <t>Shilling kényan</t>
        </is>
      </c>
      <c r="D23" s="156" t="inlineStr">
        <is>
          <t>KSh</t>
        </is>
      </c>
      <c r="E23" s="239" t="n">
        <v>4.6</v>
      </c>
      <c r="F23" s="156" t="n">
        <v>2</v>
      </c>
      <c r="G23" s="240">
        <f>IFERROR($E23/INDEX($E$6:$E$31,MATCH(Devise_Base,$B$6:$B$31,0)),1)</f>
        <v/>
      </c>
      <c r="I23" s="244" t="n"/>
      <c r="J23" s="244" t="n"/>
      <c r="K23" s="244" t="n"/>
      <c r="L23" s="244" t="n"/>
      <c r="M23" s="244" t="n"/>
      <c r="N23" s="244" t="n"/>
      <c r="O23" s="244" t="n"/>
      <c r="P23" s="244" t="n"/>
      <c r="Q23" s="244" t="n"/>
      <c r="R23" s="244" t="n"/>
      <c r="S23" s="244" t="n"/>
      <c r="T23" s="244" t="n"/>
      <c r="U23" s="244" t="n"/>
      <c r="V23" s="244" t="n"/>
      <c r="X23" s="241" t="inlineStr">
        <is>
          <t>Charges de copropriété</t>
        </is>
      </c>
      <c r="Y23" s="241" t="inlineStr">
        <is>
          <t>Transport &amp; location de voitures</t>
        </is>
      </c>
      <c r="Z23" s="241" t="inlineStr">
        <is>
          <t>Carrelage &amp; revêtements</t>
        </is>
      </c>
      <c r="AA23" s="241" t="inlineStr">
        <is>
          <t>Logiciels &amp; abonnements</t>
        </is>
      </c>
    </row>
    <row r="24">
      <c r="B24" s="238" t="inlineStr">
        <is>
          <t>UGX</t>
        </is>
      </c>
      <c r="C24" s="212" t="inlineStr">
        <is>
          <t>Shilling ougandais</t>
        </is>
      </c>
      <c r="D24" s="156" t="inlineStr">
        <is>
          <t>USh</t>
        </is>
      </c>
      <c r="E24" s="239" t="n">
        <v>0.16</v>
      </c>
      <c r="F24" s="156" t="n">
        <v>0</v>
      </c>
      <c r="G24" s="240">
        <f>IFERROR($E24/INDEX($E$6:$E$31,MATCH(Devise_Base,$B$6:$B$31,0)),1)</f>
        <v/>
      </c>
      <c r="I24" s="244" t="n"/>
      <c r="J24" s="244" t="n"/>
      <c r="K24" s="244" t="n"/>
      <c r="L24" s="244" t="n"/>
      <c r="M24" s="244" t="n"/>
      <c r="N24" s="244" t="n"/>
      <c r="O24" s="244" t="n"/>
      <c r="P24" s="244" t="n"/>
      <c r="Q24" s="244" t="n"/>
      <c r="R24" s="244" t="n"/>
      <c r="S24" s="244" t="n"/>
      <c r="T24" s="244" t="n"/>
      <c r="U24" s="244" t="n"/>
      <c r="V24" s="244" t="n"/>
      <c r="X24" s="241" t="inlineStr">
        <is>
          <t>Entretien &amp; réparations logement</t>
        </is>
      </c>
      <c r="Y24" s="241" t="inlineStr">
        <is>
          <t>Faire-parts &amp; papeterie</t>
        </is>
      </c>
      <c r="Z24" s="241" t="inlineStr">
        <is>
          <t>Peinture &amp; finitions</t>
        </is>
      </c>
      <c r="AA24" s="241" t="inlineStr">
        <is>
          <t>Équipement &amp; matériel</t>
        </is>
      </c>
    </row>
    <row r="25">
      <c r="B25" s="238" t="inlineStr">
        <is>
          <t>TZS</t>
        </is>
      </c>
      <c r="C25" s="212" t="inlineStr">
        <is>
          <t>Shilling tanzanien</t>
        </is>
      </c>
      <c r="D25" s="156" t="inlineStr">
        <is>
          <t>TSh</t>
        </is>
      </c>
      <c r="E25" s="239" t="n">
        <v>0.23</v>
      </c>
      <c r="F25" s="156" t="n">
        <v>0</v>
      </c>
      <c r="G25" s="240">
        <f>IFERROR($E25/INDEX($E$6:$E$31,MATCH(Devise_Base,$B$6:$B$31,0)),1)</f>
        <v/>
      </c>
      <c r="I25" s="244" t="n"/>
      <c r="J25" s="244" t="n"/>
      <c r="K25" s="244" t="n"/>
      <c r="L25" s="244" t="n"/>
      <c r="M25" s="244" t="n"/>
      <c r="N25" s="244" t="n"/>
      <c r="O25" s="244" t="n"/>
      <c r="P25" s="244" t="n"/>
      <c r="Q25" s="244" t="n"/>
      <c r="R25" s="244" t="n"/>
      <c r="S25" s="244" t="n"/>
      <c r="T25" s="244" t="n"/>
      <c r="U25" s="244" t="n"/>
      <c r="V25" s="244" t="n"/>
      <c r="X25" s="241" t="inlineStr">
        <is>
          <t>Alimentation / Courses</t>
        </is>
      </c>
      <c r="Y25" s="241" t="inlineStr">
        <is>
          <t>Cadeaux invités</t>
        </is>
      </c>
      <c r="Z25" s="241" t="inlineStr">
        <is>
          <t>Clôture &amp; portail</t>
        </is>
      </c>
      <c r="AA25" s="241" t="inlineStr">
        <is>
          <t>Mobilier de bureau</t>
        </is>
      </c>
    </row>
    <row r="26">
      <c r="B26" s="238" t="inlineStr">
        <is>
          <t>ZAR</t>
        </is>
      </c>
      <c r="C26" s="212" t="inlineStr">
        <is>
          <t>Rand sud-africain</t>
        </is>
      </c>
      <c r="D26" s="156" t="inlineStr">
        <is>
          <t>R</t>
        </is>
      </c>
      <c r="E26" s="239" t="n">
        <v>33</v>
      </c>
      <c r="F26" s="156" t="n">
        <v>2</v>
      </c>
      <c r="G26" s="240">
        <f>IFERROR($E26/INDEX($E$6:$E$31,MATCH(Devise_Base,$B$6:$B$31,0)),1)</f>
        <v/>
      </c>
      <c r="I26" s="244" t="n"/>
      <c r="J26" s="244" t="n"/>
      <c r="K26" s="244" t="n"/>
      <c r="L26" s="244" t="n"/>
      <c r="M26" s="244" t="n"/>
      <c r="N26" s="244" t="n"/>
      <c r="O26" s="244" t="n"/>
      <c r="P26" s="244" t="n"/>
      <c r="Q26" s="244" t="n"/>
      <c r="R26" s="244" t="n"/>
      <c r="S26" s="244" t="n"/>
      <c r="T26" s="244" t="n"/>
      <c r="U26" s="244" t="n"/>
      <c r="V26" s="244" t="n"/>
      <c r="X26" s="241" t="inlineStr">
        <is>
          <t>Restaurants / Déjeuners</t>
        </is>
      </c>
      <c r="Y26" s="241" t="inlineStr">
        <is>
          <t>Hébergement invités</t>
        </is>
      </c>
      <c r="Z26" s="241" t="inlineStr">
        <is>
          <t>Aménagement extérieur</t>
        </is>
      </c>
      <c r="AA26" s="241" t="inlineStr">
        <is>
          <t>Transport &amp; logistique</t>
        </is>
      </c>
    </row>
    <row r="27">
      <c r="B27" s="238" t="inlineStr">
        <is>
          <t>AED</t>
        </is>
      </c>
      <c r="C27" s="212" t="inlineStr">
        <is>
          <t>Dirham des Émirats</t>
        </is>
      </c>
      <c r="D27" s="156" t="inlineStr">
        <is>
          <t>AED</t>
        </is>
      </c>
      <c r="E27" s="239" t="n">
        <v>163</v>
      </c>
      <c r="F27" s="156" t="n">
        <v>2</v>
      </c>
      <c r="G27" s="240">
        <f>IFERROR($E27/INDEX($E$6:$E$31,MATCH(Devise_Base,$B$6:$B$31,0)),1)</f>
        <v/>
      </c>
      <c r="I27" s="244" t="n"/>
      <c r="J27" s="244" t="n"/>
      <c r="K27" s="244" t="n"/>
      <c r="L27" s="244" t="n"/>
      <c r="M27" s="244" t="n"/>
      <c r="N27" s="244" t="n"/>
      <c r="O27" s="244" t="n"/>
      <c r="P27" s="244" t="n"/>
      <c r="Q27" s="244" t="n"/>
      <c r="R27" s="244" t="n"/>
      <c r="S27" s="244" t="n"/>
      <c r="T27" s="244" t="n"/>
      <c r="U27" s="244" t="n"/>
      <c r="V27" s="244" t="n"/>
      <c r="X27" s="241" t="inlineStr">
        <is>
          <t>Transport en commun</t>
        </is>
      </c>
      <c r="Y27" s="241" t="inlineStr">
        <is>
          <t>Wedding planner</t>
        </is>
      </c>
      <c r="Z27" s="241" t="inlineStr">
        <is>
          <t>Main d'œuvre</t>
        </is>
      </c>
      <c r="AA27" s="241" t="inlineStr">
        <is>
          <t>Carburant (pro)</t>
        </is>
      </c>
    </row>
    <row r="28">
      <c r="B28" s="238" t="inlineStr">
        <is>
          <t>SAR</t>
        </is>
      </c>
      <c r="C28" s="212" t="inlineStr">
        <is>
          <t>Riyal saoudien</t>
        </is>
      </c>
      <c r="D28" s="156" t="inlineStr">
        <is>
          <t>SR</t>
        </is>
      </c>
      <c r="E28" s="239" t="n">
        <v>160</v>
      </c>
      <c r="F28" s="156" t="n">
        <v>2</v>
      </c>
      <c r="G28" s="240">
        <f>IFERROR($E28/INDEX($E$6:$E$31,MATCH(Devise_Base,$B$6:$B$31,0)),1)</f>
        <v/>
      </c>
      <c r="I28" s="244" t="n"/>
      <c r="J28" s="244" t="n"/>
      <c r="K28" s="244" t="n"/>
      <c r="L28" s="244" t="n"/>
      <c r="M28" s="244" t="n"/>
      <c r="N28" s="244" t="n"/>
      <c r="O28" s="244" t="n"/>
      <c r="P28" s="244" t="n"/>
      <c r="Q28" s="244" t="n"/>
      <c r="R28" s="244" t="n"/>
      <c r="S28" s="244" t="n"/>
      <c r="T28" s="244" t="n"/>
      <c r="U28" s="244" t="n"/>
      <c r="V28" s="244" t="n"/>
      <c r="X28" s="241" t="inlineStr">
        <is>
          <t>Carburant</t>
        </is>
      </c>
      <c r="Y28" s="241" t="inlineStr">
        <is>
          <t>Sécurité &amp; service d'ordre</t>
        </is>
      </c>
      <c r="Z28" s="241" t="inlineStr">
        <is>
          <t>Matériaux de construction</t>
        </is>
      </c>
      <c r="AA28" s="241" t="inlineStr">
        <is>
          <t>Frais de mission &amp; déplacement</t>
        </is>
      </c>
    </row>
    <row r="29">
      <c r="B29" s="238" t="inlineStr">
        <is>
          <t>CNY</t>
        </is>
      </c>
      <c r="C29" s="212" t="inlineStr">
        <is>
          <t>Yuan chinois</t>
        </is>
      </c>
      <c r="D29" s="156" t="inlineStr">
        <is>
          <t>¥</t>
        </is>
      </c>
      <c r="E29" s="239" t="n">
        <v>83</v>
      </c>
      <c r="F29" s="156" t="n">
        <v>2</v>
      </c>
      <c r="G29" s="240">
        <f>IFERROR($E29/INDEX($E$6:$E$31,MATCH(Devise_Base,$B$6:$B$31,0)),1)</f>
        <v/>
      </c>
      <c r="I29" s="244" t="n"/>
      <c r="J29" s="244" t="n"/>
      <c r="K29" s="244" t="n"/>
      <c r="L29" s="244" t="n"/>
      <c r="M29" s="244" t="n"/>
      <c r="N29" s="244" t="n"/>
      <c r="O29" s="244" t="n"/>
      <c r="P29" s="244" t="n"/>
      <c r="Q29" s="244" t="n"/>
      <c r="R29" s="244" t="n"/>
      <c r="S29" s="244" t="n"/>
      <c r="T29" s="244" t="n"/>
      <c r="U29" s="244" t="n"/>
      <c r="V29" s="244" t="n"/>
      <c r="X29" s="241" t="inlineStr">
        <is>
          <t>Taxi / VTC</t>
        </is>
      </c>
      <c r="Y29" s="241" t="inlineStr">
        <is>
          <t>Sonorisation &amp; éclairage</t>
        </is>
      </c>
      <c r="Z29" s="241" t="inlineStr">
        <is>
          <t>Raccordements (eau, électricité)</t>
        </is>
      </c>
      <c r="AA29" s="241" t="inlineStr">
        <is>
          <t>Frais bancaires pro</t>
        </is>
      </c>
    </row>
    <row r="30">
      <c r="B30" s="238" t="inlineStr">
        <is>
          <t>JPY</t>
        </is>
      </c>
      <c r="C30" s="212" t="inlineStr">
        <is>
          <t>Yen japonais</t>
        </is>
      </c>
      <c r="D30" s="156" t="inlineStr">
        <is>
          <t>¥</t>
        </is>
      </c>
      <c r="E30" s="239" t="n">
        <v>4</v>
      </c>
      <c r="F30" s="156" t="n">
        <v>0</v>
      </c>
      <c r="G30" s="240">
        <f>IFERROR($E30/INDEX($E$6:$E$31,MATCH(Devise_Base,$B$6:$B$31,0)),1)</f>
        <v/>
      </c>
      <c r="I30" s="244" t="n"/>
      <c r="J30" s="244" t="n"/>
      <c r="K30" s="244" t="n"/>
      <c r="L30" s="244" t="n"/>
      <c r="M30" s="244" t="n"/>
      <c r="N30" s="244" t="n"/>
      <c r="O30" s="244" t="n"/>
      <c r="P30" s="244" t="n"/>
      <c r="Q30" s="244" t="n"/>
      <c r="R30" s="244" t="n"/>
      <c r="S30" s="244" t="n"/>
      <c r="T30" s="244" t="n"/>
      <c r="U30" s="244" t="n"/>
      <c r="V30" s="244" t="n"/>
      <c r="X30" s="241" t="inlineStr">
        <is>
          <t>Entretien véhicule</t>
        </is>
      </c>
      <c r="Y30" s="241" t="inlineStr">
        <is>
          <t>Location de vaisselle</t>
        </is>
      </c>
      <c r="Z30" s="241" t="inlineStr">
        <is>
          <t>Loyers perçus</t>
        </is>
      </c>
      <c r="AA30" s="241" t="inlineStr">
        <is>
          <t>Commissions &amp; frais de plateforme</t>
        </is>
      </c>
    </row>
    <row r="31">
      <c r="B31" s="238" t="inlineStr">
        <is>
          <t>TRY</t>
        </is>
      </c>
      <c r="C31" s="212" t="inlineStr">
        <is>
          <t>Livre turque</t>
        </is>
      </c>
      <c r="D31" s="156" t="inlineStr">
        <is>
          <t>₺</t>
        </is>
      </c>
      <c r="E31" s="239" t="n">
        <v>17</v>
      </c>
      <c r="F31" s="156" t="n">
        <v>2</v>
      </c>
      <c r="G31" s="240">
        <f>IFERROR($E31/INDEX($E$6:$E$31,MATCH(Devise_Base,$B$6:$B$31,0)),1)</f>
        <v/>
      </c>
      <c r="I31" s="244" t="n"/>
      <c r="J31" s="244" t="n"/>
      <c r="K31" s="244" t="n"/>
      <c r="L31" s="244" t="n"/>
      <c r="M31" s="244" t="n"/>
      <c r="N31" s="244" t="n"/>
      <c r="O31" s="244" t="n"/>
      <c r="P31" s="244" t="n"/>
      <c r="Q31" s="244" t="n"/>
      <c r="R31" s="244" t="n"/>
      <c r="S31" s="244" t="n"/>
      <c r="T31" s="244" t="n"/>
      <c r="U31" s="244" t="n"/>
      <c r="V31" s="244" t="n"/>
      <c r="X31" s="241" t="inlineStr">
        <is>
          <t>Assurance véhicule</t>
        </is>
      </c>
      <c r="Y31" s="241" t="inlineStr">
        <is>
          <t>Lune de miel</t>
        </is>
      </c>
      <c r="Z31" s="241" t="inlineStr">
        <is>
          <t>Dépôt de garantie</t>
        </is>
      </c>
      <c r="AA31" s="241" t="inlineStr">
        <is>
          <t>Impôts &amp; taxes pro</t>
        </is>
      </c>
    </row>
    <row r="32">
      <c r="E32" s="244" t="n"/>
      <c r="I32" s="244" t="n"/>
      <c r="J32" s="244" t="n"/>
      <c r="K32" s="244" t="n"/>
      <c r="L32" s="244" t="n"/>
      <c r="M32" s="244" t="n"/>
      <c r="N32" s="244" t="n"/>
      <c r="O32" s="244" t="n"/>
      <c r="P32" s="244" t="n"/>
      <c r="Q32" s="244" t="n"/>
      <c r="R32" s="244" t="n"/>
      <c r="S32" s="244" t="n"/>
      <c r="T32" s="244" t="n"/>
      <c r="U32" s="244" t="n"/>
      <c r="V32" s="244" t="n"/>
      <c r="X32" s="241" t="inlineStr">
        <is>
          <t>Santé / Pharmacie</t>
        </is>
      </c>
      <c r="Y32" s="241" t="inlineStr">
        <is>
          <t>Frais de visa / voyage</t>
        </is>
      </c>
      <c r="Z32" s="241" t="inlineStr">
        <is>
          <t>Charges locatives</t>
        </is>
      </c>
      <c r="AA32" s="241" t="inlineStr">
        <is>
          <t>Formation</t>
        </is>
      </c>
    </row>
    <row r="33" ht="30" customHeight="1">
      <c r="B33" s="41" t="inlineStr">
        <is>
          <t>Les cours sont donnés à titre indicatif. Modifiez la colonne « Cours indicatif » pour coller au marché : le taux vers votre devise de base se recalcule seul.</t>
        </is>
      </c>
      <c r="C33" s="42" t="n"/>
      <c r="D33" s="42" t="n"/>
      <c r="E33" s="245" t="n"/>
      <c r="F33" s="42" t="n"/>
      <c r="G33" s="42" t="n"/>
      <c r="I33" s="244" t="n"/>
      <c r="J33" s="244" t="n"/>
      <c r="K33" s="244" t="n"/>
      <c r="L33" s="244" t="n"/>
      <c r="M33" s="244" t="n"/>
      <c r="N33" s="244" t="n"/>
      <c r="O33" s="244" t="n"/>
      <c r="P33" s="244" t="n"/>
      <c r="Q33" s="244" t="n"/>
      <c r="R33" s="244" t="n"/>
      <c r="S33" s="244" t="n"/>
      <c r="T33" s="244" t="n"/>
      <c r="U33" s="244" t="n"/>
      <c r="V33" s="244" t="n"/>
      <c r="X33" s="241" t="inlineStr">
        <is>
          <t>Assurance santé / Mutuelle</t>
        </is>
      </c>
      <c r="Y33" s="241" t="inlineStr">
        <is>
          <t>Pourboires &amp; extras</t>
        </is>
      </c>
      <c r="Z33" s="241" t="inlineStr">
        <is>
          <t>Taxe foncière</t>
        </is>
      </c>
      <c r="AA33" s="241" t="inlineStr">
        <is>
          <t>Conseil juridique &amp; comptable</t>
        </is>
      </c>
    </row>
    <row r="34">
      <c r="E34" s="244" t="n"/>
      <c r="I34" s="244" t="n"/>
      <c r="J34" s="244" t="n"/>
      <c r="K34" s="244" t="n"/>
      <c r="L34" s="244" t="n"/>
      <c r="M34" s="244" t="n"/>
      <c r="N34" s="244" t="n"/>
      <c r="O34" s="244" t="n"/>
      <c r="P34" s="244" t="n"/>
      <c r="Q34" s="244" t="n"/>
      <c r="R34" s="244" t="n"/>
      <c r="S34" s="244" t="n"/>
      <c r="T34" s="244" t="n"/>
      <c r="U34" s="244" t="n"/>
      <c r="V34" s="244" t="n"/>
      <c r="X34" s="241" t="inlineStr">
        <is>
          <t>Habillement</t>
        </is>
      </c>
      <c r="Y34" s="241" t="inlineStr">
        <is>
          <t>Imprévus mariage</t>
        </is>
      </c>
      <c r="Z34" s="241" t="inlineStr">
        <is>
          <t>Assurance habitation / PNO</t>
        </is>
      </c>
      <c r="AA34" s="241" t="inlineStr">
        <is>
          <t>Assurances pro</t>
        </is>
      </c>
    </row>
    <row r="35">
      <c r="E35" s="244" t="n"/>
      <c r="I35" s="244" t="n"/>
      <c r="J35" s="244" t="n"/>
      <c r="K35" s="244" t="n"/>
      <c r="L35" s="244" t="n"/>
      <c r="M35" s="244" t="n"/>
      <c r="N35" s="244" t="n"/>
      <c r="O35" s="244" t="n"/>
      <c r="P35" s="244" t="n"/>
      <c r="Q35" s="244" t="n"/>
      <c r="R35" s="244" t="n"/>
      <c r="S35" s="244" t="n"/>
      <c r="T35" s="244" t="n"/>
      <c r="U35" s="244" t="n"/>
      <c r="V35" s="244" t="n"/>
      <c r="X35" s="241" t="inlineStr">
        <is>
          <t>Coiffure &amp; soins</t>
        </is>
      </c>
      <c r="Y35" s="244" t="n"/>
      <c r="Z35" s="241" t="inlineStr">
        <is>
          <t>Frais de gérance</t>
        </is>
      </c>
      <c r="AA35" s="241" t="inlineStr">
        <is>
          <t>Licences &amp; agréments</t>
        </is>
      </c>
    </row>
    <row r="36">
      <c r="E36" s="244" t="n"/>
      <c r="I36" s="244" t="n"/>
      <c r="J36" s="244" t="n"/>
      <c r="K36" s="244" t="n"/>
      <c r="L36" s="244" t="n"/>
      <c r="M36" s="244" t="n"/>
      <c r="N36" s="244" t="n"/>
      <c r="O36" s="244" t="n"/>
      <c r="P36" s="244" t="n"/>
      <c r="Q36" s="244" t="n"/>
      <c r="R36" s="244" t="n"/>
      <c r="S36" s="244" t="n"/>
      <c r="T36" s="244" t="n"/>
      <c r="U36" s="244" t="n"/>
      <c r="V36" s="244" t="n"/>
      <c r="X36" s="241" t="inlineStr">
        <is>
          <t>Scolarité / Éducation</t>
        </is>
      </c>
      <c r="Y36" s="244" t="n"/>
      <c r="Z36" s="241" t="inlineStr">
        <is>
          <t>Entretien &amp; réparations</t>
        </is>
      </c>
      <c r="AA36" s="241" t="inlineStr">
        <is>
          <t>Amortissements</t>
        </is>
      </c>
    </row>
    <row r="37">
      <c r="E37" s="244" t="n"/>
      <c r="I37" s="244" t="n"/>
      <c r="J37" s="244" t="n"/>
      <c r="K37" s="244" t="n"/>
      <c r="L37" s="244" t="n"/>
      <c r="M37" s="244" t="n"/>
      <c r="N37" s="244" t="n"/>
      <c r="O37" s="244" t="n"/>
      <c r="P37" s="244" t="n"/>
      <c r="Q37" s="244" t="n"/>
      <c r="R37" s="244" t="n"/>
      <c r="S37" s="244" t="n"/>
      <c r="T37" s="244" t="n"/>
      <c r="U37" s="244" t="n"/>
      <c r="V37" s="244" t="n"/>
      <c r="X37" s="241" t="inlineStr">
        <is>
          <t>Garde d'enfants</t>
        </is>
      </c>
      <c r="Y37" s="244" t="n"/>
      <c r="Z37" s="241" t="inlineStr">
        <is>
          <t>Mensualité crédit immobilier</t>
        </is>
      </c>
      <c r="AA37" s="241" t="inlineStr">
        <is>
          <t>Divers business</t>
        </is>
      </c>
    </row>
    <row r="38">
      <c r="E38" s="244" t="n"/>
      <c r="I38" s="244" t="n"/>
      <c r="J38" s="244" t="n"/>
      <c r="K38" s="244" t="n"/>
      <c r="L38" s="244" t="n"/>
      <c r="M38" s="244" t="n"/>
      <c r="N38" s="244" t="n"/>
      <c r="O38" s="244" t="n"/>
      <c r="P38" s="244" t="n"/>
      <c r="Q38" s="244" t="n"/>
      <c r="R38" s="244" t="n"/>
      <c r="S38" s="244" t="n"/>
      <c r="T38" s="244" t="n"/>
      <c r="U38" s="244" t="n"/>
      <c r="V38" s="244" t="n"/>
      <c r="X38" s="241" t="inlineStr">
        <is>
          <t>Sport / Fitness</t>
        </is>
      </c>
      <c r="Y38" s="244" t="n"/>
      <c r="Z38" s="241" t="inlineStr">
        <is>
          <t>Intérêts d'emprunt</t>
        </is>
      </c>
      <c r="AA38" s="244" t="n"/>
    </row>
    <row r="39">
      <c r="E39" s="244" t="n"/>
      <c r="I39" s="244" t="n"/>
      <c r="J39" s="244" t="n"/>
      <c r="K39" s="244" t="n"/>
      <c r="L39" s="244" t="n"/>
      <c r="M39" s="244" t="n"/>
      <c r="N39" s="244" t="n"/>
      <c r="O39" s="244" t="n"/>
      <c r="P39" s="244" t="n"/>
      <c r="Q39" s="244" t="n"/>
      <c r="R39" s="244" t="n"/>
      <c r="S39" s="244" t="n"/>
      <c r="T39" s="244" t="n"/>
      <c r="U39" s="244" t="n"/>
      <c r="V39" s="244" t="n"/>
      <c r="X39" s="241" t="inlineStr">
        <is>
          <t>Loisirs &amp; sorties</t>
        </is>
      </c>
      <c r="Y39" s="244" t="n"/>
      <c r="Z39" s="241" t="inlineStr">
        <is>
          <t>Divers immobilier</t>
        </is>
      </c>
      <c r="AA39" s="244" t="n"/>
    </row>
    <row r="40">
      <c r="E40" s="244" t="n"/>
      <c r="I40" s="244" t="n"/>
      <c r="J40" s="244" t="n"/>
      <c r="K40" s="244" t="n"/>
      <c r="L40" s="244" t="n"/>
      <c r="M40" s="244" t="n"/>
      <c r="N40" s="244" t="n"/>
      <c r="O40" s="244" t="n"/>
      <c r="P40" s="244" t="n"/>
      <c r="Q40" s="244" t="n"/>
      <c r="R40" s="244" t="n"/>
      <c r="S40" s="244" t="n"/>
      <c r="T40" s="244" t="n"/>
      <c r="U40" s="244" t="n"/>
      <c r="V40" s="244" t="n"/>
      <c r="X40" s="241" t="inlineStr">
        <is>
          <t>Abonnements (streaming, apps)</t>
        </is>
      </c>
      <c r="Y40" s="244" t="n"/>
      <c r="Z40" s="244" t="n"/>
      <c r="AA40" s="244" t="n"/>
    </row>
    <row r="41">
      <c r="X41" s="241" t="inlineStr">
        <is>
          <t>Dîme / Offrandes</t>
        </is>
      </c>
      <c r="Y41" s="244" t="n"/>
      <c r="Z41" s="244" t="n"/>
      <c r="AA41" s="244" t="n"/>
    </row>
    <row r="42">
      <c r="X42" s="241" t="inlineStr">
        <is>
          <t>Dons &amp; solidarité</t>
        </is>
      </c>
      <c r="Y42" s="244" t="n"/>
      <c r="Z42" s="244" t="n"/>
      <c r="AA42" s="244" t="n"/>
    </row>
    <row r="43">
      <c r="X43" s="241" t="inlineStr">
        <is>
          <t>Cadeaux</t>
        </is>
      </c>
      <c r="Y43" s="244" t="n"/>
      <c r="Z43" s="244" t="n"/>
      <c r="AA43" s="244" t="n"/>
    </row>
    <row r="44">
      <c r="X44" s="241" t="inlineStr">
        <is>
          <t>Voyages / Vacances</t>
        </is>
      </c>
      <c r="Y44" s="244" t="n"/>
      <c r="Z44" s="244" t="n"/>
      <c r="AA44" s="244" t="n"/>
    </row>
    <row r="45">
      <c r="X45" s="241" t="inlineStr">
        <is>
          <t>Impôts &amp; taxes</t>
        </is>
      </c>
      <c r="Y45" s="244" t="n"/>
      <c r="Z45" s="244" t="n"/>
      <c r="AA45" s="244" t="n"/>
    </row>
    <row r="46">
      <c r="X46" s="241" t="inlineStr">
        <is>
          <t>Frais bancaires</t>
        </is>
      </c>
      <c r="Y46" s="244" t="n"/>
      <c r="Z46" s="244" t="n"/>
      <c r="AA46" s="244" t="n"/>
    </row>
    <row r="47">
      <c r="X47" s="241" t="inlineStr">
        <is>
          <t>Assurance habitation</t>
        </is>
      </c>
      <c r="Y47" s="244" t="n"/>
      <c r="Z47" s="244" t="n"/>
      <c r="AA47" s="244" t="n"/>
    </row>
    <row r="48">
      <c r="X48" s="241" t="inlineStr">
        <is>
          <t>Épargne (versement)</t>
        </is>
      </c>
      <c r="Y48" s="244" t="n"/>
      <c r="Z48" s="244" t="n"/>
      <c r="AA48" s="244" t="n"/>
    </row>
    <row r="49">
      <c r="X49" s="241" t="inlineStr">
        <is>
          <t>Investissement</t>
        </is>
      </c>
      <c r="Y49" s="244" t="n"/>
      <c r="Z49" s="244" t="n"/>
      <c r="AA49" s="244" t="n"/>
    </row>
    <row r="50">
      <c r="X50" s="241" t="inlineStr">
        <is>
          <t>Remboursement de crédit</t>
        </is>
      </c>
      <c r="Y50" s="244" t="n"/>
      <c r="Z50" s="244" t="n"/>
      <c r="AA50" s="244" t="n"/>
    </row>
    <row r="51">
      <c r="X51" s="241" t="inlineStr">
        <is>
          <t>Aide à la famille élargie</t>
        </is>
      </c>
      <c r="Y51" s="244" t="n"/>
      <c r="Z51" s="244" t="n"/>
      <c r="AA51" s="244" t="n"/>
    </row>
    <row r="52">
      <c r="X52" s="241" t="inlineStr">
        <is>
          <t>Frais administratifs</t>
        </is>
      </c>
      <c r="Y52" s="244" t="n"/>
      <c r="Z52" s="244" t="n"/>
      <c r="AA52" s="244" t="n"/>
    </row>
    <row r="53">
      <c r="X53" s="241" t="inlineStr">
        <is>
          <t>Imprévus / Divers</t>
        </is>
      </c>
      <c r="Y53" s="244" t="n"/>
      <c r="Z53" s="244" t="n"/>
      <c r="AA53" s="244" t="n"/>
    </row>
    <row r="54">
      <c r="X54" s="244" t="n"/>
      <c r="Y54" s="244" t="n"/>
      <c r="Z54" s="244" t="n"/>
      <c r="AA54" s="244" t="n"/>
    </row>
    <row r="55">
      <c r="X55" s="244" t="n"/>
      <c r="Y55" s="244" t="n"/>
      <c r="Z55" s="244" t="n"/>
      <c r="AA55" s="244" t="n"/>
    </row>
    <row r="56">
      <c r="X56" s="244" t="n"/>
      <c r="Y56" s="244" t="n"/>
      <c r="Z56" s="244" t="n"/>
      <c r="AA56" s="244" t="n"/>
    </row>
    <row r="57">
      <c r="X57" s="244" t="n"/>
      <c r="Y57" s="244" t="n"/>
      <c r="Z57" s="244" t="n"/>
      <c r="AA57" s="244" t="n"/>
    </row>
    <row r="58">
      <c r="X58" s="244" t="n"/>
      <c r="Y58" s="244" t="n"/>
      <c r="Z58" s="244" t="n"/>
      <c r="AA58" s="244" t="n"/>
    </row>
    <row r="59">
      <c r="X59" s="244" t="n"/>
      <c r="Y59" s="244" t="n"/>
      <c r="Z59" s="244" t="n"/>
      <c r="AA59" s="244" t="n"/>
    </row>
    <row r="60">
      <c r="X60" s="244" t="n"/>
      <c r="Y60" s="244" t="n"/>
      <c r="Z60" s="244" t="n"/>
      <c r="AA60" s="244" t="n"/>
    </row>
  </sheetData>
  <sheetProtection selectLockedCells="0" selectUnlockedCells="0" sheet="1" objects="1" insertRows="1" insertHyperlinks="1" autoFilter="0" scenarios="1" formatColumns="0" deleteColumns="1" insertColumns="1" pivotTables="1" deleteRows="1" formatCells="0" formatRows="0" sort="0" password="8708"/>
  <mergeCells count="11">
    <mergeCell ref="R3:U3"/>
    <mergeCell ref="V3:Y3"/>
    <mergeCell ref="F3:I3"/>
    <mergeCell ref="B1:AA1"/>
    <mergeCell ref="J3:M3"/>
    <mergeCell ref="X4:AA4"/>
    <mergeCell ref="N3:Q3"/>
    <mergeCell ref="B4:G4"/>
    <mergeCell ref="B3:E3"/>
    <mergeCell ref="B2:AA2"/>
    <mergeCell ref="B33:G33"/>
  </mergeCells>
  <conditionalFormatting sqref="B6:G31">
    <cfRule type="expression" priority="1" dxfId="75" stopIfTrue="0">
      <formula>MOD(ROW()-6,2)=1</formula>
    </cfRule>
  </conditionalFormatting>
  <hyperlinks>
    <hyperlink ref="B3" location="'Accueil'!A1"/>
    <hyperlink ref="F3" location="'Paramètres'!A1"/>
    <hyperlink ref="J3" location="'Estimation Annuelle'!A1"/>
    <hyperlink ref="N3" location="'Journal'!A1"/>
    <hyperlink ref="R3" location="'Tableau de Bord'!A1"/>
    <hyperlink ref="V3" location="'Budget 12 Mois'!A1"/>
  </hyperlinks>
  <pageMargins left="0.75" right="0.75" top="1" bottom="1" header="0.5" footer="0.5"/>
</worksheet>
</file>

<file path=xl/worksheets/sheet15.xml><?xml version="1.0" encoding="utf-8"?>
<worksheet xmlns="http://schemas.openxmlformats.org/spreadsheetml/2006/main">
  <sheetPr>
    <tabColor rgb="007A8794"/>
    <outlinePr summaryBelow="1" summaryRight="1"/>
    <pageSetUpPr/>
  </sheetPr>
  <dimension ref="A1:O319"/>
  <sheetViews>
    <sheetView showGridLines="0" zoomScale="85"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16" customWidth="1" min="2" max="2"/>
    <col width="34"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ht="52" customHeight="1">
      <c r="B1" s="46" t="inlineStr">
        <is>
          <t>MOTEUR DE CALCUL</t>
        </is>
      </c>
      <c r="C1" s="47" t="n"/>
      <c r="D1" s="47" t="n"/>
      <c r="E1" s="47" t="n"/>
      <c r="F1" s="47" t="n"/>
      <c r="G1" s="47" t="n"/>
      <c r="H1" s="47" t="n"/>
      <c r="I1" s="47" t="n"/>
      <c r="J1" s="47" t="n"/>
    </row>
    <row r="2" ht="20" customHeight="1">
      <c r="B2" s="48" t="inlineStr">
        <is>
          <t>Feuille technique alimentée automatiquement — ne rien saisir ici</t>
        </is>
      </c>
      <c r="C2" s="7" t="n"/>
      <c r="D2" s="7" t="n"/>
      <c r="E2" s="7" t="n"/>
      <c r="F2" s="7" t="n"/>
      <c r="G2" s="7" t="n"/>
      <c r="H2" s="7" t="n"/>
      <c r="I2" s="7" t="n"/>
      <c r="J2" s="7" t="n"/>
    </row>
    <row r="3" ht="20" customHeight="1">
      <c r="B3" s="49" t="inlineStr">
        <is>
          <t>⌂  ACCUEIL</t>
        </is>
      </c>
      <c r="C3" s="42" t="n"/>
      <c r="D3" s="49" t="inlineStr">
        <is>
          <t>①  MES INFOS</t>
        </is>
      </c>
      <c r="E3" s="42" t="n"/>
      <c r="F3" s="49" t="inlineStr">
        <is>
          <t>②  ESTIMATION</t>
        </is>
      </c>
      <c r="G3" s="42" t="n"/>
      <c r="H3" s="49" t="inlineStr">
        <is>
          <t>③  BUDGET SMART</t>
        </is>
      </c>
      <c r="I3" s="42" t="n"/>
      <c r="J3" s="49" t="inlineStr">
        <is>
          <t>TABLEAU DE BORD</t>
        </is>
      </c>
    </row>
    <row r="4" ht="24" customHeight="1">
      <c r="B4" s="6" t="inlineStr">
        <is>
          <t>1 ▸ AGRÉGATS MENSUELS DE L'ANNÉE DE TRAVAIL</t>
        </is>
      </c>
      <c r="C4" s="7" t="n"/>
      <c r="D4" s="7" t="n"/>
      <c r="E4" s="7" t="n"/>
      <c r="F4" s="7" t="n"/>
      <c r="G4" s="7" t="n"/>
      <c r="H4" s="7" t="n"/>
      <c r="I4" s="7" t="n"/>
      <c r="J4" s="7" t="n"/>
    </row>
    <row r="5" ht="30" customHeight="1">
      <c r="B5" s="63" t="inlineStr">
        <is>
          <t>Mois n°</t>
        </is>
      </c>
      <c r="C5" s="63" t="inlineStr">
        <is>
          <t>Mois</t>
        </is>
      </c>
      <c r="D5" s="63" t="inlineStr">
        <is>
          <t>Revenus</t>
        </is>
      </c>
      <c r="E5" s="63" t="inlineStr">
        <is>
          <t>Dépenses</t>
        </is>
      </c>
      <c r="F5" s="63" t="inlineStr">
        <is>
          <t>Épargne</t>
        </is>
      </c>
      <c r="G5" s="63" t="inlineStr">
        <is>
          <t>Investissement</t>
        </is>
      </c>
      <c r="H5" s="63" t="inlineStr">
        <is>
          <t>Remb. crédit</t>
        </is>
      </c>
      <c r="I5" s="63" t="inlineStr">
        <is>
          <t>Total sorties</t>
        </is>
      </c>
      <c r="J5" s="63" t="inlineStr">
        <is>
          <t>Solde</t>
        </is>
      </c>
      <c r="K5" s="246" t="inlineStr">
        <is>
          <t>Trésorerie cumulée</t>
        </is>
      </c>
      <c r="L5" s="246" t="inlineStr">
        <is>
          <t>Taux d'épargne</t>
        </is>
      </c>
      <c r="M5" s="246" t="inlineStr">
        <is>
          <t>Dépenses prévues</t>
        </is>
      </c>
      <c r="N5" s="246" t="inlineStr">
        <is>
          <t>Écart budget</t>
        </is>
      </c>
      <c r="O5" s="246" t="inlineStr">
        <is>
          <t>Revenus prévus</t>
        </is>
      </c>
    </row>
    <row r="6">
      <c r="B6" s="156" t="n">
        <v>1</v>
      </c>
      <c r="C6" s="199">
        <f>INDEX(Liste_Mois,$B6)</f>
        <v/>
      </c>
      <c r="D6" s="66">
        <f>SUMIFS(J_Montant,J_Annee,Annee_Travail,J_Mois,$B6,J_Type,"Revenu",J_Module,Perimetre_Filtre,J_Statut,"&lt;&gt;Annulé",J_Statut,"&lt;&gt;Prévu")</f>
        <v/>
      </c>
      <c r="E6" s="66">
        <f>SUMIFS(J_Montant,J_Annee,Annee_Travail,J_Mois,$B6,J_Type,"Dépense",J_Module,Perimetre_Filtre,J_Statut,"&lt;&gt;Annulé",J_Statut,"&lt;&gt;Prévu")</f>
        <v/>
      </c>
      <c r="F6" s="66">
        <f>SUMIFS(J_Montant,J_Annee,Annee_Travail,J_Mois,$B6,J_Type,"Épargne",J_Module,Perimetre_Filtre,J_Statut,"&lt;&gt;Annulé",J_Statut,"&lt;&gt;Prévu")</f>
        <v/>
      </c>
      <c r="G6" s="66">
        <f>SUMIFS(J_Montant,J_Annee,Annee_Travail,J_Mois,$B6,J_Type,"Investissement",J_Module,Perimetre_Filtre,J_Statut,"&lt;&gt;Annulé",J_Statut,"&lt;&gt;Prévu")</f>
        <v/>
      </c>
      <c r="H6" s="66">
        <f>SUMIFS(J_Montant,J_Annee,Annee_Travail,J_Mois,$B6,J_Type,"Remboursement crédit",J_Module,Perimetre_Filtre,J_Statut,"&lt;&gt;Annulé",J_Statut,"&lt;&gt;Prévu")</f>
        <v/>
      </c>
      <c r="I6" s="66">
        <f>SUM($E6:$H6)</f>
        <v/>
      </c>
      <c r="J6" s="66">
        <f>$D6-$I6</f>
        <v/>
      </c>
      <c r="K6" s="66">
        <f>Solde_Initial+$J6</f>
        <v/>
      </c>
      <c r="L6" s="132">
        <f>IFERROR(($F6+$G6)/$D6,0)</f>
        <v/>
      </c>
      <c r="M6" s="66">
        <f>SUMIFS(P_M1,P_Annee,Annee_Travail,P_Type,"Dépense",P_Module,Perimetre_Filtre)</f>
        <v/>
      </c>
      <c r="N6" s="66">
        <f>$M6-$E6</f>
        <v/>
      </c>
      <c r="O6" s="66">
        <f>SUMIFS(P_M1,P_Annee,Annee_Travail,P_Type,"Revenu",P_Module,Perimetre_Filtre)</f>
        <v/>
      </c>
    </row>
    <row r="7">
      <c r="B7" s="156" t="n">
        <v>2</v>
      </c>
      <c r="C7" s="199">
        <f>INDEX(Liste_Mois,$B7)</f>
        <v/>
      </c>
      <c r="D7" s="66">
        <f>SUMIFS(J_Montant,J_Annee,Annee_Travail,J_Mois,$B7,J_Type,"Revenu",J_Module,Perimetre_Filtre,J_Statut,"&lt;&gt;Annulé",J_Statut,"&lt;&gt;Prévu")</f>
        <v/>
      </c>
      <c r="E7" s="66">
        <f>SUMIFS(J_Montant,J_Annee,Annee_Travail,J_Mois,$B7,J_Type,"Dépense",J_Module,Perimetre_Filtre,J_Statut,"&lt;&gt;Annulé",J_Statut,"&lt;&gt;Prévu")</f>
        <v/>
      </c>
      <c r="F7" s="66">
        <f>SUMIFS(J_Montant,J_Annee,Annee_Travail,J_Mois,$B7,J_Type,"Épargne",J_Module,Perimetre_Filtre,J_Statut,"&lt;&gt;Annulé",J_Statut,"&lt;&gt;Prévu")</f>
        <v/>
      </c>
      <c r="G7" s="66">
        <f>SUMIFS(J_Montant,J_Annee,Annee_Travail,J_Mois,$B7,J_Type,"Investissement",J_Module,Perimetre_Filtre,J_Statut,"&lt;&gt;Annulé",J_Statut,"&lt;&gt;Prévu")</f>
        <v/>
      </c>
      <c r="H7" s="66">
        <f>SUMIFS(J_Montant,J_Annee,Annee_Travail,J_Mois,$B7,J_Type,"Remboursement crédit",J_Module,Perimetre_Filtre,J_Statut,"&lt;&gt;Annulé",J_Statut,"&lt;&gt;Prévu")</f>
        <v/>
      </c>
      <c r="I7" s="66">
        <f>SUM($E7:$H7)</f>
        <v/>
      </c>
      <c r="J7" s="66">
        <f>$D7-$I7</f>
        <v/>
      </c>
      <c r="K7" s="66">
        <f>$K6+$J7</f>
        <v/>
      </c>
      <c r="L7" s="132">
        <f>IFERROR(($F7+$G7)/$D7,0)</f>
        <v/>
      </c>
      <c r="M7" s="66">
        <f>SUMIFS(P_M2,P_Annee,Annee_Travail,P_Type,"Dépense",P_Module,Perimetre_Filtre)</f>
        <v/>
      </c>
      <c r="N7" s="66">
        <f>$M7-$E7</f>
        <v/>
      </c>
      <c r="O7" s="66">
        <f>SUMIFS(P_M2,P_Annee,Annee_Travail,P_Type,"Revenu",P_Module,Perimetre_Filtre)</f>
        <v/>
      </c>
    </row>
    <row r="8">
      <c r="B8" s="156" t="n">
        <v>3</v>
      </c>
      <c r="C8" s="199">
        <f>INDEX(Liste_Mois,$B8)</f>
        <v/>
      </c>
      <c r="D8" s="66">
        <f>SUMIFS(J_Montant,J_Annee,Annee_Travail,J_Mois,$B8,J_Type,"Revenu",J_Module,Perimetre_Filtre,J_Statut,"&lt;&gt;Annulé",J_Statut,"&lt;&gt;Prévu")</f>
        <v/>
      </c>
      <c r="E8" s="66">
        <f>SUMIFS(J_Montant,J_Annee,Annee_Travail,J_Mois,$B8,J_Type,"Dépense",J_Module,Perimetre_Filtre,J_Statut,"&lt;&gt;Annulé",J_Statut,"&lt;&gt;Prévu")</f>
        <v/>
      </c>
      <c r="F8" s="66">
        <f>SUMIFS(J_Montant,J_Annee,Annee_Travail,J_Mois,$B8,J_Type,"Épargne",J_Module,Perimetre_Filtre,J_Statut,"&lt;&gt;Annulé",J_Statut,"&lt;&gt;Prévu")</f>
        <v/>
      </c>
      <c r="G8" s="66">
        <f>SUMIFS(J_Montant,J_Annee,Annee_Travail,J_Mois,$B8,J_Type,"Investissement",J_Module,Perimetre_Filtre,J_Statut,"&lt;&gt;Annulé",J_Statut,"&lt;&gt;Prévu")</f>
        <v/>
      </c>
      <c r="H8" s="66">
        <f>SUMIFS(J_Montant,J_Annee,Annee_Travail,J_Mois,$B8,J_Type,"Remboursement crédit",J_Module,Perimetre_Filtre,J_Statut,"&lt;&gt;Annulé",J_Statut,"&lt;&gt;Prévu")</f>
        <v/>
      </c>
      <c r="I8" s="66">
        <f>SUM($E8:$H8)</f>
        <v/>
      </c>
      <c r="J8" s="66">
        <f>$D8-$I8</f>
        <v/>
      </c>
      <c r="K8" s="66">
        <f>$K7+$J8</f>
        <v/>
      </c>
      <c r="L8" s="132">
        <f>IFERROR(($F8+$G8)/$D8,0)</f>
        <v/>
      </c>
      <c r="M8" s="66">
        <f>SUMIFS(P_M3,P_Annee,Annee_Travail,P_Type,"Dépense",P_Module,Perimetre_Filtre)</f>
        <v/>
      </c>
      <c r="N8" s="66">
        <f>$M8-$E8</f>
        <v/>
      </c>
      <c r="O8" s="66">
        <f>SUMIFS(P_M3,P_Annee,Annee_Travail,P_Type,"Revenu",P_Module,Perimetre_Filtre)</f>
        <v/>
      </c>
    </row>
    <row r="9">
      <c r="B9" s="156" t="n">
        <v>4</v>
      </c>
      <c r="C9" s="199">
        <f>INDEX(Liste_Mois,$B9)</f>
        <v/>
      </c>
      <c r="D9" s="66">
        <f>SUMIFS(J_Montant,J_Annee,Annee_Travail,J_Mois,$B9,J_Type,"Revenu",J_Module,Perimetre_Filtre,J_Statut,"&lt;&gt;Annulé",J_Statut,"&lt;&gt;Prévu")</f>
        <v/>
      </c>
      <c r="E9" s="66">
        <f>SUMIFS(J_Montant,J_Annee,Annee_Travail,J_Mois,$B9,J_Type,"Dépense",J_Module,Perimetre_Filtre,J_Statut,"&lt;&gt;Annulé",J_Statut,"&lt;&gt;Prévu")</f>
        <v/>
      </c>
      <c r="F9" s="66">
        <f>SUMIFS(J_Montant,J_Annee,Annee_Travail,J_Mois,$B9,J_Type,"Épargne",J_Module,Perimetre_Filtre,J_Statut,"&lt;&gt;Annulé",J_Statut,"&lt;&gt;Prévu")</f>
        <v/>
      </c>
      <c r="G9" s="66">
        <f>SUMIFS(J_Montant,J_Annee,Annee_Travail,J_Mois,$B9,J_Type,"Investissement",J_Module,Perimetre_Filtre,J_Statut,"&lt;&gt;Annulé",J_Statut,"&lt;&gt;Prévu")</f>
        <v/>
      </c>
      <c r="H9" s="66">
        <f>SUMIFS(J_Montant,J_Annee,Annee_Travail,J_Mois,$B9,J_Type,"Remboursement crédit",J_Module,Perimetre_Filtre,J_Statut,"&lt;&gt;Annulé",J_Statut,"&lt;&gt;Prévu")</f>
        <v/>
      </c>
      <c r="I9" s="66">
        <f>SUM($E9:$H9)</f>
        <v/>
      </c>
      <c r="J9" s="66">
        <f>$D9-$I9</f>
        <v/>
      </c>
      <c r="K9" s="66">
        <f>$K8+$J9</f>
        <v/>
      </c>
      <c r="L9" s="132">
        <f>IFERROR(($F9+$G9)/$D9,0)</f>
        <v/>
      </c>
      <c r="M9" s="66">
        <f>SUMIFS(P_M4,P_Annee,Annee_Travail,P_Type,"Dépense",P_Module,Perimetre_Filtre)</f>
        <v/>
      </c>
      <c r="N9" s="66">
        <f>$M9-$E9</f>
        <v/>
      </c>
      <c r="O9" s="66">
        <f>SUMIFS(P_M4,P_Annee,Annee_Travail,P_Type,"Revenu",P_Module,Perimetre_Filtre)</f>
        <v/>
      </c>
    </row>
    <row r="10">
      <c r="B10" s="156" t="n">
        <v>5</v>
      </c>
      <c r="C10" s="199">
        <f>INDEX(Liste_Mois,$B10)</f>
        <v/>
      </c>
      <c r="D10" s="66">
        <f>SUMIFS(J_Montant,J_Annee,Annee_Travail,J_Mois,$B10,J_Type,"Revenu",J_Module,Perimetre_Filtre,J_Statut,"&lt;&gt;Annulé",J_Statut,"&lt;&gt;Prévu")</f>
        <v/>
      </c>
      <c r="E10" s="66">
        <f>SUMIFS(J_Montant,J_Annee,Annee_Travail,J_Mois,$B10,J_Type,"Dépense",J_Module,Perimetre_Filtre,J_Statut,"&lt;&gt;Annulé",J_Statut,"&lt;&gt;Prévu")</f>
        <v/>
      </c>
      <c r="F10" s="66">
        <f>SUMIFS(J_Montant,J_Annee,Annee_Travail,J_Mois,$B10,J_Type,"Épargne",J_Module,Perimetre_Filtre,J_Statut,"&lt;&gt;Annulé",J_Statut,"&lt;&gt;Prévu")</f>
        <v/>
      </c>
      <c r="G10" s="66">
        <f>SUMIFS(J_Montant,J_Annee,Annee_Travail,J_Mois,$B10,J_Type,"Investissement",J_Module,Perimetre_Filtre,J_Statut,"&lt;&gt;Annulé",J_Statut,"&lt;&gt;Prévu")</f>
        <v/>
      </c>
      <c r="H10" s="66">
        <f>SUMIFS(J_Montant,J_Annee,Annee_Travail,J_Mois,$B10,J_Type,"Remboursement crédit",J_Module,Perimetre_Filtre,J_Statut,"&lt;&gt;Annulé",J_Statut,"&lt;&gt;Prévu")</f>
        <v/>
      </c>
      <c r="I10" s="66">
        <f>SUM($E10:$H10)</f>
        <v/>
      </c>
      <c r="J10" s="66">
        <f>$D10-$I10</f>
        <v/>
      </c>
      <c r="K10" s="66">
        <f>$K9+$J10</f>
        <v/>
      </c>
      <c r="L10" s="132">
        <f>IFERROR(($F10+$G10)/$D10,0)</f>
        <v/>
      </c>
      <c r="M10" s="66">
        <f>SUMIFS(P_M5,P_Annee,Annee_Travail,P_Type,"Dépense",P_Module,Perimetre_Filtre)</f>
        <v/>
      </c>
      <c r="N10" s="66">
        <f>$M10-$E10</f>
        <v/>
      </c>
      <c r="O10" s="66">
        <f>SUMIFS(P_M5,P_Annee,Annee_Travail,P_Type,"Revenu",P_Module,Perimetre_Filtre)</f>
        <v/>
      </c>
    </row>
    <row r="11">
      <c r="B11" s="156" t="n">
        <v>6</v>
      </c>
      <c r="C11" s="199">
        <f>INDEX(Liste_Mois,$B11)</f>
        <v/>
      </c>
      <c r="D11" s="66">
        <f>SUMIFS(J_Montant,J_Annee,Annee_Travail,J_Mois,$B11,J_Type,"Revenu",J_Module,Perimetre_Filtre,J_Statut,"&lt;&gt;Annulé",J_Statut,"&lt;&gt;Prévu")</f>
        <v/>
      </c>
      <c r="E11" s="66">
        <f>SUMIFS(J_Montant,J_Annee,Annee_Travail,J_Mois,$B11,J_Type,"Dépense",J_Module,Perimetre_Filtre,J_Statut,"&lt;&gt;Annulé",J_Statut,"&lt;&gt;Prévu")</f>
        <v/>
      </c>
      <c r="F11" s="66">
        <f>SUMIFS(J_Montant,J_Annee,Annee_Travail,J_Mois,$B11,J_Type,"Épargne",J_Module,Perimetre_Filtre,J_Statut,"&lt;&gt;Annulé",J_Statut,"&lt;&gt;Prévu")</f>
        <v/>
      </c>
      <c r="G11" s="66">
        <f>SUMIFS(J_Montant,J_Annee,Annee_Travail,J_Mois,$B11,J_Type,"Investissement",J_Module,Perimetre_Filtre,J_Statut,"&lt;&gt;Annulé",J_Statut,"&lt;&gt;Prévu")</f>
        <v/>
      </c>
      <c r="H11" s="66">
        <f>SUMIFS(J_Montant,J_Annee,Annee_Travail,J_Mois,$B11,J_Type,"Remboursement crédit",J_Module,Perimetre_Filtre,J_Statut,"&lt;&gt;Annulé",J_Statut,"&lt;&gt;Prévu")</f>
        <v/>
      </c>
      <c r="I11" s="66">
        <f>SUM($E11:$H11)</f>
        <v/>
      </c>
      <c r="J11" s="66">
        <f>$D11-$I11</f>
        <v/>
      </c>
      <c r="K11" s="66">
        <f>$K10+$J11</f>
        <v/>
      </c>
      <c r="L11" s="132">
        <f>IFERROR(($F11+$G11)/$D11,0)</f>
        <v/>
      </c>
      <c r="M11" s="66">
        <f>SUMIFS(P_M6,P_Annee,Annee_Travail,P_Type,"Dépense",P_Module,Perimetre_Filtre)</f>
        <v/>
      </c>
      <c r="N11" s="66">
        <f>$M11-$E11</f>
        <v/>
      </c>
      <c r="O11" s="66">
        <f>SUMIFS(P_M6,P_Annee,Annee_Travail,P_Type,"Revenu",P_Module,Perimetre_Filtre)</f>
        <v/>
      </c>
    </row>
    <row r="12">
      <c r="B12" s="156" t="n">
        <v>7</v>
      </c>
      <c r="C12" s="199">
        <f>INDEX(Liste_Mois,$B12)</f>
        <v/>
      </c>
      <c r="D12" s="66">
        <f>SUMIFS(J_Montant,J_Annee,Annee_Travail,J_Mois,$B12,J_Type,"Revenu",J_Module,Perimetre_Filtre,J_Statut,"&lt;&gt;Annulé",J_Statut,"&lt;&gt;Prévu")</f>
        <v/>
      </c>
      <c r="E12" s="66">
        <f>SUMIFS(J_Montant,J_Annee,Annee_Travail,J_Mois,$B12,J_Type,"Dépense",J_Module,Perimetre_Filtre,J_Statut,"&lt;&gt;Annulé",J_Statut,"&lt;&gt;Prévu")</f>
        <v/>
      </c>
      <c r="F12" s="66">
        <f>SUMIFS(J_Montant,J_Annee,Annee_Travail,J_Mois,$B12,J_Type,"Épargne",J_Module,Perimetre_Filtre,J_Statut,"&lt;&gt;Annulé",J_Statut,"&lt;&gt;Prévu")</f>
        <v/>
      </c>
      <c r="G12" s="66">
        <f>SUMIFS(J_Montant,J_Annee,Annee_Travail,J_Mois,$B12,J_Type,"Investissement",J_Module,Perimetre_Filtre,J_Statut,"&lt;&gt;Annulé",J_Statut,"&lt;&gt;Prévu")</f>
        <v/>
      </c>
      <c r="H12" s="66">
        <f>SUMIFS(J_Montant,J_Annee,Annee_Travail,J_Mois,$B12,J_Type,"Remboursement crédit",J_Module,Perimetre_Filtre,J_Statut,"&lt;&gt;Annulé",J_Statut,"&lt;&gt;Prévu")</f>
        <v/>
      </c>
      <c r="I12" s="66">
        <f>SUM($E12:$H12)</f>
        <v/>
      </c>
      <c r="J12" s="66">
        <f>$D12-$I12</f>
        <v/>
      </c>
      <c r="K12" s="66">
        <f>$K11+$J12</f>
        <v/>
      </c>
      <c r="L12" s="132">
        <f>IFERROR(($F12+$G12)/$D12,0)</f>
        <v/>
      </c>
      <c r="M12" s="66">
        <f>SUMIFS(P_M7,P_Annee,Annee_Travail,P_Type,"Dépense",P_Module,Perimetre_Filtre)</f>
        <v/>
      </c>
      <c r="N12" s="66">
        <f>$M12-$E12</f>
        <v/>
      </c>
      <c r="O12" s="66">
        <f>SUMIFS(P_M7,P_Annee,Annee_Travail,P_Type,"Revenu",P_Module,Perimetre_Filtre)</f>
        <v/>
      </c>
    </row>
    <row r="13">
      <c r="B13" s="156" t="n">
        <v>8</v>
      </c>
      <c r="C13" s="199">
        <f>INDEX(Liste_Mois,$B13)</f>
        <v/>
      </c>
      <c r="D13" s="66">
        <f>SUMIFS(J_Montant,J_Annee,Annee_Travail,J_Mois,$B13,J_Type,"Revenu",J_Module,Perimetre_Filtre,J_Statut,"&lt;&gt;Annulé",J_Statut,"&lt;&gt;Prévu")</f>
        <v/>
      </c>
      <c r="E13" s="66">
        <f>SUMIFS(J_Montant,J_Annee,Annee_Travail,J_Mois,$B13,J_Type,"Dépense",J_Module,Perimetre_Filtre,J_Statut,"&lt;&gt;Annulé",J_Statut,"&lt;&gt;Prévu")</f>
        <v/>
      </c>
      <c r="F13" s="66">
        <f>SUMIFS(J_Montant,J_Annee,Annee_Travail,J_Mois,$B13,J_Type,"Épargne",J_Module,Perimetre_Filtre,J_Statut,"&lt;&gt;Annulé",J_Statut,"&lt;&gt;Prévu")</f>
        <v/>
      </c>
      <c r="G13" s="66">
        <f>SUMIFS(J_Montant,J_Annee,Annee_Travail,J_Mois,$B13,J_Type,"Investissement",J_Module,Perimetre_Filtre,J_Statut,"&lt;&gt;Annulé",J_Statut,"&lt;&gt;Prévu")</f>
        <v/>
      </c>
      <c r="H13" s="66">
        <f>SUMIFS(J_Montant,J_Annee,Annee_Travail,J_Mois,$B13,J_Type,"Remboursement crédit",J_Module,Perimetre_Filtre,J_Statut,"&lt;&gt;Annulé",J_Statut,"&lt;&gt;Prévu")</f>
        <v/>
      </c>
      <c r="I13" s="66">
        <f>SUM($E13:$H13)</f>
        <v/>
      </c>
      <c r="J13" s="66">
        <f>$D13-$I13</f>
        <v/>
      </c>
      <c r="K13" s="66">
        <f>$K12+$J13</f>
        <v/>
      </c>
      <c r="L13" s="132">
        <f>IFERROR(($F13+$G13)/$D13,0)</f>
        <v/>
      </c>
      <c r="M13" s="66">
        <f>SUMIFS(P_M8,P_Annee,Annee_Travail,P_Type,"Dépense",P_Module,Perimetre_Filtre)</f>
        <v/>
      </c>
      <c r="N13" s="66">
        <f>$M13-$E13</f>
        <v/>
      </c>
      <c r="O13" s="66">
        <f>SUMIFS(P_M8,P_Annee,Annee_Travail,P_Type,"Revenu",P_Module,Perimetre_Filtre)</f>
        <v/>
      </c>
    </row>
    <row r="14">
      <c r="B14" s="156" t="n">
        <v>9</v>
      </c>
      <c r="C14" s="199">
        <f>INDEX(Liste_Mois,$B14)</f>
        <v/>
      </c>
      <c r="D14" s="66">
        <f>SUMIFS(J_Montant,J_Annee,Annee_Travail,J_Mois,$B14,J_Type,"Revenu",J_Module,Perimetre_Filtre,J_Statut,"&lt;&gt;Annulé",J_Statut,"&lt;&gt;Prévu")</f>
        <v/>
      </c>
      <c r="E14" s="66">
        <f>SUMIFS(J_Montant,J_Annee,Annee_Travail,J_Mois,$B14,J_Type,"Dépense",J_Module,Perimetre_Filtre,J_Statut,"&lt;&gt;Annulé",J_Statut,"&lt;&gt;Prévu")</f>
        <v/>
      </c>
      <c r="F14" s="66">
        <f>SUMIFS(J_Montant,J_Annee,Annee_Travail,J_Mois,$B14,J_Type,"Épargne",J_Module,Perimetre_Filtre,J_Statut,"&lt;&gt;Annulé",J_Statut,"&lt;&gt;Prévu")</f>
        <v/>
      </c>
      <c r="G14" s="66">
        <f>SUMIFS(J_Montant,J_Annee,Annee_Travail,J_Mois,$B14,J_Type,"Investissement",J_Module,Perimetre_Filtre,J_Statut,"&lt;&gt;Annulé",J_Statut,"&lt;&gt;Prévu")</f>
        <v/>
      </c>
      <c r="H14" s="66">
        <f>SUMIFS(J_Montant,J_Annee,Annee_Travail,J_Mois,$B14,J_Type,"Remboursement crédit",J_Module,Perimetre_Filtre,J_Statut,"&lt;&gt;Annulé",J_Statut,"&lt;&gt;Prévu")</f>
        <v/>
      </c>
      <c r="I14" s="66">
        <f>SUM($E14:$H14)</f>
        <v/>
      </c>
      <c r="J14" s="66">
        <f>$D14-$I14</f>
        <v/>
      </c>
      <c r="K14" s="66">
        <f>$K13+$J14</f>
        <v/>
      </c>
      <c r="L14" s="132">
        <f>IFERROR(($F14+$G14)/$D14,0)</f>
        <v/>
      </c>
      <c r="M14" s="66">
        <f>SUMIFS(P_M9,P_Annee,Annee_Travail,P_Type,"Dépense",P_Module,Perimetre_Filtre)</f>
        <v/>
      </c>
      <c r="N14" s="66">
        <f>$M14-$E14</f>
        <v/>
      </c>
      <c r="O14" s="66">
        <f>SUMIFS(P_M9,P_Annee,Annee_Travail,P_Type,"Revenu",P_Module,Perimetre_Filtre)</f>
        <v/>
      </c>
    </row>
    <row r="15">
      <c r="B15" s="156" t="n">
        <v>10</v>
      </c>
      <c r="C15" s="199">
        <f>INDEX(Liste_Mois,$B15)</f>
        <v/>
      </c>
      <c r="D15" s="66">
        <f>SUMIFS(J_Montant,J_Annee,Annee_Travail,J_Mois,$B15,J_Type,"Revenu",J_Module,Perimetre_Filtre,J_Statut,"&lt;&gt;Annulé",J_Statut,"&lt;&gt;Prévu")</f>
        <v/>
      </c>
      <c r="E15" s="66">
        <f>SUMIFS(J_Montant,J_Annee,Annee_Travail,J_Mois,$B15,J_Type,"Dépense",J_Module,Perimetre_Filtre,J_Statut,"&lt;&gt;Annulé",J_Statut,"&lt;&gt;Prévu")</f>
        <v/>
      </c>
      <c r="F15" s="66">
        <f>SUMIFS(J_Montant,J_Annee,Annee_Travail,J_Mois,$B15,J_Type,"Épargne",J_Module,Perimetre_Filtre,J_Statut,"&lt;&gt;Annulé",J_Statut,"&lt;&gt;Prévu")</f>
        <v/>
      </c>
      <c r="G15" s="66">
        <f>SUMIFS(J_Montant,J_Annee,Annee_Travail,J_Mois,$B15,J_Type,"Investissement",J_Module,Perimetre_Filtre,J_Statut,"&lt;&gt;Annulé",J_Statut,"&lt;&gt;Prévu")</f>
        <v/>
      </c>
      <c r="H15" s="66">
        <f>SUMIFS(J_Montant,J_Annee,Annee_Travail,J_Mois,$B15,J_Type,"Remboursement crédit",J_Module,Perimetre_Filtre,J_Statut,"&lt;&gt;Annulé",J_Statut,"&lt;&gt;Prévu")</f>
        <v/>
      </c>
      <c r="I15" s="66">
        <f>SUM($E15:$H15)</f>
        <v/>
      </c>
      <c r="J15" s="66">
        <f>$D15-$I15</f>
        <v/>
      </c>
      <c r="K15" s="66">
        <f>$K14+$J15</f>
        <v/>
      </c>
      <c r="L15" s="132">
        <f>IFERROR(($F15+$G15)/$D15,0)</f>
        <v/>
      </c>
      <c r="M15" s="66">
        <f>SUMIFS(P_M10,P_Annee,Annee_Travail,P_Type,"Dépense",P_Module,Perimetre_Filtre)</f>
        <v/>
      </c>
      <c r="N15" s="66">
        <f>$M15-$E15</f>
        <v/>
      </c>
      <c r="O15" s="66">
        <f>SUMIFS(P_M10,P_Annee,Annee_Travail,P_Type,"Revenu",P_Module,Perimetre_Filtre)</f>
        <v/>
      </c>
    </row>
    <row r="16">
      <c r="B16" s="156" t="n">
        <v>11</v>
      </c>
      <c r="C16" s="199">
        <f>INDEX(Liste_Mois,$B16)</f>
        <v/>
      </c>
      <c r="D16" s="66">
        <f>SUMIFS(J_Montant,J_Annee,Annee_Travail,J_Mois,$B16,J_Type,"Revenu",J_Module,Perimetre_Filtre,J_Statut,"&lt;&gt;Annulé",J_Statut,"&lt;&gt;Prévu")</f>
        <v/>
      </c>
      <c r="E16" s="66">
        <f>SUMIFS(J_Montant,J_Annee,Annee_Travail,J_Mois,$B16,J_Type,"Dépense",J_Module,Perimetre_Filtre,J_Statut,"&lt;&gt;Annulé",J_Statut,"&lt;&gt;Prévu")</f>
        <v/>
      </c>
      <c r="F16" s="66">
        <f>SUMIFS(J_Montant,J_Annee,Annee_Travail,J_Mois,$B16,J_Type,"Épargne",J_Module,Perimetre_Filtre,J_Statut,"&lt;&gt;Annulé",J_Statut,"&lt;&gt;Prévu")</f>
        <v/>
      </c>
      <c r="G16" s="66">
        <f>SUMIFS(J_Montant,J_Annee,Annee_Travail,J_Mois,$B16,J_Type,"Investissement",J_Module,Perimetre_Filtre,J_Statut,"&lt;&gt;Annulé",J_Statut,"&lt;&gt;Prévu")</f>
        <v/>
      </c>
      <c r="H16" s="66">
        <f>SUMIFS(J_Montant,J_Annee,Annee_Travail,J_Mois,$B16,J_Type,"Remboursement crédit",J_Module,Perimetre_Filtre,J_Statut,"&lt;&gt;Annulé",J_Statut,"&lt;&gt;Prévu")</f>
        <v/>
      </c>
      <c r="I16" s="66">
        <f>SUM($E16:$H16)</f>
        <v/>
      </c>
      <c r="J16" s="66">
        <f>$D16-$I16</f>
        <v/>
      </c>
      <c r="K16" s="66">
        <f>$K15+$J16</f>
        <v/>
      </c>
      <c r="L16" s="132">
        <f>IFERROR(($F16+$G16)/$D16,0)</f>
        <v/>
      </c>
      <c r="M16" s="66">
        <f>SUMIFS(P_M11,P_Annee,Annee_Travail,P_Type,"Dépense",P_Module,Perimetre_Filtre)</f>
        <v/>
      </c>
      <c r="N16" s="66">
        <f>$M16-$E16</f>
        <v/>
      </c>
      <c r="O16" s="66">
        <f>SUMIFS(P_M11,P_Annee,Annee_Travail,P_Type,"Revenu",P_Module,Perimetre_Filtre)</f>
        <v/>
      </c>
    </row>
    <row r="17">
      <c r="B17" s="156" t="n">
        <v>12</v>
      </c>
      <c r="C17" s="199">
        <f>INDEX(Liste_Mois,$B17)</f>
        <v/>
      </c>
      <c r="D17" s="66">
        <f>SUMIFS(J_Montant,J_Annee,Annee_Travail,J_Mois,$B17,J_Type,"Revenu",J_Module,Perimetre_Filtre,J_Statut,"&lt;&gt;Annulé",J_Statut,"&lt;&gt;Prévu")</f>
        <v/>
      </c>
      <c r="E17" s="66">
        <f>SUMIFS(J_Montant,J_Annee,Annee_Travail,J_Mois,$B17,J_Type,"Dépense",J_Module,Perimetre_Filtre,J_Statut,"&lt;&gt;Annulé",J_Statut,"&lt;&gt;Prévu")</f>
        <v/>
      </c>
      <c r="F17" s="66">
        <f>SUMIFS(J_Montant,J_Annee,Annee_Travail,J_Mois,$B17,J_Type,"Épargne",J_Module,Perimetre_Filtre,J_Statut,"&lt;&gt;Annulé",J_Statut,"&lt;&gt;Prévu")</f>
        <v/>
      </c>
      <c r="G17" s="66">
        <f>SUMIFS(J_Montant,J_Annee,Annee_Travail,J_Mois,$B17,J_Type,"Investissement",J_Module,Perimetre_Filtre,J_Statut,"&lt;&gt;Annulé",J_Statut,"&lt;&gt;Prévu")</f>
        <v/>
      </c>
      <c r="H17" s="66">
        <f>SUMIFS(J_Montant,J_Annee,Annee_Travail,J_Mois,$B17,J_Type,"Remboursement crédit",J_Module,Perimetre_Filtre,J_Statut,"&lt;&gt;Annulé",J_Statut,"&lt;&gt;Prévu")</f>
        <v/>
      </c>
      <c r="I17" s="66">
        <f>SUM($E17:$H17)</f>
        <v/>
      </c>
      <c r="J17" s="66">
        <f>$D17-$I17</f>
        <v/>
      </c>
      <c r="K17" s="66">
        <f>$K16+$J17</f>
        <v/>
      </c>
      <c r="L17" s="132">
        <f>IFERROR(($F17+$G17)/$D17,0)</f>
        <v/>
      </c>
      <c r="M17" s="66">
        <f>SUMIFS(P_M12,P_Annee,Annee_Travail,P_Type,"Dépense",P_Module,Perimetre_Filtre)</f>
        <v/>
      </c>
      <c r="N17" s="66">
        <f>$M17-$E17</f>
        <v/>
      </c>
      <c r="O17" s="66">
        <f>SUMIFS(P_M12,P_Annee,Annee_Travail,P_Type,"Revenu",P_Module,Perimetre_Filtre)</f>
        <v/>
      </c>
    </row>
    <row r="18">
      <c r="B18" s="134" t="n"/>
      <c r="C18" s="134" t="inlineStr">
        <is>
          <t>TOTAL ANNÉE</t>
        </is>
      </c>
      <c r="D18" s="135">
        <f>SUM(D6:D17)</f>
        <v/>
      </c>
      <c r="E18" s="135">
        <f>SUM(E6:E17)</f>
        <v/>
      </c>
      <c r="F18" s="135">
        <f>SUM(F6:F17)</f>
        <v/>
      </c>
      <c r="G18" s="135">
        <f>SUM(G6:G17)</f>
        <v/>
      </c>
      <c r="H18" s="135">
        <f>SUM(H6:H17)</f>
        <v/>
      </c>
      <c r="I18" s="135">
        <f>SUM(I6:I17)</f>
        <v/>
      </c>
      <c r="J18" s="135">
        <f>SUM(J6:J17)</f>
        <v/>
      </c>
      <c r="K18" s="135">
        <f>$K17</f>
        <v/>
      </c>
      <c r="L18" s="136">
        <f>IFERROR(($F18+$G18)/$D18,0)</f>
        <v/>
      </c>
      <c r="M18" s="135">
        <f>SUM(M6:M17)</f>
        <v/>
      </c>
      <c r="N18" s="135">
        <f>SUM(N6:N17)</f>
        <v/>
      </c>
      <c r="O18" s="135">
        <f>SUM(O6:O17)</f>
        <v/>
      </c>
    </row>
    <row r="19"/>
    <row r="20" ht="24" customHeight="1">
      <c r="B20" s="6" t="inlineStr">
        <is>
          <t>2 ▸ SORTIES PAR MODULE ET PAR MOIS</t>
        </is>
      </c>
      <c r="C20" s="7" t="n"/>
      <c r="D20" s="7" t="n"/>
      <c r="E20" s="7" t="n"/>
      <c r="F20" s="7" t="n"/>
      <c r="G20" s="7" t="n"/>
      <c r="H20" s="7" t="n"/>
      <c r="I20" s="7" t="n"/>
      <c r="J20" s="7" t="n"/>
    </row>
    <row r="21" ht="30" customHeight="1">
      <c r="B21" s="63" t="inlineStr">
        <is>
          <t>Mois</t>
        </is>
      </c>
      <c r="C21" s="63" t="inlineStr">
        <is>
          <t>Général</t>
        </is>
      </c>
      <c r="D21" s="63" t="inlineStr">
        <is>
          <t>Mariage</t>
        </is>
      </c>
      <c r="E21" s="63" t="inlineStr">
        <is>
          <t>Immobilier</t>
        </is>
      </c>
      <c r="F21" s="63" t="inlineStr">
        <is>
          <t>Business</t>
        </is>
      </c>
    </row>
    <row r="22">
      <c r="B22" s="199">
        <f>INDEX(Liste_Mois,1)</f>
        <v/>
      </c>
      <c r="C22" s="66">
        <f>SUMIFS(J_Montant,J_Annee,Annee_Travail,J_Mois,1,J_Module,"Général",J_Type,"&lt;&gt;Revenu",J_Type,"&lt;&gt;Transfert",J_Statut,"&lt;&gt;Annulé",J_Statut,"&lt;&gt;Prévu")</f>
        <v/>
      </c>
      <c r="D22" s="66">
        <f>SUMIFS(J_Montant,J_Annee,Annee_Travail,J_Mois,1,J_Module,"Mariage",J_Type,"&lt;&gt;Revenu",J_Type,"&lt;&gt;Transfert",J_Statut,"&lt;&gt;Annulé",J_Statut,"&lt;&gt;Prévu")</f>
        <v/>
      </c>
      <c r="E22" s="66">
        <f>SUMIFS(J_Montant,J_Annee,Annee_Travail,J_Mois,1,J_Module,"Immobilier",J_Type,"&lt;&gt;Revenu",J_Type,"&lt;&gt;Transfert",J_Statut,"&lt;&gt;Annulé",J_Statut,"&lt;&gt;Prévu")</f>
        <v/>
      </c>
      <c r="F22" s="66">
        <f>SUMIFS(J_Montant,J_Annee,Annee_Travail,J_Mois,1,J_Module,"Business",J_Type,"&lt;&gt;Revenu",J_Type,"&lt;&gt;Transfert",J_Statut,"&lt;&gt;Annulé",J_Statut,"&lt;&gt;Prévu")</f>
        <v/>
      </c>
    </row>
    <row r="23">
      <c r="B23" s="199">
        <f>INDEX(Liste_Mois,2)</f>
        <v/>
      </c>
      <c r="C23" s="66">
        <f>SUMIFS(J_Montant,J_Annee,Annee_Travail,J_Mois,2,J_Module,"Général",J_Type,"&lt;&gt;Revenu",J_Type,"&lt;&gt;Transfert",J_Statut,"&lt;&gt;Annulé",J_Statut,"&lt;&gt;Prévu")</f>
        <v/>
      </c>
      <c r="D23" s="66">
        <f>SUMIFS(J_Montant,J_Annee,Annee_Travail,J_Mois,2,J_Module,"Mariage",J_Type,"&lt;&gt;Revenu",J_Type,"&lt;&gt;Transfert",J_Statut,"&lt;&gt;Annulé",J_Statut,"&lt;&gt;Prévu")</f>
        <v/>
      </c>
      <c r="E23" s="66">
        <f>SUMIFS(J_Montant,J_Annee,Annee_Travail,J_Mois,2,J_Module,"Immobilier",J_Type,"&lt;&gt;Revenu",J_Type,"&lt;&gt;Transfert",J_Statut,"&lt;&gt;Annulé",J_Statut,"&lt;&gt;Prévu")</f>
        <v/>
      </c>
      <c r="F23" s="66">
        <f>SUMIFS(J_Montant,J_Annee,Annee_Travail,J_Mois,2,J_Module,"Business",J_Type,"&lt;&gt;Revenu",J_Type,"&lt;&gt;Transfert",J_Statut,"&lt;&gt;Annulé",J_Statut,"&lt;&gt;Prévu")</f>
        <v/>
      </c>
    </row>
    <row r="24">
      <c r="B24" s="199">
        <f>INDEX(Liste_Mois,3)</f>
        <v/>
      </c>
      <c r="C24" s="66">
        <f>SUMIFS(J_Montant,J_Annee,Annee_Travail,J_Mois,3,J_Module,"Général",J_Type,"&lt;&gt;Revenu",J_Type,"&lt;&gt;Transfert",J_Statut,"&lt;&gt;Annulé",J_Statut,"&lt;&gt;Prévu")</f>
        <v/>
      </c>
      <c r="D24" s="66">
        <f>SUMIFS(J_Montant,J_Annee,Annee_Travail,J_Mois,3,J_Module,"Mariage",J_Type,"&lt;&gt;Revenu",J_Type,"&lt;&gt;Transfert",J_Statut,"&lt;&gt;Annulé",J_Statut,"&lt;&gt;Prévu")</f>
        <v/>
      </c>
      <c r="E24" s="66">
        <f>SUMIFS(J_Montant,J_Annee,Annee_Travail,J_Mois,3,J_Module,"Immobilier",J_Type,"&lt;&gt;Revenu",J_Type,"&lt;&gt;Transfert",J_Statut,"&lt;&gt;Annulé",J_Statut,"&lt;&gt;Prévu")</f>
        <v/>
      </c>
      <c r="F24" s="66">
        <f>SUMIFS(J_Montant,J_Annee,Annee_Travail,J_Mois,3,J_Module,"Business",J_Type,"&lt;&gt;Revenu",J_Type,"&lt;&gt;Transfert",J_Statut,"&lt;&gt;Annulé",J_Statut,"&lt;&gt;Prévu")</f>
        <v/>
      </c>
    </row>
    <row r="25">
      <c r="B25" s="199">
        <f>INDEX(Liste_Mois,4)</f>
        <v/>
      </c>
      <c r="C25" s="66">
        <f>SUMIFS(J_Montant,J_Annee,Annee_Travail,J_Mois,4,J_Module,"Général",J_Type,"&lt;&gt;Revenu",J_Type,"&lt;&gt;Transfert",J_Statut,"&lt;&gt;Annulé",J_Statut,"&lt;&gt;Prévu")</f>
        <v/>
      </c>
      <c r="D25" s="66">
        <f>SUMIFS(J_Montant,J_Annee,Annee_Travail,J_Mois,4,J_Module,"Mariage",J_Type,"&lt;&gt;Revenu",J_Type,"&lt;&gt;Transfert",J_Statut,"&lt;&gt;Annulé",J_Statut,"&lt;&gt;Prévu")</f>
        <v/>
      </c>
      <c r="E25" s="66">
        <f>SUMIFS(J_Montant,J_Annee,Annee_Travail,J_Mois,4,J_Module,"Immobilier",J_Type,"&lt;&gt;Revenu",J_Type,"&lt;&gt;Transfert",J_Statut,"&lt;&gt;Annulé",J_Statut,"&lt;&gt;Prévu")</f>
        <v/>
      </c>
      <c r="F25" s="66">
        <f>SUMIFS(J_Montant,J_Annee,Annee_Travail,J_Mois,4,J_Module,"Business",J_Type,"&lt;&gt;Revenu",J_Type,"&lt;&gt;Transfert",J_Statut,"&lt;&gt;Annulé",J_Statut,"&lt;&gt;Prévu")</f>
        <v/>
      </c>
    </row>
    <row r="26">
      <c r="B26" s="199">
        <f>INDEX(Liste_Mois,5)</f>
        <v/>
      </c>
      <c r="C26" s="66">
        <f>SUMIFS(J_Montant,J_Annee,Annee_Travail,J_Mois,5,J_Module,"Général",J_Type,"&lt;&gt;Revenu",J_Type,"&lt;&gt;Transfert",J_Statut,"&lt;&gt;Annulé",J_Statut,"&lt;&gt;Prévu")</f>
        <v/>
      </c>
      <c r="D26" s="66">
        <f>SUMIFS(J_Montant,J_Annee,Annee_Travail,J_Mois,5,J_Module,"Mariage",J_Type,"&lt;&gt;Revenu",J_Type,"&lt;&gt;Transfert",J_Statut,"&lt;&gt;Annulé",J_Statut,"&lt;&gt;Prévu")</f>
        <v/>
      </c>
      <c r="E26" s="66">
        <f>SUMIFS(J_Montant,J_Annee,Annee_Travail,J_Mois,5,J_Module,"Immobilier",J_Type,"&lt;&gt;Revenu",J_Type,"&lt;&gt;Transfert",J_Statut,"&lt;&gt;Annulé",J_Statut,"&lt;&gt;Prévu")</f>
        <v/>
      </c>
      <c r="F26" s="66">
        <f>SUMIFS(J_Montant,J_Annee,Annee_Travail,J_Mois,5,J_Module,"Business",J_Type,"&lt;&gt;Revenu",J_Type,"&lt;&gt;Transfert",J_Statut,"&lt;&gt;Annulé",J_Statut,"&lt;&gt;Prévu")</f>
        <v/>
      </c>
    </row>
    <row r="27">
      <c r="B27" s="199">
        <f>INDEX(Liste_Mois,6)</f>
        <v/>
      </c>
      <c r="C27" s="66">
        <f>SUMIFS(J_Montant,J_Annee,Annee_Travail,J_Mois,6,J_Module,"Général",J_Type,"&lt;&gt;Revenu",J_Type,"&lt;&gt;Transfert",J_Statut,"&lt;&gt;Annulé",J_Statut,"&lt;&gt;Prévu")</f>
        <v/>
      </c>
      <c r="D27" s="66">
        <f>SUMIFS(J_Montant,J_Annee,Annee_Travail,J_Mois,6,J_Module,"Mariage",J_Type,"&lt;&gt;Revenu",J_Type,"&lt;&gt;Transfert",J_Statut,"&lt;&gt;Annulé",J_Statut,"&lt;&gt;Prévu")</f>
        <v/>
      </c>
      <c r="E27" s="66">
        <f>SUMIFS(J_Montant,J_Annee,Annee_Travail,J_Mois,6,J_Module,"Immobilier",J_Type,"&lt;&gt;Revenu",J_Type,"&lt;&gt;Transfert",J_Statut,"&lt;&gt;Annulé",J_Statut,"&lt;&gt;Prévu")</f>
        <v/>
      </c>
      <c r="F27" s="66">
        <f>SUMIFS(J_Montant,J_Annee,Annee_Travail,J_Mois,6,J_Module,"Business",J_Type,"&lt;&gt;Revenu",J_Type,"&lt;&gt;Transfert",J_Statut,"&lt;&gt;Annulé",J_Statut,"&lt;&gt;Prévu")</f>
        <v/>
      </c>
    </row>
    <row r="28">
      <c r="B28" s="199">
        <f>INDEX(Liste_Mois,7)</f>
        <v/>
      </c>
      <c r="C28" s="66">
        <f>SUMIFS(J_Montant,J_Annee,Annee_Travail,J_Mois,7,J_Module,"Général",J_Type,"&lt;&gt;Revenu",J_Type,"&lt;&gt;Transfert",J_Statut,"&lt;&gt;Annulé",J_Statut,"&lt;&gt;Prévu")</f>
        <v/>
      </c>
      <c r="D28" s="66">
        <f>SUMIFS(J_Montant,J_Annee,Annee_Travail,J_Mois,7,J_Module,"Mariage",J_Type,"&lt;&gt;Revenu",J_Type,"&lt;&gt;Transfert",J_Statut,"&lt;&gt;Annulé",J_Statut,"&lt;&gt;Prévu")</f>
        <v/>
      </c>
      <c r="E28" s="66">
        <f>SUMIFS(J_Montant,J_Annee,Annee_Travail,J_Mois,7,J_Module,"Immobilier",J_Type,"&lt;&gt;Revenu",J_Type,"&lt;&gt;Transfert",J_Statut,"&lt;&gt;Annulé",J_Statut,"&lt;&gt;Prévu")</f>
        <v/>
      </c>
      <c r="F28" s="66">
        <f>SUMIFS(J_Montant,J_Annee,Annee_Travail,J_Mois,7,J_Module,"Business",J_Type,"&lt;&gt;Revenu",J_Type,"&lt;&gt;Transfert",J_Statut,"&lt;&gt;Annulé",J_Statut,"&lt;&gt;Prévu")</f>
        <v/>
      </c>
    </row>
    <row r="29">
      <c r="B29" s="199">
        <f>INDEX(Liste_Mois,8)</f>
        <v/>
      </c>
      <c r="C29" s="66">
        <f>SUMIFS(J_Montant,J_Annee,Annee_Travail,J_Mois,8,J_Module,"Général",J_Type,"&lt;&gt;Revenu",J_Type,"&lt;&gt;Transfert",J_Statut,"&lt;&gt;Annulé",J_Statut,"&lt;&gt;Prévu")</f>
        <v/>
      </c>
      <c r="D29" s="66">
        <f>SUMIFS(J_Montant,J_Annee,Annee_Travail,J_Mois,8,J_Module,"Mariage",J_Type,"&lt;&gt;Revenu",J_Type,"&lt;&gt;Transfert",J_Statut,"&lt;&gt;Annulé",J_Statut,"&lt;&gt;Prévu")</f>
        <v/>
      </c>
      <c r="E29" s="66">
        <f>SUMIFS(J_Montant,J_Annee,Annee_Travail,J_Mois,8,J_Module,"Immobilier",J_Type,"&lt;&gt;Revenu",J_Type,"&lt;&gt;Transfert",J_Statut,"&lt;&gt;Annulé",J_Statut,"&lt;&gt;Prévu")</f>
        <v/>
      </c>
      <c r="F29" s="66">
        <f>SUMIFS(J_Montant,J_Annee,Annee_Travail,J_Mois,8,J_Module,"Business",J_Type,"&lt;&gt;Revenu",J_Type,"&lt;&gt;Transfert",J_Statut,"&lt;&gt;Annulé",J_Statut,"&lt;&gt;Prévu")</f>
        <v/>
      </c>
    </row>
    <row r="30">
      <c r="B30" s="199">
        <f>INDEX(Liste_Mois,9)</f>
        <v/>
      </c>
      <c r="C30" s="66">
        <f>SUMIFS(J_Montant,J_Annee,Annee_Travail,J_Mois,9,J_Module,"Général",J_Type,"&lt;&gt;Revenu",J_Type,"&lt;&gt;Transfert",J_Statut,"&lt;&gt;Annulé",J_Statut,"&lt;&gt;Prévu")</f>
        <v/>
      </c>
      <c r="D30" s="66">
        <f>SUMIFS(J_Montant,J_Annee,Annee_Travail,J_Mois,9,J_Module,"Mariage",J_Type,"&lt;&gt;Revenu",J_Type,"&lt;&gt;Transfert",J_Statut,"&lt;&gt;Annulé",J_Statut,"&lt;&gt;Prévu")</f>
        <v/>
      </c>
      <c r="E30" s="66">
        <f>SUMIFS(J_Montant,J_Annee,Annee_Travail,J_Mois,9,J_Module,"Immobilier",J_Type,"&lt;&gt;Revenu",J_Type,"&lt;&gt;Transfert",J_Statut,"&lt;&gt;Annulé",J_Statut,"&lt;&gt;Prévu")</f>
        <v/>
      </c>
      <c r="F30" s="66">
        <f>SUMIFS(J_Montant,J_Annee,Annee_Travail,J_Mois,9,J_Module,"Business",J_Type,"&lt;&gt;Revenu",J_Type,"&lt;&gt;Transfert",J_Statut,"&lt;&gt;Annulé",J_Statut,"&lt;&gt;Prévu")</f>
        <v/>
      </c>
    </row>
    <row r="31">
      <c r="B31" s="199">
        <f>INDEX(Liste_Mois,10)</f>
        <v/>
      </c>
      <c r="C31" s="66">
        <f>SUMIFS(J_Montant,J_Annee,Annee_Travail,J_Mois,10,J_Module,"Général",J_Type,"&lt;&gt;Revenu",J_Type,"&lt;&gt;Transfert",J_Statut,"&lt;&gt;Annulé",J_Statut,"&lt;&gt;Prévu")</f>
        <v/>
      </c>
      <c r="D31" s="66">
        <f>SUMIFS(J_Montant,J_Annee,Annee_Travail,J_Mois,10,J_Module,"Mariage",J_Type,"&lt;&gt;Revenu",J_Type,"&lt;&gt;Transfert",J_Statut,"&lt;&gt;Annulé",J_Statut,"&lt;&gt;Prévu")</f>
        <v/>
      </c>
      <c r="E31" s="66">
        <f>SUMIFS(J_Montant,J_Annee,Annee_Travail,J_Mois,10,J_Module,"Immobilier",J_Type,"&lt;&gt;Revenu",J_Type,"&lt;&gt;Transfert",J_Statut,"&lt;&gt;Annulé",J_Statut,"&lt;&gt;Prévu")</f>
        <v/>
      </c>
      <c r="F31" s="66">
        <f>SUMIFS(J_Montant,J_Annee,Annee_Travail,J_Mois,10,J_Module,"Business",J_Type,"&lt;&gt;Revenu",J_Type,"&lt;&gt;Transfert",J_Statut,"&lt;&gt;Annulé",J_Statut,"&lt;&gt;Prévu")</f>
        <v/>
      </c>
    </row>
    <row r="32">
      <c r="B32" s="199">
        <f>INDEX(Liste_Mois,11)</f>
        <v/>
      </c>
      <c r="C32" s="66">
        <f>SUMIFS(J_Montant,J_Annee,Annee_Travail,J_Mois,11,J_Module,"Général",J_Type,"&lt;&gt;Revenu",J_Type,"&lt;&gt;Transfert",J_Statut,"&lt;&gt;Annulé",J_Statut,"&lt;&gt;Prévu")</f>
        <v/>
      </c>
      <c r="D32" s="66">
        <f>SUMIFS(J_Montant,J_Annee,Annee_Travail,J_Mois,11,J_Module,"Mariage",J_Type,"&lt;&gt;Revenu",J_Type,"&lt;&gt;Transfert",J_Statut,"&lt;&gt;Annulé",J_Statut,"&lt;&gt;Prévu")</f>
        <v/>
      </c>
      <c r="E32" s="66">
        <f>SUMIFS(J_Montant,J_Annee,Annee_Travail,J_Mois,11,J_Module,"Immobilier",J_Type,"&lt;&gt;Revenu",J_Type,"&lt;&gt;Transfert",J_Statut,"&lt;&gt;Annulé",J_Statut,"&lt;&gt;Prévu")</f>
        <v/>
      </c>
      <c r="F32" s="66">
        <f>SUMIFS(J_Montant,J_Annee,Annee_Travail,J_Mois,11,J_Module,"Business",J_Type,"&lt;&gt;Revenu",J_Type,"&lt;&gt;Transfert",J_Statut,"&lt;&gt;Annulé",J_Statut,"&lt;&gt;Prévu")</f>
        <v/>
      </c>
    </row>
    <row r="33">
      <c r="B33" s="199">
        <f>INDEX(Liste_Mois,12)</f>
        <v/>
      </c>
      <c r="C33" s="66">
        <f>SUMIFS(J_Montant,J_Annee,Annee_Travail,J_Mois,12,J_Module,"Général",J_Type,"&lt;&gt;Revenu",J_Type,"&lt;&gt;Transfert",J_Statut,"&lt;&gt;Annulé",J_Statut,"&lt;&gt;Prévu")</f>
        <v/>
      </c>
      <c r="D33" s="66">
        <f>SUMIFS(J_Montant,J_Annee,Annee_Travail,J_Mois,12,J_Module,"Mariage",J_Type,"&lt;&gt;Revenu",J_Type,"&lt;&gt;Transfert",J_Statut,"&lt;&gt;Annulé",J_Statut,"&lt;&gt;Prévu")</f>
        <v/>
      </c>
      <c r="E33" s="66">
        <f>SUMIFS(J_Montant,J_Annee,Annee_Travail,J_Mois,12,J_Module,"Immobilier",J_Type,"&lt;&gt;Revenu",J_Type,"&lt;&gt;Transfert",J_Statut,"&lt;&gt;Annulé",J_Statut,"&lt;&gt;Prévu")</f>
        <v/>
      </c>
      <c r="F33" s="66">
        <f>SUMIFS(J_Montant,J_Annee,Annee_Travail,J_Mois,12,J_Module,"Business",J_Type,"&lt;&gt;Revenu",J_Type,"&lt;&gt;Transfert",J_Statut,"&lt;&gt;Annulé",J_Statut,"&lt;&gt;Prévu")</f>
        <v/>
      </c>
    </row>
    <row r="34"/>
    <row r="35" ht="24" customHeight="1">
      <c r="B35" s="6" t="inlineStr">
        <is>
          <t>3 ▸ ANALYSE PAR CATÉGORIE</t>
        </is>
      </c>
      <c r="C35" s="7" t="n"/>
      <c r="D35" s="7" t="n"/>
      <c r="E35" s="7" t="n"/>
      <c r="F35" s="7" t="n"/>
      <c r="G35" s="7" t="n"/>
      <c r="H35" s="7" t="n"/>
      <c r="I35" s="7" t="n"/>
    </row>
    <row r="36" ht="30" customHeight="1">
      <c r="B36" s="63" t="inlineStr">
        <is>
          <t>Module</t>
        </is>
      </c>
      <c r="C36" s="63" t="inlineStr">
        <is>
          <t>Catégorie</t>
        </is>
      </c>
      <c r="D36" s="63" t="inlineStr">
        <is>
          <t>Réel du mois</t>
        </is>
      </c>
      <c r="E36" s="63" t="inlineStr">
        <is>
          <t>Réel de l'année</t>
        </is>
      </c>
      <c r="F36" s="63" t="inlineStr">
        <is>
          <t>Prévu de l'année</t>
        </is>
      </c>
      <c r="G36" s="63" t="inlineStr">
        <is>
          <t>Écart</t>
        </is>
      </c>
      <c r="H36" s="63" t="inlineStr">
        <is>
          <t>Clé mois</t>
        </is>
      </c>
      <c r="I36" s="63" t="inlineStr">
        <is>
          <t>Clé année</t>
        </is>
      </c>
    </row>
    <row r="37">
      <c r="B37" s="242" t="inlineStr">
        <is>
          <t>Général</t>
        </is>
      </c>
      <c r="C37" s="242" t="inlineStr">
        <is>
          <t>Salaire</t>
        </is>
      </c>
      <c r="D37" s="66">
        <f>SUMIFS(J_Montant,J_Annee,Annee_Travail,J_Mois,Mois_Num,J_Module,$B37,J_Cat,$C37,J_Type,"&lt;&gt;Revenu",J_Type,"&lt;&gt;Transfert",J_Statut,"&lt;&gt;Annulé",J_Statut,"&lt;&gt;Prévu")</f>
        <v/>
      </c>
      <c r="E37" s="66">
        <f>SUMIFS(J_Montant,J_Annee,Annee_Travail,J_Module,$B37,J_Cat,$C37,J_Type,"&lt;&gt;Revenu",J_Type,"&lt;&gt;Transfert",J_Statut,"&lt;&gt;Annulé",J_Statut,"&lt;&gt;Prévu")</f>
        <v/>
      </c>
      <c r="F37" s="66">
        <f>SUMIFS(P_Total,P_Annee,Annee_Travail,P_Module,$B37,P_Cat,$C37)</f>
        <v/>
      </c>
      <c r="G37" s="66">
        <f>$F37-$E37</f>
        <v/>
      </c>
      <c r="H37" s="247">
        <f>$D37*IF(OR(Perimetre_Filtre="*",$B37=Perimetre_Filtre),1,0)+ROW()/1000000</f>
        <v/>
      </c>
      <c r="I37" s="247">
        <f>$E37*IF(OR(Perimetre_Filtre="*",$B37=Perimetre_Filtre),1,0)+ROW()/1000000</f>
        <v/>
      </c>
    </row>
    <row r="38">
      <c r="B38" s="242" t="inlineStr">
        <is>
          <t>Général</t>
        </is>
      </c>
      <c r="C38" s="242" t="inlineStr">
        <is>
          <t>Prime / 13e mois</t>
        </is>
      </c>
      <c r="D38" s="66">
        <f>SUMIFS(J_Montant,J_Annee,Annee_Travail,J_Mois,Mois_Num,J_Module,$B38,J_Cat,$C38,J_Type,"&lt;&gt;Revenu",J_Type,"&lt;&gt;Transfert",J_Statut,"&lt;&gt;Annulé",J_Statut,"&lt;&gt;Prévu")</f>
        <v/>
      </c>
      <c r="E38" s="66">
        <f>SUMIFS(J_Montant,J_Annee,Annee_Travail,J_Module,$B38,J_Cat,$C38,J_Type,"&lt;&gt;Revenu",J_Type,"&lt;&gt;Transfert",J_Statut,"&lt;&gt;Annulé",J_Statut,"&lt;&gt;Prévu")</f>
        <v/>
      </c>
      <c r="F38" s="66">
        <f>SUMIFS(P_Total,P_Annee,Annee_Travail,P_Module,$B38,P_Cat,$C38)</f>
        <v/>
      </c>
      <c r="G38" s="66">
        <f>$F38-$E38</f>
        <v/>
      </c>
      <c r="H38" s="247">
        <f>$D38*IF(OR(Perimetre_Filtre="*",$B38=Perimetre_Filtre),1,0)+ROW()/1000000</f>
        <v/>
      </c>
      <c r="I38" s="247">
        <f>$E38*IF(OR(Perimetre_Filtre="*",$B38=Perimetre_Filtre),1,0)+ROW()/1000000</f>
        <v/>
      </c>
    </row>
    <row r="39">
      <c r="B39" s="242" t="inlineStr">
        <is>
          <t>Général</t>
        </is>
      </c>
      <c r="C39" s="242" t="inlineStr">
        <is>
          <t>Freelance / Consulting</t>
        </is>
      </c>
      <c r="D39" s="66">
        <f>SUMIFS(J_Montant,J_Annee,Annee_Travail,J_Mois,Mois_Num,J_Module,$B39,J_Cat,$C39,J_Type,"&lt;&gt;Revenu",J_Type,"&lt;&gt;Transfert",J_Statut,"&lt;&gt;Annulé",J_Statut,"&lt;&gt;Prévu")</f>
        <v/>
      </c>
      <c r="E39" s="66">
        <f>SUMIFS(J_Montant,J_Annee,Annee_Travail,J_Module,$B39,J_Cat,$C39,J_Type,"&lt;&gt;Revenu",J_Type,"&lt;&gt;Transfert",J_Statut,"&lt;&gt;Annulé",J_Statut,"&lt;&gt;Prévu")</f>
        <v/>
      </c>
      <c r="F39" s="66">
        <f>SUMIFS(P_Total,P_Annee,Annee_Travail,P_Module,$B39,P_Cat,$C39)</f>
        <v/>
      </c>
      <c r="G39" s="66">
        <f>$F39-$E39</f>
        <v/>
      </c>
      <c r="H39" s="247">
        <f>$D39*IF(OR(Perimetre_Filtre="*",$B39=Perimetre_Filtre),1,0)+ROW()/1000000</f>
        <v/>
      </c>
      <c r="I39" s="247">
        <f>$E39*IF(OR(Perimetre_Filtre="*",$B39=Perimetre_Filtre),1,0)+ROW()/1000000</f>
        <v/>
      </c>
    </row>
    <row r="40">
      <c r="B40" s="242" t="inlineStr">
        <is>
          <t>Général</t>
        </is>
      </c>
      <c r="C40" s="242" t="inlineStr">
        <is>
          <t>Commerce / Ventes</t>
        </is>
      </c>
      <c r="D40" s="66">
        <f>SUMIFS(J_Montant,J_Annee,Annee_Travail,J_Mois,Mois_Num,J_Module,$B40,J_Cat,$C40,J_Type,"&lt;&gt;Revenu",J_Type,"&lt;&gt;Transfert",J_Statut,"&lt;&gt;Annulé",J_Statut,"&lt;&gt;Prévu")</f>
        <v/>
      </c>
      <c r="E40" s="66">
        <f>SUMIFS(J_Montant,J_Annee,Annee_Travail,J_Module,$B40,J_Cat,$C40,J_Type,"&lt;&gt;Revenu",J_Type,"&lt;&gt;Transfert",J_Statut,"&lt;&gt;Annulé",J_Statut,"&lt;&gt;Prévu")</f>
        <v/>
      </c>
      <c r="F40" s="66">
        <f>SUMIFS(P_Total,P_Annee,Annee_Travail,P_Module,$B40,P_Cat,$C40)</f>
        <v/>
      </c>
      <c r="G40" s="66">
        <f>$F40-$E40</f>
        <v/>
      </c>
      <c r="H40" s="247">
        <f>$D40*IF(OR(Perimetre_Filtre="*",$B40=Perimetre_Filtre),1,0)+ROW()/1000000</f>
        <v/>
      </c>
      <c r="I40" s="247">
        <f>$E40*IF(OR(Perimetre_Filtre="*",$B40=Perimetre_Filtre),1,0)+ROW()/1000000</f>
        <v/>
      </c>
    </row>
    <row r="41">
      <c r="B41" s="242" t="inlineStr">
        <is>
          <t>Général</t>
        </is>
      </c>
      <c r="C41" s="242" t="inlineStr">
        <is>
          <t>Loyers perçus</t>
        </is>
      </c>
      <c r="D41" s="66">
        <f>SUMIFS(J_Montant,J_Annee,Annee_Travail,J_Mois,Mois_Num,J_Module,$B41,J_Cat,$C41,J_Type,"&lt;&gt;Revenu",J_Type,"&lt;&gt;Transfert",J_Statut,"&lt;&gt;Annulé",J_Statut,"&lt;&gt;Prévu")</f>
        <v/>
      </c>
      <c r="E41" s="66">
        <f>SUMIFS(J_Montant,J_Annee,Annee_Travail,J_Module,$B41,J_Cat,$C41,J_Type,"&lt;&gt;Revenu",J_Type,"&lt;&gt;Transfert",J_Statut,"&lt;&gt;Annulé",J_Statut,"&lt;&gt;Prévu")</f>
        <v/>
      </c>
      <c r="F41" s="66">
        <f>SUMIFS(P_Total,P_Annee,Annee_Travail,P_Module,$B41,P_Cat,$C41)</f>
        <v/>
      </c>
      <c r="G41" s="66">
        <f>$F41-$E41</f>
        <v/>
      </c>
      <c r="H41" s="247">
        <f>$D41*IF(OR(Perimetre_Filtre="*",$B41=Perimetre_Filtre),1,0)+ROW()/1000000</f>
        <v/>
      </c>
      <c r="I41" s="247">
        <f>$E41*IF(OR(Perimetre_Filtre="*",$B41=Perimetre_Filtre),1,0)+ROW()/1000000</f>
        <v/>
      </c>
    </row>
    <row r="42">
      <c r="B42" s="242" t="inlineStr">
        <is>
          <t>Général</t>
        </is>
      </c>
      <c r="C42" s="242" t="inlineStr">
        <is>
          <t>Dividendes</t>
        </is>
      </c>
      <c r="D42" s="66">
        <f>SUMIFS(J_Montant,J_Annee,Annee_Travail,J_Mois,Mois_Num,J_Module,$B42,J_Cat,$C42,J_Type,"&lt;&gt;Revenu",J_Type,"&lt;&gt;Transfert",J_Statut,"&lt;&gt;Annulé",J_Statut,"&lt;&gt;Prévu")</f>
        <v/>
      </c>
      <c r="E42" s="66">
        <f>SUMIFS(J_Montant,J_Annee,Annee_Travail,J_Module,$B42,J_Cat,$C42,J_Type,"&lt;&gt;Revenu",J_Type,"&lt;&gt;Transfert",J_Statut,"&lt;&gt;Annulé",J_Statut,"&lt;&gt;Prévu")</f>
        <v/>
      </c>
      <c r="F42" s="66">
        <f>SUMIFS(P_Total,P_Annee,Annee_Travail,P_Module,$B42,P_Cat,$C42)</f>
        <v/>
      </c>
      <c r="G42" s="66">
        <f>$F42-$E42</f>
        <v/>
      </c>
      <c r="H42" s="247">
        <f>$D42*IF(OR(Perimetre_Filtre="*",$B42=Perimetre_Filtre),1,0)+ROW()/1000000</f>
        <v/>
      </c>
      <c r="I42" s="247">
        <f>$E42*IF(OR(Perimetre_Filtre="*",$B42=Perimetre_Filtre),1,0)+ROW()/1000000</f>
        <v/>
      </c>
    </row>
    <row r="43">
      <c r="B43" s="242" t="inlineStr">
        <is>
          <t>Général</t>
        </is>
      </c>
      <c r="C43" s="242" t="inlineStr">
        <is>
          <t>Intérêts perçus</t>
        </is>
      </c>
      <c r="D43" s="66">
        <f>SUMIFS(J_Montant,J_Annee,Annee_Travail,J_Mois,Mois_Num,J_Module,$B43,J_Cat,$C43,J_Type,"&lt;&gt;Revenu",J_Type,"&lt;&gt;Transfert",J_Statut,"&lt;&gt;Annulé",J_Statut,"&lt;&gt;Prévu")</f>
        <v/>
      </c>
      <c r="E43" s="66">
        <f>SUMIFS(J_Montant,J_Annee,Annee_Travail,J_Module,$B43,J_Cat,$C43,J_Type,"&lt;&gt;Revenu",J_Type,"&lt;&gt;Transfert",J_Statut,"&lt;&gt;Annulé",J_Statut,"&lt;&gt;Prévu")</f>
        <v/>
      </c>
      <c r="F43" s="66">
        <f>SUMIFS(P_Total,P_Annee,Annee_Travail,P_Module,$B43,P_Cat,$C43)</f>
        <v/>
      </c>
      <c r="G43" s="66">
        <f>$F43-$E43</f>
        <v/>
      </c>
      <c r="H43" s="247">
        <f>$D43*IF(OR(Perimetre_Filtre="*",$B43=Perimetre_Filtre),1,0)+ROW()/1000000</f>
        <v/>
      </c>
      <c r="I43" s="247">
        <f>$E43*IF(OR(Perimetre_Filtre="*",$B43=Perimetre_Filtre),1,0)+ROW()/1000000</f>
        <v/>
      </c>
    </row>
    <row r="44">
      <c r="B44" s="242" t="inlineStr">
        <is>
          <t>Général</t>
        </is>
      </c>
      <c r="C44" s="242" t="inlineStr">
        <is>
          <t>Aide familiale</t>
        </is>
      </c>
      <c r="D44" s="66">
        <f>SUMIFS(J_Montant,J_Annee,Annee_Travail,J_Mois,Mois_Num,J_Module,$B44,J_Cat,$C44,J_Type,"&lt;&gt;Revenu",J_Type,"&lt;&gt;Transfert",J_Statut,"&lt;&gt;Annulé",J_Statut,"&lt;&gt;Prévu")</f>
        <v/>
      </c>
      <c r="E44" s="66">
        <f>SUMIFS(J_Montant,J_Annee,Annee_Travail,J_Module,$B44,J_Cat,$C44,J_Type,"&lt;&gt;Revenu",J_Type,"&lt;&gt;Transfert",J_Statut,"&lt;&gt;Annulé",J_Statut,"&lt;&gt;Prévu")</f>
        <v/>
      </c>
      <c r="F44" s="66">
        <f>SUMIFS(P_Total,P_Annee,Annee_Travail,P_Module,$B44,P_Cat,$C44)</f>
        <v/>
      </c>
      <c r="G44" s="66">
        <f>$F44-$E44</f>
        <v/>
      </c>
      <c r="H44" s="247">
        <f>$D44*IF(OR(Perimetre_Filtre="*",$B44=Perimetre_Filtre),1,0)+ROW()/1000000</f>
        <v/>
      </c>
      <c r="I44" s="247">
        <f>$E44*IF(OR(Perimetre_Filtre="*",$B44=Perimetre_Filtre),1,0)+ROW()/1000000</f>
        <v/>
      </c>
    </row>
    <row r="45">
      <c r="B45" s="242" t="inlineStr">
        <is>
          <t>Général</t>
        </is>
      </c>
      <c r="C45" s="242" t="inlineStr">
        <is>
          <t>Remboursement reçu</t>
        </is>
      </c>
      <c r="D45" s="66">
        <f>SUMIFS(J_Montant,J_Annee,Annee_Travail,J_Mois,Mois_Num,J_Module,$B45,J_Cat,$C45,J_Type,"&lt;&gt;Revenu",J_Type,"&lt;&gt;Transfert",J_Statut,"&lt;&gt;Annulé",J_Statut,"&lt;&gt;Prévu")</f>
        <v/>
      </c>
      <c r="E45" s="66">
        <f>SUMIFS(J_Montant,J_Annee,Annee_Travail,J_Module,$B45,J_Cat,$C45,J_Type,"&lt;&gt;Revenu",J_Type,"&lt;&gt;Transfert",J_Statut,"&lt;&gt;Annulé",J_Statut,"&lt;&gt;Prévu")</f>
        <v/>
      </c>
      <c r="F45" s="66">
        <f>SUMIFS(P_Total,P_Annee,Annee_Travail,P_Module,$B45,P_Cat,$C45)</f>
        <v/>
      </c>
      <c r="G45" s="66">
        <f>$F45-$E45</f>
        <v/>
      </c>
      <c r="H45" s="247">
        <f>$D45*IF(OR(Perimetre_Filtre="*",$B45=Perimetre_Filtre),1,0)+ROW()/1000000</f>
        <v/>
      </c>
      <c r="I45" s="247">
        <f>$E45*IF(OR(Perimetre_Filtre="*",$B45=Perimetre_Filtre),1,0)+ROW()/1000000</f>
        <v/>
      </c>
    </row>
    <row r="46">
      <c r="B46" s="242" t="inlineStr">
        <is>
          <t>Général</t>
        </is>
      </c>
      <c r="C46" s="242" t="inlineStr">
        <is>
          <t>Vente d'actifs</t>
        </is>
      </c>
      <c r="D46" s="66">
        <f>SUMIFS(J_Montant,J_Annee,Annee_Travail,J_Mois,Mois_Num,J_Module,$B46,J_Cat,$C46,J_Type,"&lt;&gt;Revenu",J_Type,"&lt;&gt;Transfert",J_Statut,"&lt;&gt;Annulé",J_Statut,"&lt;&gt;Prévu")</f>
        <v/>
      </c>
      <c r="E46" s="66">
        <f>SUMIFS(J_Montant,J_Annee,Annee_Travail,J_Module,$B46,J_Cat,$C46,J_Type,"&lt;&gt;Revenu",J_Type,"&lt;&gt;Transfert",J_Statut,"&lt;&gt;Annulé",J_Statut,"&lt;&gt;Prévu")</f>
        <v/>
      </c>
      <c r="F46" s="66">
        <f>SUMIFS(P_Total,P_Annee,Annee_Travail,P_Module,$B46,P_Cat,$C46)</f>
        <v/>
      </c>
      <c r="G46" s="66">
        <f>$F46-$E46</f>
        <v/>
      </c>
      <c r="H46" s="247">
        <f>$D46*IF(OR(Perimetre_Filtre="*",$B46=Perimetre_Filtre),1,0)+ROW()/1000000</f>
        <v/>
      </c>
      <c r="I46" s="247">
        <f>$E46*IF(OR(Perimetre_Filtre="*",$B46=Perimetre_Filtre),1,0)+ROW()/1000000</f>
        <v/>
      </c>
    </row>
    <row r="47">
      <c r="B47" s="242" t="inlineStr">
        <is>
          <t>Général</t>
        </is>
      </c>
      <c r="C47" s="242" t="inlineStr">
        <is>
          <t>Autre revenu</t>
        </is>
      </c>
      <c r="D47" s="66">
        <f>SUMIFS(J_Montant,J_Annee,Annee_Travail,J_Mois,Mois_Num,J_Module,$B47,J_Cat,$C47,J_Type,"&lt;&gt;Revenu",J_Type,"&lt;&gt;Transfert",J_Statut,"&lt;&gt;Annulé",J_Statut,"&lt;&gt;Prévu")</f>
        <v/>
      </c>
      <c r="E47" s="66">
        <f>SUMIFS(J_Montant,J_Annee,Annee_Travail,J_Module,$B47,J_Cat,$C47,J_Type,"&lt;&gt;Revenu",J_Type,"&lt;&gt;Transfert",J_Statut,"&lt;&gt;Annulé",J_Statut,"&lt;&gt;Prévu")</f>
        <v/>
      </c>
      <c r="F47" s="66">
        <f>SUMIFS(P_Total,P_Annee,Annee_Travail,P_Module,$B47,P_Cat,$C47)</f>
        <v/>
      </c>
      <c r="G47" s="66">
        <f>$F47-$E47</f>
        <v/>
      </c>
      <c r="H47" s="247">
        <f>$D47*IF(OR(Perimetre_Filtre="*",$B47=Perimetre_Filtre),1,0)+ROW()/1000000</f>
        <v/>
      </c>
      <c r="I47" s="247">
        <f>$E47*IF(OR(Perimetre_Filtre="*",$B47=Perimetre_Filtre),1,0)+ROW()/1000000</f>
        <v/>
      </c>
    </row>
    <row r="48">
      <c r="B48" s="242" t="inlineStr">
        <is>
          <t>Général</t>
        </is>
      </c>
      <c r="C48" s="242" t="inlineStr">
        <is>
          <t>Loyer</t>
        </is>
      </c>
      <c r="D48" s="66">
        <f>SUMIFS(J_Montant,J_Annee,Annee_Travail,J_Mois,Mois_Num,J_Module,$B48,J_Cat,$C48,J_Type,"&lt;&gt;Revenu",J_Type,"&lt;&gt;Transfert",J_Statut,"&lt;&gt;Annulé",J_Statut,"&lt;&gt;Prévu")</f>
        <v/>
      </c>
      <c r="E48" s="66">
        <f>SUMIFS(J_Montant,J_Annee,Annee_Travail,J_Module,$B48,J_Cat,$C48,J_Type,"&lt;&gt;Revenu",J_Type,"&lt;&gt;Transfert",J_Statut,"&lt;&gt;Annulé",J_Statut,"&lt;&gt;Prévu")</f>
        <v/>
      </c>
      <c r="F48" s="66">
        <f>SUMIFS(P_Total,P_Annee,Annee_Travail,P_Module,$B48,P_Cat,$C48)</f>
        <v/>
      </c>
      <c r="G48" s="66">
        <f>$F48-$E48</f>
        <v/>
      </c>
      <c r="H48" s="247">
        <f>$D48*IF(OR(Perimetre_Filtre="*",$B48=Perimetre_Filtre),1,0)+ROW()/1000000</f>
        <v/>
      </c>
      <c r="I48" s="247">
        <f>$E48*IF(OR(Perimetre_Filtre="*",$B48=Perimetre_Filtre),1,0)+ROW()/1000000</f>
        <v/>
      </c>
    </row>
    <row r="49">
      <c r="B49" s="242" t="inlineStr">
        <is>
          <t>Général</t>
        </is>
      </c>
      <c r="C49" s="242" t="inlineStr">
        <is>
          <t>Électricité</t>
        </is>
      </c>
      <c r="D49" s="66">
        <f>SUMIFS(J_Montant,J_Annee,Annee_Travail,J_Mois,Mois_Num,J_Module,$B49,J_Cat,$C49,J_Type,"&lt;&gt;Revenu",J_Type,"&lt;&gt;Transfert",J_Statut,"&lt;&gt;Annulé",J_Statut,"&lt;&gt;Prévu")</f>
        <v/>
      </c>
      <c r="E49" s="66">
        <f>SUMIFS(J_Montant,J_Annee,Annee_Travail,J_Module,$B49,J_Cat,$C49,J_Type,"&lt;&gt;Revenu",J_Type,"&lt;&gt;Transfert",J_Statut,"&lt;&gt;Annulé",J_Statut,"&lt;&gt;Prévu")</f>
        <v/>
      </c>
      <c r="F49" s="66">
        <f>SUMIFS(P_Total,P_Annee,Annee_Travail,P_Module,$B49,P_Cat,$C49)</f>
        <v/>
      </c>
      <c r="G49" s="66">
        <f>$F49-$E49</f>
        <v/>
      </c>
      <c r="H49" s="247">
        <f>$D49*IF(OR(Perimetre_Filtre="*",$B49=Perimetre_Filtre),1,0)+ROW()/1000000</f>
        <v/>
      </c>
      <c r="I49" s="247">
        <f>$E49*IF(OR(Perimetre_Filtre="*",$B49=Perimetre_Filtre),1,0)+ROW()/1000000</f>
        <v/>
      </c>
    </row>
    <row r="50">
      <c r="B50" s="242" t="inlineStr">
        <is>
          <t>Général</t>
        </is>
      </c>
      <c r="C50" s="242" t="inlineStr">
        <is>
          <t>Eau</t>
        </is>
      </c>
      <c r="D50" s="66">
        <f>SUMIFS(J_Montant,J_Annee,Annee_Travail,J_Mois,Mois_Num,J_Module,$B50,J_Cat,$C50,J_Type,"&lt;&gt;Revenu",J_Type,"&lt;&gt;Transfert",J_Statut,"&lt;&gt;Annulé",J_Statut,"&lt;&gt;Prévu")</f>
        <v/>
      </c>
      <c r="E50" s="66">
        <f>SUMIFS(J_Montant,J_Annee,Annee_Travail,J_Module,$B50,J_Cat,$C50,J_Type,"&lt;&gt;Revenu",J_Type,"&lt;&gt;Transfert",J_Statut,"&lt;&gt;Annulé",J_Statut,"&lt;&gt;Prévu")</f>
        <v/>
      </c>
      <c r="F50" s="66">
        <f>SUMIFS(P_Total,P_Annee,Annee_Travail,P_Module,$B50,P_Cat,$C50)</f>
        <v/>
      </c>
      <c r="G50" s="66">
        <f>$F50-$E50</f>
        <v/>
      </c>
      <c r="H50" s="247">
        <f>$D50*IF(OR(Perimetre_Filtre="*",$B50=Perimetre_Filtre),1,0)+ROW()/1000000</f>
        <v/>
      </c>
      <c r="I50" s="247">
        <f>$E50*IF(OR(Perimetre_Filtre="*",$B50=Perimetre_Filtre),1,0)+ROW()/1000000</f>
        <v/>
      </c>
    </row>
    <row r="51">
      <c r="B51" s="242" t="inlineStr">
        <is>
          <t>Général</t>
        </is>
      </c>
      <c r="C51" s="242" t="inlineStr">
        <is>
          <t>Gaz / Bouteille</t>
        </is>
      </c>
      <c r="D51" s="66">
        <f>SUMIFS(J_Montant,J_Annee,Annee_Travail,J_Mois,Mois_Num,J_Module,$B51,J_Cat,$C51,J_Type,"&lt;&gt;Revenu",J_Type,"&lt;&gt;Transfert",J_Statut,"&lt;&gt;Annulé",J_Statut,"&lt;&gt;Prévu")</f>
        <v/>
      </c>
      <c r="E51" s="66">
        <f>SUMIFS(J_Montant,J_Annee,Annee_Travail,J_Module,$B51,J_Cat,$C51,J_Type,"&lt;&gt;Revenu",J_Type,"&lt;&gt;Transfert",J_Statut,"&lt;&gt;Annulé",J_Statut,"&lt;&gt;Prévu")</f>
        <v/>
      </c>
      <c r="F51" s="66">
        <f>SUMIFS(P_Total,P_Annee,Annee_Travail,P_Module,$B51,P_Cat,$C51)</f>
        <v/>
      </c>
      <c r="G51" s="66">
        <f>$F51-$E51</f>
        <v/>
      </c>
      <c r="H51" s="247">
        <f>$D51*IF(OR(Perimetre_Filtre="*",$B51=Perimetre_Filtre),1,0)+ROW()/1000000</f>
        <v/>
      </c>
      <c r="I51" s="247">
        <f>$E51*IF(OR(Perimetre_Filtre="*",$B51=Perimetre_Filtre),1,0)+ROW()/1000000</f>
        <v/>
      </c>
    </row>
    <row r="52">
      <c r="B52" s="242" t="inlineStr">
        <is>
          <t>Général</t>
        </is>
      </c>
      <c r="C52" s="242" t="inlineStr">
        <is>
          <t>Internet / Box</t>
        </is>
      </c>
      <c r="D52" s="66">
        <f>SUMIFS(J_Montant,J_Annee,Annee_Travail,J_Mois,Mois_Num,J_Module,$B52,J_Cat,$C52,J_Type,"&lt;&gt;Revenu",J_Type,"&lt;&gt;Transfert",J_Statut,"&lt;&gt;Annulé",J_Statut,"&lt;&gt;Prévu")</f>
        <v/>
      </c>
      <c r="E52" s="66">
        <f>SUMIFS(J_Montant,J_Annee,Annee_Travail,J_Module,$B52,J_Cat,$C52,J_Type,"&lt;&gt;Revenu",J_Type,"&lt;&gt;Transfert",J_Statut,"&lt;&gt;Annulé",J_Statut,"&lt;&gt;Prévu")</f>
        <v/>
      </c>
      <c r="F52" s="66">
        <f>SUMIFS(P_Total,P_Annee,Annee_Travail,P_Module,$B52,P_Cat,$C52)</f>
        <v/>
      </c>
      <c r="G52" s="66">
        <f>$F52-$E52</f>
        <v/>
      </c>
      <c r="H52" s="247">
        <f>$D52*IF(OR(Perimetre_Filtre="*",$B52=Perimetre_Filtre),1,0)+ROW()/1000000</f>
        <v/>
      </c>
      <c r="I52" s="247">
        <f>$E52*IF(OR(Perimetre_Filtre="*",$B52=Perimetre_Filtre),1,0)+ROW()/1000000</f>
        <v/>
      </c>
    </row>
    <row r="53">
      <c r="B53" s="242" t="inlineStr">
        <is>
          <t>Général</t>
        </is>
      </c>
      <c r="C53" s="242" t="inlineStr">
        <is>
          <t>Téléphone</t>
        </is>
      </c>
      <c r="D53" s="66">
        <f>SUMIFS(J_Montant,J_Annee,Annee_Travail,J_Mois,Mois_Num,J_Module,$B53,J_Cat,$C53,J_Type,"&lt;&gt;Revenu",J_Type,"&lt;&gt;Transfert",J_Statut,"&lt;&gt;Annulé",J_Statut,"&lt;&gt;Prévu")</f>
        <v/>
      </c>
      <c r="E53" s="66">
        <f>SUMIFS(J_Montant,J_Annee,Annee_Travail,J_Module,$B53,J_Cat,$C53,J_Type,"&lt;&gt;Revenu",J_Type,"&lt;&gt;Transfert",J_Statut,"&lt;&gt;Annulé",J_Statut,"&lt;&gt;Prévu")</f>
        <v/>
      </c>
      <c r="F53" s="66">
        <f>SUMIFS(P_Total,P_Annee,Annee_Travail,P_Module,$B53,P_Cat,$C53)</f>
        <v/>
      </c>
      <c r="G53" s="66">
        <f>$F53-$E53</f>
        <v/>
      </c>
      <c r="H53" s="247">
        <f>$D53*IF(OR(Perimetre_Filtre="*",$B53=Perimetre_Filtre),1,0)+ROW()/1000000</f>
        <v/>
      </c>
      <c r="I53" s="247">
        <f>$E53*IF(OR(Perimetre_Filtre="*",$B53=Perimetre_Filtre),1,0)+ROW()/1000000</f>
        <v/>
      </c>
    </row>
    <row r="54">
      <c r="B54" s="242" t="inlineStr">
        <is>
          <t>Général</t>
        </is>
      </c>
      <c r="C54" s="242" t="inlineStr">
        <is>
          <t>Charges de copropriété</t>
        </is>
      </c>
      <c r="D54" s="66">
        <f>SUMIFS(J_Montant,J_Annee,Annee_Travail,J_Mois,Mois_Num,J_Module,$B54,J_Cat,$C54,J_Type,"&lt;&gt;Revenu",J_Type,"&lt;&gt;Transfert",J_Statut,"&lt;&gt;Annulé",J_Statut,"&lt;&gt;Prévu")</f>
        <v/>
      </c>
      <c r="E54" s="66">
        <f>SUMIFS(J_Montant,J_Annee,Annee_Travail,J_Module,$B54,J_Cat,$C54,J_Type,"&lt;&gt;Revenu",J_Type,"&lt;&gt;Transfert",J_Statut,"&lt;&gt;Annulé",J_Statut,"&lt;&gt;Prévu")</f>
        <v/>
      </c>
      <c r="F54" s="66">
        <f>SUMIFS(P_Total,P_Annee,Annee_Travail,P_Module,$B54,P_Cat,$C54)</f>
        <v/>
      </c>
      <c r="G54" s="66">
        <f>$F54-$E54</f>
        <v/>
      </c>
      <c r="H54" s="247">
        <f>$D54*IF(OR(Perimetre_Filtre="*",$B54=Perimetre_Filtre),1,0)+ROW()/1000000</f>
        <v/>
      </c>
      <c r="I54" s="247">
        <f>$E54*IF(OR(Perimetre_Filtre="*",$B54=Perimetre_Filtre),1,0)+ROW()/1000000</f>
        <v/>
      </c>
    </row>
    <row r="55">
      <c r="B55" s="242" t="inlineStr">
        <is>
          <t>Général</t>
        </is>
      </c>
      <c r="C55" s="242" t="inlineStr">
        <is>
          <t>Entretien &amp; réparations logement</t>
        </is>
      </c>
      <c r="D55" s="66">
        <f>SUMIFS(J_Montant,J_Annee,Annee_Travail,J_Mois,Mois_Num,J_Module,$B55,J_Cat,$C55,J_Type,"&lt;&gt;Revenu",J_Type,"&lt;&gt;Transfert",J_Statut,"&lt;&gt;Annulé",J_Statut,"&lt;&gt;Prévu")</f>
        <v/>
      </c>
      <c r="E55" s="66">
        <f>SUMIFS(J_Montant,J_Annee,Annee_Travail,J_Module,$B55,J_Cat,$C55,J_Type,"&lt;&gt;Revenu",J_Type,"&lt;&gt;Transfert",J_Statut,"&lt;&gt;Annulé",J_Statut,"&lt;&gt;Prévu")</f>
        <v/>
      </c>
      <c r="F55" s="66">
        <f>SUMIFS(P_Total,P_Annee,Annee_Travail,P_Module,$B55,P_Cat,$C55)</f>
        <v/>
      </c>
      <c r="G55" s="66">
        <f>$F55-$E55</f>
        <v/>
      </c>
      <c r="H55" s="247">
        <f>$D55*IF(OR(Perimetre_Filtre="*",$B55=Perimetre_Filtre),1,0)+ROW()/1000000</f>
        <v/>
      </c>
      <c r="I55" s="247">
        <f>$E55*IF(OR(Perimetre_Filtre="*",$B55=Perimetre_Filtre),1,0)+ROW()/1000000</f>
        <v/>
      </c>
    </row>
    <row r="56">
      <c r="B56" s="242" t="inlineStr">
        <is>
          <t>Général</t>
        </is>
      </c>
      <c r="C56" s="242" t="inlineStr">
        <is>
          <t>Alimentation / Courses</t>
        </is>
      </c>
      <c r="D56" s="66">
        <f>SUMIFS(J_Montant,J_Annee,Annee_Travail,J_Mois,Mois_Num,J_Module,$B56,J_Cat,$C56,J_Type,"&lt;&gt;Revenu",J_Type,"&lt;&gt;Transfert",J_Statut,"&lt;&gt;Annulé",J_Statut,"&lt;&gt;Prévu")</f>
        <v/>
      </c>
      <c r="E56" s="66">
        <f>SUMIFS(J_Montant,J_Annee,Annee_Travail,J_Module,$B56,J_Cat,$C56,J_Type,"&lt;&gt;Revenu",J_Type,"&lt;&gt;Transfert",J_Statut,"&lt;&gt;Annulé",J_Statut,"&lt;&gt;Prévu")</f>
        <v/>
      </c>
      <c r="F56" s="66">
        <f>SUMIFS(P_Total,P_Annee,Annee_Travail,P_Module,$B56,P_Cat,$C56)</f>
        <v/>
      </c>
      <c r="G56" s="66">
        <f>$F56-$E56</f>
        <v/>
      </c>
      <c r="H56" s="247">
        <f>$D56*IF(OR(Perimetre_Filtre="*",$B56=Perimetre_Filtre),1,0)+ROW()/1000000</f>
        <v/>
      </c>
      <c r="I56" s="247">
        <f>$E56*IF(OR(Perimetre_Filtre="*",$B56=Perimetre_Filtre),1,0)+ROW()/1000000</f>
        <v/>
      </c>
    </row>
    <row r="57">
      <c r="B57" s="242" t="inlineStr">
        <is>
          <t>Général</t>
        </is>
      </c>
      <c r="C57" s="242" t="inlineStr">
        <is>
          <t>Restaurants / Déjeuners</t>
        </is>
      </c>
      <c r="D57" s="66">
        <f>SUMIFS(J_Montant,J_Annee,Annee_Travail,J_Mois,Mois_Num,J_Module,$B57,J_Cat,$C57,J_Type,"&lt;&gt;Revenu",J_Type,"&lt;&gt;Transfert",J_Statut,"&lt;&gt;Annulé",J_Statut,"&lt;&gt;Prévu")</f>
        <v/>
      </c>
      <c r="E57" s="66">
        <f>SUMIFS(J_Montant,J_Annee,Annee_Travail,J_Module,$B57,J_Cat,$C57,J_Type,"&lt;&gt;Revenu",J_Type,"&lt;&gt;Transfert",J_Statut,"&lt;&gt;Annulé",J_Statut,"&lt;&gt;Prévu")</f>
        <v/>
      </c>
      <c r="F57" s="66">
        <f>SUMIFS(P_Total,P_Annee,Annee_Travail,P_Module,$B57,P_Cat,$C57)</f>
        <v/>
      </c>
      <c r="G57" s="66">
        <f>$F57-$E57</f>
        <v/>
      </c>
      <c r="H57" s="247">
        <f>$D57*IF(OR(Perimetre_Filtre="*",$B57=Perimetre_Filtre),1,0)+ROW()/1000000</f>
        <v/>
      </c>
      <c r="I57" s="247">
        <f>$E57*IF(OR(Perimetre_Filtre="*",$B57=Perimetre_Filtre),1,0)+ROW()/1000000</f>
        <v/>
      </c>
    </row>
    <row r="58">
      <c r="B58" s="242" t="inlineStr">
        <is>
          <t>Général</t>
        </is>
      </c>
      <c r="C58" s="242" t="inlineStr">
        <is>
          <t>Transport en commun</t>
        </is>
      </c>
      <c r="D58" s="66">
        <f>SUMIFS(J_Montant,J_Annee,Annee_Travail,J_Mois,Mois_Num,J_Module,$B58,J_Cat,$C58,J_Type,"&lt;&gt;Revenu",J_Type,"&lt;&gt;Transfert",J_Statut,"&lt;&gt;Annulé",J_Statut,"&lt;&gt;Prévu")</f>
        <v/>
      </c>
      <c r="E58" s="66">
        <f>SUMIFS(J_Montant,J_Annee,Annee_Travail,J_Module,$B58,J_Cat,$C58,J_Type,"&lt;&gt;Revenu",J_Type,"&lt;&gt;Transfert",J_Statut,"&lt;&gt;Annulé",J_Statut,"&lt;&gt;Prévu")</f>
        <v/>
      </c>
      <c r="F58" s="66">
        <f>SUMIFS(P_Total,P_Annee,Annee_Travail,P_Module,$B58,P_Cat,$C58)</f>
        <v/>
      </c>
      <c r="G58" s="66">
        <f>$F58-$E58</f>
        <v/>
      </c>
      <c r="H58" s="247">
        <f>$D58*IF(OR(Perimetre_Filtre="*",$B58=Perimetre_Filtre),1,0)+ROW()/1000000</f>
        <v/>
      </c>
      <c r="I58" s="247">
        <f>$E58*IF(OR(Perimetre_Filtre="*",$B58=Perimetre_Filtre),1,0)+ROW()/1000000</f>
        <v/>
      </c>
    </row>
    <row r="59">
      <c r="B59" s="242" t="inlineStr">
        <is>
          <t>Général</t>
        </is>
      </c>
      <c r="C59" s="242" t="inlineStr">
        <is>
          <t>Carburant</t>
        </is>
      </c>
      <c r="D59" s="66">
        <f>SUMIFS(J_Montant,J_Annee,Annee_Travail,J_Mois,Mois_Num,J_Module,$B59,J_Cat,$C59,J_Type,"&lt;&gt;Revenu",J_Type,"&lt;&gt;Transfert",J_Statut,"&lt;&gt;Annulé",J_Statut,"&lt;&gt;Prévu")</f>
        <v/>
      </c>
      <c r="E59" s="66">
        <f>SUMIFS(J_Montant,J_Annee,Annee_Travail,J_Module,$B59,J_Cat,$C59,J_Type,"&lt;&gt;Revenu",J_Type,"&lt;&gt;Transfert",J_Statut,"&lt;&gt;Annulé",J_Statut,"&lt;&gt;Prévu")</f>
        <v/>
      </c>
      <c r="F59" s="66">
        <f>SUMIFS(P_Total,P_Annee,Annee_Travail,P_Module,$B59,P_Cat,$C59)</f>
        <v/>
      </c>
      <c r="G59" s="66">
        <f>$F59-$E59</f>
        <v/>
      </c>
      <c r="H59" s="247">
        <f>$D59*IF(OR(Perimetre_Filtre="*",$B59=Perimetre_Filtre),1,0)+ROW()/1000000</f>
        <v/>
      </c>
      <c r="I59" s="247">
        <f>$E59*IF(OR(Perimetre_Filtre="*",$B59=Perimetre_Filtre),1,0)+ROW()/1000000</f>
        <v/>
      </c>
    </row>
    <row r="60">
      <c r="B60" s="242" t="inlineStr">
        <is>
          <t>Général</t>
        </is>
      </c>
      <c r="C60" s="242" t="inlineStr">
        <is>
          <t>Taxi / VTC</t>
        </is>
      </c>
      <c r="D60" s="66">
        <f>SUMIFS(J_Montant,J_Annee,Annee_Travail,J_Mois,Mois_Num,J_Module,$B60,J_Cat,$C60,J_Type,"&lt;&gt;Revenu",J_Type,"&lt;&gt;Transfert",J_Statut,"&lt;&gt;Annulé",J_Statut,"&lt;&gt;Prévu")</f>
        <v/>
      </c>
      <c r="E60" s="66">
        <f>SUMIFS(J_Montant,J_Annee,Annee_Travail,J_Module,$B60,J_Cat,$C60,J_Type,"&lt;&gt;Revenu",J_Type,"&lt;&gt;Transfert",J_Statut,"&lt;&gt;Annulé",J_Statut,"&lt;&gt;Prévu")</f>
        <v/>
      </c>
      <c r="F60" s="66">
        <f>SUMIFS(P_Total,P_Annee,Annee_Travail,P_Module,$B60,P_Cat,$C60)</f>
        <v/>
      </c>
      <c r="G60" s="66">
        <f>$F60-$E60</f>
        <v/>
      </c>
      <c r="H60" s="247">
        <f>$D60*IF(OR(Perimetre_Filtre="*",$B60=Perimetre_Filtre),1,0)+ROW()/1000000</f>
        <v/>
      </c>
      <c r="I60" s="247">
        <f>$E60*IF(OR(Perimetre_Filtre="*",$B60=Perimetre_Filtre),1,0)+ROW()/1000000</f>
        <v/>
      </c>
    </row>
    <row r="61">
      <c r="B61" s="242" t="inlineStr">
        <is>
          <t>Général</t>
        </is>
      </c>
      <c r="C61" s="242" t="inlineStr">
        <is>
          <t>Entretien véhicule</t>
        </is>
      </c>
      <c r="D61" s="66">
        <f>SUMIFS(J_Montant,J_Annee,Annee_Travail,J_Mois,Mois_Num,J_Module,$B61,J_Cat,$C61,J_Type,"&lt;&gt;Revenu",J_Type,"&lt;&gt;Transfert",J_Statut,"&lt;&gt;Annulé",J_Statut,"&lt;&gt;Prévu")</f>
        <v/>
      </c>
      <c r="E61" s="66">
        <f>SUMIFS(J_Montant,J_Annee,Annee_Travail,J_Module,$B61,J_Cat,$C61,J_Type,"&lt;&gt;Revenu",J_Type,"&lt;&gt;Transfert",J_Statut,"&lt;&gt;Annulé",J_Statut,"&lt;&gt;Prévu")</f>
        <v/>
      </c>
      <c r="F61" s="66">
        <f>SUMIFS(P_Total,P_Annee,Annee_Travail,P_Module,$B61,P_Cat,$C61)</f>
        <v/>
      </c>
      <c r="G61" s="66">
        <f>$F61-$E61</f>
        <v/>
      </c>
      <c r="H61" s="247">
        <f>$D61*IF(OR(Perimetre_Filtre="*",$B61=Perimetre_Filtre),1,0)+ROW()/1000000</f>
        <v/>
      </c>
      <c r="I61" s="247">
        <f>$E61*IF(OR(Perimetre_Filtre="*",$B61=Perimetre_Filtre),1,0)+ROW()/1000000</f>
        <v/>
      </c>
    </row>
    <row r="62">
      <c r="B62" s="242" t="inlineStr">
        <is>
          <t>Général</t>
        </is>
      </c>
      <c r="C62" s="242" t="inlineStr">
        <is>
          <t>Assurance véhicule</t>
        </is>
      </c>
      <c r="D62" s="66">
        <f>SUMIFS(J_Montant,J_Annee,Annee_Travail,J_Mois,Mois_Num,J_Module,$B62,J_Cat,$C62,J_Type,"&lt;&gt;Revenu",J_Type,"&lt;&gt;Transfert",J_Statut,"&lt;&gt;Annulé",J_Statut,"&lt;&gt;Prévu")</f>
        <v/>
      </c>
      <c r="E62" s="66">
        <f>SUMIFS(J_Montant,J_Annee,Annee_Travail,J_Module,$B62,J_Cat,$C62,J_Type,"&lt;&gt;Revenu",J_Type,"&lt;&gt;Transfert",J_Statut,"&lt;&gt;Annulé",J_Statut,"&lt;&gt;Prévu")</f>
        <v/>
      </c>
      <c r="F62" s="66">
        <f>SUMIFS(P_Total,P_Annee,Annee_Travail,P_Module,$B62,P_Cat,$C62)</f>
        <v/>
      </c>
      <c r="G62" s="66">
        <f>$F62-$E62</f>
        <v/>
      </c>
      <c r="H62" s="247">
        <f>$D62*IF(OR(Perimetre_Filtre="*",$B62=Perimetre_Filtre),1,0)+ROW()/1000000</f>
        <v/>
      </c>
      <c r="I62" s="247">
        <f>$E62*IF(OR(Perimetre_Filtre="*",$B62=Perimetre_Filtre),1,0)+ROW()/1000000</f>
        <v/>
      </c>
    </row>
    <row r="63">
      <c r="B63" s="242" t="inlineStr">
        <is>
          <t>Général</t>
        </is>
      </c>
      <c r="C63" s="242" t="inlineStr">
        <is>
          <t>Santé / Pharmacie</t>
        </is>
      </c>
      <c r="D63" s="66">
        <f>SUMIFS(J_Montant,J_Annee,Annee_Travail,J_Mois,Mois_Num,J_Module,$B63,J_Cat,$C63,J_Type,"&lt;&gt;Revenu",J_Type,"&lt;&gt;Transfert",J_Statut,"&lt;&gt;Annulé",J_Statut,"&lt;&gt;Prévu")</f>
        <v/>
      </c>
      <c r="E63" s="66">
        <f>SUMIFS(J_Montant,J_Annee,Annee_Travail,J_Module,$B63,J_Cat,$C63,J_Type,"&lt;&gt;Revenu",J_Type,"&lt;&gt;Transfert",J_Statut,"&lt;&gt;Annulé",J_Statut,"&lt;&gt;Prévu")</f>
        <v/>
      </c>
      <c r="F63" s="66">
        <f>SUMIFS(P_Total,P_Annee,Annee_Travail,P_Module,$B63,P_Cat,$C63)</f>
        <v/>
      </c>
      <c r="G63" s="66">
        <f>$F63-$E63</f>
        <v/>
      </c>
      <c r="H63" s="247">
        <f>$D63*IF(OR(Perimetre_Filtre="*",$B63=Perimetre_Filtre),1,0)+ROW()/1000000</f>
        <v/>
      </c>
      <c r="I63" s="247">
        <f>$E63*IF(OR(Perimetre_Filtre="*",$B63=Perimetre_Filtre),1,0)+ROW()/1000000</f>
        <v/>
      </c>
    </row>
    <row r="64">
      <c r="B64" s="242" t="inlineStr">
        <is>
          <t>Général</t>
        </is>
      </c>
      <c r="C64" s="242" t="inlineStr">
        <is>
          <t>Assurance santé / Mutuelle</t>
        </is>
      </c>
      <c r="D64" s="66">
        <f>SUMIFS(J_Montant,J_Annee,Annee_Travail,J_Mois,Mois_Num,J_Module,$B64,J_Cat,$C64,J_Type,"&lt;&gt;Revenu",J_Type,"&lt;&gt;Transfert",J_Statut,"&lt;&gt;Annulé",J_Statut,"&lt;&gt;Prévu")</f>
        <v/>
      </c>
      <c r="E64" s="66">
        <f>SUMIFS(J_Montant,J_Annee,Annee_Travail,J_Module,$B64,J_Cat,$C64,J_Type,"&lt;&gt;Revenu",J_Type,"&lt;&gt;Transfert",J_Statut,"&lt;&gt;Annulé",J_Statut,"&lt;&gt;Prévu")</f>
        <v/>
      </c>
      <c r="F64" s="66">
        <f>SUMIFS(P_Total,P_Annee,Annee_Travail,P_Module,$B64,P_Cat,$C64)</f>
        <v/>
      </c>
      <c r="G64" s="66">
        <f>$F64-$E64</f>
        <v/>
      </c>
      <c r="H64" s="247">
        <f>$D64*IF(OR(Perimetre_Filtre="*",$B64=Perimetre_Filtre),1,0)+ROW()/1000000</f>
        <v/>
      </c>
      <c r="I64" s="247">
        <f>$E64*IF(OR(Perimetre_Filtre="*",$B64=Perimetre_Filtre),1,0)+ROW()/1000000</f>
        <v/>
      </c>
    </row>
    <row r="65">
      <c r="B65" s="242" t="inlineStr">
        <is>
          <t>Général</t>
        </is>
      </c>
      <c r="C65" s="242" t="inlineStr">
        <is>
          <t>Habillement</t>
        </is>
      </c>
      <c r="D65" s="66">
        <f>SUMIFS(J_Montant,J_Annee,Annee_Travail,J_Mois,Mois_Num,J_Module,$B65,J_Cat,$C65,J_Type,"&lt;&gt;Revenu",J_Type,"&lt;&gt;Transfert",J_Statut,"&lt;&gt;Annulé",J_Statut,"&lt;&gt;Prévu")</f>
        <v/>
      </c>
      <c r="E65" s="66">
        <f>SUMIFS(J_Montant,J_Annee,Annee_Travail,J_Module,$B65,J_Cat,$C65,J_Type,"&lt;&gt;Revenu",J_Type,"&lt;&gt;Transfert",J_Statut,"&lt;&gt;Annulé",J_Statut,"&lt;&gt;Prévu")</f>
        <v/>
      </c>
      <c r="F65" s="66">
        <f>SUMIFS(P_Total,P_Annee,Annee_Travail,P_Module,$B65,P_Cat,$C65)</f>
        <v/>
      </c>
      <c r="G65" s="66">
        <f>$F65-$E65</f>
        <v/>
      </c>
      <c r="H65" s="247">
        <f>$D65*IF(OR(Perimetre_Filtre="*",$B65=Perimetre_Filtre),1,0)+ROW()/1000000</f>
        <v/>
      </c>
      <c r="I65" s="247">
        <f>$E65*IF(OR(Perimetre_Filtre="*",$B65=Perimetre_Filtre),1,0)+ROW()/1000000</f>
        <v/>
      </c>
    </row>
    <row r="66">
      <c r="B66" s="242" t="inlineStr">
        <is>
          <t>Général</t>
        </is>
      </c>
      <c r="C66" s="242" t="inlineStr">
        <is>
          <t>Coiffure &amp; soins</t>
        </is>
      </c>
      <c r="D66" s="66">
        <f>SUMIFS(J_Montant,J_Annee,Annee_Travail,J_Mois,Mois_Num,J_Module,$B66,J_Cat,$C66,J_Type,"&lt;&gt;Revenu",J_Type,"&lt;&gt;Transfert",J_Statut,"&lt;&gt;Annulé",J_Statut,"&lt;&gt;Prévu")</f>
        <v/>
      </c>
      <c r="E66" s="66">
        <f>SUMIFS(J_Montant,J_Annee,Annee_Travail,J_Module,$B66,J_Cat,$C66,J_Type,"&lt;&gt;Revenu",J_Type,"&lt;&gt;Transfert",J_Statut,"&lt;&gt;Annulé",J_Statut,"&lt;&gt;Prévu")</f>
        <v/>
      </c>
      <c r="F66" s="66">
        <f>SUMIFS(P_Total,P_Annee,Annee_Travail,P_Module,$B66,P_Cat,$C66)</f>
        <v/>
      </c>
      <c r="G66" s="66">
        <f>$F66-$E66</f>
        <v/>
      </c>
      <c r="H66" s="247">
        <f>$D66*IF(OR(Perimetre_Filtre="*",$B66=Perimetre_Filtre),1,0)+ROW()/1000000</f>
        <v/>
      </c>
      <c r="I66" s="247">
        <f>$E66*IF(OR(Perimetre_Filtre="*",$B66=Perimetre_Filtre),1,0)+ROW()/1000000</f>
        <v/>
      </c>
    </row>
    <row r="67">
      <c r="B67" s="242" t="inlineStr">
        <is>
          <t>Général</t>
        </is>
      </c>
      <c r="C67" s="242" t="inlineStr">
        <is>
          <t>Scolarité / Éducation</t>
        </is>
      </c>
      <c r="D67" s="66">
        <f>SUMIFS(J_Montant,J_Annee,Annee_Travail,J_Mois,Mois_Num,J_Module,$B67,J_Cat,$C67,J_Type,"&lt;&gt;Revenu",J_Type,"&lt;&gt;Transfert",J_Statut,"&lt;&gt;Annulé",J_Statut,"&lt;&gt;Prévu")</f>
        <v/>
      </c>
      <c r="E67" s="66">
        <f>SUMIFS(J_Montant,J_Annee,Annee_Travail,J_Module,$B67,J_Cat,$C67,J_Type,"&lt;&gt;Revenu",J_Type,"&lt;&gt;Transfert",J_Statut,"&lt;&gt;Annulé",J_Statut,"&lt;&gt;Prévu")</f>
        <v/>
      </c>
      <c r="F67" s="66">
        <f>SUMIFS(P_Total,P_Annee,Annee_Travail,P_Module,$B67,P_Cat,$C67)</f>
        <v/>
      </c>
      <c r="G67" s="66">
        <f>$F67-$E67</f>
        <v/>
      </c>
      <c r="H67" s="247">
        <f>$D67*IF(OR(Perimetre_Filtre="*",$B67=Perimetre_Filtre),1,0)+ROW()/1000000</f>
        <v/>
      </c>
      <c r="I67" s="247">
        <f>$E67*IF(OR(Perimetre_Filtre="*",$B67=Perimetre_Filtre),1,0)+ROW()/1000000</f>
        <v/>
      </c>
    </row>
    <row r="68">
      <c r="B68" s="242" t="inlineStr">
        <is>
          <t>Général</t>
        </is>
      </c>
      <c r="C68" s="242" t="inlineStr">
        <is>
          <t>Garde d'enfants</t>
        </is>
      </c>
      <c r="D68" s="66">
        <f>SUMIFS(J_Montant,J_Annee,Annee_Travail,J_Mois,Mois_Num,J_Module,$B68,J_Cat,$C68,J_Type,"&lt;&gt;Revenu",J_Type,"&lt;&gt;Transfert",J_Statut,"&lt;&gt;Annulé",J_Statut,"&lt;&gt;Prévu")</f>
        <v/>
      </c>
      <c r="E68" s="66">
        <f>SUMIFS(J_Montant,J_Annee,Annee_Travail,J_Module,$B68,J_Cat,$C68,J_Type,"&lt;&gt;Revenu",J_Type,"&lt;&gt;Transfert",J_Statut,"&lt;&gt;Annulé",J_Statut,"&lt;&gt;Prévu")</f>
        <v/>
      </c>
      <c r="F68" s="66">
        <f>SUMIFS(P_Total,P_Annee,Annee_Travail,P_Module,$B68,P_Cat,$C68)</f>
        <v/>
      </c>
      <c r="G68" s="66">
        <f>$F68-$E68</f>
        <v/>
      </c>
      <c r="H68" s="247">
        <f>$D68*IF(OR(Perimetre_Filtre="*",$B68=Perimetre_Filtre),1,0)+ROW()/1000000</f>
        <v/>
      </c>
      <c r="I68" s="247">
        <f>$E68*IF(OR(Perimetre_Filtre="*",$B68=Perimetre_Filtre),1,0)+ROW()/1000000</f>
        <v/>
      </c>
    </row>
    <row r="69">
      <c r="B69" s="242" t="inlineStr">
        <is>
          <t>Général</t>
        </is>
      </c>
      <c r="C69" s="242" t="inlineStr">
        <is>
          <t>Sport / Fitness</t>
        </is>
      </c>
      <c r="D69" s="66">
        <f>SUMIFS(J_Montant,J_Annee,Annee_Travail,J_Mois,Mois_Num,J_Module,$B69,J_Cat,$C69,J_Type,"&lt;&gt;Revenu",J_Type,"&lt;&gt;Transfert",J_Statut,"&lt;&gt;Annulé",J_Statut,"&lt;&gt;Prévu")</f>
        <v/>
      </c>
      <c r="E69" s="66">
        <f>SUMIFS(J_Montant,J_Annee,Annee_Travail,J_Module,$B69,J_Cat,$C69,J_Type,"&lt;&gt;Revenu",J_Type,"&lt;&gt;Transfert",J_Statut,"&lt;&gt;Annulé",J_Statut,"&lt;&gt;Prévu")</f>
        <v/>
      </c>
      <c r="F69" s="66">
        <f>SUMIFS(P_Total,P_Annee,Annee_Travail,P_Module,$B69,P_Cat,$C69)</f>
        <v/>
      </c>
      <c r="G69" s="66">
        <f>$F69-$E69</f>
        <v/>
      </c>
      <c r="H69" s="247">
        <f>$D69*IF(OR(Perimetre_Filtre="*",$B69=Perimetre_Filtre),1,0)+ROW()/1000000</f>
        <v/>
      </c>
      <c r="I69" s="247">
        <f>$E69*IF(OR(Perimetre_Filtre="*",$B69=Perimetre_Filtre),1,0)+ROW()/1000000</f>
        <v/>
      </c>
    </row>
    <row r="70">
      <c r="B70" s="242" t="inlineStr">
        <is>
          <t>Général</t>
        </is>
      </c>
      <c r="C70" s="242" t="inlineStr">
        <is>
          <t>Loisirs &amp; sorties</t>
        </is>
      </c>
      <c r="D70" s="66">
        <f>SUMIFS(J_Montant,J_Annee,Annee_Travail,J_Mois,Mois_Num,J_Module,$B70,J_Cat,$C70,J_Type,"&lt;&gt;Revenu",J_Type,"&lt;&gt;Transfert",J_Statut,"&lt;&gt;Annulé",J_Statut,"&lt;&gt;Prévu")</f>
        <v/>
      </c>
      <c r="E70" s="66">
        <f>SUMIFS(J_Montant,J_Annee,Annee_Travail,J_Module,$B70,J_Cat,$C70,J_Type,"&lt;&gt;Revenu",J_Type,"&lt;&gt;Transfert",J_Statut,"&lt;&gt;Annulé",J_Statut,"&lt;&gt;Prévu")</f>
        <v/>
      </c>
      <c r="F70" s="66">
        <f>SUMIFS(P_Total,P_Annee,Annee_Travail,P_Module,$B70,P_Cat,$C70)</f>
        <v/>
      </c>
      <c r="G70" s="66">
        <f>$F70-$E70</f>
        <v/>
      </c>
      <c r="H70" s="247">
        <f>$D70*IF(OR(Perimetre_Filtre="*",$B70=Perimetre_Filtre),1,0)+ROW()/1000000</f>
        <v/>
      </c>
      <c r="I70" s="247">
        <f>$E70*IF(OR(Perimetre_Filtre="*",$B70=Perimetre_Filtre),1,0)+ROW()/1000000</f>
        <v/>
      </c>
    </row>
    <row r="71">
      <c r="B71" s="242" t="inlineStr">
        <is>
          <t>Général</t>
        </is>
      </c>
      <c r="C71" s="242" t="inlineStr">
        <is>
          <t>Abonnements (streaming, apps)</t>
        </is>
      </c>
      <c r="D71" s="66">
        <f>SUMIFS(J_Montant,J_Annee,Annee_Travail,J_Mois,Mois_Num,J_Module,$B71,J_Cat,$C71,J_Type,"&lt;&gt;Revenu",J_Type,"&lt;&gt;Transfert",J_Statut,"&lt;&gt;Annulé",J_Statut,"&lt;&gt;Prévu")</f>
        <v/>
      </c>
      <c r="E71" s="66">
        <f>SUMIFS(J_Montant,J_Annee,Annee_Travail,J_Module,$B71,J_Cat,$C71,J_Type,"&lt;&gt;Revenu",J_Type,"&lt;&gt;Transfert",J_Statut,"&lt;&gt;Annulé",J_Statut,"&lt;&gt;Prévu")</f>
        <v/>
      </c>
      <c r="F71" s="66">
        <f>SUMIFS(P_Total,P_Annee,Annee_Travail,P_Module,$B71,P_Cat,$C71)</f>
        <v/>
      </c>
      <c r="G71" s="66">
        <f>$F71-$E71</f>
        <v/>
      </c>
      <c r="H71" s="247">
        <f>$D71*IF(OR(Perimetre_Filtre="*",$B71=Perimetre_Filtre),1,0)+ROW()/1000000</f>
        <v/>
      </c>
      <c r="I71" s="247">
        <f>$E71*IF(OR(Perimetre_Filtre="*",$B71=Perimetre_Filtre),1,0)+ROW()/1000000</f>
        <v/>
      </c>
    </row>
    <row r="72">
      <c r="B72" s="242" t="inlineStr">
        <is>
          <t>Général</t>
        </is>
      </c>
      <c r="C72" s="242" t="inlineStr">
        <is>
          <t>Dîme / Offrandes</t>
        </is>
      </c>
      <c r="D72" s="66">
        <f>SUMIFS(J_Montant,J_Annee,Annee_Travail,J_Mois,Mois_Num,J_Module,$B72,J_Cat,$C72,J_Type,"&lt;&gt;Revenu",J_Type,"&lt;&gt;Transfert",J_Statut,"&lt;&gt;Annulé",J_Statut,"&lt;&gt;Prévu")</f>
        <v/>
      </c>
      <c r="E72" s="66">
        <f>SUMIFS(J_Montant,J_Annee,Annee_Travail,J_Module,$B72,J_Cat,$C72,J_Type,"&lt;&gt;Revenu",J_Type,"&lt;&gt;Transfert",J_Statut,"&lt;&gt;Annulé",J_Statut,"&lt;&gt;Prévu")</f>
        <v/>
      </c>
      <c r="F72" s="66">
        <f>SUMIFS(P_Total,P_Annee,Annee_Travail,P_Module,$B72,P_Cat,$C72)</f>
        <v/>
      </c>
      <c r="G72" s="66">
        <f>$F72-$E72</f>
        <v/>
      </c>
      <c r="H72" s="247">
        <f>$D72*IF(OR(Perimetre_Filtre="*",$B72=Perimetre_Filtre),1,0)+ROW()/1000000</f>
        <v/>
      </c>
      <c r="I72" s="247">
        <f>$E72*IF(OR(Perimetre_Filtre="*",$B72=Perimetre_Filtre),1,0)+ROW()/1000000</f>
        <v/>
      </c>
    </row>
    <row r="73">
      <c r="B73" s="242" t="inlineStr">
        <is>
          <t>Général</t>
        </is>
      </c>
      <c r="C73" s="242" t="inlineStr">
        <is>
          <t>Dons &amp; solidarité</t>
        </is>
      </c>
      <c r="D73" s="66">
        <f>SUMIFS(J_Montant,J_Annee,Annee_Travail,J_Mois,Mois_Num,J_Module,$B73,J_Cat,$C73,J_Type,"&lt;&gt;Revenu",J_Type,"&lt;&gt;Transfert",J_Statut,"&lt;&gt;Annulé",J_Statut,"&lt;&gt;Prévu")</f>
        <v/>
      </c>
      <c r="E73" s="66">
        <f>SUMIFS(J_Montant,J_Annee,Annee_Travail,J_Module,$B73,J_Cat,$C73,J_Type,"&lt;&gt;Revenu",J_Type,"&lt;&gt;Transfert",J_Statut,"&lt;&gt;Annulé",J_Statut,"&lt;&gt;Prévu")</f>
        <v/>
      </c>
      <c r="F73" s="66">
        <f>SUMIFS(P_Total,P_Annee,Annee_Travail,P_Module,$B73,P_Cat,$C73)</f>
        <v/>
      </c>
      <c r="G73" s="66">
        <f>$F73-$E73</f>
        <v/>
      </c>
      <c r="H73" s="247">
        <f>$D73*IF(OR(Perimetre_Filtre="*",$B73=Perimetre_Filtre),1,0)+ROW()/1000000</f>
        <v/>
      </c>
      <c r="I73" s="247">
        <f>$E73*IF(OR(Perimetre_Filtre="*",$B73=Perimetre_Filtre),1,0)+ROW()/1000000</f>
        <v/>
      </c>
    </row>
    <row r="74">
      <c r="B74" s="242" t="inlineStr">
        <is>
          <t>Général</t>
        </is>
      </c>
      <c r="C74" s="242" t="inlineStr">
        <is>
          <t>Cadeaux</t>
        </is>
      </c>
      <c r="D74" s="66">
        <f>SUMIFS(J_Montant,J_Annee,Annee_Travail,J_Mois,Mois_Num,J_Module,$B74,J_Cat,$C74,J_Type,"&lt;&gt;Revenu",J_Type,"&lt;&gt;Transfert",J_Statut,"&lt;&gt;Annulé",J_Statut,"&lt;&gt;Prévu")</f>
        <v/>
      </c>
      <c r="E74" s="66">
        <f>SUMIFS(J_Montant,J_Annee,Annee_Travail,J_Module,$B74,J_Cat,$C74,J_Type,"&lt;&gt;Revenu",J_Type,"&lt;&gt;Transfert",J_Statut,"&lt;&gt;Annulé",J_Statut,"&lt;&gt;Prévu")</f>
        <v/>
      </c>
      <c r="F74" s="66">
        <f>SUMIFS(P_Total,P_Annee,Annee_Travail,P_Module,$B74,P_Cat,$C74)</f>
        <v/>
      </c>
      <c r="G74" s="66">
        <f>$F74-$E74</f>
        <v/>
      </c>
      <c r="H74" s="247">
        <f>$D74*IF(OR(Perimetre_Filtre="*",$B74=Perimetre_Filtre),1,0)+ROW()/1000000</f>
        <v/>
      </c>
      <c r="I74" s="247">
        <f>$E74*IF(OR(Perimetre_Filtre="*",$B74=Perimetre_Filtre),1,0)+ROW()/1000000</f>
        <v/>
      </c>
    </row>
    <row r="75">
      <c r="B75" s="242" t="inlineStr">
        <is>
          <t>Général</t>
        </is>
      </c>
      <c r="C75" s="242" t="inlineStr">
        <is>
          <t>Voyages / Vacances</t>
        </is>
      </c>
      <c r="D75" s="66">
        <f>SUMIFS(J_Montant,J_Annee,Annee_Travail,J_Mois,Mois_Num,J_Module,$B75,J_Cat,$C75,J_Type,"&lt;&gt;Revenu",J_Type,"&lt;&gt;Transfert",J_Statut,"&lt;&gt;Annulé",J_Statut,"&lt;&gt;Prévu")</f>
        <v/>
      </c>
      <c r="E75" s="66">
        <f>SUMIFS(J_Montant,J_Annee,Annee_Travail,J_Module,$B75,J_Cat,$C75,J_Type,"&lt;&gt;Revenu",J_Type,"&lt;&gt;Transfert",J_Statut,"&lt;&gt;Annulé",J_Statut,"&lt;&gt;Prévu")</f>
        <v/>
      </c>
      <c r="F75" s="66">
        <f>SUMIFS(P_Total,P_Annee,Annee_Travail,P_Module,$B75,P_Cat,$C75)</f>
        <v/>
      </c>
      <c r="G75" s="66">
        <f>$F75-$E75</f>
        <v/>
      </c>
      <c r="H75" s="247">
        <f>$D75*IF(OR(Perimetre_Filtre="*",$B75=Perimetre_Filtre),1,0)+ROW()/1000000</f>
        <v/>
      </c>
      <c r="I75" s="247">
        <f>$E75*IF(OR(Perimetre_Filtre="*",$B75=Perimetre_Filtre),1,0)+ROW()/1000000</f>
        <v/>
      </c>
    </row>
    <row r="76">
      <c r="B76" s="242" t="inlineStr">
        <is>
          <t>Général</t>
        </is>
      </c>
      <c r="C76" s="242" t="inlineStr">
        <is>
          <t>Impôts &amp; taxes</t>
        </is>
      </c>
      <c r="D76" s="66">
        <f>SUMIFS(J_Montant,J_Annee,Annee_Travail,J_Mois,Mois_Num,J_Module,$B76,J_Cat,$C76,J_Type,"&lt;&gt;Revenu",J_Type,"&lt;&gt;Transfert",J_Statut,"&lt;&gt;Annulé",J_Statut,"&lt;&gt;Prévu")</f>
        <v/>
      </c>
      <c r="E76" s="66">
        <f>SUMIFS(J_Montant,J_Annee,Annee_Travail,J_Module,$B76,J_Cat,$C76,J_Type,"&lt;&gt;Revenu",J_Type,"&lt;&gt;Transfert",J_Statut,"&lt;&gt;Annulé",J_Statut,"&lt;&gt;Prévu")</f>
        <v/>
      </c>
      <c r="F76" s="66">
        <f>SUMIFS(P_Total,P_Annee,Annee_Travail,P_Module,$B76,P_Cat,$C76)</f>
        <v/>
      </c>
      <c r="G76" s="66">
        <f>$F76-$E76</f>
        <v/>
      </c>
      <c r="H76" s="247">
        <f>$D76*IF(OR(Perimetre_Filtre="*",$B76=Perimetre_Filtre),1,0)+ROW()/1000000</f>
        <v/>
      </c>
      <c r="I76" s="247">
        <f>$E76*IF(OR(Perimetre_Filtre="*",$B76=Perimetre_Filtre),1,0)+ROW()/1000000</f>
        <v/>
      </c>
    </row>
    <row r="77">
      <c r="B77" s="242" t="inlineStr">
        <is>
          <t>Général</t>
        </is>
      </c>
      <c r="C77" s="242" t="inlineStr">
        <is>
          <t>Frais bancaires</t>
        </is>
      </c>
      <c r="D77" s="66">
        <f>SUMIFS(J_Montant,J_Annee,Annee_Travail,J_Mois,Mois_Num,J_Module,$B77,J_Cat,$C77,J_Type,"&lt;&gt;Revenu",J_Type,"&lt;&gt;Transfert",J_Statut,"&lt;&gt;Annulé",J_Statut,"&lt;&gt;Prévu")</f>
        <v/>
      </c>
      <c r="E77" s="66">
        <f>SUMIFS(J_Montant,J_Annee,Annee_Travail,J_Module,$B77,J_Cat,$C77,J_Type,"&lt;&gt;Revenu",J_Type,"&lt;&gt;Transfert",J_Statut,"&lt;&gt;Annulé",J_Statut,"&lt;&gt;Prévu")</f>
        <v/>
      </c>
      <c r="F77" s="66">
        <f>SUMIFS(P_Total,P_Annee,Annee_Travail,P_Module,$B77,P_Cat,$C77)</f>
        <v/>
      </c>
      <c r="G77" s="66">
        <f>$F77-$E77</f>
        <v/>
      </c>
      <c r="H77" s="247">
        <f>$D77*IF(OR(Perimetre_Filtre="*",$B77=Perimetre_Filtre),1,0)+ROW()/1000000</f>
        <v/>
      </c>
      <c r="I77" s="247">
        <f>$E77*IF(OR(Perimetre_Filtre="*",$B77=Perimetre_Filtre),1,0)+ROW()/1000000</f>
        <v/>
      </c>
    </row>
    <row r="78">
      <c r="B78" s="242" t="inlineStr">
        <is>
          <t>Général</t>
        </is>
      </c>
      <c r="C78" s="242" t="inlineStr">
        <is>
          <t>Assurance habitation</t>
        </is>
      </c>
      <c r="D78" s="66">
        <f>SUMIFS(J_Montant,J_Annee,Annee_Travail,J_Mois,Mois_Num,J_Module,$B78,J_Cat,$C78,J_Type,"&lt;&gt;Revenu",J_Type,"&lt;&gt;Transfert",J_Statut,"&lt;&gt;Annulé",J_Statut,"&lt;&gt;Prévu")</f>
        <v/>
      </c>
      <c r="E78" s="66">
        <f>SUMIFS(J_Montant,J_Annee,Annee_Travail,J_Module,$B78,J_Cat,$C78,J_Type,"&lt;&gt;Revenu",J_Type,"&lt;&gt;Transfert",J_Statut,"&lt;&gt;Annulé",J_Statut,"&lt;&gt;Prévu")</f>
        <v/>
      </c>
      <c r="F78" s="66">
        <f>SUMIFS(P_Total,P_Annee,Annee_Travail,P_Module,$B78,P_Cat,$C78)</f>
        <v/>
      </c>
      <c r="G78" s="66">
        <f>$F78-$E78</f>
        <v/>
      </c>
      <c r="H78" s="247">
        <f>$D78*IF(OR(Perimetre_Filtre="*",$B78=Perimetre_Filtre),1,0)+ROW()/1000000</f>
        <v/>
      </c>
      <c r="I78" s="247">
        <f>$E78*IF(OR(Perimetre_Filtre="*",$B78=Perimetre_Filtre),1,0)+ROW()/1000000</f>
        <v/>
      </c>
    </row>
    <row r="79">
      <c r="B79" s="242" t="inlineStr">
        <is>
          <t>Général</t>
        </is>
      </c>
      <c r="C79" s="242" t="inlineStr">
        <is>
          <t>Épargne (versement)</t>
        </is>
      </c>
      <c r="D79" s="66">
        <f>SUMIFS(J_Montant,J_Annee,Annee_Travail,J_Mois,Mois_Num,J_Module,$B79,J_Cat,$C79,J_Type,"&lt;&gt;Revenu",J_Type,"&lt;&gt;Transfert",J_Statut,"&lt;&gt;Annulé",J_Statut,"&lt;&gt;Prévu")</f>
        <v/>
      </c>
      <c r="E79" s="66">
        <f>SUMIFS(J_Montant,J_Annee,Annee_Travail,J_Module,$B79,J_Cat,$C79,J_Type,"&lt;&gt;Revenu",J_Type,"&lt;&gt;Transfert",J_Statut,"&lt;&gt;Annulé",J_Statut,"&lt;&gt;Prévu")</f>
        <v/>
      </c>
      <c r="F79" s="66">
        <f>SUMIFS(P_Total,P_Annee,Annee_Travail,P_Module,$B79,P_Cat,$C79)</f>
        <v/>
      </c>
      <c r="G79" s="66">
        <f>$F79-$E79</f>
        <v/>
      </c>
      <c r="H79" s="247">
        <f>$D79*IF(OR(Perimetre_Filtre="*",$B79=Perimetre_Filtre),1,0)+ROW()/1000000</f>
        <v/>
      </c>
      <c r="I79" s="247">
        <f>$E79*IF(OR(Perimetre_Filtre="*",$B79=Perimetre_Filtre),1,0)+ROW()/1000000</f>
        <v/>
      </c>
    </row>
    <row r="80">
      <c r="B80" s="242" t="inlineStr">
        <is>
          <t>Général</t>
        </is>
      </c>
      <c r="C80" s="242" t="inlineStr">
        <is>
          <t>Investissement</t>
        </is>
      </c>
      <c r="D80" s="66">
        <f>SUMIFS(J_Montant,J_Annee,Annee_Travail,J_Mois,Mois_Num,J_Module,$B80,J_Cat,$C80,J_Type,"&lt;&gt;Revenu",J_Type,"&lt;&gt;Transfert",J_Statut,"&lt;&gt;Annulé",J_Statut,"&lt;&gt;Prévu")</f>
        <v/>
      </c>
      <c r="E80" s="66">
        <f>SUMIFS(J_Montant,J_Annee,Annee_Travail,J_Module,$B80,J_Cat,$C80,J_Type,"&lt;&gt;Revenu",J_Type,"&lt;&gt;Transfert",J_Statut,"&lt;&gt;Annulé",J_Statut,"&lt;&gt;Prévu")</f>
        <v/>
      </c>
      <c r="F80" s="66">
        <f>SUMIFS(P_Total,P_Annee,Annee_Travail,P_Module,$B80,P_Cat,$C80)</f>
        <v/>
      </c>
      <c r="G80" s="66">
        <f>$F80-$E80</f>
        <v/>
      </c>
      <c r="H80" s="247">
        <f>$D80*IF(OR(Perimetre_Filtre="*",$B80=Perimetre_Filtre),1,0)+ROW()/1000000</f>
        <v/>
      </c>
      <c r="I80" s="247">
        <f>$E80*IF(OR(Perimetre_Filtre="*",$B80=Perimetre_Filtre),1,0)+ROW()/1000000</f>
        <v/>
      </c>
    </row>
    <row r="81">
      <c r="B81" s="242" t="inlineStr">
        <is>
          <t>Général</t>
        </is>
      </c>
      <c r="C81" s="242" t="inlineStr">
        <is>
          <t>Remboursement de crédit</t>
        </is>
      </c>
      <c r="D81" s="66">
        <f>SUMIFS(J_Montant,J_Annee,Annee_Travail,J_Mois,Mois_Num,J_Module,$B81,J_Cat,$C81,J_Type,"&lt;&gt;Revenu",J_Type,"&lt;&gt;Transfert",J_Statut,"&lt;&gt;Annulé",J_Statut,"&lt;&gt;Prévu")</f>
        <v/>
      </c>
      <c r="E81" s="66">
        <f>SUMIFS(J_Montant,J_Annee,Annee_Travail,J_Module,$B81,J_Cat,$C81,J_Type,"&lt;&gt;Revenu",J_Type,"&lt;&gt;Transfert",J_Statut,"&lt;&gt;Annulé",J_Statut,"&lt;&gt;Prévu")</f>
        <v/>
      </c>
      <c r="F81" s="66">
        <f>SUMIFS(P_Total,P_Annee,Annee_Travail,P_Module,$B81,P_Cat,$C81)</f>
        <v/>
      </c>
      <c r="G81" s="66">
        <f>$F81-$E81</f>
        <v/>
      </c>
      <c r="H81" s="247">
        <f>$D81*IF(OR(Perimetre_Filtre="*",$B81=Perimetre_Filtre),1,0)+ROW()/1000000</f>
        <v/>
      </c>
      <c r="I81" s="247">
        <f>$E81*IF(OR(Perimetre_Filtre="*",$B81=Perimetre_Filtre),1,0)+ROW()/1000000</f>
        <v/>
      </c>
    </row>
    <row r="82">
      <c r="B82" s="242" t="inlineStr">
        <is>
          <t>Général</t>
        </is>
      </c>
      <c r="C82" s="242" t="inlineStr">
        <is>
          <t>Aide à la famille élargie</t>
        </is>
      </c>
      <c r="D82" s="66">
        <f>SUMIFS(J_Montant,J_Annee,Annee_Travail,J_Mois,Mois_Num,J_Module,$B82,J_Cat,$C82,J_Type,"&lt;&gt;Revenu",J_Type,"&lt;&gt;Transfert",J_Statut,"&lt;&gt;Annulé",J_Statut,"&lt;&gt;Prévu")</f>
        <v/>
      </c>
      <c r="E82" s="66">
        <f>SUMIFS(J_Montant,J_Annee,Annee_Travail,J_Module,$B82,J_Cat,$C82,J_Type,"&lt;&gt;Revenu",J_Type,"&lt;&gt;Transfert",J_Statut,"&lt;&gt;Annulé",J_Statut,"&lt;&gt;Prévu")</f>
        <v/>
      </c>
      <c r="F82" s="66">
        <f>SUMIFS(P_Total,P_Annee,Annee_Travail,P_Module,$B82,P_Cat,$C82)</f>
        <v/>
      </c>
      <c r="G82" s="66">
        <f>$F82-$E82</f>
        <v/>
      </c>
      <c r="H82" s="247">
        <f>$D82*IF(OR(Perimetre_Filtre="*",$B82=Perimetre_Filtre),1,0)+ROW()/1000000</f>
        <v/>
      </c>
      <c r="I82" s="247">
        <f>$E82*IF(OR(Perimetre_Filtre="*",$B82=Perimetre_Filtre),1,0)+ROW()/1000000</f>
        <v/>
      </c>
    </row>
    <row r="83">
      <c r="B83" s="242" t="inlineStr">
        <is>
          <t>Général</t>
        </is>
      </c>
      <c r="C83" s="242" t="inlineStr">
        <is>
          <t>Frais administratifs</t>
        </is>
      </c>
      <c r="D83" s="66">
        <f>SUMIFS(J_Montant,J_Annee,Annee_Travail,J_Mois,Mois_Num,J_Module,$B83,J_Cat,$C83,J_Type,"&lt;&gt;Revenu",J_Type,"&lt;&gt;Transfert",J_Statut,"&lt;&gt;Annulé",J_Statut,"&lt;&gt;Prévu")</f>
        <v/>
      </c>
      <c r="E83" s="66">
        <f>SUMIFS(J_Montant,J_Annee,Annee_Travail,J_Module,$B83,J_Cat,$C83,J_Type,"&lt;&gt;Revenu",J_Type,"&lt;&gt;Transfert",J_Statut,"&lt;&gt;Annulé",J_Statut,"&lt;&gt;Prévu")</f>
        <v/>
      </c>
      <c r="F83" s="66">
        <f>SUMIFS(P_Total,P_Annee,Annee_Travail,P_Module,$B83,P_Cat,$C83)</f>
        <v/>
      </c>
      <c r="G83" s="66">
        <f>$F83-$E83</f>
        <v/>
      </c>
      <c r="H83" s="247">
        <f>$D83*IF(OR(Perimetre_Filtre="*",$B83=Perimetre_Filtre),1,0)+ROW()/1000000</f>
        <v/>
      </c>
      <c r="I83" s="247">
        <f>$E83*IF(OR(Perimetre_Filtre="*",$B83=Perimetre_Filtre),1,0)+ROW()/1000000</f>
        <v/>
      </c>
    </row>
    <row r="84">
      <c r="B84" s="242" t="inlineStr">
        <is>
          <t>Général</t>
        </is>
      </c>
      <c r="C84" s="242" t="inlineStr">
        <is>
          <t>Imprévus / Divers</t>
        </is>
      </c>
      <c r="D84" s="66">
        <f>SUMIFS(J_Montant,J_Annee,Annee_Travail,J_Mois,Mois_Num,J_Module,$B84,J_Cat,$C84,J_Type,"&lt;&gt;Revenu",J_Type,"&lt;&gt;Transfert",J_Statut,"&lt;&gt;Annulé",J_Statut,"&lt;&gt;Prévu")</f>
        <v/>
      </c>
      <c r="E84" s="66">
        <f>SUMIFS(J_Montant,J_Annee,Annee_Travail,J_Module,$B84,J_Cat,$C84,J_Type,"&lt;&gt;Revenu",J_Type,"&lt;&gt;Transfert",J_Statut,"&lt;&gt;Annulé",J_Statut,"&lt;&gt;Prévu")</f>
        <v/>
      </c>
      <c r="F84" s="66">
        <f>SUMIFS(P_Total,P_Annee,Annee_Travail,P_Module,$B84,P_Cat,$C84)</f>
        <v/>
      </c>
      <c r="G84" s="66">
        <f>$F84-$E84</f>
        <v/>
      </c>
      <c r="H84" s="247">
        <f>$D84*IF(OR(Perimetre_Filtre="*",$B84=Perimetre_Filtre),1,0)+ROW()/1000000</f>
        <v/>
      </c>
      <c r="I84" s="247">
        <f>$E84*IF(OR(Perimetre_Filtre="*",$B84=Perimetre_Filtre),1,0)+ROW()/1000000</f>
        <v/>
      </c>
    </row>
    <row r="85">
      <c r="B85" s="242" t="inlineStr">
        <is>
          <t>Mariage</t>
        </is>
      </c>
      <c r="C85" s="242" t="inlineStr">
        <is>
          <t>Dot &amp; coutume</t>
        </is>
      </c>
      <c r="D85" s="66">
        <f>SUMIFS(J_Montant,J_Annee,Annee_Travail,J_Mois,Mois_Num,J_Module,$B85,J_Cat,$C85,J_Type,"&lt;&gt;Revenu",J_Type,"&lt;&gt;Transfert",J_Statut,"&lt;&gt;Annulé",J_Statut,"&lt;&gt;Prévu")</f>
        <v/>
      </c>
      <c r="E85" s="66">
        <f>SUMIFS(J_Montant,J_Annee,Annee_Travail,J_Module,$B85,J_Cat,$C85,J_Type,"&lt;&gt;Revenu",J_Type,"&lt;&gt;Transfert",J_Statut,"&lt;&gt;Annulé",J_Statut,"&lt;&gt;Prévu")</f>
        <v/>
      </c>
      <c r="F85" s="66">
        <f>SUMIFS(P_Total,P_Annee,Annee_Travail,P_Module,$B85,P_Cat,$C85)</f>
        <v/>
      </c>
      <c r="G85" s="66">
        <f>$F85-$E85</f>
        <v/>
      </c>
      <c r="H85" s="247">
        <f>$D85*IF(OR(Perimetre_Filtre="*",$B85=Perimetre_Filtre),1,0)+ROW()/1000000</f>
        <v/>
      </c>
      <c r="I85" s="247">
        <f>$E85*IF(OR(Perimetre_Filtre="*",$B85=Perimetre_Filtre),1,0)+ROW()/1000000</f>
        <v/>
      </c>
    </row>
    <row r="86">
      <c r="B86" s="242" t="inlineStr">
        <is>
          <t>Mariage</t>
        </is>
      </c>
      <c r="C86" s="242" t="inlineStr">
        <is>
          <t>Mairie / État civil</t>
        </is>
      </c>
      <c r="D86" s="66">
        <f>SUMIFS(J_Montant,J_Annee,Annee_Travail,J_Mois,Mois_Num,J_Module,$B86,J_Cat,$C86,J_Type,"&lt;&gt;Revenu",J_Type,"&lt;&gt;Transfert",J_Statut,"&lt;&gt;Annulé",J_Statut,"&lt;&gt;Prévu")</f>
        <v/>
      </c>
      <c r="E86" s="66">
        <f>SUMIFS(J_Montant,J_Annee,Annee_Travail,J_Module,$B86,J_Cat,$C86,J_Type,"&lt;&gt;Revenu",J_Type,"&lt;&gt;Transfert",J_Statut,"&lt;&gt;Annulé",J_Statut,"&lt;&gt;Prévu")</f>
        <v/>
      </c>
      <c r="F86" s="66">
        <f>SUMIFS(P_Total,P_Annee,Annee_Travail,P_Module,$B86,P_Cat,$C86)</f>
        <v/>
      </c>
      <c r="G86" s="66">
        <f>$F86-$E86</f>
        <v/>
      </c>
      <c r="H86" s="247">
        <f>$D86*IF(OR(Perimetre_Filtre="*",$B86=Perimetre_Filtre),1,0)+ROW()/1000000</f>
        <v/>
      </c>
      <c r="I86" s="247">
        <f>$E86*IF(OR(Perimetre_Filtre="*",$B86=Perimetre_Filtre),1,0)+ROW()/1000000</f>
        <v/>
      </c>
    </row>
    <row r="87">
      <c r="B87" s="242" t="inlineStr">
        <is>
          <t>Mariage</t>
        </is>
      </c>
      <c r="C87" s="242" t="inlineStr">
        <is>
          <t>Cérémonie religieuse</t>
        </is>
      </c>
      <c r="D87" s="66">
        <f>SUMIFS(J_Montant,J_Annee,Annee_Travail,J_Mois,Mois_Num,J_Module,$B87,J_Cat,$C87,J_Type,"&lt;&gt;Revenu",J_Type,"&lt;&gt;Transfert",J_Statut,"&lt;&gt;Annulé",J_Statut,"&lt;&gt;Prévu")</f>
        <v/>
      </c>
      <c r="E87" s="66">
        <f>SUMIFS(J_Montant,J_Annee,Annee_Travail,J_Module,$B87,J_Cat,$C87,J_Type,"&lt;&gt;Revenu",J_Type,"&lt;&gt;Transfert",J_Statut,"&lt;&gt;Annulé",J_Statut,"&lt;&gt;Prévu")</f>
        <v/>
      </c>
      <c r="F87" s="66">
        <f>SUMIFS(P_Total,P_Annee,Annee_Travail,P_Module,$B87,P_Cat,$C87)</f>
        <v/>
      </c>
      <c r="G87" s="66">
        <f>$F87-$E87</f>
        <v/>
      </c>
      <c r="H87" s="247">
        <f>$D87*IF(OR(Perimetre_Filtre="*",$B87=Perimetre_Filtre),1,0)+ROW()/1000000</f>
        <v/>
      </c>
      <c r="I87" s="247">
        <f>$E87*IF(OR(Perimetre_Filtre="*",$B87=Perimetre_Filtre),1,0)+ROW()/1000000</f>
        <v/>
      </c>
    </row>
    <row r="88">
      <c r="B88" s="242" t="inlineStr">
        <is>
          <t>Mariage</t>
        </is>
      </c>
      <c r="C88" s="242" t="inlineStr">
        <is>
          <t>Tenue de la mariée</t>
        </is>
      </c>
      <c r="D88" s="66">
        <f>SUMIFS(J_Montant,J_Annee,Annee_Travail,J_Mois,Mois_Num,J_Module,$B88,J_Cat,$C88,J_Type,"&lt;&gt;Revenu",J_Type,"&lt;&gt;Transfert",J_Statut,"&lt;&gt;Annulé",J_Statut,"&lt;&gt;Prévu")</f>
        <v/>
      </c>
      <c r="E88" s="66">
        <f>SUMIFS(J_Montant,J_Annee,Annee_Travail,J_Module,$B88,J_Cat,$C88,J_Type,"&lt;&gt;Revenu",J_Type,"&lt;&gt;Transfert",J_Statut,"&lt;&gt;Annulé",J_Statut,"&lt;&gt;Prévu")</f>
        <v/>
      </c>
      <c r="F88" s="66">
        <f>SUMIFS(P_Total,P_Annee,Annee_Travail,P_Module,$B88,P_Cat,$C88)</f>
        <v/>
      </c>
      <c r="G88" s="66">
        <f>$F88-$E88</f>
        <v/>
      </c>
      <c r="H88" s="247">
        <f>$D88*IF(OR(Perimetre_Filtre="*",$B88=Perimetre_Filtre),1,0)+ROW()/1000000</f>
        <v/>
      </c>
      <c r="I88" s="247">
        <f>$E88*IF(OR(Perimetre_Filtre="*",$B88=Perimetre_Filtre),1,0)+ROW()/1000000</f>
        <v/>
      </c>
    </row>
    <row r="89">
      <c r="B89" s="242" t="inlineStr">
        <is>
          <t>Mariage</t>
        </is>
      </c>
      <c r="C89" s="242" t="inlineStr">
        <is>
          <t>Tenue du marié</t>
        </is>
      </c>
      <c r="D89" s="66">
        <f>SUMIFS(J_Montant,J_Annee,Annee_Travail,J_Mois,Mois_Num,J_Module,$B89,J_Cat,$C89,J_Type,"&lt;&gt;Revenu",J_Type,"&lt;&gt;Transfert",J_Statut,"&lt;&gt;Annulé",J_Statut,"&lt;&gt;Prévu")</f>
        <v/>
      </c>
      <c r="E89" s="66">
        <f>SUMIFS(J_Montant,J_Annee,Annee_Travail,J_Module,$B89,J_Cat,$C89,J_Type,"&lt;&gt;Revenu",J_Type,"&lt;&gt;Transfert",J_Statut,"&lt;&gt;Annulé",J_Statut,"&lt;&gt;Prévu")</f>
        <v/>
      </c>
      <c r="F89" s="66">
        <f>SUMIFS(P_Total,P_Annee,Annee_Travail,P_Module,$B89,P_Cat,$C89)</f>
        <v/>
      </c>
      <c r="G89" s="66">
        <f>$F89-$E89</f>
        <v/>
      </c>
      <c r="H89" s="247">
        <f>$D89*IF(OR(Perimetre_Filtre="*",$B89=Perimetre_Filtre),1,0)+ROW()/1000000</f>
        <v/>
      </c>
      <c r="I89" s="247">
        <f>$E89*IF(OR(Perimetre_Filtre="*",$B89=Perimetre_Filtre),1,0)+ROW()/1000000</f>
        <v/>
      </c>
    </row>
    <row r="90">
      <c r="B90" s="242" t="inlineStr">
        <is>
          <t>Mariage</t>
        </is>
      </c>
      <c r="C90" s="242" t="inlineStr">
        <is>
          <t>Tenues des cortèges</t>
        </is>
      </c>
      <c r="D90" s="66">
        <f>SUMIFS(J_Montant,J_Annee,Annee_Travail,J_Mois,Mois_Num,J_Module,$B90,J_Cat,$C90,J_Type,"&lt;&gt;Revenu",J_Type,"&lt;&gt;Transfert",J_Statut,"&lt;&gt;Annulé",J_Statut,"&lt;&gt;Prévu")</f>
        <v/>
      </c>
      <c r="E90" s="66">
        <f>SUMIFS(J_Montant,J_Annee,Annee_Travail,J_Module,$B90,J_Cat,$C90,J_Type,"&lt;&gt;Revenu",J_Type,"&lt;&gt;Transfert",J_Statut,"&lt;&gt;Annulé",J_Statut,"&lt;&gt;Prévu")</f>
        <v/>
      </c>
      <c r="F90" s="66">
        <f>SUMIFS(P_Total,P_Annee,Annee_Travail,P_Module,$B90,P_Cat,$C90)</f>
        <v/>
      </c>
      <c r="G90" s="66">
        <f>$F90-$E90</f>
        <v/>
      </c>
      <c r="H90" s="247">
        <f>$D90*IF(OR(Perimetre_Filtre="*",$B90=Perimetre_Filtre),1,0)+ROW()/1000000</f>
        <v/>
      </c>
      <c r="I90" s="247">
        <f>$E90*IF(OR(Perimetre_Filtre="*",$B90=Perimetre_Filtre),1,0)+ROW()/1000000</f>
        <v/>
      </c>
    </row>
    <row r="91">
      <c r="B91" s="242" t="inlineStr">
        <is>
          <t>Mariage</t>
        </is>
      </c>
      <c r="C91" s="242" t="inlineStr">
        <is>
          <t>Beauté, coiffure &amp; maquillage</t>
        </is>
      </c>
      <c r="D91" s="66">
        <f>SUMIFS(J_Montant,J_Annee,Annee_Travail,J_Mois,Mois_Num,J_Module,$B91,J_Cat,$C91,J_Type,"&lt;&gt;Revenu",J_Type,"&lt;&gt;Transfert",J_Statut,"&lt;&gt;Annulé",J_Statut,"&lt;&gt;Prévu")</f>
        <v/>
      </c>
      <c r="E91" s="66">
        <f>SUMIFS(J_Montant,J_Annee,Annee_Travail,J_Module,$B91,J_Cat,$C91,J_Type,"&lt;&gt;Revenu",J_Type,"&lt;&gt;Transfert",J_Statut,"&lt;&gt;Annulé",J_Statut,"&lt;&gt;Prévu")</f>
        <v/>
      </c>
      <c r="F91" s="66">
        <f>SUMIFS(P_Total,P_Annee,Annee_Travail,P_Module,$B91,P_Cat,$C91)</f>
        <v/>
      </c>
      <c r="G91" s="66">
        <f>$F91-$E91</f>
        <v/>
      </c>
      <c r="H91" s="247">
        <f>$D91*IF(OR(Perimetre_Filtre="*",$B91=Perimetre_Filtre),1,0)+ROW()/1000000</f>
        <v/>
      </c>
      <c r="I91" s="247">
        <f>$E91*IF(OR(Perimetre_Filtre="*",$B91=Perimetre_Filtre),1,0)+ROW()/1000000</f>
        <v/>
      </c>
    </row>
    <row r="92">
      <c r="B92" s="242" t="inlineStr">
        <is>
          <t>Mariage</t>
        </is>
      </c>
      <c r="C92" s="242" t="inlineStr">
        <is>
          <t>Alliances &amp; bijoux</t>
        </is>
      </c>
      <c r="D92" s="66">
        <f>SUMIFS(J_Montant,J_Annee,Annee_Travail,J_Mois,Mois_Num,J_Module,$B92,J_Cat,$C92,J_Type,"&lt;&gt;Revenu",J_Type,"&lt;&gt;Transfert",J_Statut,"&lt;&gt;Annulé",J_Statut,"&lt;&gt;Prévu")</f>
        <v/>
      </c>
      <c r="E92" s="66">
        <f>SUMIFS(J_Montant,J_Annee,Annee_Travail,J_Module,$B92,J_Cat,$C92,J_Type,"&lt;&gt;Revenu",J_Type,"&lt;&gt;Transfert",J_Statut,"&lt;&gt;Annulé",J_Statut,"&lt;&gt;Prévu")</f>
        <v/>
      </c>
      <c r="F92" s="66">
        <f>SUMIFS(P_Total,P_Annee,Annee_Travail,P_Module,$B92,P_Cat,$C92)</f>
        <v/>
      </c>
      <c r="G92" s="66">
        <f>$F92-$E92</f>
        <v/>
      </c>
      <c r="H92" s="247">
        <f>$D92*IF(OR(Perimetre_Filtre="*",$B92=Perimetre_Filtre),1,0)+ROW()/1000000</f>
        <v/>
      </c>
      <c r="I92" s="247">
        <f>$E92*IF(OR(Perimetre_Filtre="*",$B92=Perimetre_Filtre),1,0)+ROW()/1000000</f>
        <v/>
      </c>
    </row>
    <row r="93">
      <c r="B93" s="242" t="inlineStr">
        <is>
          <t>Mariage</t>
        </is>
      </c>
      <c r="C93" s="242" t="inlineStr">
        <is>
          <t>Salle &amp; mobilier</t>
        </is>
      </c>
      <c r="D93" s="66">
        <f>SUMIFS(J_Montant,J_Annee,Annee_Travail,J_Mois,Mois_Num,J_Module,$B93,J_Cat,$C93,J_Type,"&lt;&gt;Revenu",J_Type,"&lt;&gt;Transfert",J_Statut,"&lt;&gt;Annulé",J_Statut,"&lt;&gt;Prévu")</f>
        <v/>
      </c>
      <c r="E93" s="66">
        <f>SUMIFS(J_Montant,J_Annee,Annee_Travail,J_Module,$B93,J_Cat,$C93,J_Type,"&lt;&gt;Revenu",J_Type,"&lt;&gt;Transfert",J_Statut,"&lt;&gt;Annulé",J_Statut,"&lt;&gt;Prévu")</f>
        <v/>
      </c>
      <c r="F93" s="66">
        <f>SUMIFS(P_Total,P_Annee,Annee_Travail,P_Module,$B93,P_Cat,$C93)</f>
        <v/>
      </c>
      <c r="G93" s="66">
        <f>$F93-$E93</f>
        <v/>
      </c>
      <c r="H93" s="247">
        <f>$D93*IF(OR(Perimetre_Filtre="*",$B93=Perimetre_Filtre),1,0)+ROW()/1000000</f>
        <v/>
      </c>
      <c r="I93" s="247">
        <f>$E93*IF(OR(Perimetre_Filtre="*",$B93=Perimetre_Filtre),1,0)+ROW()/1000000</f>
        <v/>
      </c>
    </row>
    <row r="94">
      <c r="B94" s="242" t="inlineStr">
        <is>
          <t>Mariage</t>
        </is>
      </c>
      <c r="C94" s="242" t="inlineStr">
        <is>
          <t>Décoration</t>
        </is>
      </c>
      <c r="D94" s="66">
        <f>SUMIFS(J_Montant,J_Annee,Annee_Travail,J_Mois,Mois_Num,J_Module,$B94,J_Cat,$C94,J_Type,"&lt;&gt;Revenu",J_Type,"&lt;&gt;Transfert",J_Statut,"&lt;&gt;Annulé",J_Statut,"&lt;&gt;Prévu")</f>
        <v/>
      </c>
      <c r="E94" s="66">
        <f>SUMIFS(J_Montant,J_Annee,Annee_Travail,J_Module,$B94,J_Cat,$C94,J_Type,"&lt;&gt;Revenu",J_Type,"&lt;&gt;Transfert",J_Statut,"&lt;&gt;Annulé",J_Statut,"&lt;&gt;Prévu")</f>
        <v/>
      </c>
      <c r="F94" s="66">
        <f>SUMIFS(P_Total,P_Annee,Annee_Travail,P_Module,$B94,P_Cat,$C94)</f>
        <v/>
      </c>
      <c r="G94" s="66">
        <f>$F94-$E94</f>
        <v/>
      </c>
      <c r="H94" s="247">
        <f>$D94*IF(OR(Perimetre_Filtre="*",$B94=Perimetre_Filtre),1,0)+ROW()/1000000</f>
        <v/>
      </c>
      <c r="I94" s="247">
        <f>$E94*IF(OR(Perimetre_Filtre="*",$B94=Perimetre_Filtre),1,0)+ROW()/1000000</f>
        <v/>
      </c>
    </row>
    <row r="95">
      <c r="B95" s="242" t="inlineStr">
        <is>
          <t>Mariage</t>
        </is>
      </c>
      <c r="C95" s="242" t="inlineStr">
        <is>
          <t>Traiteur &amp; repas</t>
        </is>
      </c>
      <c r="D95" s="66">
        <f>SUMIFS(J_Montant,J_Annee,Annee_Travail,J_Mois,Mois_Num,J_Module,$B95,J_Cat,$C95,J_Type,"&lt;&gt;Revenu",J_Type,"&lt;&gt;Transfert",J_Statut,"&lt;&gt;Annulé",J_Statut,"&lt;&gt;Prévu")</f>
        <v/>
      </c>
      <c r="E95" s="66">
        <f>SUMIFS(J_Montant,J_Annee,Annee_Travail,J_Module,$B95,J_Cat,$C95,J_Type,"&lt;&gt;Revenu",J_Type,"&lt;&gt;Transfert",J_Statut,"&lt;&gt;Annulé",J_Statut,"&lt;&gt;Prévu")</f>
        <v/>
      </c>
      <c r="F95" s="66">
        <f>SUMIFS(P_Total,P_Annee,Annee_Travail,P_Module,$B95,P_Cat,$C95)</f>
        <v/>
      </c>
      <c r="G95" s="66">
        <f>$F95-$E95</f>
        <v/>
      </c>
      <c r="H95" s="247">
        <f>$D95*IF(OR(Perimetre_Filtre="*",$B95=Perimetre_Filtre),1,0)+ROW()/1000000</f>
        <v/>
      </c>
      <c r="I95" s="247">
        <f>$E95*IF(OR(Perimetre_Filtre="*",$B95=Perimetre_Filtre),1,0)+ROW()/1000000</f>
        <v/>
      </c>
    </row>
    <row r="96">
      <c r="B96" s="242" t="inlineStr">
        <is>
          <t>Mariage</t>
        </is>
      </c>
      <c r="C96" s="242" t="inlineStr">
        <is>
          <t>Boissons</t>
        </is>
      </c>
      <c r="D96" s="66">
        <f>SUMIFS(J_Montant,J_Annee,Annee_Travail,J_Mois,Mois_Num,J_Module,$B96,J_Cat,$C96,J_Type,"&lt;&gt;Revenu",J_Type,"&lt;&gt;Transfert",J_Statut,"&lt;&gt;Annulé",J_Statut,"&lt;&gt;Prévu")</f>
        <v/>
      </c>
      <c r="E96" s="66">
        <f>SUMIFS(J_Montant,J_Annee,Annee_Travail,J_Module,$B96,J_Cat,$C96,J_Type,"&lt;&gt;Revenu",J_Type,"&lt;&gt;Transfert",J_Statut,"&lt;&gt;Annulé",J_Statut,"&lt;&gt;Prévu")</f>
        <v/>
      </c>
      <c r="F96" s="66">
        <f>SUMIFS(P_Total,P_Annee,Annee_Travail,P_Module,$B96,P_Cat,$C96)</f>
        <v/>
      </c>
      <c r="G96" s="66">
        <f>$F96-$E96</f>
        <v/>
      </c>
      <c r="H96" s="247">
        <f>$D96*IF(OR(Perimetre_Filtre="*",$B96=Perimetre_Filtre),1,0)+ROW()/1000000</f>
        <v/>
      </c>
      <c r="I96" s="247">
        <f>$E96*IF(OR(Perimetre_Filtre="*",$B96=Perimetre_Filtre),1,0)+ROW()/1000000</f>
        <v/>
      </c>
    </row>
    <row r="97">
      <c r="B97" s="242" t="inlineStr">
        <is>
          <t>Mariage</t>
        </is>
      </c>
      <c r="C97" s="242" t="inlineStr">
        <is>
          <t>Gâteau / pièce montée</t>
        </is>
      </c>
      <c r="D97" s="66">
        <f>SUMIFS(J_Montant,J_Annee,Annee_Travail,J_Mois,Mois_Num,J_Module,$B97,J_Cat,$C97,J_Type,"&lt;&gt;Revenu",J_Type,"&lt;&gt;Transfert",J_Statut,"&lt;&gt;Annulé",J_Statut,"&lt;&gt;Prévu")</f>
        <v/>
      </c>
      <c r="E97" s="66">
        <f>SUMIFS(J_Montant,J_Annee,Annee_Travail,J_Module,$B97,J_Cat,$C97,J_Type,"&lt;&gt;Revenu",J_Type,"&lt;&gt;Transfert",J_Statut,"&lt;&gt;Annulé",J_Statut,"&lt;&gt;Prévu")</f>
        <v/>
      </c>
      <c r="F97" s="66">
        <f>SUMIFS(P_Total,P_Annee,Annee_Travail,P_Module,$B97,P_Cat,$C97)</f>
        <v/>
      </c>
      <c r="G97" s="66">
        <f>$F97-$E97</f>
        <v/>
      </c>
      <c r="H97" s="247">
        <f>$D97*IF(OR(Perimetre_Filtre="*",$B97=Perimetre_Filtre),1,0)+ROW()/1000000</f>
        <v/>
      </c>
      <c r="I97" s="247">
        <f>$E97*IF(OR(Perimetre_Filtre="*",$B97=Perimetre_Filtre),1,0)+ROW()/1000000</f>
        <v/>
      </c>
    </row>
    <row r="98">
      <c r="B98" s="242" t="inlineStr">
        <is>
          <t>Mariage</t>
        </is>
      </c>
      <c r="C98" s="242" t="inlineStr">
        <is>
          <t>Photographe</t>
        </is>
      </c>
      <c r="D98" s="66">
        <f>SUMIFS(J_Montant,J_Annee,Annee_Travail,J_Mois,Mois_Num,J_Module,$B98,J_Cat,$C98,J_Type,"&lt;&gt;Revenu",J_Type,"&lt;&gt;Transfert",J_Statut,"&lt;&gt;Annulé",J_Statut,"&lt;&gt;Prévu")</f>
        <v/>
      </c>
      <c r="E98" s="66">
        <f>SUMIFS(J_Montant,J_Annee,Annee_Travail,J_Module,$B98,J_Cat,$C98,J_Type,"&lt;&gt;Revenu",J_Type,"&lt;&gt;Transfert",J_Statut,"&lt;&gt;Annulé",J_Statut,"&lt;&gt;Prévu")</f>
        <v/>
      </c>
      <c r="F98" s="66">
        <f>SUMIFS(P_Total,P_Annee,Annee_Travail,P_Module,$B98,P_Cat,$C98)</f>
        <v/>
      </c>
      <c r="G98" s="66">
        <f>$F98-$E98</f>
        <v/>
      </c>
      <c r="H98" s="247">
        <f>$D98*IF(OR(Perimetre_Filtre="*",$B98=Perimetre_Filtre),1,0)+ROW()/1000000</f>
        <v/>
      </c>
      <c r="I98" s="247">
        <f>$E98*IF(OR(Perimetre_Filtre="*",$B98=Perimetre_Filtre),1,0)+ROW()/1000000</f>
        <v/>
      </c>
    </row>
    <row r="99">
      <c r="B99" s="242" t="inlineStr">
        <is>
          <t>Mariage</t>
        </is>
      </c>
      <c r="C99" s="242" t="inlineStr">
        <is>
          <t>Vidéaste / Drone</t>
        </is>
      </c>
      <c r="D99" s="66">
        <f>SUMIFS(J_Montant,J_Annee,Annee_Travail,J_Mois,Mois_Num,J_Module,$B99,J_Cat,$C99,J_Type,"&lt;&gt;Revenu",J_Type,"&lt;&gt;Transfert",J_Statut,"&lt;&gt;Annulé",J_Statut,"&lt;&gt;Prévu")</f>
        <v/>
      </c>
      <c r="E99" s="66">
        <f>SUMIFS(J_Montant,J_Annee,Annee_Travail,J_Module,$B99,J_Cat,$C99,J_Type,"&lt;&gt;Revenu",J_Type,"&lt;&gt;Transfert",J_Statut,"&lt;&gt;Annulé",J_Statut,"&lt;&gt;Prévu")</f>
        <v/>
      </c>
      <c r="F99" s="66">
        <f>SUMIFS(P_Total,P_Annee,Annee_Travail,P_Module,$B99,P_Cat,$C99)</f>
        <v/>
      </c>
      <c r="G99" s="66">
        <f>$F99-$E99</f>
        <v/>
      </c>
      <c r="H99" s="247">
        <f>$D99*IF(OR(Perimetre_Filtre="*",$B99=Perimetre_Filtre),1,0)+ROW()/1000000</f>
        <v/>
      </c>
      <c r="I99" s="247">
        <f>$E99*IF(OR(Perimetre_Filtre="*",$B99=Perimetre_Filtre),1,0)+ROW()/1000000</f>
        <v/>
      </c>
    </row>
    <row r="100">
      <c r="B100" s="242" t="inlineStr">
        <is>
          <t>Mariage</t>
        </is>
      </c>
      <c r="C100" s="242" t="inlineStr">
        <is>
          <t>DJ &amp; animation</t>
        </is>
      </c>
      <c r="D100" s="66">
        <f>SUMIFS(J_Montant,J_Annee,Annee_Travail,J_Mois,Mois_Num,J_Module,$B100,J_Cat,$C100,J_Type,"&lt;&gt;Revenu",J_Type,"&lt;&gt;Transfert",J_Statut,"&lt;&gt;Annulé",J_Statut,"&lt;&gt;Prévu")</f>
        <v/>
      </c>
      <c r="E100" s="66">
        <f>SUMIFS(J_Montant,J_Annee,Annee_Travail,J_Module,$B100,J_Cat,$C100,J_Type,"&lt;&gt;Revenu",J_Type,"&lt;&gt;Transfert",J_Statut,"&lt;&gt;Annulé",J_Statut,"&lt;&gt;Prévu")</f>
        <v/>
      </c>
      <c r="F100" s="66">
        <f>SUMIFS(P_Total,P_Annee,Annee_Travail,P_Module,$B100,P_Cat,$C100)</f>
        <v/>
      </c>
      <c r="G100" s="66">
        <f>$F100-$E100</f>
        <v/>
      </c>
      <c r="H100" s="247">
        <f>$D100*IF(OR(Perimetre_Filtre="*",$B100=Perimetre_Filtre),1,0)+ROW()/1000000</f>
        <v/>
      </c>
      <c r="I100" s="247">
        <f>$E100*IF(OR(Perimetre_Filtre="*",$B100=Perimetre_Filtre),1,0)+ROW()/1000000</f>
        <v/>
      </c>
    </row>
    <row r="101">
      <c r="B101" s="242" t="inlineStr">
        <is>
          <t>Mariage</t>
        </is>
      </c>
      <c r="C101" s="242" t="inlineStr">
        <is>
          <t>Orchestre / Chorale</t>
        </is>
      </c>
      <c r="D101" s="66">
        <f>SUMIFS(J_Montant,J_Annee,Annee_Travail,J_Mois,Mois_Num,J_Module,$B101,J_Cat,$C101,J_Type,"&lt;&gt;Revenu",J_Type,"&lt;&gt;Transfert",J_Statut,"&lt;&gt;Annulé",J_Statut,"&lt;&gt;Prévu")</f>
        <v/>
      </c>
      <c r="E101" s="66">
        <f>SUMIFS(J_Montant,J_Annee,Annee_Travail,J_Module,$B101,J_Cat,$C101,J_Type,"&lt;&gt;Revenu",J_Type,"&lt;&gt;Transfert",J_Statut,"&lt;&gt;Annulé",J_Statut,"&lt;&gt;Prévu")</f>
        <v/>
      </c>
      <c r="F101" s="66">
        <f>SUMIFS(P_Total,P_Annee,Annee_Travail,P_Module,$B101,P_Cat,$C101)</f>
        <v/>
      </c>
      <c r="G101" s="66">
        <f>$F101-$E101</f>
        <v/>
      </c>
      <c r="H101" s="247">
        <f>$D101*IF(OR(Perimetre_Filtre="*",$B101=Perimetre_Filtre),1,0)+ROW()/1000000</f>
        <v/>
      </c>
      <c r="I101" s="247">
        <f>$E101*IF(OR(Perimetre_Filtre="*",$B101=Perimetre_Filtre),1,0)+ROW()/1000000</f>
        <v/>
      </c>
    </row>
    <row r="102">
      <c r="B102" s="242" t="inlineStr">
        <is>
          <t>Mariage</t>
        </is>
      </c>
      <c r="C102" s="242" t="inlineStr">
        <is>
          <t>Transport &amp; location de voitures</t>
        </is>
      </c>
      <c r="D102" s="66">
        <f>SUMIFS(J_Montant,J_Annee,Annee_Travail,J_Mois,Mois_Num,J_Module,$B102,J_Cat,$C102,J_Type,"&lt;&gt;Revenu",J_Type,"&lt;&gt;Transfert",J_Statut,"&lt;&gt;Annulé",J_Statut,"&lt;&gt;Prévu")</f>
        <v/>
      </c>
      <c r="E102" s="66">
        <f>SUMIFS(J_Montant,J_Annee,Annee_Travail,J_Module,$B102,J_Cat,$C102,J_Type,"&lt;&gt;Revenu",J_Type,"&lt;&gt;Transfert",J_Statut,"&lt;&gt;Annulé",J_Statut,"&lt;&gt;Prévu")</f>
        <v/>
      </c>
      <c r="F102" s="66">
        <f>SUMIFS(P_Total,P_Annee,Annee_Travail,P_Module,$B102,P_Cat,$C102)</f>
        <v/>
      </c>
      <c r="G102" s="66">
        <f>$F102-$E102</f>
        <v/>
      </c>
      <c r="H102" s="247">
        <f>$D102*IF(OR(Perimetre_Filtre="*",$B102=Perimetre_Filtre),1,0)+ROW()/1000000</f>
        <v/>
      </c>
      <c r="I102" s="247">
        <f>$E102*IF(OR(Perimetre_Filtre="*",$B102=Perimetre_Filtre),1,0)+ROW()/1000000</f>
        <v/>
      </c>
    </row>
    <row r="103">
      <c r="B103" s="242" t="inlineStr">
        <is>
          <t>Mariage</t>
        </is>
      </c>
      <c r="C103" s="242" t="inlineStr">
        <is>
          <t>Faire-parts &amp; papeterie</t>
        </is>
      </c>
      <c r="D103" s="66">
        <f>SUMIFS(J_Montant,J_Annee,Annee_Travail,J_Mois,Mois_Num,J_Module,$B103,J_Cat,$C103,J_Type,"&lt;&gt;Revenu",J_Type,"&lt;&gt;Transfert",J_Statut,"&lt;&gt;Annulé",J_Statut,"&lt;&gt;Prévu")</f>
        <v/>
      </c>
      <c r="E103" s="66">
        <f>SUMIFS(J_Montant,J_Annee,Annee_Travail,J_Module,$B103,J_Cat,$C103,J_Type,"&lt;&gt;Revenu",J_Type,"&lt;&gt;Transfert",J_Statut,"&lt;&gt;Annulé",J_Statut,"&lt;&gt;Prévu")</f>
        <v/>
      </c>
      <c r="F103" s="66">
        <f>SUMIFS(P_Total,P_Annee,Annee_Travail,P_Module,$B103,P_Cat,$C103)</f>
        <v/>
      </c>
      <c r="G103" s="66">
        <f>$F103-$E103</f>
        <v/>
      </c>
      <c r="H103" s="247">
        <f>$D103*IF(OR(Perimetre_Filtre="*",$B103=Perimetre_Filtre),1,0)+ROW()/1000000</f>
        <v/>
      </c>
      <c r="I103" s="247">
        <f>$E103*IF(OR(Perimetre_Filtre="*",$B103=Perimetre_Filtre),1,0)+ROW()/1000000</f>
        <v/>
      </c>
    </row>
    <row r="104">
      <c r="B104" s="242" t="inlineStr">
        <is>
          <t>Mariage</t>
        </is>
      </c>
      <c r="C104" s="242" t="inlineStr">
        <is>
          <t>Cadeaux invités</t>
        </is>
      </c>
      <c r="D104" s="66">
        <f>SUMIFS(J_Montant,J_Annee,Annee_Travail,J_Mois,Mois_Num,J_Module,$B104,J_Cat,$C104,J_Type,"&lt;&gt;Revenu",J_Type,"&lt;&gt;Transfert",J_Statut,"&lt;&gt;Annulé",J_Statut,"&lt;&gt;Prévu")</f>
        <v/>
      </c>
      <c r="E104" s="66">
        <f>SUMIFS(J_Montant,J_Annee,Annee_Travail,J_Module,$B104,J_Cat,$C104,J_Type,"&lt;&gt;Revenu",J_Type,"&lt;&gt;Transfert",J_Statut,"&lt;&gt;Annulé",J_Statut,"&lt;&gt;Prévu")</f>
        <v/>
      </c>
      <c r="F104" s="66">
        <f>SUMIFS(P_Total,P_Annee,Annee_Travail,P_Module,$B104,P_Cat,$C104)</f>
        <v/>
      </c>
      <c r="G104" s="66">
        <f>$F104-$E104</f>
        <v/>
      </c>
      <c r="H104" s="247">
        <f>$D104*IF(OR(Perimetre_Filtre="*",$B104=Perimetre_Filtre),1,0)+ROW()/1000000</f>
        <v/>
      </c>
      <c r="I104" s="247">
        <f>$E104*IF(OR(Perimetre_Filtre="*",$B104=Perimetre_Filtre),1,0)+ROW()/1000000</f>
        <v/>
      </c>
    </row>
    <row r="105">
      <c r="B105" s="242" t="inlineStr">
        <is>
          <t>Mariage</t>
        </is>
      </c>
      <c r="C105" s="242" t="inlineStr">
        <is>
          <t>Hébergement invités</t>
        </is>
      </c>
      <c r="D105" s="66">
        <f>SUMIFS(J_Montant,J_Annee,Annee_Travail,J_Mois,Mois_Num,J_Module,$B105,J_Cat,$C105,J_Type,"&lt;&gt;Revenu",J_Type,"&lt;&gt;Transfert",J_Statut,"&lt;&gt;Annulé",J_Statut,"&lt;&gt;Prévu")</f>
        <v/>
      </c>
      <c r="E105" s="66">
        <f>SUMIFS(J_Montant,J_Annee,Annee_Travail,J_Module,$B105,J_Cat,$C105,J_Type,"&lt;&gt;Revenu",J_Type,"&lt;&gt;Transfert",J_Statut,"&lt;&gt;Annulé",J_Statut,"&lt;&gt;Prévu")</f>
        <v/>
      </c>
      <c r="F105" s="66">
        <f>SUMIFS(P_Total,P_Annee,Annee_Travail,P_Module,$B105,P_Cat,$C105)</f>
        <v/>
      </c>
      <c r="G105" s="66">
        <f>$F105-$E105</f>
        <v/>
      </c>
      <c r="H105" s="247">
        <f>$D105*IF(OR(Perimetre_Filtre="*",$B105=Perimetre_Filtre),1,0)+ROW()/1000000</f>
        <v/>
      </c>
      <c r="I105" s="247">
        <f>$E105*IF(OR(Perimetre_Filtre="*",$B105=Perimetre_Filtre),1,0)+ROW()/1000000</f>
        <v/>
      </c>
    </row>
    <row r="106">
      <c r="B106" s="242" t="inlineStr">
        <is>
          <t>Mariage</t>
        </is>
      </c>
      <c r="C106" s="242" t="inlineStr">
        <is>
          <t>Wedding planner</t>
        </is>
      </c>
      <c r="D106" s="66">
        <f>SUMIFS(J_Montant,J_Annee,Annee_Travail,J_Mois,Mois_Num,J_Module,$B106,J_Cat,$C106,J_Type,"&lt;&gt;Revenu",J_Type,"&lt;&gt;Transfert",J_Statut,"&lt;&gt;Annulé",J_Statut,"&lt;&gt;Prévu")</f>
        <v/>
      </c>
      <c r="E106" s="66">
        <f>SUMIFS(J_Montant,J_Annee,Annee_Travail,J_Module,$B106,J_Cat,$C106,J_Type,"&lt;&gt;Revenu",J_Type,"&lt;&gt;Transfert",J_Statut,"&lt;&gt;Annulé",J_Statut,"&lt;&gt;Prévu")</f>
        <v/>
      </c>
      <c r="F106" s="66">
        <f>SUMIFS(P_Total,P_Annee,Annee_Travail,P_Module,$B106,P_Cat,$C106)</f>
        <v/>
      </c>
      <c r="G106" s="66">
        <f>$F106-$E106</f>
        <v/>
      </c>
      <c r="H106" s="247">
        <f>$D106*IF(OR(Perimetre_Filtre="*",$B106=Perimetre_Filtre),1,0)+ROW()/1000000</f>
        <v/>
      </c>
      <c r="I106" s="247">
        <f>$E106*IF(OR(Perimetre_Filtre="*",$B106=Perimetre_Filtre),1,0)+ROW()/1000000</f>
        <v/>
      </c>
    </row>
    <row r="107">
      <c r="B107" s="242" t="inlineStr">
        <is>
          <t>Mariage</t>
        </is>
      </c>
      <c r="C107" s="242" t="inlineStr">
        <is>
          <t>Sécurité &amp; service d'ordre</t>
        </is>
      </c>
      <c r="D107" s="66">
        <f>SUMIFS(J_Montant,J_Annee,Annee_Travail,J_Mois,Mois_Num,J_Module,$B107,J_Cat,$C107,J_Type,"&lt;&gt;Revenu",J_Type,"&lt;&gt;Transfert",J_Statut,"&lt;&gt;Annulé",J_Statut,"&lt;&gt;Prévu")</f>
        <v/>
      </c>
      <c r="E107" s="66">
        <f>SUMIFS(J_Montant,J_Annee,Annee_Travail,J_Module,$B107,J_Cat,$C107,J_Type,"&lt;&gt;Revenu",J_Type,"&lt;&gt;Transfert",J_Statut,"&lt;&gt;Annulé",J_Statut,"&lt;&gt;Prévu")</f>
        <v/>
      </c>
      <c r="F107" s="66">
        <f>SUMIFS(P_Total,P_Annee,Annee_Travail,P_Module,$B107,P_Cat,$C107)</f>
        <v/>
      </c>
      <c r="G107" s="66">
        <f>$F107-$E107</f>
        <v/>
      </c>
      <c r="H107" s="247">
        <f>$D107*IF(OR(Perimetre_Filtre="*",$B107=Perimetre_Filtre),1,0)+ROW()/1000000</f>
        <v/>
      </c>
      <c r="I107" s="247">
        <f>$E107*IF(OR(Perimetre_Filtre="*",$B107=Perimetre_Filtre),1,0)+ROW()/1000000</f>
        <v/>
      </c>
    </row>
    <row r="108">
      <c r="B108" s="242" t="inlineStr">
        <is>
          <t>Mariage</t>
        </is>
      </c>
      <c r="C108" s="242" t="inlineStr">
        <is>
          <t>Sonorisation &amp; éclairage</t>
        </is>
      </c>
      <c r="D108" s="66">
        <f>SUMIFS(J_Montant,J_Annee,Annee_Travail,J_Mois,Mois_Num,J_Module,$B108,J_Cat,$C108,J_Type,"&lt;&gt;Revenu",J_Type,"&lt;&gt;Transfert",J_Statut,"&lt;&gt;Annulé",J_Statut,"&lt;&gt;Prévu")</f>
        <v/>
      </c>
      <c r="E108" s="66">
        <f>SUMIFS(J_Montant,J_Annee,Annee_Travail,J_Module,$B108,J_Cat,$C108,J_Type,"&lt;&gt;Revenu",J_Type,"&lt;&gt;Transfert",J_Statut,"&lt;&gt;Annulé",J_Statut,"&lt;&gt;Prévu")</f>
        <v/>
      </c>
      <c r="F108" s="66">
        <f>SUMIFS(P_Total,P_Annee,Annee_Travail,P_Module,$B108,P_Cat,$C108)</f>
        <v/>
      </c>
      <c r="G108" s="66">
        <f>$F108-$E108</f>
        <v/>
      </c>
      <c r="H108" s="247">
        <f>$D108*IF(OR(Perimetre_Filtre="*",$B108=Perimetre_Filtre),1,0)+ROW()/1000000</f>
        <v/>
      </c>
      <c r="I108" s="247">
        <f>$E108*IF(OR(Perimetre_Filtre="*",$B108=Perimetre_Filtre),1,0)+ROW()/1000000</f>
        <v/>
      </c>
    </row>
    <row r="109">
      <c r="B109" s="242" t="inlineStr">
        <is>
          <t>Mariage</t>
        </is>
      </c>
      <c r="C109" s="242" t="inlineStr">
        <is>
          <t>Location de vaisselle</t>
        </is>
      </c>
      <c r="D109" s="66">
        <f>SUMIFS(J_Montant,J_Annee,Annee_Travail,J_Mois,Mois_Num,J_Module,$B109,J_Cat,$C109,J_Type,"&lt;&gt;Revenu",J_Type,"&lt;&gt;Transfert",J_Statut,"&lt;&gt;Annulé",J_Statut,"&lt;&gt;Prévu")</f>
        <v/>
      </c>
      <c r="E109" s="66">
        <f>SUMIFS(J_Montant,J_Annee,Annee_Travail,J_Module,$B109,J_Cat,$C109,J_Type,"&lt;&gt;Revenu",J_Type,"&lt;&gt;Transfert",J_Statut,"&lt;&gt;Annulé",J_Statut,"&lt;&gt;Prévu")</f>
        <v/>
      </c>
      <c r="F109" s="66">
        <f>SUMIFS(P_Total,P_Annee,Annee_Travail,P_Module,$B109,P_Cat,$C109)</f>
        <v/>
      </c>
      <c r="G109" s="66">
        <f>$F109-$E109</f>
        <v/>
      </c>
      <c r="H109" s="247">
        <f>$D109*IF(OR(Perimetre_Filtre="*",$B109=Perimetre_Filtre),1,0)+ROW()/1000000</f>
        <v/>
      </c>
      <c r="I109" s="247">
        <f>$E109*IF(OR(Perimetre_Filtre="*",$B109=Perimetre_Filtre),1,0)+ROW()/1000000</f>
        <v/>
      </c>
    </row>
    <row r="110">
      <c r="B110" s="242" t="inlineStr">
        <is>
          <t>Mariage</t>
        </is>
      </c>
      <c r="C110" s="242" t="inlineStr">
        <is>
          <t>Lune de miel</t>
        </is>
      </c>
      <c r="D110" s="66">
        <f>SUMIFS(J_Montant,J_Annee,Annee_Travail,J_Mois,Mois_Num,J_Module,$B110,J_Cat,$C110,J_Type,"&lt;&gt;Revenu",J_Type,"&lt;&gt;Transfert",J_Statut,"&lt;&gt;Annulé",J_Statut,"&lt;&gt;Prévu")</f>
        <v/>
      </c>
      <c r="E110" s="66">
        <f>SUMIFS(J_Montant,J_Annee,Annee_Travail,J_Module,$B110,J_Cat,$C110,J_Type,"&lt;&gt;Revenu",J_Type,"&lt;&gt;Transfert",J_Statut,"&lt;&gt;Annulé",J_Statut,"&lt;&gt;Prévu")</f>
        <v/>
      </c>
      <c r="F110" s="66">
        <f>SUMIFS(P_Total,P_Annee,Annee_Travail,P_Module,$B110,P_Cat,$C110)</f>
        <v/>
      </c>
      <c r="G110" s="66">
        <f>$F110-$E110</f>
        <v/>
      </c>
      <c r="H110" s="247">
        <f>$D110*IF(OR(Perimetre_Filtre="*",$B110=Perimetre_Filtre),1,0)+ROW()/1000000</f>
        <v/>
      </c>
      <c r="I110" s="247">
        <f>$E110*IF(OR(Perimetre_Filtre="*",$B110=Perimetre_Filtre),1,0)+ROW()/1000000</f>
        <v/>
      </c>
    </row>
    <row r="111">
      <c r="B111" s="242" t="inlineStr">
        <is>
          <t>Mariage</t>
        </is>
      </c>
      <c r="C111" s="242" t="inlineStr">
        <is>
          <t>Frais de visa / voyage</t>
        </is>
      </c>
      <c r="D111" s="66">
        <f>SUMIFS(J_Montant,J_Annee,Annee_Travail,J_Mois,Mois_Num,J_Module,$B111,J_Cat,$C111,J_Type,"&lt;&gt;Revenu",J_Type,"&lt;&gt;Transfert",J_Statut,"&lt;&gt;Annulé",J_Statut,"&lt;&gt;Prévu")</f>
        <v/>
      </c>
      <c r="E111" s="66">
        <f>SUMIFS(J_Montant,J_Annee,Annee_Travail,J_Module,$B111,J_Cat,$C111,J_Type,"&lt;&gt;Revenu",J_Type,"&lt;&gt;Transfert",J_Statut,"&lt;&gt;Annulé",J_Statut,"&lt;&gt;Prévu")</f>
        <v/>
      </c>
      <c r="F111" s="66">
        <f>SUMIFS(P_Total,P_Annee,Annee_Travail,P_Module,$B111,P_Cat,$C111)</f>
        <v/>
      </c>
      <c r="G111" s="66">
        <f>$F111-$E111</f>
        <v/>
      </c>
      <c r="H111" s="247">
        <f>$D111*IF(OR(Perimetre_Filtre="*",$B111=Perimetre_Filtre),1,0)+ROW()/1000000</f>
        <v/>
      </c>
      <c r="I111" s="247">
        <f>$E111*IF(OR(Perimetre_Filtre="*",$B111=Perimetre_Filtre),1,0)+ROW()/1000000</f>
        <v/>
      </c>
    </row>
    <row r="112">
      <c r="B112" s="242" t="inlineStr">
        <is>
          <t>Mariage</t>
        </is>
      </c>
      <c r="C112" s="242" t="inlineStr">
        <is>
          <t>Pourboires &amp; extras</t>
        </is>
      </c>
      <c r="D112" s="66">
        <f>SUMIFS(J_Montant,J_Annee,Annee_Travail,J_Mois,Mois_Num,J_Module,$B112,J_Cat,$C112,J_Type,"&lt;&gt;Revenu",J_Type,"&lt;&gt;Transfert",J_Statut,"&lt;&gt;Annulé",J_Statut,"&lt;&gt;Prévu")</f>
        <v/>
      </c>
      <c r="E112" s="66">
        <f>SUMIFS(J_Montant,J_Annee,Annee_Travail,J_Module,$B112,J_Cat,$C112,J_Type,"&lt;&gt;Revenu",J_Type,"&lt;&gt;Transfert",J_Statut,"&lt;&gt;Annulé",J_Statut,"&lt;&gt;Prévu")</f>
        <v/>
      </c>
      <c r="F112" s="66">
        <f>SUMIFS(P_Total,P_Annee,Annee_Travail,P_Module,$B112,P_Cat,$C112)</f>
        <v/>
      </c>
      <c r="G112" s="66">
        <f>$F112-$E112</f>
        <v/>
      </c>
      <c r="H112" s="247">
        <f>$D112*IF(OR(Perimetre_Filtre="*",$B112=Perimetre_Filtre),1,0)+ROW()/1000000</f>
        <v/>
      </c>
      <c r="I112" s="247">
        <f>$E112*IF(OR(Perimetre_Filtre="*",$B112=Perimetre_Filtre),1,0)+ROW()/1000000</f>
        <v/>
      </c>
    </row>
    <row r="113">
      <c r="B113" s="242" t="inlineStr">
        <is>
          <t>Mariage</t>
        </is>
      </c>
      <c r="C113" s="242" t="inlineStr">
        <is>
          <t>Imprévus mariage</t>
        </is>
      </c>
      <c r="D113" s="66">
        <f>SUMIFS(J_Montant,J_Annee,Annee_Travail,J_Mois,Mois_Num,J_Module,$B113,J_Cat,$C113,J_Type,"&lt;&gt;Revenu",J_Type,"&lt;&gt;Transfert",J_Statut,"&lt;&gt;Annulé",J_Statut,"&lt;&gt;Prévu")</f>
        <v/>
      </c>
      <c r="E113" s="66">
        <f>SUMIFS(J_Montant,J_Annee,Annee_Travail,J_Module,$B113,J_Cat,$C113,J_Type,"&lt;&gt;Revenu",J_Type,"&lt;&gt;Transfert",J_Statut,"&lt;&gt;Annulé",J_Statut,"&lt;&gt;Prévu")</f>
        <v/>
      </c>
      <c r="F113" s="66">
        <f>SUMIFS(P_Total,P_Annee,Annee_Travail,P_Module,$B113,P_Cat,$C113)</f>
        <v/>
      </c>
      <c r="G113" s="66">
        <f>$F113-$E113</f>
        <v/>
      </c>
      <c r="H113" s="247">
        <f>$D113*IF(OR(Perimetre_Filtre="*",$B113=Perimetre_Filtre),1,0)+ROW()/1000000</f>
        <v/>
      </c>
      <c r="I113" s="247">
        <f>$E113*IF(OR(Perimetre_Filtre="*",$B113=Perimetre_Filtre),1,0)+ROW()/1000000</f>
        <v/>
      </c>
    </row>
    <row r="114">
      <c r="B114" s="242" t="inlineStr">
        <is>
          <t>Immobilier</t>
        </is>
      </c>
      <c r="C114" s="242" t="inlineStr">
        <is>
          <t>Apport personnel</t>
        </is>
      </c>
      <c r="D114" s="66">
        <f>SUMIFS(J_Montant,J_Annee,Annee_Travail,J_Mois,Mois_Num,J_Module,$B114,J_Cat,$C114,J_Type,"&lt;&gt;Revenu",J_Type,"&lt;&gt;Transfert",J_Statut,"&lt;&gt;Annulé",J_Statut,"&lt;&gt;Prévu")</f>
        <v/>
      </c>
      <c r="E114" s="66">
        <f>SUMIFS(J_Montant,J_Annee,Annee_Travail,J_Module,$B114,J_Cat,$C114,J_Type,"&lt;&gt;Revenu",J_Type,"&lt;&gt;Transfert",J_Statut,"&lt;&gt;Annulé",J_Statut,"&lt;&gt;Prévu")</f>
        <v/>
      </c>
      <c r="F114" s="66">
        <f>SUMIFS(P_Total,P_Annee,Annee_Travail,P_Module,$B114,P_Cat,$C114)</f>
        <v/>
      </c>
      <c r="G114" s="66">
        <f>$F114-$E114</f>
        <v/>
      </c>
      <c r="H114" s="247">
        <f>$D114*IF(OR(Perimetre_Filtre="*",$B114=Perimetre_Filtre),1,0)+ROW()/1000000</f>
        <v/>
      </c>
      <c r="I114" s="247">
        <f>$E114*IF(OR(Perimetre_Filtre="*",$B114=Perimetre_Filtre),1,0)+ROW()/1000000</f>
        <v/>
      </c>
    </row>
    <row r="115">
      <c r="B115" s="242" t="inlineStr">
        <is>
          <t>Immobilier</t>
        </is>
      </c>
      <c r="C115" s="242" t="inlineStr">
        <is>
          <t>Prix d'achat terrain</t>
        </is>
      </c>
      <c r="D115" s="66">
        <f>SUMIFS(J_Montant,J_Annee,Annee_Travail,J_Mois,Mois_Num,J_Module,$B115,J_Cat,$C115,J_Type,"&lt;&gt;Revenu",J_Type,"&lt;&gt;Transfert",J_Statut,"&lt;&gt;Annulé",J_Statut,"&lt;&gt;Prévu")</f>
        <v/>
      </c>
      <c r="E115" s="66">
        <f>SUMIFS(J_Montant,J_Annee,Annee_Travail,J_Module,$B115,J_Cat,$C115,J_Type,"&lt;&gt;Revenu",J_Type,"&lt;&gt;Transfert",J_Statut,"&lt;&gt;Annulé",J_Statut,"&lt;&gt;Prévu")</f>
        <v/>
      </c>
      <c r="F115" s="66">
        <f>SUMIFS(P_Total,P_Annee,Annee_Travail,P_Module,$B115,P_Cat,$C115)</f>
        <v/>
      </c>
      <c r="G115" s="66">
        <f>$F115-$E115</f>
        <v/>
      </c>
      <c r="H115" s="247">
        <f>$D115*IF(OR(Perimetre_Filtre="*",$B115=Perimetre_Filtre),1,0)+ROW()/1000000</f>
        <v/>
      </c>
      <c r="I115" s="247">
        <f>$E115*IF(OR(Perimetre_Filtre="*",$B115=Perimetre_Filtre),1,0)+ROW()/1000000</f>
        <v/>
      </c>
    </row>
    <row r="116">
      <c r="B116" s="242" t="inlineStr">
        <is>
          <t>Immobilier</t>
        </is>
      </c>
      <c r="C116" s="242" t="inlineStr">
        <is>
          <t>Prix d'achat bien bâti</t>
        </is>
      </c>
      <c r="D116" s="66">
        <f>SUMIFS(J_Montant,J_Annee,Annee_Travail,J_Mois,Mois_Num,J_Module,$B116,J_Cat,$C116,J_Type,"&lt;&gt;Revenu",J_Type,"&lt;&gt;Transfert",J_Statut,"&lt;&gt;Annulé",J_Statut,"&lt;&gt;Prévu")</f>
        <v/>
      </c>
      <c r="E116" s="66">
        <f>SUMIFS(J_Montant,J_Annee,Annee_Travail,J_Module,$B116,J_Cat,$C116,J_Type,"&lt;&gt;Revenu",J_Type,"&lt;&gt;Transfert",J_Statut,"&lt;&gt;Annulé",J_Statut,"&lt;&gt;Prévu")</f>
        <v/>
      </c>
      <c r="F116" s="66">
        <f>SUMIFS(P_Total,P_Annee,Annee_Travail,P_Module,$B116,P_Cat,$C116)</f>
        <v/>
      </c>
      <c r="G116" s="66">
        <f>$F116-$E116</f>
        <v/>
      </c>
      <c r="H116" s="247">
        <f>$D116*IF(OR(Perimetre_Filtre="*",$B116=Perimetre_Filtre),1,0)+ROW()/1000000</f>
        <v/>
      </c>
      <c r="I116" s="247">
        <f>$E116*IF(OR(Perimetre_Filtre="*",$B116=Perimetre_Filtre),1,0)+ROW()/1000000</f>
        <v/>
      </c>
    </row>
    <row r="117">
      <c r="B117" s="242" t="inlineStr">
        <is>
          <t>Immobilier</t>
        </is>
      </c>
      <c r="C117" s="242" t="inlineStr">
        <is>
          <t>Frais de notaire</t>
        </is>
      </c>
      <c r="D117" s="66">
        <f>SUMIFS(J_Montant,J_Annee,Annee_Travail,J_Mois,Mois_Num,J_Module,$B117,J_Cat,$C117,J_Type,"&lt;&gt;Revenu",J_Type,"&lt;&gt;Transfert",J_Statut,"&lt;&gt;Annulé",J_Statut,"&lt;&gt;Prévu")</f>
        <v/>
      </c>
      <c r="E117" s="66">
        <f>SUMIFS(J_Montant,J_Annee,Annee_Travail,J_Module,$B117,J_Cat,$C117,J_Type,"&lt;&gt;Revenu",J_Type,"&lt;&gt;Transfert",J_Statut,"&lt;&gt;Annulé",J_Statut,"&lt;&gt;Prévu")</f>
        <v/>
      </c>
      <c r="F117" s="66">
        <f>SUMIFS(P_Total,P_Annee,Annee_Travail,P_Module,$B117,P_Cat,$C117)</f>
        <v/>
      </c>
      <c r="G117" s="66">
        <f>$F117-$E117</f>
        <v/>
      </c>
      <c r="H117" s="247">
        <f>$D117*IF(OR(Perimetre_Filtre="*",$B117=Perimetre_Filtre),1,0)+ROW()/1000000</f>
        <v/>
      </c>
      <c r="I117" s="247">
        <f>$E117*IF(OR(Perimetre_Filtre="*",$B117=Perimetre_Filtre),1,0)+ROW()/1000000</f>
        <v/>
      </c>
    </row>
    <row r="118">
      <c r="B118" s="242" t="inlineStr">
        <is>
          <t>Immobilier</t>
        </is>
      </c>
      <c r="C118" s="242" t="inlineStr">
        <is>
          <t>Droits d'enregistrement</t>
        </is>
      </c>
      <c r="D118" s="66">
        <f>SUMIFS(J_Montant,J_Annee,Annee_Travail,J_Mois,Mois_Num,J_Module,$B118,J_Cat,$C118,J_Type,"&lt;&gt;Revenu",J_Type,"&lt;&gt;Transfert",J_Statut,"&lt;&gt;Annulé",J_Statut,"&lt;&gt;Prévu")</f>
        <v/>
      </c>
      <c r="E118" s="66">
        <f>SUMIFS(J_Montant,J_Annee,Annee_Travail,J_Module,$B118,J_Cat,$C118,J_Type,"&lt;&gt;Revenu",J_Type,"&lt;&gt;Transfert",J_Statut,"&lt;&gt;Annulé",J_Statut,"&lt;&gt;Prévu")</f>
        <v/>
      </c>
      <c r="F118" s="66">
        <f>SUMIFS(P_Total,P_Annee,Annee_Travail,P_Module,$B118,P_Cat,$C118)</f>
        <v/>
      </c>
      <c r="G118" s="66">
        <f>$F118-$E118</f>
        <v/>
      </c>
      <c r="H118" s="247">
        <f>$D118*IF(OR(Perimetre_Filtre="*",$B118=Perimetre_Filtre),1,0)+ROW()/1000000</f>
        <v/>
      </c>
      <c r="I118" s="247">
        <f>$E118*IF(OR(Perimetre_Filtre="*",$B118=Perimetre_Filtre),1,0)+ROW()/1000000</f>
        <v/>
      </c>
    </row>
    <row r="119">
      <c r="B119" s="242" t="inlineStr">
        <is>
          <t>Immobilier</t>
        </is>
      </c>
      <c r="C119" s="242" t="inlineStr">
        <is>
          <t>Commission d'agence</t>
        </is>
      </c>
      <c r="D119" s="66">
        <f>SUMIFS(J_Montant,J_Annee,Annee_Travail,J_Mois,Mois_Num,J_Module,$B119,J_Cat,$C119,J_Type,"&lt;&gt;Revenu",J_Type,"&lt;&gt;Transfert",J_Statut,"&lt;&gt;Annulé",J_Statut,"&lt;&gt;Prévu")</f>
        <v/>
      </c>
      <c r="E119" s="66">
        <f>SUMIFS(J_Montant,J_Annee,Annee_Travail,J_Module,$B119,J_Cat,$C119,J_Type,"&lt;&gt;Revenu",J_Type,"&lt;&gt;Transfert",J_Statut,"&lt;&gt;Annulé",J_Statut,"&lt;&gt;Prévu")</f>
        <v/>
      </c>
      <c r="F119" s="66">
        <f>SUMIFS(P_Total,P_Annee,Annee_Travail,P_Module,$B119,P_Cat,$C119)</f>
        <v/>
      </c>
      <c r="G119" s="66">
        <f>$F119-$E119</f>
        <v/>
      </c>
      <c r="H119" s="247">
        <f>$D119*IF(OR(Perimetre_Filtre="*",$B119=Perimetre_Filtre),1,0)+ROW()/1000000</f>
        <v/>
      </c>
      <c r="I119" s="247">
        <f>$E119*IF(OR(Perimetre_Filtre="*",$B119=Perimetre_Filtre),1,0)+ROW()/1000000</f>
        <v/>
      </c>
    </row>
    <row r="120">
      <c r="B120" s="242" t="inlineStr">
        <is>
          <t>Immobilier</t>
        </is>
      </c>
      <c r="C120" s="242" t="inlineStr">
        <is>
          <t>Bornage &amp; topographie</t>
        </is>
      </c>
      <c r="D120" s="66">
        <f>SUMIFS(J_Montant,J_Annee,Annee_Travail,J_Mois,Mois_Num,J_Module,$B120,J_Cat,$C120,J_Type,"&lt;&gt;Revenu",J_Type,"&lt;&gt;Transfert",J_Statut,"&lt;&gt;Annulé",J_Statut,"&lt;&gt;Prévu")</f>
        <v/>
      </c>
      <c r="E120" s="66">
        <f>SUMIFS(J_Montant,J_Annee,Annee_Travail,J_Module,$B120,J_Cat,$C120,J_Type,"&lt;&gt;Revenu",J_Type,"&lt;&gt;Transfert",J_Statut,"&lt;&gt;Annulé",J_Statut,"&lt;&gt;Prévu")</f>
        <v/>
      </c>
      <c r="F120" s="66">
        <f>SUMIFS(P_Total,P_Annee,Annee_Travail,P_Module,$B120,P_Cat,$C120)</f>
        <v/>
      </c>
      <c r="G120" s="66">
        <f>$F120-$E120</f>
        <v/>
      </c>
      <c r="H120" s="247">
        <f>$D120*IF(OR(Perimetre_Filtre="*",$B120=Perimetre_Filtre),1,0)+ROW()/1000000</f>
        <v/>
      </c>
      <c r="I120" s="247">
        <f>$E120*IF(OR(Perimetre_Filtre="*",$B120=Perimetre_Filtre),1,0)+ROW()/1000000</f>
        <v/>
      </c>
    </row>
    <row r="121">
      <c r="B121" s="242" t="inlineStr">
        <is>
          <t>Immobilier</t>
        </is>
      </c>
      <c r="C121" s="242" t="inlineStr">
        <is>
          <t>ACD / Titre foncier</t>
        </is>
      </c>
      <c r="D121" s="66">
        <f>SUMIFS(J_Montant,J_Annee,Annee_Travail,J_Mois,Mois_Num,J_Module,$B121,J_Cat,$C121,J_Type,"&lt;&gt;Revenu",J_Type,"&lt;&gt;Transfert",J_Statut,"&lt;&gt;Annulé",J_Statut,"&lt;&gt;Prévu")</f>
        <v/>
      </c>
      <c r="E121" s="66">
        <f>SUMIFS(J_Montant,J_Annee,Annee_Travail,J_Module,$B121,J_Cat,$C121,J_Type,"&lt;&gt;Revenu",J_Type,"&lt;&gt;Transfert",J_Statut,"&lt;&gt;Annulé",J_Statut,"&lt;&gt;Prévu")</f>
        <v/>
      </c>
      <c r="F121" s="66">
        <f>SUMIFS(P_Total,P_Annee,Annee_Travail,P_Module,$B121,P_Cat,$C121)</f>
        <v/>
      </c>
      <c r="G121" s="66">
        <f>$F121-$E121</f>
        <v/>
      </c>
      <c r="H121" s="247">
        <f>$D121*IF(OR(Perimetre_Filtre="*",$B121=Perimetre_Filtre),1,0)+ROW()/1000000</f>
        <v/>
      </c>
      <c r="I121" s="247">
        <f>$E121*IF(OR(Perimetre_Filtre="*",$B121=Perimetre_Filtre),1,0)+ROW()/1000000</f>
        <v/>
      </c>
    </row>
    <row r="122">
      <c r="B122" s="242" t="inlineStr">
        <is>
          <t>Immobilier</t>
        </is>
      </c>
      <c r="C122" s="242" t="inlineStr">
        <is>
          <t>Permis de construire</t>
        </is>
      </c>
      <c r="D122" s="66">
        <f>SUMIFS(J_Montant,J_Annee,Annee_Travail,J_Mois,Mois_Num,J_Module,$B122,J_Cat,$C122,J_Type,"&lt;&gt;Revenu",J_Type,"&lt;&gt;Transfert",J_Statut,"&lt;&gt;Annulé",J_Statut,"&lt;&gt;Prévu")</f>
        <v/>
      </c>
      <c r="E122" s="66">
        <f>SUMIFS(J_Montant,J_Annee,Annee_Travail,J_Module,$B122,J_Cat,$C122,J_Type,"&lt;&gt;Revenu",J_Type,"&lt;&gt;Transfert",J_Statut,"&lt;&gt;Annulé",J_Statut,"&lt;&gt;Prévu")</f>
        <v/>
      </c>
      <c r="F122" s="66">
        <f>SUMIFS(P_Total,P_Annee,Annee_Travail,P_Module,$B122,P_Cat,$C122)</f>
        <v/>
      </c>
      <c r="G122" s="66">
        <f>$F122-$E122</f>
        <v/>
      </c>
      <c r="H122" s="247">
        <f>$D122*IF(OR(Perimetre_Filtre="*",$B122=Perimetre_Filtre),1,0)+ROW()/1000000</f>
        <v/>
      </c>
      <c r="I122" s="247">
        <f>$E122*IF(OR(Perimetre_Filtre="*",$B122=Perimetre_Filtre),1,0)+ROW()/1000000</f>
        <v/>
      </c>
    </row>
    <row r="123">
      <c r="B123" s="242" t="inlineStr">
        <is>
          <t>Immobilier</t>
        </is>
      </c>
      <c r="C123" s="242" t="inlineStr">
        <is>
          <t>Étude de sol</t>
        </is>
      </c>
      <c r="D123" s="66">
        <f>SUMIFS(J_Montant,J_Annee,Annee_Travail,J_Mois,Mois_Num,J_Module,$B123,J_Cat,$C123,J_Type,"&lt;&gt;Revenu",J_Type,"&lt;&gt;Transfert",J_Statut,"&lt;&gt;Annulé",J_Statut,"&lt;&gt;Prévu")</f>
        <v/>
      </c>
      <c r="E123" s="66">
        <f>SUMIFS(J_Montant,J_Annee,Annee_Travail,J_Module,$B123,J_Cat,$C123,J_Type,"&lt;&gt;Revenu",J_Type,"&lt;&gt;Transfert",J_Statut,"&lt;&gt;Annulé",J_Statut,"&lt;&gt;Prévu")</f>
        <v/>
      </c>
      <c r="F123" s="66">
        <f>SUMIFS(P_Total,P_Annee,Annee_Travail,P_Module,$B123,P_Cat,$C123)</f>
        <v/>
      </c>
      <c r="G123" s="66">
        <f>$F123-$E123</f>
        <v/>
      </c>
      <c r="H123" s="247">
        <f>$D123*IF(OR(Perimetre_Filtre="*",$B123=Perimetre_Filtre),1,0)+ROW()/1000000</f>
        <v/>
      </c>
      <c r="I123" s="247">
        <f>$E123*IF(OR(Perimetre_Filtre="*",$B123=Perimetre_Filtre),1,0)+ROW()/1000000</f>
        <v/>
      </c>
    </row>
    <row r="124">
      <c r="B124" s="242" t="inlineStr">
        <is>
          <t>Immobilier</t>
        </is>
      </c>
      <c r="C124" s="242" t="inlineStr">
        <is>
          <t>Architecte &amp; études</t>
        </is>
      </c>
      <c r="D124" s="66">
        <f>SUMIFS(J_Montant,J_Annee,Annee_Travail,J_Mois,Mois_Num,J_Module,$B124,J_Cat,$C124,J_Type,"&lt;&gt;Revenu",J_Type,"&lt;&gt;Transfert",J_Statut,"&lt;&gt;Annulé",J_Statut,"&lt;&gt;Prévu")</f>
        <v/>
      </c>
      <c r="E124" s="66">
        <f>SUMIFS(J_Montant,J_Annee,Annee_Travail,J_Module,$B124,J_Cat,$C124,J_Type,"&lt;&gt;Revenu",J_Type,"&lt;&gt;Transfert",J_Statut,"&lt;&gt;Annulé",J_Statut,"&lt;&gt;Prévu")</f>
        <v/>
      </c>
      <c r="F124" s="66">
        <f>SUMIFS(P_Total,P_Annee,Annee_Travail,P_Module,$B124,P_Cat,$C124)</f>
        <v/>
      </c>
      <c r="G124" s="66">
        <f>$F124-$E124</f>
        <v/>
      </c>
      <c r="H124" s="247">
        <f>$D124*IF(OR(Perimetre_Filtre="*",$B124=Perimetre_Filtre),1,0)+ROW()/1000000</f>
        <v/>
      </c>
      <c r="I124" s="247">
        <f>$E124*IF(OR(Perimetre_Filtre="*",$B124=Perimetre_Filtre),1,0)+ROW()/1000000</f>
        <v/>
      </c>
    </row>
    <row r="125">
      <c r="B125" s="242" t="inlineStr">
        <is>
          <t>Immobilier</t>
        </is>
      </c>
      <c r="C125" s="242" t="inlineStr">
        <is>
          <t>Fondations &amp; gros œuvre</t>
        </is>
      </c>
      <c r="D125" s="66">
        <f>SUMIFS(J_Montant,J_Annee,Annee_Travail,J_Mois,Mois_Num,J_Module,$B125,J_Cat,$C125,J_Type,"&lt;&gt;Revenu",J_Type,"&lt;&gt;Transfert",J_Statut,"&lt;&gt;Annulé",J_Statut,"&lt;&gt;Prévu")</f>
        <v/>
      </c>
      <c r="E125" s="66">
        <f>SUMIFS(J_Montant,J_Annee,Annee_Travail,J_Module,$B125,J_Cat,$C125,J_Type,"&lt;&gt;Revenu",J_Type,"&lt;&gt;Transfert",J_Statut,"&lt;&gt;Annulé",J_Statut,"&lt;&gt;Prévu")</f>
        <v/>
      </c>
      <c r="F125" s="66">
        <f>SUMIFS(P_Total,P_Annee,Annee_Travail,P_Module,$B125,P_Cat,$C125)</f>
        <v/>
      </c>
      <c r="G125" s="66">
        <f>$F125-$E125</f>
        <v/>
      </c>
      <c r="H125" s="247">
        <f>$D125*IF(OR(Perimetre_Filtre="*",$B125=Perimetre_Filtre),1,0)+ROW()/1000000</f>
        <v/>
      </c>
      <c r="I125" s="247">
        <f>$E125*IF(OR(Perimetre_Filtre="*",$B125=Perimetre_Filtre),1,0)+ROW()/1000000</f>
        <v/>
      </c>
    </row>
    <row r="126">
      <c r="B126" s="242" t="inlineStr">
        <is>
          <t>Immobilier</t>
        </is>
      </c>
      <c r="C126" s="242" t="inlineStr">
        <is>
          <t>Maçonnerie</t>
        </is>
      </c>
      <c r="D126" s="66">
        <f>SUMIFS(J_Montant,J_Annee,Annee_Travail,J_Mois,Mois_Num,J_Module,$B126,J_Cat,$C126,J_Type,"&lt;&gt;Revenu",J_Type,"&lt;&gt;Transfert",J_Statut,"&lt;&gt;Annulé",J_Statut,"&lt;&gt;Prévu")</f>
        <v/>
      </c>
      <c r="E126" s="66">
        <f>SUMIFS(J_Montant,J_Annee,Annee_Travail,J_Module,$B126,J_Cat,$C126,J_Type,"&lt;&gt;Revenu",J_Type,"&lt;&gt;Transfert",J_Statut,"&lt;&gt;Annulé",J_Statut,"&lt;&gt;Prévu")</f>
        <v/>
      </c>
      <c r="F126" s="66">
        <f>SUMIFS(P_Total,P_Annee,Annee_Travail,P_Module,$B126,P_Cat,$C126)</f>
        <v/>
      </c>
      <c r="G126" s="66">
        <f>$F126-$E126</f>
        <v/>
      </c>
      <c r="H126" s="247">
        <f>$D126*IF(OR(Perimetre_Filtre="*",$B126=Perimetre_Filtre),1,0)+ROW()/1000000</f>
        <v/>
      </c>
      <c r="I126" s="247">
        <f>$E126*IF(OR(Perimetre_Filtre="*",$B126=Perimetre_Filtre),1,0)+ROW()/1000000</f>
        <v/>
      </c>
    </row>
    <row r="127">
      <c r="B127" s="242" t="inlineStr">
        <is>
          <t>Immobilier</t>
        </is>
      </c>
      <c r="C127" s="242" t="inlineStr">
        <is>
          <t>Charpente &amp; toiture</t>
        </is>
      </c>
      <c r="D127" s="66">
        <f>SUMIFS(J_Montant,J_Annee,Annee_Travail,J_Mois,Mois_Num,J_Module,$B127,J_Cat,$C127,J_Type,"&lt;&gt;Revenu",J_Type,"&lt;&gt;Transfert",J_Statut,"&lt;&gt;Annulé",J_Statut,"&lt;&gt;Prévu")</f>
        <v/>
      </c>
      <c r="E127" s="66">
        <f>SUMIFS(J_Montant,J_Annee,Annee_Travail,J_Module,$B127,J_Cat,$C127,J_Type,"&lt;&gt;Revenu",J_Type,"&lt;&gt;Transfert",J_Statut,"&lt;&gt;Annulé",J_Statut,"&lt;&gt;Prévu")</f>
        <v/>
      </c>
      <c r="F127" s="66">
        <f>SUMIFS(P_Total,P_Annee,Annee_Travail,P_Module,$B127,P_Cat,$C127)</f>
        <v/>
      </c>
      <c r="G127" s="66">
        <f>$F127-$E127</f>
        <v/>
      </c>
      <c r="H127" s="247">
        <f>$D127*IF(OR(Perimetre_Filtre="*",$B127=Perimetre_Filtre),1,0)+ROW()/1000000</f>
        <v/>
      </c>
      <c r="I127" s="247">
        <f>$E127*IF(OR(Perimetre_Filtre="*",$B127=Perimetre_Filtre),1,0)+ROW()/1000000</f>
        <v/>
      </c>
    </row>
    <row r="128">
      <c r="B128" s="242" t="inlineStr">
        <is>
          <t>Immobilier</t>
        </is>
      </c>
      <c r="C128" s="242" t="inlineStr">
        <is>
          <t>Menuiserie</t>
        </is>
      </c>
      <c r="D128" s="66">
        <f>SUMIFS(J_Montant,J_Annee,Annee_Travail,J_Mois,Mois_Num,J_Module,$B128,J_Cat,$C128,J_Type,"&lt;&gt;Revenu",J_Type,"&lt;&gt;Transfert",J_Statut,"&lt;&gt;Annulé",J_Statut,"&lt;&gt;Prévu")</f>
        <v/>
      </c>
      <c r="E128" s="66">
        <f>SUMIFS(J_Montant,J_Annee,Annee_Travail,J_Module,$B128,J_Cat,$C128,J_Type,"&lt;&gt;Revenu",J_Type,"&lt;&gt;Transfert",J_Statut,"&lt;&gt;Annulé",J_Statut,"&lt;&gt;Prévu")</f>
        <v/>
      </c>
      <c r="F128" s="66">
        <f>SUMIFS(P_Total,P_Annee,Annee_Travail,P_Module,$B128,P_Cat,$C128)</f>
        <v/>
      </c>
      <c r="G128" s="66">
        <f>$F128-$E128</f>
        <v/>
      </c>
      <c r="H128" s="247">
        <f>$D128*IF(OR(Perimetre_Filtre="*",$B128=Perimetre_Filtre),1,0)+ROW()/1000000</f>
        <v/>
      </c>
      <c r="I128" s="247">
        <f>$E128*IF(OR(Perimetre_Filtre="*",$B128=Perimetre_Filtre),1,0)+ROW()/1000000</f>
        <v/>
      </c>
    </row>
    <row r="129">
      <c r="B129" s="242" t="inlineStr">
        <is>
          <t>Immobilier</t>
        </is>
      </c>
      <c r="C129" s="242" t="inlineStr">
        <is>
          <t>Électricité (travaux)</t>
        </is>
      </c>
      <c r="D129" s="66">
        <f>SUMIFS(J_Montant,J_Annee,Annee_Travail,J_Mois,Mois_Num,J_Module,$B129,J_Cat,$C129,J_Type,"&lt;&gt;Revenu",J_Type,"&lt;&gt;Transfert",J_Statut,"&lt;&gt;Annulé",J_Statut,"&lt;&gt;Prévu")</f>
        <v/>
      </c>
      <c r="E129" s="66">
        <f>SUMIFS(J_Montant,J_Annee,Annee_Travail,J_Module,$B129,J_Cat,$C129,J_Type,"&lt;&gt;Revenu",J_Type,"&lt;&gt;Transfert",J_Statut,"&lt;&gt;Annulé",J_Statut,"&lt;&gt;Prévu")</f>
        <v/>
      </c>
      <c r="F129" s="66">
        <f>SUMIFS(P_Total,P_Annee,Annee_Travail,P_Module,$B129,P_Cat,$C129)</f>
        <v/>
      </c>
      <c r="G129" s="66">
        <f>$F129-$E129</f>
        <v/>
      </c>
      <c r="H129" s="247">
        <f>$D129*IF(OR(Perimetre_Filtre="*",$B129=Perimetre_Filtre),1,0)+ROW()/1000000</f>
        <v/>
      </c>
      <c r="I129" s="247">
        <f>$E129*IF(OR(Perimetre_Filtre="*",$B129=Perimetre_Filtre),1,0)+ROW()/1000000</f>
        <v/>
      </c>
    </row>
    <row r="130">
      <c r="B130" s="242" t="inlineStr">
        <is>
          <t>Immobilier</t>
        </is>
      </c>
      <c r="C130" s="242" t="inlineStr">
        <is>
          <t>Plomberie &amp; sanitaires</t>
        </is>
      </c>
      <c r="D130" s="66">
        <f>SUMIFS(J_Montant,J_Annee,Annee_Travail,J_Mois,Mois_Num,J_Module,$B130,J_Cat,$C130,J_Type,"&lt;&gt;Revenu",J_Type,"&lt;&gt;Transfert",J_Statut,"&lt;&gt;Annulé",J_Statut,"&lt;&gt;Prévu")</f>
        <v/>
      </c>
      <c r="E130" s="66">
        <f>SUMIFS(J_Montant,J_Annee,Annee_Travail,J_Module,$B130,J_Cat,$C130,J_Type,"&lt;&gt;Revenu",J_Type,"&lt;&gt;Transfert",J_Statut,"&lt;&gt;Annulé",J_Statut,"&lt;&gt;Prévu")</f>
        <v/>
      </c>
      <c r="F130" s="66">
        <f>SUMIFS(P_Total,P_Annee,Annee_Travail,P_Module,$B130,P_Cat,$C130)</f>
        <v/>
      </c>
      <c r="G130" s="66">
        <f>$F130-$E130</f>
        <v/>
      </c>
      <c r="H130" s="247">
        <f>$D130*IF(OR(Perimetre_Filtre="*",$B130=Perimetre_Filtre),1,0)+ROW()/1000000</f>
        <v/>
      </c>
      <c r="I130" s="247">
        <f>$E130*IF(OR(Perimetre_Filtre="*",$B130=Perimetre_Filtre),1,0)+ROW()/1000000</f>
        <v/>
      </c>
    </row>
    <row r="131">
      <c r="B131" s="242" t="inlineStr">
        <is>
          <t>Immobilier</t>
        </is>
      </c>
      <c r="C131" s="242" t="inlineStr">
        <is>
          <t>Carrelage &amp; revêtements</t>
        </is>
      </c>
      <c r="D131" s="66">
        <f>SUMIFS(J_Montant,J_Annee,Annee_Travail,J_Mois,Mois_Num,J_Module,$B131,J_Cat,$C131,J_Type,"&lt;&gt;Revenu",J_Type,"&lt;&gt;Transfert",J_Statut,"&lt;&gt;Annulé",J_Statut,"&lt;&gt;Prévu")</f>
        <v/>
      </c>
      <c r="E131" s="66">
        <f>SUMIFS(J_Montant,J_Annee,Annee_Travail,J_Module,$B131,J_Cat,$C131,J_Type,"&lt;&gt;Revenu",J_Type,"&lt;&gt;Transfert",J_Statut,"&lt;&gt;Annulé",J_Statut,"&lt;&gt;Prévu")</f>
        <v/>
      </c>
      <c r="F131" s="66">
        <f>SUMIFS(P_Total,P_Annee,Annee_Travail,P_Module,$B131,P_Cat,$C131)</f>
        <v/>
      </c>
      <c r="G131" s="66">
        <f>$F131-$E131</f>
        <v/>
      </c>
      <c r="H131" s="247">
        <f>$D131*IF(OR(Perimetre_Filtre="*",$B131=Perimetre_Filtre),1,0)+ROW()/1000000</f>
        <v/>
      </c>
      <c r="I131" s="247">
        <f>$E131*IF(OR(Perimetre_Filtre="*",$B131=Perimetre_Filtre),1,0)+ROW()/1000000</f>
        <v/>
      </c>
    </row>
    <row r="132">
      <c r="B132" s="242" t="inlineStr">
        <is>
          <t>Immobilier</t>
        </is>
      </c>
      <c r="C132" s="242" t="inlineStr">
        <is>
          <t>Peinture &amp; finitions</t>
        </is>
      </c>
      <c r="D132" s="66">
        <f>SUMIFS(J_Montant,J_Annee,Annee_Travail,J_Mois,Mois_Num,J_Module,$B132,J_Cat,$C132,J_Type,"&lt;&gt;Revenu",J_Type,"&lt;&gt;Transfert",J_Statut,"&lt;&gt;Annulé",J_Statut,"&lt;&gt;Prévu")</f>
        <v/>
      </c>
      <c r="E132" s="66">
        <f>SUMIFS(J_Montant,J_Annee,Annee_Travail,J_Module,$B132,J_Cat,$C132,J_Type,"&lt;&gt;Revenu",J_Type,"&lt;&gt;Transfert",J_Statut,"&lt;&gt;Annulé",J_Statut,"&lt;&gt;Prévu")</f>
        <v/>
      </c>
      <c r="F132" s="66">
        <f>SUMIFS(P_Total,P_Annee,Annee_Travail,P_Module,$B132,P_Cat,$C132)</f>
        <v/>
      </c>
      <c r="G132" s="66">
        <f>$F132-$E132</f>
        <v/>
      </c>
      <c r="H132" s="247">
        <f>$D132*IF(OR(Perimetre_Filtre="*",$B132=Perimetre_Filtre),1,0)+ROW()/1000000</f>
        <v/>
      </c>
      <c r="I132" s="247">
        <f>$E132*IF(OR(Perimetre_Filtre="*",$B132=Perimetre_Filtre),1,0)+ROW()/1000000</f>
        <v/>
      </c>
    </row>
    <row r="133">
      <c r="B133" s="242" t="inlineStr">
        <is>
          <t>Immobilier</t>
        </is>
      </c>
      <c r="C133" s="242" t="inlineStr">
        <is>
          <t>Clôture &amp; portail</t>
        </is>
      </c>
      <c r="D133" s="66">
        <f>SUMIFS(J_Montant,J_Annee,Annee_Travail,J_Mois,Mois_Num,J_Module,$B133,J_Cat,$C133,J_Type,"&lt;&gt;Revenu",J_Type,"&lt;&gt;Transfert",J_Statut,"&lt;&gt;Annulé",J_Statut,"&lt;&gt;Prévu")</f>
        <v/>
      </c>
      <c r="E133" s="66">
        <f>SUMIFS(J_Montant,J_Annee,Annee_Travail,J_Module,$B133,J_Cat,$C133,J_Type,"&lt;&gt;Revenu",J_Type,"&lt;&gt;Transfert",J_Statut,"&lt;&gt;Annulé",J_Statut,"&lt;&gt;Prévu")</f>
        <v/>
      </c>
      <c r="F133" s="66">
        <f>SUMIFS(P_Total,P_Annee,Annee_Travail,P_Module,$B133,P_Cat,$C133)</f>
        <v/>
      </c>
      <c r="G133" s="66">
        <f>$F133-$E133</f>
        <v/>
      </c>
      <c r="H133" s="247">
        <f>$D133*IF(OR(Perimetre_Filtre="*",$B133=Perimetre_Filtre),1,0)+ROW()/1000000</f>
        <v/>
      </c>
      <c r="I133" s="247">
        <f>$E133*IF(OR(Perimetre_Filtre="*",$B133=Perimetre_Filtre),1,0)+ROW()/1000000</f>
        <v/>
      </c>
    </row>
    <row r="134">
      <c r="B134" s="242" t="inlineStr">
        <is>
          <t>Immobilier</t>
        </is>
      </c>
      <c r="C134" s="242" t="inlineStr">
        <is>
          <t>Aménagement extérieur</t>
        </is>
      </c>
      <c r="D134" s="66">
        <f>SUMIFS(J_Montant,J_Annee,Annee_Travail,J_Mois,Mois_Num,J_Module,$B134,J_Cat,$C134,J_Type,"&lt;&gt;Revenu",J_Type,"&lt;&gt;Transfert",J_Statut,"&lt;&gt;Annulé",J_Statut,"&lt;&gt;Prévu")</f>
        <v/>
      </c>
      <c r="E134" s="66">
        <f>SUMIFS(J_Montant,J_Annee,Annee_Travail,J_Module,$B134,J_Cat,$C134,J_Type,"&lt;&gt;Revenu",J_Type,"&lt;&gt;Transfert",J_Statut,"&lt;&gt;Annulé",J_Statut,"&lt;&gt;Prévu")</f>
        <v/>
      </c>
      <c r="F134" s="66">
        <f>SUMIFS(P_Total,P_Annee,Annee_Travail,P_Module,$B134,P_Cat,$C134)</f>
        <v/>
      </c>
      <c r="G134" s="66">
        <f>$F134-$E134</f>
        <v/>
      </c>
      <c r="H134" s="247">
        <f>$D134*IF(OR(Perimetre_Filtre="*",$B134=Perimetre_Filtre),1,0)+ROW()/1000000</f>
        <v/>
      </c>
      <c r="I134" s="247">
        <f>$E134*IF(OR(Perimetre_Filtre="*",$B134=Perimetre_Filtre),1,0)+ROW()/1000000</f>
        <v/>
      </c>
    </row>
    <row r="135">
      <c r="B135" s="242" t="inlineStr">
        <is>
          <t>Immobilier</t>
        </is>
      </c>
      <c r="C135" s="242" t="inlineStr">
        <is>
          <t>Main d'œuvre</t>
        </is>
      </c>
      <c r="D135" s="66">
        <f>SUMIFS(J_Montant,J_Annee,Annee_Travail,J_Mois,Mois_Num,J_Module,$B135,J_Cat,$C135,J_Type,"&lt;&gt;Revenu",J_Type,"&lt;&gt;Transfert",J_Statut,"&lt;&gt;Annulé",J_Statut,"&lt;&gt;Prévu")</f>
        <v/>
      </c>
      <c r="E135" s="66">
        <f>SUMIFS(J_Montant,J_Annee,Annee_Travail,J_Module,$B135,J_Cat,$C135,J_Type,"&lt;&gt;Revenu",J_Type,"&lt;&gt;Transfert",J_Statut,"&lt;&gt;Annulé",J_Statut,"&lt;&gt;Prévu")</f>
        <v/>
      </c>
      <c r="F135" s="66">
        <f>SUMIFS(P_Total,P_Annee,Annee_Travail,P_Module,$B135,P_Cat,$C135)</f>
        <v/>
      </c>
      <c r="G135" s="66">
        <f>$F135-$E135</f>
        <v/>
      </c>
      <c r="H135" s="247">
        <f>$D135*IF(OR(Perimetre_Filtre="*",$B135=Perimetre_Filtre),1,0)+ROW()/1000000</f>
        <v/>
      </c>
      <c r="I135" s="247">
        <f>$E135*IF(OR(Perimetre_Filtre="*",$B135=Perimetre_Filtre),1,0)+ROW()/1000000</f>
        <v/>
      </c>
    </row>
    <row r="136">
      <c r="B136" s="242" t="inlineStr">
        <is>
          <t>Immobilier</t>
        </is>
      </c>
      <c r="C136" s="242" t="inlineStr">
        <is>
          <t>Matériaux de construction</t>
        </is>
      </c>
      <c r="D136" s="66">
        <f>SUMIFS(J_Montant,J_Annee,Annee_Travail,J_Mois,Mois_Num,J_Module,$B136,J_Cat,$C136,J_Type,"&lt;&gt;Revenu",J_Type,"&lt;&gt;Transfert",J_Statut,"&lt;&gt;Annulé",J_Statut,"&lt;&gt;Prévu")</f>
        <v/>
      </c>
      <c r="E136" s="66">
        <f>SUMIFS(J_Montant,J_Annee,Annee_Travail,J_Module,$B136,J_Cat,$C136,J_Type,"&lt;&gt;Revenu",J_Type,"&lt;&gt;Transfert",J_Statut,"&lt;&gt;Annulé",J_Statut,"&lt;&gt;Prévu")</f>
        <v/>
      </c>
      <c r="F136" s="66">
        <f>SUMIFS(P_Total,P_Annee,Annee_Travail,P_Module,$B136,P_Cat,$C136)</f>
        <v/>
      </c>
      <c r="G136" s="66">
        <f>$F136-$E136</f>
        <v/>
      </c>
      <c r="H136" s="247">
        <f>$D136*IF(OR(Perimetre_Filtre="*",$B136=Perimetre_Filtre),1,0)+ROW()/1000000</f>
        <v/>
      </c>
      <c r="I136" s="247">
        <f>$E136*IF(OR(Perimetre_Filtre="*",$B136=Perimetre_Filtre),1,0)+ROW()/1000000</f>
        <v/>
      </c>
    </row>
    <row r="137">
      <c r="B137" s="242" t="inlineStr">
        <is>
          <t>Immobilier</t>
        </is>
      </c>
      <c r="C137" s="242" t="inlineStr">
        <is>
          <t>Raccordements (eau, électricité)</t>
        </is>
      </c>
      <c r="D137" s="66">
        <f>SUMIFS(J_Montant,J_Annee,Annee_Travail,J_Mois,Mois_Num,J_Module,$B137,J_Cat,$C137,J_Type,"&lt;&gt;Revenu",J_Type,"&lt;&gt;Transfert",J_Statut,"&lt;&gt;Annulé",J_Statut,"&lt;&gt;Prévu")</f>
        <v/>
      </c>
      <c r="E137" s="66">
        <f>SUMIFS(J_Montant,J_Annee,Annee_Travail,J_Module,$B137,J_Cat,$C137,J_Type,"&lt;&gt;Revenu",J_Type,"&lt;&gt;Transfert",J_Statut,"&lt;&gt;Annulé",J_Statut,"&lt;&gt;Prévu")</f>
        <v/>
      </c>
      <c r="F137" s="66">
        <f>SUMIFS(P_Total,P_Annee,Annee_Travail,P_Module,$B137,P_Cat,$C137)</f>
        <v/>
      </c>
      <c r="G137" s="66">
        <f>$F137-$E137</f>
        <v/>
      </c>
      <c r="H137" s="247">
        <f>$D137*IF(OR(Perimetre_Filtre="*",$B137=Perimetre_Filtre),1,0)+ROW()/1000000</f>
        <v/>
      </c>
      <c r="I137" s="247">
        <f>$E137*IF(OR(Perimetre_Filtre="*",$B137=Perimetre_Filtre),1,0)+ROW()/1000000</f>
        <v/>
      </c>
    </row>
    <row r="138">
      <c r="B138" s="242" t="inlineStr">
        <is>
          <t>Immobilier</t>
        </is>
      </c>
      <c r="C138" s="242" t="inlineStr">
        <is>
          <t>Loyers perçus</t>
        </is>
      </c>
      <c r="D138" s="66">
        <f>SUMIFS(J_Montant,J_Annee,Annee_Travail,J_Mois,Mois_Num,J_Module,$B138,J_Cat,$C138,J_Type,"&lt;&gt;Revenu",J_Type,"&lt;&gt;Transfert",J_Statut,"&lt;&gt;Annulé",J_Statut,"&lt;&gt;Prévu")</f>
        <v/>
      </c>
      <c r="E138" s="66">
        <f>SUMIFS(J_Montant,J_Annee,Annee_Travail,J_Module,$B138,J_Cat,$C138,J_Type,"&lt;&gt;Revenu",J_Type,"&lt;&gt;Transfert",J_Statut,"&lt;&gt;Annulé",J_Statut,"&lt;&gt;Prévu")</f>
        <v/>
      </c>
      <c r="F138" s="66">
        <f>SUMIFS(P_Total,P_Annee,Annee_Travail,P_Module,$B138,P_Cat,$C138)</f>
        <v/>
      </c>
      <c r="G138" s="66">
        <f>$F138-$E138</f>
        <v/>
      </c>
      <c r="H138" s="247">
        <f>$D138*IF(OR(Perimetre_Filtre="*",$B138=Perimetre_Filtre),1,0)+ROW()/1000000</f>
        <v/>
      </c>
      <c r="I138" s="247">
        <f>$E138*IF(OR(Perimetre_Filtre="*",$B138=Perimetre_Filtre),1,0)+ROW()/1000000</f>
        <v/>
      </c>
    </row>
    <row r="139">
      <c r="B139" s="242" t="inlineStr">
        <is>
          <t>Immobilier</t>
        </is>
      </c>
      <c r="C139" s="242" t="inlineStr">
        <is>
          <t>Dépôt de garantie</t>
        </is>
      </c>
      <c r="D139" s="66">
        <f>SUMIFS(J_Montant,J_Annee,Annee_Travail,J_Mois,Mois_Num,J_Module,$B139,J_Cat,$C139,J_Type,"&lt;&gt;Revenu",J_Type,"&lt;&gt;Transfert",J_Statut,"&lt;&gt;Annulé",J_Statut,"&lt;&gt;Prévu")</f>
        <v/>
      </c>
      <c r="E139" s="66">
        <f>SUMIFS(J_Montant,J_Annee,Annee_Travail,J_Module,$B139,J_Cat,$C139,J_Type,"&lt;&gt;Revenu",J_Type,"&lt;&gt;Transfert",J_Statut,"&lt;&gt;Annulé",J_Statut,"&lt;&gt;Prévu")</f>
        <v/>
      </c>
      <c r="F139" s="66">
        <f>SUMIFS(P_Total,P_Annee,Annee_Travail,P_Module,$B139,P_Cat,$C139)</f>
        <v/>
      </c>
      <c r="G139" s="66">
        <f>$F139-$E139</f>
        <v/>
      </c>
      <c r="H139" s="247">
        <f>$D139*IF(OR(Perimetre_Filtre="*",$B139=Perimetre_Filtre),1,0)+ROW()/1000000</f>
        <v/>
      </c>
      <c r="I139" s="247">
        <f>$E139*IF(OR(Perimetre_Filtre="*",$B139=Perimetre_Filtre),1,0)+ROW()/1000000</f>
        <v/>
      </c>
    </row>
    <row r="140">
      <c r="B140" s="242" t="inlineStr">
        <is>
          <t>Immobilier</t>
        </is>
      </c>
      <c r="C140" s="242" t="inlineStr">
        <is>
          <t>Charges locatives</t>
        </is>
      </c>
      <c r="D140" s="66">
        <f>SUMIFS(J_Montant,J_Annee,Annee_Travail,J_Mois,Mois_Num,J_Module,$B140,J_Cat,$C140,J_Type,"&lt;&gt;Revenu",J_Type,"&lt;&gt;Transfert",J_Statut,"&lt;&gt;Annulé",J_Statut,"&lt;&gt;Prévu")</f>
        <v/>
      </c>
      <c r="E140" s="66">
        <f>SUMIFS(J_Montant,J_Annee,Annee_Travail,J_Module,$B140,J_Cat,$C140,J_Type,"&lt;&gt;Revenu",J_Type,"&lt;&gt;Transfert",J_Statut,"&lt;&gt;Annulé",J_Statut,"&lt;&gt;Prévu")</f>
        <v/>
      </c>
      <c r="F140" s="66">
        <f>SUMIFS(P_Total,P_Annee,Annee_Travail,P_Module,$B140,P_Cat,$C140)</f>
        <v/>
      </c>
      <c r="G140" s="66">
        <f>$F140-$E140</f>
        <v/>
      </c>
      <c r="H140" s="247">
        <f>$D140*IF(OR(Perimetre_Filtre="*",$B140=Perimetre_Filtre),1,0)+ROW()/1000000</f>
        <v/>
      </c>
      <c r="I140" s="247">
        <f>$E140*IF(OR(Perimetre_Filtre="*",$B140=Perimetre_Filtre),1,0)+ROW()/1000000</f>
        <v/>
      </c>
    </row>
    <row r="141">
      <c r="B141" s="242" t="inlineStr">
        <is>
          <t>Immobilier</t>
        </is>
      </c>
      <c r="C141" s="242" t="inlineStr">
        <is>
          <t>Taxe foncière</t>
        </is>
      </c>
      <c r="D141" s="66">
        <f>SUMIFS(J_Montant,J_Annee,Annee_Travail,J_Mois,Mois_Num,J_Module,$B141,J_Cat,$C141,J_Type,"&lt;&gt;Revenu",J_Type,"&lt;&gt;Transfert",J_Statut,"&lt;&gt;Annulé",J_Statut,"&lt;&gt;Prévu")</f>
        <v/>
      </c>
      <c r="E141" s="66">
        <f>SUMIFS(J_Montant,J_Annee,Annee_Travail,J_Module,$B141,J_Cat,$C141,J_Type,"&lt;&gt;Revenu",J_Type,"&lt;&gt;Transfert",J_Statut,"&lt;&gt;Annulé",J_Statut,"&lt;&gt;Prévu")</f>
        <v/>
      </c>
      <c r="F141" s="66">
        <f>SUMIFS(P_Total,P_Annee,Annee_Travail,P_Module,$B141,P_Cat,$C141)</f>
        <v/>
      </c>
      <c r="G141" s="66">
        <f>$F141-$E141</f>
        <v/>
      </c>
      <c r="H141" s="247">
        <f>$D141*IF(OR(Perimetre_Filtre="*",$B141=Perimetre_Filtre),1,0)+ROW()/1000000</f>
        <v/>
      </c>
      <c r="I141" s="247">
        <f>$E141*IF(OR(Perimetre_Filtre="*",$B141=Perimetre_Filtre),1,0)+ROW()/1000000</f>
        <v/>
      </c>
    </row>
    <row r="142">
      <c r="B142" s="242" t="inlineStr">
        <is>
          <t>Immobilier</t>
        </is>
      </c>
      <c r="C142" s="242" t="inlineStr">
        <is>
          <t>Assurance habitation / PNO</t>
        </is>
      </c>
      <c r="D142" s="66">
        <f>SUMIFS(J_Montant,J_Annee,Annee_Travail,J_Mois,Mois_Num,J_Module,$B142,J_Cat,$C142,J_Type,"&lt;&gt;Revenu",J_Type,"&lt;&gt;Transfert",J_Statut,"&lt;&gt;Annulé",J_Statut,"&lt;&gt;Prévu")</f>
        <v/>
      </c>
      <c r="E142" s="66">
        <f>SUMIFS(J_Montant,J_Annee,Annee_Travail,J_Module,$B142,J_Cat,$C142,J_Type,"&lt;&gt;Revenu",J_Type,"&lt;&gt;Transfert",J_Statut,"&lt;&gt;Annulé",J_Statut,"&lt;&gt;Prévu")</f>
        <v/>
      </c>
      <c r="F142" s="66">
        <f>SUMIFS(P_Total,P_Annee,Annee_Travail,P_Module,$B142,P_Cat,$C142)</f>
        <v/>
      </c>
      <c r="G142" s="66">
        <f>$F142-$E142</f>
        <v/>
      </c>
      <c r="H142" s="247">
        <f>$D142*IF(OR(Perimetre_Filtre="*",$B142=Perimetre_Filtre),1,0)+ROW()/1000000</f>
        <v/>
      </c>
      <c r="I142" s="247">
        <f>$E142*IF(OR(Perimetre_Filtre="*",$B142=Perimetre_Filtre),1,0)+ROW()/1000000</f>
        <v/>
      </c>
    </row>
    <row r="143">
      <c r="B143" s="242" t="inlineStr">
        <is>
          <t>Immobilier</t>
        </is>
      </c>
      <c r="C143" s="242" t="inlineStr">
        <is>
          <t>Frais de gérance</t>
        </is>
      </c>
      <c r="D143" s="66">
        <f>SUMIFS(J_Montant,J_Annee,Annee_Travail,J_Mois,Mois_Num,J_Module,$B143,J_Cat,$C143,J_Type,"&lt;&gt;Revenu",J_Type,"&lt;&gt;Transfert",J_Statut,"&lt;&gt;Annulé",J_Statut,"&lt;&gt;Prévu")</f>
        <v/>
      </c>
      <c r="E143" s="66">
        <f>SUMIFS(J_Montant,J_Annee,Annee_Travail,J_Module,$B143,J_Cat,$C143,J_Type,"&lt;&gt;Revenu",J_Type,"&lt;&gt;Transfert",J_Statut,"&lt;&gt;Annulé",J_Statut,"&lt;&gt;Prévu")</f>
        <v/>
      </c>
      <c r="F143" s="66">
        <f>SUMIFS(P_Total,P_Annee,Annee_Travail,P_Module,$B143,P_Cat,$C143)</f>
        <v/>
      </c>
      <c r="G143" s="66">
        <f>$F143-$E143</f>
        <v/>
      </c>
      <c r="H143" s="247">
        <f>$D143*IF(OR(Perimetre_Filtre="*",$B143=Perimetre_Filtre),1,0)+ROW()/1000000</f>
        <v/>
      </c>
      <c r="I143" s="247">
        <f>$E143*IF(OR(Perimetre_Filtre="*",$B143=Perimetre_Filtre),1,0)+ROW()/1000000</f>
        <v/>
      </c>
    </row>
    <row r="144">
      <c r="B144" s="242" t="inlineStr">
        <is>
          <t>Immobilier</t>
        </is>
      </c>
      <c r="C144" s="242" t="inlineStr">
        <is>
          <t>Entretien &amp; réparations</t>
        </is>
      </c>
      <c r="D144" s="66">
        <f>SUMIFS(J_Montant,J_Annee,Annee_Travail,J_Mois,Mois_Num,J_Module,$B144,J_Cat,$C144,J_Type,"&lt;&gt;Revenu",J_Type,"&lt;&gt;Transfert",J_Statut,"&lt;&gt;Annulé",J_Statut,"&lt;&gt;Prévu")</f>
        <v/>
      </c>
      <c r="E144" s="66">
        <f>SUMIFS(J_Montant,J_Annee,Annee_Travail,J_Module,$B144,J_Cat,$C144,J_Type,"&lt;&gt;Revenu",J_Type,"&lt;&gt;Transfert",J_Statut,"&lt;&gt;Annulé",J_Statut,"&lt;&gt;Prévu")</f>
        <v/>
      </c>
      <c r="F144" s="66">
        <f>SUMIFS(P_Total,P_Annee,Annee_Travail,P_Module,$B144,P_Cat,$C144)</f>
        <v/>
      </c>
      <c r="G144" s="66">
        <f>$F144-$E144</f>
        <v/>
      </c>
      <c r="H144" s="247">
        <f>$D144*IF(OR(Perimetre_Filtre="*",$B144=Perimetre_Filtre),1,0)+ROW()/1000000</f>
        <v/>
      </c>
      <c r="I144" s="247">
        <f>$E144*IF(OR(Perimetre_Filtre="*",$B144=Perimetre_Filtre),1,0)+ROW()/1000000</f>
        <v/>
      </c>
    </row>
    <row r="145">
      <c r="B145" s="242" t="inlineStr">
        <is>
          <t>Immobilier</t>
        </is>
      </c>
      <c r="C145" s="242" t="inlineStr">
        <is>
          <t>Mensualité crédit immobilier</t>
        </is>
      </c>
      <c r="D145" s="66">
        <f>SUMIFS(J_Montant,J_Annee,Annee_Travail,J_Mois,Mois_Num,J_Module,$B145,J_Cat,$C145,J_Type,"&lt;&gt;Revenu",J_Type,"&lt;&gt;Transfert",J_Statut,"&lt;&gt;Annulé",J_Statut,"&lt;&gt;Prévu")</f>
        <v/>
      </c>
      <c r="E145" s="66">
        <f>SUMIFS(J_Montant,J_Annee,Annee_Travail,J_Module,$B145,J_Cat,$C145,J_Type,"&lt;&gt;Revenu",J_Type,"&lt;&gt;Transfert",J_Statut,"&lt;&gt;Annulé",J_Statut,"&lt;&gt;Prévu")</f>
        <v/>
      </c>
      <c r="F145" s="66">
        <f>SUMIFS(P_Total,P_Annee,Annee_Travail,P_Module,$B145,P_Cat,$C145)</f>
        <v/>
      </c>
      <c r="G145" s="66">
        <f>$F145-$E145</f>
        <v/>
      </c>
      <c r="H145" s="247">
        <f>$D145*IF(OR(Perimetre_Filtre="*",$B145=Perimetre_Filtre),1,0)+ROW()/1000000</f>
        <v/>
      </c>
      <c r="I145" s="247">
        <f>$E145*IF(OR(Perimetre_Filtre="*",$B145=Perimetre_Filtre),1,0)+ROW()/1000000</f>
        <v/>
      </c>
    </row>
    <row r="146">
      <c r="B146" s="242" t="inlineStr">
        <is>
          <t>Immobilier</t>
        </is>
      </c>
      <c r="C146" s="242" t="inlineStr">
        <is>
          <t>Intérêts d'emprunt</t>
        </is>
      </c>
      <c r="D146" s="66">
        <f>SUMIFS(J_Montant,J_Annee,Annee_Travail,J_Mois,Mois_Num,J_Module,$B146,J_Cat,$C146,J_Type,"&lt;&gt;Revenu",J_Type,"&lt;&gt;Transfert",J_Statut,"&lt;&gt;Annulé",J_Statut,"&lt;&gt;Prévu")</f>
        <v/>
      </c>
      <c r="E146" s="66">
        <f>SUMIFS(J_Montant,J_Annee,Annee_Travail,J_Module,$B146,J_Cat,$C146,J_Type,"&lt;&gt;Revenu",J_Type,"&lt;&gt;Transfert",J_Statut,"&lt;&gt;Annulé",J_Statut,"&lt;&gt;Prévu")</f>
        <v/>
      </c>
      <c r="F146" s="66">
        <f>SUMIFS(P_Total,P_Annee,Annee_Travail,P_Module,$B146,P_Cat,$C146)</f>
        <v/>
      </c>
      <c r="G146" s="66">
        <f>$F146-$E146</f>
        <v/>
      </c>
      <c r="H146" s="247">
        <f>$D146*IF(OR(Perimetre_Filtre="*",$B146=Perimetre_Filtre),1,0)+ROW()/1000000</f>
        <v/>
      </c>
      <c r="I146" s="247">
        <f>$E146*IF(OR(Perimetre_Filtre="*",$B146=Perimetre_Filtre),1,0)+ROW()/1000000</f>
        <v/>
      </c>
    </row>
    <row r="147">
      <c r="B147" s="242" t="inlineStr">
        <is>
          <t>Immobilier</t>
        </is>
      </c>
      <c r="C147" s="242" t="inlineStr">
        <is>
          <t>Divers immobilier</t>
        </is>
      </c>
      <c r="D147" s="66">
        <f>SUMIFS(J_Montant,J_Annee,Annee_Travail,J_Mois,Mois_Num,J_Module,$B147,J_Cat,$C147,J_Type,"&lt;&gt;Revenu",J_Type,"&lt;&gt;Transfert",J_Statut,"&lt;&gt;Annulé",J_Statut,"&lt;&gt;Prévu")</f>
        <v/>
      </c>
      <c r="E147" s="66">
        <f>SUMIFS(J_Montant,J_Annee,Annee_Travail,J_Module,$B147,J_Cat,$C147,J_Type,"&lt;&gt;Revenu",J_Type,"&lt;&gt;Transfert",J_Statut,"&lt;&gt;Annulé",J_Statut,"&lt;&gt;Prévu")</f>
        <v/>
      </c>
      <c r="F147" s="66">
        <f>SUMIFS(P_Total,P_Annee,Annee_Travail,P_Module,$B147,P_Cat,$C147)</f>
        <v/>
      </c>
      <c r="G147" s="66">
        <f>$F147-$E147</f>
        <v/>
      </c>
      <c r="H147" s="247">
        <f>$D147*IF(OR(Perimetre_Filtre="*",$B147=Perimetre_Filtre),1,0)+ROW()/1000000</f>
        <v/>
      </c>
      <c r="I147" s="247">
        <f>$E147*IF(OR(Perimetre_Filtre="*",$B147=Perimetre_Filtre),1,0)+ROW()/1000000</f>
        <v/>
      </c>
    </row>
    <row r="148">
      <c r="B148" s="242" t="inlineStr">
        <is>
          <t>Business</t>
        </is>
      </c>
      <c r="C148" s="242" t="inlineStr">
        <is>
          <t>Apport en capital</t>
        </is>
      </c>
      <c r="D148" s="66">
        <f>SUMIFS(J_Montant,J_Annee,Annee_Travail,J_Mois,Mois_Num,J_Module,$B148,J_Cat,$C148,J_Type,"&lt;&gt;Revenu",J_Type,"&lt;&gt;Transfert",J_Statut,"&lt;&gt;Annulé",J_Statut,"&lt;&gt;Prévu")</f>
        <v/>
      </c>
      <c r="E148" s="66">
        <f>SUMIFS(J_Montant,J_Annee,Annee_Travail,J_Module,$B148,J_Cat,$C148,J_Type,"&lt;&gt;Revenu",J_Type,"&lt;&gt;Transfert",J_Statut,"&lt;&gt;Annulé",J_Statut,"&lt;&gt;Prévu")</f>
        <v/>
      </c>
      <c r="F148" s="66">
        <f>SUMIFS(P_Total,P_Annee,Annee_Travail,P_Module,$B148,P_Cat,$C148)</f>
        <v/>
      </c>
      <c r="G148" s="66">
        <f>$F148-$E148</f>
        <v/>
      </c>
      <c r="H148" s="247">
        <f>$D148*IF(OR(Perimetre_Filtre="*",$B148=Perimetre_Filtre),1,0)+ROW()/1000000</f>
        <v/>
      </c>
      <c r="I148" s="247">
        <f>$E148*IF(OR(Perimetre_Filtre="*",$B148=Perimetre_Filtre),1,0)+ROW()/1000000</f>
        <v/>
      </c>
    </row>
    <row r="149">
      <c r="B149" s="242" t="inlineStr">
        <is>
          <t>Business</t>
        </is>
      </c>
      <c r="C149" s="242" t="inlineStr">
        <is>
          <t>Chiffre d'affaires</t>
        </is>
      </c>
      <c r="D149" s="66">
        <f>SUMIFS(J_Montant,J_Annee,Annee_Travail,J_Mois,Mois_Num,J_Module,$B149,J_Cat,$C149,J_Type,"&lt;&gt;Revenu",J_Type,"&lt;&gt;Transfert",J_Statut,"&lt;&gt;Annulé",J_Statut,"&lt;&gt;Prévu")</f>
        <v/>
      </c>
      <c r="E149" s="66">
        <f>SUMIFS(J_Montant,J_Annee,Annee_Travail,J_Module,$B149,J_Cat,$C149,J_Type,"&lt;&gt;Revenu",J_Type,"&lt;&gt;Transfert",J_Statut,"&lt;&gt;Annulé",J_Statut,"&lt;&gt;Prévu")</f>
        <v/>
      </c>
      <c r="F149" s="66">
        <f>SUMIFS(P_Total,P_Annee,Annee_Travail,P_Module,$B149,P_Cat,$C149)</f>
        <v/>
      </c>
      <c r="G149" s="66">
        <f>$F149-$E149</f>
        <v/>
      </c>
      <c r="H149" s="247">
        <f>$D149*IF(OR(Perimetre_Filtre="*",$B149=Perimetre_Filtre),1,0)+ROW()/1000000</f>
        <v/>
      </c>
      <c r="I149" s="247">
        <f>$E149*IF(OR(Perimetre_Filtre="*",$B149=Perimetre_Filtre),1,0)+ROW()/1000000</f>
        <v/>
      </c>
    </row>
    <row r="150">
      <c r="B150" s="242" t="inlineStr">
        <is>
          <t>Business</t>
        </is>
      </c>
      <c r="C150" s="242" t="inlineStr">
        <is>
          <t>Prestation de service</t>
        </is>
      </c>
      <c r="D150" s="66">
        <f>SUMIFS(J_Montant,J_Annee,Annee_Travail,J_Mois,Mois_Num,J_Module,$B150,J_Cat,$C150,J_Type,"&lt;&gt;Revenu",J_Type,"&lt;&gt;Transfert",J_Statut,"&lt;&gt;Annulé",J_Statut,"&lt;&gt;Prévu")</f>
        <v/>
      </c>
      <c r="E150" s="66">
        <f>SUMIFS(J_Montant,J_Annee,Annee_Travail,J_Module,$B150,J_Cat,$C150,J_Type,"&lt;&gt;Revenu",J_Type,"&lt;&gt;Transfert",J_Statut,"&lt;&gt;Annulé",J_Statut,"&lt;&gt;Prévu")</f>
        <v/>
      </c>
      <c r="F150" s="66">
        <f>SUMIFS(P_Total,P_Annee,Annee_Travail,P_Module,$B150,P_Cat,$C150)</f>
        <v/>
      </c>
      <c r="G150" s="66">
        <f>$F150-$E150</f>
        <v/>
      </c>
      <c r="H150" s="247">
        <f>$D150*IF(OR(Perimetre_Filtre="*",$B150=Perimetre_Filtre),1,0)+ROW()/1000000</f>
        <v/>
      </c>
      <c r="I150" s="247">
        <f>$E150*IF(OR(Perimetre_Filtre="*",$B150=Perimetre_Filtre),1,0)+ROW()/1000000</f>
        <v/>
      </c>
    </row>
    <row r="151">
      <c r="B151" s="242" t="inlineStr">
        <is>
          <t>Business</t>
        </is>
      </c>
      <c r="C151" s="242" t="inlineStr">
        <is>
          <t>Vente de produits</t>
        </is>
      </c>
      <c r="D151" s="66">
        <f>SUMIFS(J_Montant,J_Annee,Annee_Travail,J_Mois,Mois_Num,J_Module,$B151,J_Cat,$C151,J_Type,"&lt;&gt;Revenu",J_Type,"&lt;&gt;Transfert",J_Statut,"&lt;&gt;Annulé",J_Statut,"&lt;&gt;Prévu")</f>
        <v/>
      </c>
      <c r="E151" s="66">
        <f>SUMIFS(J_Montant,J_Annee,Annee_Travail,J_Module,$B151,J_Cat,$C151,J_Type,"&lt;&gt;Revenu",J_Type,"&lt;&gt;Transfert",J_Statut,"&lt;&gt;Annulé",J_Statut,"&lt;&gt;Prévu")</f>
        <v/>
      </c>
      <c r="F151" s="66">
        <f>SUMIFS(P_Total,P_Annee,Annee_Travail,P_Module,$B151,P_Cat,$C151)</f>
        <v/>
      </c>
      <c r="G151" s="66">
        <f>$F151-$E151</f>
        <v/>
      </c>
      <c r="H151" s="247">
        <f>$D151*IF(OR(Perimetre_Filtre="*",$B151=Perimetre_Filtre),1,0)+ROW()/1000000</f>
        <v/>
      </c>
      <c r="I151" s="247">
        <f>$E151*IF(OR(Perimetre_Filtre="*",$B151=Perimetre_Filtre),1,0)+ROW()/1000000</f>
        <v/>
      </c>
    </row>
    <row r="152">
      <c r="B152" s="242" t="inlineStr">
        <is>
          <t>Business</t>
        </is>
      </c>
      <c r="C152" s="242" t="inlineStr">
        <is>
          <t>Subvention / Financement</t>
        </is>
      </c>
      <c r="D152" s="66">
        <f>SUMIFS(J_Montant,J_Annee,Annee_Travail,J_Mois,Mois_Num,J_Module,$B152,J_Cat,$C152,J_Type,"&lt;&gt;Revenu",J_Type,"&lt;&gt;Transfert",J_Statut,"&lt;&gt;Annulé",J_Statut,"&lt;&gt;Prévu")</f>
        <v/>
      </c>
      <c r="E152" s="66">
        <f>SUMIFS(J_Montant,J_Annee,Annee_Travail,J_Module,$B152,J_Cat,$C152,J_Type,"&lt;&gt;Revenu",J_Type,"&lt;&gt;Transfert",J_Statut,"&lt;&gt;Annulé",J_Statut,"&lt;&gt;Prévu")</f>
        <v/>
      </c>
      <c r="F152" s="66">
        <f>SUMIFS(P_Total,P_Annee,Annee_Travail,P_Module,$B152,P_Cat,$C152)</f>
        <v/>
      </c>
      <c r="G152" s="66">
        <f>$F152-$E152</f>
        <v/>
      </c>
      <c r="H152" s="247">
        <f>$D152*IF(OR(Perimetre_Filtre="*",$B152=Perimetre_Filtre),1,0)+ROW()/1000000</f>
        <v/>
      </c>
      <c r="I152" s="247">
        <f>$E152*IF(OR(Perimetre_Filtre="*",$B152=Perimetre_Filtre),1,0)+ROW()/1000000</f>
        <v/>
      </c>
    </row>
    <row r="153">
      <c r="B153" s="242" t="inlineStr">
        <is>
          <t>Business</t>
        </is>
      </c>
      <c r="C153" s="242" t="inlineStr">
        <is>
          <t>Prêt reçu</t>
        </is>
      </c>
      <c r="D153" s="66">
        <f>SUMIFS(J_Montant,J_Annee,Annee_Travail,J_Mois,Mois_Num,J_Module,$B153,J_Cat,$C153,J_Type,"&lt;&gt;Revenu",J_Type,"&lt;&gt;Transfert",J_Statut,"&lt;&gt;Annulé",J_Statut,"&lt;&gt;Prévu")</f>
        <v/>
      </c>
      <c r="E153" s="66">
        <f>SUMIFS(J_Montant,J_Annee,Annee_Travail,J_Module,$B153,J_Cat,$C153,J_Type,"&lt;&gt;Revenu",J_Type,"&lt;&gt;Transfert",J_Statut,"&lt;&gt;Annulé",J_Statut,"&lt;&gt;Prévu")</f>
        <v/>
      </c>
      <c r="F153" s="66">
        <f>SUMIFS(P_Total,P_Annee,Annee_Travail,P_Module,$B153,P_Cat,$C153)</f>
        <v/>
      </c>
      <c r="G153" s="66">
        <f>$F153-$E153</f>
        <v/>
      </c>
      <c r="H153" s="247">
        <f>$D153*IF(OR(Perimetre_Filtre="*",$B153=Perimetre_Filtre),1,0)+ROW()/1000000</f>
        <v/>
      </c>
      <c r="I153" s="247">
        <f>$E153*IF(OR(Perimetre_Filtre="*",$B153=Perimetre_Filtre),1,0)+ROW()/1000000</f>
        <v/>
      </c>
    </row>
    <row r="154">
      <c r="B154" s="242" t="inlineStr">
        <is>
          <t>Business</t>
        </is>
      </c>
      <c r="C154" s="242" t="inlineStr">
        <is>
          <t>Achats de marchandises</t>
        </is>
      </c>
      <c r="D154" s="66">
        <f>SUMIFS(J_Montant,J_Annee,Annee_Travail,J_Mois,Mois_Num,J_Module,$B154,J_Cat,$C154,J_Type,"&lt;&gt;Revenu",J_Type,"&lt;&gt;Transfert",J_Statut,"&lt;&gt;Annulé",J_Statut,"&lt;&gt;Prévu")</f>
        <v/>
      </c>
      <c r="E154" s="66">
        <f>SUMIFS(J_Montant,J_Annee,Annee_Travail,J_Module,$B154,J_Cat,$C154,J_Type,"&lt;&gt;Revenu",J_Type,"&lt;&gt;Transfert",J_Statut,"&lt;&gt;Annulé",J_Statut,"&lt;&gt;Prévu")</f>
        <v/>
      </c>
      <c r="F154" s="66">
        <f>SUMIFS(P_Total,P_Annee,Annee_Travail,P_Module,$B154,P_Cat,$C154)</f>
        <v/>
      </c>
      <c r="G154" s="66">
        <f>$F154-$E154</f>
        <v/>
      </c>
      <c r="H154" s="247">
        <f>$D154*IF(OR(Perimetre_Filtre="*",$B154=Perimetre_Filtre),1,0)+ROW()/1000000</f>
        <v/>
      </c>
      <c r="I154" s="247">
        <f>$E154*IF(OR(Perimetre_Filtre="*",$B154=Perimetre_Filtre),1,0)+ROW()/1000000</f>
        <v/>
      </c>
    </row>
    <row r="155">
      <c r="B155" s="242" t="inlineStr">
        <is>
          <t>Business</t>
        </is>
      </c>
      <c r="C155" s="242" t="inlineStr">
        <is>
          <t>Matières premières</t>
        </is>
      </c>
      <c r="D155" s="66">
        <f>SUMIFS(J_Montant,J_Annee,Annee_Travail,J_Mois,Mois_Num,J_Module,$B155,J_Cat,$C155,J_Type,"&lt;&gt;Revenu",J_Type,"&lt;&gt;Transfert",J_Statut,"&lt;&gt;Annulé",J_Statut,"&lt;&gt;Prévu")</f>
        <v/>
      </c>
      <c r="E155" s="66">
        <f>SUMIFS(J_Montant,J_Annee,Annee_Travail,J_Module,$B155,J_Cat,$C155,J_Type,"&lt;&gt;Revenu",J_Type,"&lt;&gt;Transfert",J_Statut,"&lt;&gt;Annulé",J_Statut,"&lt;&gt;Prévu")</f>
        <v/>
      </c>
      <c r="F155" s="66">
        <f>SUMIFS(P_Total,P_Annee,Annee_Travail,P_Module,$B155,P_Cat,$C155)</f>
        <v/>
      </c>
      <c r="G155" s="66">
        <f>$F155-$E155</f>
        <v/>
      </c>
      <c r="H155" s="247">
        <f>$D155*IF(OR(Perimetre_Filtre="*",$B155=Perimetre_Filtre),1,0)+ROW()/1000000</f>
        <v/>
      </c>
      <c r="I155" s="247">
        <f>$E155*IF(OR(Perimetre_Filtre="*",$B155=Perimetre_Filtre),1,0)+ROW()/1000000</f>
        <v/>
      </c>
    </row>
    <row r="156">
      <c r="B156" s="242" t="inlineStr">
        <is>
          <t>Business</t>
        </is>
      </c>
      <c r="C156" s="242" t="inlineStr">
        <is>
          <t>Sous-traitance</t>
        </is>
      </c>
      <c r="D156" s="66">
        <f>SUMIFS(J_Montant,J_Annee,Annee_Travail,J_Mois,Mois_Num,J_Module,$B156,J_Cat,$C156,J_Type,"&lt;&gt;Revenu",J_Type,"&lt;&gt;Transfert",J_Statut,"&lt;&gt;Annulé",J_Statut,"&lt;&gt;Prévu")</f>
        <v/>
      </c>
      <c r="E156" s="66">
        <f>SUMIFS(J_Montant,J_Annee,Annee_Travail,J_Module,$B156,J_Cat,$C156,J_Type,"&lt;&gt;Revenu",J_Type,"&lt;&gt;Transfert",J_Statut,"&lt;&gt;Annulé",J_Statut,"&lt;&gt;Prévu")</f>
        <v/>
      </c>
      <c r="F156" s="66">
        <f>SUMIFS(P_Total,P_Annee,Annee_Travail,P_Module,$B156,P_Cat,$C156)</f>
        <v/>
      </c>
      <c r="G156" s="66">
        <f>$F156-$E156</f>
        <v/>
      </c>
      <c r="H156" s="247">
        <f>$D156*IF(OR(Perimetre_Filtre="*",$B156=Perimetre_Filtre),1,0)+ROW()/1000000</f>
        <v/>
      </c>
      <c r="I156" s="247">
        <f>$E156*IF(OR(Perimetre_Filtre="*",$B156=Perimetre_Filtre),1,0)+ROW()/1000000</f>
        <v/>
      </c>
    </row>
    <row r="157">
      <c r="B157" s="242" t="inlineStr">
        <is>
          <t>Business</t>
        </is>
      </c>
      <c r="C157" s="242" t="inlineStr">
        <is>
          <t>Salaires &amp; charges</t>
        </is>
      </c>
      <c r="D157" s="66">
        <f>SUMIFS(J_Montant,J_Annee,Annee_Travail,J_Mois,Mois_Num,J_Module,$B157,J_Cat,$C157,J_Type,"&lt;&gt;Revenu",J_Type,"&lt;&gt;Transfert",J_Statut,"&lt;&gt;Annulé",J_Statut,"&lt;&gt;Prévu")</f>
        <v/>
      </c>
      <c r="E157" s="66">
        <f>SUMIFS(J_Montant,J_Annee,Annee_Travail,J_Module,$B157,J_Cat,$C157,J_Type,"&lt;&gt;Revenu",J_Type,"&lt;&gt;Transfert",J_Statut,"&lt;&gt;Annulé",J_Statut,"&lt;&gt;Prévu")</f>
        <v/>
      </c>
      <c r="F157" s="66">
        <f>SUMIFS(P_Total,P_Annee,Annee_Travail,P_Module,$B157,P_Cat,$C157)</f>
        <v/>
      </c>
      <c r="G157" s="66">
        <f>$F157-$E157</f>
        <v/>
      </c>
      <c r="H157" s="247">
        <f>$D157*IF(OR(Perimetre_Filtre="*",$B157=Perimetre_Filtre),1,0)+ROW()/1000000</f>
        <v/>
      </c>
      <c r="I157" s="247">
        <f>$E157*IF(OR(Perimetre_Filtre="*",$B157=Perimetre_Filtre),1,0)+ROW()/1000000</f>
        <v/>
      </c>
    </row>
    <row r="158">
      <c r="B158" s="242" t="inlineStr">
        <is>
          <t>Business</t>
        </is>
      </c>
      <c r="C158" s="242" t="inlineStr">
        <is>
          <t>Honoraires</t>
        </is>
      </c>
      <c r="D158" s="66">
        <f>SUMIFS(J_Montant,J_Annee,Annee_Travail,J_Mois,Mois_Num,J_Module,$B158,J_Cat,$C158,J_Type,"&lt;&gt;Revenu",J_Type,"&lt;&gt;Transfert",J_Statut,"&lt;&gt;Annulé",J_Statut,"&lt;&gt;Prévu")</f>
        <v/>
      </c>
      <c r="E158" s="66">
        <f>SUMIFS(J_Montant,J_Annee,Annee_Travail,J_Module,$B158,J_Cat,$C158,J_Type,"&lt;&gt;Revenu",J_Type,"&lt;&gt;Transfert",J_Statut,"&lt;&gt;Annulé",J_Statut,"&lt;&gt;Prévu")</f>
        <v/>
      </c>
      <c r="F158" s="66">
        <f>SUMIFS(P_Total,P_Annee,Annee_Travail,P_Module,$B158,P_Cat,$C158)</f>
        <v/>
      </c>
      <c r="G158" s="66">
        <f>$F158-$E158</f>
        <v/>
      </c>
      <c r="H158" s="247">
        <f>$D158*IF(OR(Perimetre_Filtre="*",$B158=Perimetre_Filtre),1,0)+ROW()/1000000</f>
        <v/>
      </c>
      <c r="I158" s="247">
        <f>$E158*IF(OR(Perimetre_Filtre="*",$B158=Perimetre_Filtre),1,0)+ROW()/1000000</f>
        <v/>
      </c>
    </row>
    <row r="159">
      <c r="B159" s="242" t="inlineStr">
        <is>
          <t>Business</t>
        </is>
      </c>
      <c r="C159" s="242" t="inlineStr">
        <is>
          <t>Loyer professionnel</t>
        </is>
      </c>
      <c r="D159" s="66">
        <f>SUMIFS(J_Montant,J_Annee,Annee_Travail,J_Mois,Mois_Num,J_Module,$B159,J_Cat,$C159,J_Type,"&lt;&gt;Revenu",J_Type,"&lt;&gt;Transfert",J_Statut,"&lt;&gt;Annulé",J_Statut,"&lt;&gt;Prévu")</f>
        <v/>
      </c>
      <c r="E159" s="66">
        <f>SUMIFS(J_Montant,J_Annee,Annee_Travail,J_Module,$B159,J_Cat,$C159,J_Type,"&lt;&gt;Revenu",J_Type,"&lt;&gt;Transfert",J_Statut,"&lt;&gt;Annulé",J_Statut,"&lt;&gt;Prévu")</f>
        <v/>
      </c>
      <c r="F159" s="66">
        <f>SUMIFS(P_Total,P_Annee,Annee_Travail,P_Module,$B159,P_Cat,$C159)</f>
        <v/>
      </c>
      <c r="G159" s="66">
        <f>$F159-$E159</f>
        <v/>
      </c>
      <c r="H159" s="247">
        <f>$D159*IF(OR(Perimetre_Filtre="*",$B159=Perimetre_Filtre),1,0)+ROW()/1000000</f>
        <v/>
      </c>
      <c r="I159" s="247">
        <f>$E159*IF(OR(Perimetre_Filtre="*",$B159=Perimetre_Filtre),1,0)+ROW()/1000000</f>
        <v/>
      </c>
    </row>
    <row r="160">
      <c r="B160" s="242" t="inlineStr">
        <is>
          <t>Business</t>
        </is>
      </c>
      <c r="C160" s="242" t="inlineStr">
        <is>
          <t>Électricité &amp; eau (pro)</t>
        </is>
      </c>
      <c r="D160" s="66">
        <f>SUMIFS(J_Montant,J_Annee,Annee_Travail,J_Mois,Mois_Num,J_Module,$B160,J_Cat,$C160,J_Type,"&lt;&gt;Revenu",J_Type,"&lt;&gt;Transfert",J_Statut,"&lt;&gt;Annulé",J_Statut,"&lt;&gt;Prévu")</f>
        <v/>
      </c>
      <c r="E160" s="66">
        <f>SUMIFS(J_Montant,J_Annee,Annee_Travail,J_Module,$B160,J_Cat,$C160,J_Type,"&lt;&gt;Revenu",J_Type,"&lt;&gt;Transfert",J_Statut,"&lt;&gt;Annulé",J_Statut,"&lt;&gt;Prévu")</f>
        <v/>
      </c>
      <c r="F160" s="66">
        <f>SUMIFS(P_Total,P_Annee,Annee_Travail,P_Module,$B160,P_Cat,$C160)</f>
        <v/>
      </c>
      <c r="G160" s="66">
        <f>$F160-$E160</f>
        <v/>
      </c>
      <c r="H160" s="247">
        <f>$D160*IF(OR(Perimetre_Filtre="*",$B160=Perimetre_Filtre),1,0)+ROW()/1000000</f>
        <v/>
      </c>
      <c r="I160" s="247">
        <f>$E160*IF(OR(Perimetre_Filtre="*",$B160=Perimetre_Filtre),1,0)+ROW()/1000000</f>
        <v/>
      </c>
    </row>
    <row r="161">
      <c r="B161" s="242" t="inlineStr">
        <is>
          <t>Business</t>
        </is>
      </c>
      <c r="C161" s="242" t="inlineStr">
        <is>
          <t>Internet &amp; téléphonie (pro)</t>
        </is>
      </c>
      <c r="D161" s="66">
        <f>SUMIFS(J_Montant,J_Annee,Annee_Travail,J_Mois,Mois_Num,J_Module,$B161,J_Cat,$C161,J_Type,"&lt;&gt;Revenu",J_Type,"&lt;&gt;Transfert",J_Statut,"&lt;&gt;Annulé",J_Statut,"&lt;&gt;Prévu")</f>
        <v/>
      </c>
      <c r="E161" s="66">
        <f>SUMIFS(J_Montant,J_Annee,Annee_Travail,J_Module,$B161,J_Cat,$C161,J_Type,"&lt;&gt;Revenu",J_Type,"&lt;&gt;Transfert",J_Statut,"&lt;&gt;Annulé",J_Statut,"&lt;&gt;Prévu")</f>
        <v/>
      </c>
      <c r="F161" s="66">
        <f>SUMIFS(P_Total,P_Annee,Annee_Travail,P_Module,$B161,P_Cat,$C161)</f>
        <v/>
      </c>
      <c r="G161" s="66">
        <f>$F161-$E161</f>
        <v/>
      </c>
      <c r="H161" s="247">
        <f>$D161*IF(OR(Perimetre_Filtre="*",$B161=Perimetre_Filtre),1,0)+ROW()/1000000</f>
        <v/>
      </c>
      <c r="I161" s="247">
        <f>$E161*IF(OR(Perimetre_Filtre="*",$B161=Perimetre_Filtre),1,0)+ROW()/1000000</f>
        <v/>
      </c>
    </row>
    <row r="162">
      <c r="B162" s="242" t="inlineStr">
        <is>
          <t>Business</t>
        </is>
      </c>
      <c r="C162" s="242" t="inlineStr">
        <is>
          <t>Marketing &amp; publicité</t>
        </is>
      </c>
      <c r="D162" s="66">
        <f>SUMIFS(J_Montant,J_Annee,Annee_Travail,J_Mois,Mois_Num,J_Module,$B162,J_Cat,$C162,J_Type,"&lt;&gt;Revenu",J_Type,"&lt;&gt;Transfert",J_Statut,"&lt;&gt;Annulé",J_Statut,"&lt;&gt;Prévu")</f>
        <v/>
      </c>
      <c r="E162" s="66">
        <f>SUMIFS(J_Montant,J_Annee,Annee_Travail,J_Module,$B162,J_Cat,$C162,J_Type,"&lt;&gt;Revenu",J_Type,"&lt;&gt;Transfert",J_Statut,"&lt;&gt;Annulé",J_Statut,"&lt;&gt;Prévu")</f>
        <v/>
      </c>
      <c r="F162" s="66">
        <f>SUMIFS(P_Total,P_Annee,Annee_Travail,P_Module,$B162,P_Cat,$C162)</f>
        <v/>
      </c>
      <c r="G162" s="66">
        <f>$F162-$E162</f>
        <v/>
      </c>
      <c r="H162" s="247">
        <f>$D162*IF(OR(Perimetre_Filtre="*",$B162=Perimetre_Filtre),1,0)+ROW()/1000000</f>
        <v/>
      </c>
      <c r="I162" s="247">
        <f>$E162*IF(OR(Perimetre_Filtre="*",$B162=Perimetre_Filtre),1,0)+ROW()/1000000</f>
        <v/>
      </c>
    </row>
    <row r="163">
      <c r="B163" s="242" t="inlineStr">
        <is>
          <t>Business</t>
        </is>
      </c>
      <c r="C163" s="242" t="inlineStr">
        <is>
          <t>Community management</t>
        </is>
      </c>
      <c r="D163" s="66">
        <f>SUMIFS(J_Montant,J_Annee,Annee_Travail,J_Mois,Mois_Num,J_Module,$B163,J_Cat,$C163,J_Type,"&lt;&gt;Revenu",J_Type,"&lt;&gt;Transfert",J_Statut,"&lt;&gt;Annulé",J_Statut,"&lt;&gt;Prévu")</f>
        <v/>
      </c>
      <c r="E163" s="66">
        <f>SUMIFS(J_Montant,J_Annee,Annee_Travail,J_Module,$B163,J_Cat,$C163,J_Type,"&lt;&gt;Revenu",J_Type,"&lt;&gt;Transfert",J_Statut,"&lt;&gt;Annulé",J_Statut,"&lt;&gt;Prévu")</f>
        <v/>
      </c>
      <c r="F163" s="66">
        <f>SUMIFS(P_Total,P_Annee,Annee_Travail,P_Module,$B163,P_Cat,$C163)</f>
        <v/>
      </c>
      <c r="G163" s="66">
        <f>$F163-$E163</f>
        <v/>
      </c>
      <c r="H163" s="247">
        <f>$D163*IF(OR(Perimetre_Filtre="*",$B163=Perimetre_Filtre),1,0)+ROW()/1000000</f>
        <v/>
      </c>
      <c r="I163" s="247">
        <f>$E163*IF(OR(Perimetre_Filtre="*",$B163=Perimetre_Filtre),1,0)+ROW()/1000000</f>
        <v/>
      </c>
    </row>
    <row r="164">
      <c r="B164" s="242" t="inlineStr">
        <is>
          <t>Business</t>
        </is>
      </c>
      <c r="C164" s="242" t="inlineStr">
        <is>
          <t>Site web &amp; hébergement</t>
        </is>
      </c>
      <c r="D164" s="66">
        <f>SUMIFS(J_Montant,J_Annee,Annee_Travail,J_Mois,Mois_Num,J_Module,$B164,J_Cat,$C164,J_Type,"&lt;&gt;Revenu",J_Type,"&lt;&gt;Transfert",J_Statut,"&lt;&gt;Annulé",J_Statut,"&lt;&gt;Prévu")</f>
        <v/>
      </c>
      <c r="E164" s="66">
        <f>SUMIFS(J_Montant,J_Annee,Annee_Travail,J_Module,$B164,J_Cat,$C164,J_Type,"&lt;&gt;Revenu",J_Type,"&lt;&gt;Transfert",J_Statut,"&lt;&gt;Annulé",J_Statut,"&lt;&gt;Prévu")</f>
        <v/>
      </c>
      <c r="F164" s="66">
        <f>SUMIFS(P_Total,P_Annee,Annee_Travail,P_Module,$B164,P_Cat,$C164)</f>
        <v/>
      </c>
      <c r="G164" s="66">
        <f>$F164-$E164</f>
        <v/>
      </c>
      <c r="H164" s="247">
        <f>$D164*IF(OR(Perimetre_Filtre="*",$B164=Perimetre_Filtre),1,0)+ROW()/1000000</f>
        <v/>
      </c>
      <c r="I164" s="247">
        <f>$E164*IF(OR(Perimetre_Filtre="*",$B164=Perimetre_Filtre),1,0)+ROW()/1000000</f>
        <v/>
      </c>
    </row>
    <row r="165">
      <c r="B165" s="242" t="inlineStr">
        <is>
          <t>Business</t>
        </is>
      </c>
      <c r="C165" s="242" t="inlineStr">
        <is>
          <t>Logiciels &amp; abonnements</t>
        </is>
      </c>
      <c r="D165" s="66">
        <f>SUMIFS(J_Montant,J_Annee,Annee_Travail,J_Mois,Mois_Num,J_Module,$B165,J_Cat,$C165,J_Type,"&lt;&gt;Revenu",J_Type,"&lt;&gt;Transfert",J_Statut,"&lt;&gt;Annulé",J_Statut,"&lt;&gt;Prévu")</f>
        <v/>
      </c>
      <c r="E165" s="66">
        <f>SUMIFS(J_Montant,J_Annee,Annee_Travail,J_Module,$B165,J_Cat,$C165,J_Type,"&lt;&gt;Revenu",J_Type,"&lt;&gt;Transfert",J_Statut,"&lt;&gt;Annulé",J_Statut,"&lt;&gt;Prévu")</f>
        <v/>
      </c>
      <c r="F165" s="66">
        <f>SUMIFS(P_Total,P_Annee,Annee_Travail,P_Module,$B165,P_Cat,$C165)</f>
        <v/>
      </c>
      <c r="G165" s="66">
        <f>$F165-$E165</f>
        <v/>
      </c>
      <c r="H165" s="247">
        <f>$D165*IF(OR(Perimetre_Filtre="*",$B165=Perimetre_Filtre),1,0)+ROW()/1000000</f>
        <v/>
      </c>
      <c r="I165" s="247">
        <f>$E165*IF(OR(Perimetre_Filtre="*",$B165=Perimetre_Filtre),1,0)+ROW()/1000000</f>
        <v/>
      </c>
    </row>
    <row r="166">
      <c r="B166" s="242" t="inlineStr">
        <is>
          <t>Business</t>
        </is>
      </c>
      <c r="C166" s="242" t="inlineStr">
        <is>
          <t>Équipement &amp; matériel</t>
        </is>
      </c>
      <c r="D166" s="66">
        <f>SUMIFS(J_Montant,J_Annee,Annee_Travail,J_Mois,Mois_Num,J_Module,$B166,J_Cat,$C166,J_Type,"&lt;&gt;Revenu",J_Type,"&lt;&gt;Transfert",J_Statut,"&lt;&gt;Annulé",J_Statut,"&lt;&gt;Prévu")</f>
        <v/>
      </c>
      <c r="E166" s="66">
        <f>SUMIFS(J_Montant,J_Annee,Annee_Travail,J_Module,$B166,J_Cat,$C166,J_Type,"&lt;&gt;Revenu",J_Type,"&lt;&gt;Transfert",J_Statut,"&lt;&gt;Annulé",J_Statut,"&lt;&gt;Prévu")</f>
        <v/>
      </c>
      <c r="F166" s="66">
        <f>SUMIFS(P_Total,P_Annee,Annee_Travail,P_Module,$B166,P_Cat,$C166)</f>
        <v/>
      </c>
      <c r="G166" s="66">
        <f>$F166-$E166</f>
        <v/>
      </c>
      <c r="H166" s="247">
        <f>$D166*IF(OR(Perimetre_Filtre="*",$B166=Perimetre_Filtre),1,0)+ROW()/1000000</f>
        <v/>
      </c>
      <c r="I166" s="247">
        <f>$E166*IF(OR(Perimetre_Filtre="*",$B166=Perimetre_Filtre),1,0)+ROW()/1000000</f>
        <v/>
      </c>
    </row>
    <row r="167">
      <c r="B167" s="242" t="inlineStr">
        <is>
          <t>Business</t>
        </is>
      </c>
      <c r="C167" s="242" t="inlineStr">
        <is>
          <t>Mobilier de bureau</t>
        </is>
      </c>
      <c r="D167" s="66">
        <f>SUMIFS(J_Montant,J_Annee,Annee_Travail,J_Mois,Mois_Num,J_Module,$B167,J_Cat,$C167,J_Type,"&lt;&gt;Revenu",J_Type,"&lt;&gt;Transfert",J_Statut,"&lt;&gt;Annulé",J_Statut,"&lt;&gt;Prévu")</f>
        <v/>
      </c>
      <c r="E167" s="66">
        <f>SUMIFS(J_Montant,J_Annee,Annee_Travail,J_Module,$B167,J_Cat,$C167,J_Type,"&lt;&gt;Revenu",J_Type,"&lt;&gt;Transfert",J_Statut,"&lt;&gt;Annulé",J_Statut,"&lt;&gt;Prévu")</f>
        <v/>
      </c>
      <c r="F167" s="66">
        <f>SUMIFS(P_Total,P_Annee,Annee_Travail,P_Module,$B167,P_Cat,$C167)</f>
        <v/>
      </c>
      <c r="G167" s="66">
        <f>$F167-$E167</f>
        <v/>
      </c>
      <c r="H167" s="247">
        <f>$D167*IF(OR(Perimetre_Filtre="*",$B167=Perimetre_Filtre),1,0)+ROW()/1000000</f>
        <v/>
      </c>
      <c r="I167" s="247">
        <f>$E167*IF(OR(Perimetre_Filtre="*",$B167=Perimetre_Filtre),1,0)+ROW()/1000000</f>
        <v/>
      </c>
    </row>
    <row r="168">
      <c r="B168" s="242" t="inlineStr">
        <is>
          <t>Business</t>
        </is>
      </c>
      <c r="C168" s="242" t="inlineStr">
        <is>
          <t>Transport &amp; logistique</t>
        </is>
      </c>
      <c r="D168" s="66">
        <f>SUMIFS(J_Montant,J_Annee,Annee_Travail,J_Mois,Mois_Num,J_Module,$B168,J_Cat,$C168,J_Type,"&lt;&gt;Revenu",J_Type,"&lt;&gt;Transfert",J_Statut,"&lt;&gt;Annulé",J_Statut,"&lt;&gt;Prévu")</f>
        <v/>
      </c>
      <c r="E168" s="66">
        <f>SUMIFS(J_Montant,J_Annee,Annee_Travail,J_Module,$B168,J_Cat,$C168,J_Type,"&lt;&gt;Revenu",J_Type,"&lt;&gt;Transfert",J_Statut,"&lt;&gt;Annulé",J_Statut,"&lt;&gt;Prévu")</f>
        <v/>
      </c>
      <c r="F168" s="66">
        <f>SUMIFS(P_Total,P_Annee,Annee_Travail,P_Module,$B168,P_Cat,$C168)</f>
        <v/>
      </c>
      <c r="G168" s="66">
        <f>$F168-$E168</f>
        <v/>
      </c>
      <c r="H168" s="247">
        <f>$D168*IF(OR(Perimetre_Filtre="*",$B168=Perimetre_Filtre),1,0)+ROW()/1000000</f>
        <v/>
      </c>
      <c r="I168" s="247">
        <f>$E168*IF(OR(Perimetre_Filtre="*",$B168=Perimetre_Filtre),1,0)+ROW()/1000000</f>
        <v/>
      </c>
    </row>
    <row r="169">
      <c r="B169" s="242" t="inlineStr">
        <is>
          <t>Business</t>
        </is>
      </c>
      <c r="C169" s="242" t="inlineStr">
        <is>
          <t>Carburant (pro)</t>
        </is>
      </c>
      <c r="D169" s="66">
        <f>SUMIFS(J_Montant,J_Annee,Annee_Travail,J_Mois,Mois_Num,J_Module,$B169,J_Cat,$C169,J_Type,"&lt;&gt;Revenu",J_Type,"&lt;&gt;Transfert",J_Statut,"&lt;&gt;Annulé",J_Statut,"&lt;&gt;Prévu")</f>
        <v/>
      </c>
      <c r="E169" s="66">
        <f>SUMIFS(J_Montant,J_Annee,Annee_Travail,J_Module,$B169,J_Cat,$C169,J_Type,"&lt;&gt;Revenu",J_Type,"&lt;&gt;Transfert",J_Statut,"&lt;&gt;Annulé",J_Statut,"&lt;&gt;Prévu")</f>
        <v/>
      </c>
      <c r="F169" s="66">
        <f>SUMIFS(P_Total,P_Annee,Annee_Travail,P_Module,$B169,P_Cat,$C169)</f>
        <v/>
      </c>
      <c r="G169" s="66">
        <f>$F169-$E169</f>
        <v/>
      </c>
      <c r="H169" s="247">
        <f>$D169*IF(OR(Perimetre_Filtre="*",$B169=Perimetre_Filtre),1,0)+ROW()/1000000</f>
        <v/>
      </c>
      <c r="I169" s="247">
        <f>$E169*IF(OR(Perimetre_Filtre="*",$B169=Perimetre_Filtre),1,0)+ROW()/1000000</f>
        <v/>
      </c>
    </row>
    <row r="170">
      <c r="B170" s="242" t="inlineStr">
        <is>
          <t>Business</t>
        </is>
      </c>
      <c r="C170" s="242" t="inlineStr">
        <is>
          <t>Frais de mission &amp; déplacement</t>
        </is>
      </c>
      <c r="D170" s="66">
        <f>SUMIFS(J_Montant,J_Annee,Annee_Travail,J_Mois,Mois_Num,J_Module,$B170,J_Cat,$C170,J_Type,"&lt;&gt;Revenu",J_Type,"&lt;&gt;Transfert",J_Statut,"&lt;&gt;Annulé",J_Statut,"&lt;&gt;Prévu")</f>
        <v/>
      </c>
      <c r="E170" s="66">
        <f>SUMIFS(J_Montant,J_Annee,Annee_Travail,J_Module,$B170,J_Cat,$C170,J_Type,"&lt;&gt;Revenu",J_Type,"&lt;&gt;Transfert",J_Statut,"&lt;&gt;Annulé",J_Statut,"&lt;&gt;Prévu")</f>
        <v/>
      </c>
      <c r="F170" s="66">
        <f>SUMIFS(P_Total,P_Annee,Annee_Travail,P_Module,$B170,P_Cat,$C170)</f>
        <v/>
      </c>
      <c r="G170" s="66">
        <f>$F170-$E170</f>
        <v/>
      </c>
      <c r="H170" s="247">
        <f>$D170*IF(OR(Perimetre_Filtre="*",$B170=Perimetre_Filtre),1,0)+ROW()/1000000</f>
        <v/>
      </c>
      <c r="I170" s="247">
        <f>$E170*IF(OR(Perimetre_Filtre="*",$B170=Perimetre_Filtre),1,0)+ROW()/1000000</f>
        <v/>
      </c>
    </row>
    <row r="171">
      <c r="B171" s="242" t="inlineStr">
        <is>
          <t>Business</t>
        </is>
      </c>
      <c r="C171" s="242" t="inlineStr">
        <is>
          <t>Frais bancaires pro</t>
        </is>
      </c>
      <c r="D171" s="66">
        <f>SUMIFS(J_Montant,J_Annee,Annee_Travail,J_Mois,Mois_Num,J_Module,$B171,J_Cat,$C171,J_Type,"&lt;&gt;Revenu",J_Type,"&lt;&gt;Transfert",J_Statut,"&lt;&gt;Annulé",J_Statut,"&lt;&gt;Prévu")</f>
        <v/>
      </c>
      <c r="E171" s="66">
        <f>SUMIFS(J_Montant,J_Annee,Annee_Travail,J_Module,$B171,J_Cat,$C171,J_Type,"&lt;&gt;Revenu",J_Type,"&lt;&gt;Transfert",J_Statut,"&lt;&gt;Annulé",J_Statut,"&lt;&gt;Prévu")</f>
        <v/>
      </c>
      <c r="F171" s="66">
        <f>SUMIFS(P_Total,P_Annee,Annee_Travail,P_Module,$B171,P_Cat,$C171)</f>
        <v/>
      </c>
      <c r="G171" s="66">
        <f>$F171-$E171</f>
        <v/>
      </c>
      <c r="H171" s="247">
        <f>$D171*IF(OR(Perimetre_Filtre="*",$B171=Perimetre_Filtre),1,0)+ROW()/1000000</f>
        <v/>
      </c>
      <c r="I171" s="247">
        <f>$E171*IF(OR(Perimetre_Filtre="*",$B171=Perimetre_Filtre),1,0)+ROW()/1000000</f>
        <v/>
      </c>
    </row>
    <row r="172">
      <c r="B172" s="242" t="inlineStr">
        <is>
          <t>Business</t>
        </is>
      </c>
      <c r="C172" s="242" t="inlineStr">
        <is>
          <t>Commissions &amp; frais de plateforme</t>
        </is>
      </c>
      <c r="D172" s="66">
        <f>SUMIFS(J_Montant,J_Annee,Annee_Travail,J_Mois,Mois_Num,J_Module,$B172,J_Cat,$C172,J_Type,"&lt;&gt;Revenu",J_Type,"&lt;&gt;Transfert",J_Statut,"&lt;&gt;Annulé",J_Statut,"&lt;&gt;Prévu")</f>
        <v/>
      </c>
      <c r="E172" s="66">
        <f>SUMIFS(J_Montant,J_Annee,Annee_Travail,J_Module,$B172,J_Cat,$C172,J_Type,"&lt;&gt;Revenu",J_Type,"&lt;&gt;Transfert",J_Statut,"&lt;&gt;Annulé",J_Statut,"&lt;&gt;Prévu")</f>
        <v/>
      </c>
      <c r="F172" s="66">
        <f>SUMIFS(P_Total,P_Annee,Annee_Travail,P_Module,$B172,P_Cat,$C172)</f>
        <v/>
      </c>
      <c r="G172" s="66">
        <f>$F172-$E172</f>
        <v/>
      </c>
      <c r="H172" s="247">
        <f>$D172*IF(OR(Perimetre_Filtre="*",$B172=Perimetre_Filtre),1,0)+ROW()/1000000</f>
        <v/>
      </c>
      <c r="I172" s="247">
        <f>$E172*IF(OR(Perimetre_Filtre="*",$B172=Perimetre_Filtre),1,0)+ROW()/1000000</f>
        <v/>
      </c>
    </row>
    <row r="173">
      <c r="B173" s="242" t="inlineStr">
        <is>
          <t>Business</t>
        </is>
      </c>
      <c r="C173" s="242" t="inlineStr">
        <is>
          <t>Impôts &amp; taxes pro</t>
        </is>
      </c>
      <c r="D173" s="66">
        <f>SUMIFS(J_Montant,J_Annee,Annee_Travail,J_Mois,Mois_Num,J_Module,$B173,J_Cat,$C173,J_Type,"&lt;&gt;Revenu",J_Type,"&lt;&gt;Transfert",J_Statut,"&lt;&gt;Annulé",J_Statut,"&lt;&gt;Prévu")</f>
        <v/>
      </c>
      <c r="E173" s="66">
        <f>SUMIFS(J_Montant,J_Annee,Annee_Travail,J_Module,$B173,J_Cat,$C173,J_Type,"&lt;&gt;Revenu",J_Type,"&lt;&gt;Transfert",J_Statut,"&lt;&gt;Annulé",J_Statut,"&lt;&gt;Prévu")</f>
        <v/>
      </c>
      <c r="F173" s="66">
        <f>SUMIFS(P_Total,P_Annee,Annee_Travail,P_Module,$B173,P_Cat,$C173)</f>
        <v/>
      </c>
      <c r="G173" s="66">
        <f>$F173-$E173</f>
        <v/>
      </c>
      <c r="H173" s="247">
        <f>$D173*IF(OR(Perimetre_Filtre="*",$B173=Perimetre_Filtre),1,0)+ROW()/1000000</f>
        <v/>
      </c>
      <c r="I173" s="247">
        <f>$E173*IF(OR(Perimetre_Filtre="*",$B173=Perimetre_Filtre),1,0)+ROW()/1000000</f>
        <v/>
      </c>
    </row>
    <row r="174">
      <c r="B174" s="242" t="inlineStr">
        <is>
          <t>Business</t>
        </is>
      </c>
      <c r="C174" s="242" t="inlineStr">
        <is>
          <t>Formation</t>
        </is>
      </c>
      <c r="D174" s="66">
        <f>SUMIFS(J_Montant,J_Annee,Annee_Travail,J_Mois,Mois_Num,J_Module,$B174,J_Cat,$C174,J_Type,"&lt;&gt;Revenu",J_Type,"&lt;&gt;Transfert",J_Statut,"&lt;&gt;Annulé",J_Statut,"&lt;&gt;Prévu")</f>
        <v/>
      </c>
      <c r="E174" s="66">
        <f>SUMIFS(J_Montant,J_Annee,Annee_Travail,J_Module,$B174,J_Cat,$C174,J_Type,"&lt;&gt;Revenu",J_Type,"&lt;&gt;Transfert",J_Statut,"&lt;&gt;Annulé",J_Statut,"&lt;&gt;Prévu")</f>
        <v/>
      </c>
      <c r="F174" s="66">
        <f>SUMIFS(P_Total,P_Annee,Annee_Travail,P_Module,$B174,P_Cat,$C174)</f>
        <v/>
      </c>
      <c r="G174" s="66">
        <f>$F174-$E174</f>
        <v/>
      </c>
      <c r="H174" s="247">
        <f>$D174*IF(OR(Perimetre_Filtre="*",$B174=Perimetre_Filtre),1,0)+ROW()/1000000</f>
        <v/>
      </c>
      <c r="I174" s="247">
        <f>$E174*IF(OR(Perimetre_Filtre="*",$B174=Perimetre_Filtre),1,0)+ROW()/1000000</f>
        <v/>
      </c>
    </row>
    <row r="175">
      <c r="B175" s="242" t="inlineStr">
        <is>
          <t>Business</t>
        </is>
      </c>
      <c r="C175" s="242" t="inlineStr">
        <is>
          <t>Conseil juridique &amp; comptable</t>
        </is>
      </c>
      <c r="D175" s="66">
        <f>SUMIFS(J_Montant,J_Annee,Annee_Travail,J_Mois,Mois_Num,J_Module,$B175,J_Cat,$C175,J_Type,"&lt;&gt;Revenu",J_Type,"&lt;&gt;Transfert",J_Statut,"&lt;&gt;Annulé",J_Statut,"&lt;&gt;Prévu")</f>
        <v/>
      </c>
      <c r="E175" s="66">
        <f>SUMIFS(J_Montant,J_Annee,Annee_Travail,J_Module,$B175,J_Cat,$C175,J_Type,"&lt;&gt;Revenu",J_Type,"&lt;&gt;Transfert",J_Statut,"&lt;&gt;Annulé",J_Statut,"&lt;&gt;Prévu")</f>
        <v/>
      </c>
      <c r="F175" s="66">
        <f>SUMIFS(P_Total,P_Annee,Annee_Travail,P_Module,$B175,P_Cat,$C175)</f>
        <v/>
      </c>
      <c r="G175" s="66">
        <f>$F175-$E175</f>
        <v/>
      </c>
      <c r="H175" s="247">
        <f>$D175*IF(OR(Perimetre_Filtre="*",$B175=Perimetre_Filtre),1,0)+ROW()/1000000</f>
        <v/>
      </c>
      <c r="I175" s="247">
        <f>$E175*IF(OR(Perimetre_Filtre="*",$B175=Perimetre_Filtre),1,0)+ROW()/1000000</f>
        <v/>
      </c>
    </row>
    <row r="176">
      <c r="B176" s="242" t="inlineStr">
        <is>
          <t>Business</t>
        </is>
      </c>
      <c r="C176" s="242" t="inlineStr">
        <is>
          <t>Assurances pro</t>
        </is>
      </c>
      <c r="D176" s="66">
        <f>SUMIFS(J_Montant,J_Annee,Annee_Travail,J_Mois,Mois_Num,J_Module,$B176,J_Cat,$C176,J_Type,"&lt;&gt;Revenu",J_Type,"&lt;&gt;Transfert",J_Statut,"&lt;&gt;Annulé",J_Statut,"&lt;&gt;Prévu")</f>
        <v/>
      </c>
      <c r="E176" s="66">
        <f>SUMIFS(J_Montant,J_Annee,Annee_Travail,J_Module,$B176,J_Cat,$C176,J_Type,"&lt;&gt;Revenu",J_Type,"&lt;&gt;Transfert",J_Statut,"&lt;&gt;Annulé",J_Statut,"&lt;&gt;Prévu")</f>
        <v/>
      </c>
      <c r="F176" s="66">
        <f>SUMIFS(P_Total,P_Annee,Annee_Travail,P_Module,$B176,P_Cat,$C176)</f>
        <v/>
      </c>
      <c r="G176" s="66">
        <f>$F176-$E176</f>
        <v/>
      </c>
      <c r="H176" s="247">
        <f>$D176*IF(OR(Perimetre_Filtre="*",$B176=Perimetre_Filtre),1,0)+ROW()/1000000</f>
        <v/>
      </c>
      <c r="I176" s="247">
        <f>$E176*IF(OR(Perimetre_Filtre="*",$B176=Perimetre_Filtre),1,0)+ROW()/1000000</f>
        <v/>
      </c>
    </row>
    <row r="177">
      <c r="B177" s="242" t="inlineStr">
        <is>
          <t>Business</t>
        </is>
      </c>
      <c r="C177" s="242" t="inlineStr">
        <is>
          <t>Licences &amp; agréments</t>
        </is>
      </c>
      <c r="D177" s="66">
        <f>SUMIFS(J_Montant,J_Annee,Annee_Travail,J_Mois,Mois_Num,J_Module,$B177,J_Cat,$C177,J_Type,"&lt;&gt;Revenu",J_Type,"&lt;&gt;Transfert",J_Statut,"&lt;&gt;Annulé",J_Statut,"&lt;&gt;Prévu")</f>
        <v/>
      </c>
      <c r="E177" s="66">
        <f>SUMIFS(J_Montant,J_Annee,Annee_Travail,J_Module,$B177,J_Cat,$C177,J_Type,"&lt;&gt;Revenu",J_Type,"&lt;&gt;Transfert",J_Statut,"&lt;&gt;Annulé",J_Statut,"&lt;&gt;Prévu")</f>
        <v/>
      </c>
      <c r="F177" s="66">
        <f>SUMIFS(P_Total,P_Annee,Annee_Travail,P_Module,$B177,P_Cat,$C177)</f>
        <v/>
      </c>
      <c r="G177" s="66">
        <f>$F177-$E177</f>
        <v/>
      </c>
      <c r="H177" s="247">
        <f>$D177*IF(OR(Perimetre_Filtre="*",$B177=Perimetre_Filtre),1,0)+ROW()/1000000</f>
        <v/>
      </c>
      <c r="I177" s="247">
        <f>$E177*IF(OR(Perimetre_Filtre="*",$B177=Perimetre_Filtre),1,0)+ROW()/1000000</f>
        <v/>
      </c>
    </row>
    <row r="178">
      <c r="B178" s="242" t="inlineStr">
        <is>
          <t>Business</t>
        </is>
      </c>
      <c r="C178" s="242" t="inlineStr">
        <is>
          <t>Amortissements</t>
        </is>
      </c>
      <c r="D178" s="66">
        <f>SUMIFS(J_Montant,J_Annee,Annee_Travail,J_Mois,Mois_Num,J_Module,$B178,J_Cat,$C178,J_Type,"&lt;&gt;Revenu",J_Type,"&lt;&gt;Transfert",J_Statut,"&lt;&gt;Annulé",J_Statut,"&lt;&gt;Prévu")</f>
        <v/>
      </c>
      <c r="E178" s="66">
        <f>SUMIFS(J_Montant,J_Annee,Annee_Travail,J_Module,$B178,J_Cat,$C178,J_Type,"&lt;&gt;Revenu",J_Type,"&lt;&gt;Transfert",J_Statut,"&lt;&gt;Annulé",J_Statut,"&lt;&gt;Prévu")</f>
        <v/>
      </c>
      <c r="F178" s="66">
        <f>SUMIFS(P_Total,P_Annee,Annee_Travail,P_Module,$B178,P_Cat,$C178)</f>
        <v/>
      </c>
      <c r="G178" s="66">
        <f>$F178-$E178</f>
        <v/>
      </c>
      <c r="H178" s="247">
        <f>$D178*IF(OR(Perimetre_Filtre="*",$B178=Perimetre_Filtre),1,0)+ROW()/1000000</f>
        <v/>
      </c>
      <c r="I178" s="247">
        <f>$E178*IF(OR(Perimetre_Filtre="*",$B178=Perimetre_Filtre),1,0)+ROW()/1000000</f>
        <v/>
      </c>
    </row>
    <row r="179">
      <c r="B179" s="242" t="inlineStr">
        <is>
          <t>Business</t>
        </is>
      </c>
      <c r="C179" s="242" t="inlineStr">
        <is>
          <t>Divers business</t>
        </is>
      </c>
      <c r="D179" s="66">
        <f>SUMIFS(J_Montant,J_Annee,Annee_Travail,J_Mois,Mois_Num,J_Module,$B179,J_Cat,$C179,J_Type,"&lt;&gt;Revenu",J_Type,"&lt;&gt;Transfert",J_Statut,"&lt;&gt;Annulé",J_Statut,"&lt;&gt;Prévu")</f>
        <v/>
      </c>
      <c r="E179" s="66">
        <f>SUMIFS(J_Montant,J_Annee,Annee_Travail,J_Module,$B179,J_Cat,$C179,J_Type,"&lt;&gt;Revenu",J_Type,"&lt;&gt;Transfert",J_Statut,"&lt;&gt;Annulé",J_Statut,"&lt;&gt;Prévu")</f>
        <v/>
      </c>
      <c r="F179" s="66">
        <f>SUMIFS(P_Total,P_Annee,Annee_Travail,P_Module,$B179,P_Cat,$C179)</f>
        <v/>
      </c>
      <c r="G179" s="66">
        <f>$F179-$E179</f>
        <v/>
      </c>
      <c r="H179" s="247">
        <f>$D179*IF(OR(Perimetre_Filtre="*",$B179=Perimetre_Filtre),1,0)+ROW()/1000000</f>
        <v/>
      </c>
      <c r="I179" s="247">
        <f>$E179*IF(OR(Perimetre_Filtre="*",$B179=Perimetre_Filtre),1,0)+ROW()/1000000</f>
        <v/>
      </c>
    </row>
    <row r="180"/>
    <row r="181" ht="24" customHeight="1">
      <c r="B181" s="6" t="inlineStr">
        <is>
          <t>4 ▸ TOP 10 DES SORTIES DU MOIS</t>
        </is>
      </c>
      <c r="C181" s="7" t="n"/>
      <c r="D181" s="7" t="n"/>
      <c r="E181" s="7" t="n"/>
      <c r="F181" s="7" t="n"/>
    </row>
    <row r="182" ht="30" customHeight="1">
      <c r="B182" s="63" t="inlineStr">
        <is>
          <t>Rang</t>
        </is>
      </c>
      <c r="C182" s="63" t="inlineStr">
        <is>
          <t>Catégorie</t>
        </is>
      </c>
      <c r="D182" s="63" t="inlineStr">
        <is>
          <t>Montant</t>
        </is>
      </c>
      <c r="E182" s="63" t="inlineStr">
        <is>
          <t>Part</t>
        </is>
      </c>
      <c r="F182" s="63" t="inlineStr">
        <is>
          <t>Clé</t>
        </is>
      </c>
    </row>
    <row r="183">
      <c r="B183" s="156" t="n">
        <v>1</v>
      </c>
      <c r="C183" s="199">
        <f>IF($D183&lt;=0,"",IFERROR(INDEX($C$37:$C$179,MATCH($F183,$H$37:$H$179,0)),""))</f>
        <v/>
      </c>
      <c r="D183" s="66">
        <f>IFERROR(INDEX($D$37:$D$179,MATCH($F183,$H$37:$H$179,0)),0)</f>
        <v/>
      </c>
      <c r="E183" s="132">
        <f>IFERROR($D183/SUM($D$37:$D$179),0)</f>
        <v/>
      </c>
      <c r="F183" s="247">
        <f>IFERROR(LARGE($H$37:$H$179,1),0)</f>
        <v/>
      </c>
    </row>
    <row r="184">
      <c r="B184" s="156" t="n">
        <v>2</v>
      </c>
      <c r="C184" s="199">
        <f>IF($D184&lt;=0,"",IFERROR(INDEX($C$37:$C$179,MATCH($F184,$H$37:$H$179,0)),""))</f>
        <v/>
      </c>
      <c r="D184" s="66">
        <f>IFERROR(INDEX($D$37:$D$179,MATCH($F184,$H$37:$H$179,0)),0)</f>
        <v/>
      </c>
      <c r="E184" s="132">
        <f>IFERROR($D184/SUM($D$37:$D$179),0)</f>
        <v/>
      </c>
      <c r="F184" s="247">
        <f>IFERROR(LARGE($H$37:$H$179,2),0)</f>
        <v/>
      </c>
    </row>
    <row r="185">
      <c r="B185" s="156" t="n">
        <v>3</v>
      </c>
      <c r="C185" s="199">
        <f>IF($D185&lt;=0,"",IFERROR(INDEX($C$37:$C$179,MATCH($F185,$H$37:$H$179,0)),""))</f>
        <v/>
      </c>
      <c r="D185" s="66">
        <f>IFERROR(INDEX($D$37:$D$179,MATCH($F185,$H$37:$H$179,0)),0)</f>
        <v/>
      </c>
      <c r="E185" s="132">
        <f>IFERROR($D185/SUM($D$37:$D$179),0)</f>
        <v/>
      </c>
      <c r="F185" s="247">
        <f>IFERROR(LARGE($H$37:$H$179,3),0)</f>
        <v/>
      </c>
    </row>
    <row r="186">
      <c r="B186" s="156" t="n">
        <v>4</v>
      </c>
      <c r="C186" s="199">
        <f>IF($D186&lt;=0,"",IFERROR(INDEX($C$37:$C$179,MATCH($F186,$H$37:$H$179,0)),""))</f>
        <v/>
      </c>
      <c r="D186" s="66">
        <f>IFERROR(INDEX($D$37:$D$179,MATCH($F186,$H$37:$H$179,0)),0)</f>
        <v/>
      </c>
      <c r="E186" s="132">
        <f>IFERROR($D186/SUM($D$37:$D$179),0)</f>
        <v/>
      </c>
      <c r="F186" s="247">
        <f>IFERROR(LARGE($H$37:$H$179,4),0)</f>
        <v/>
      </c>
    </row>
    <row r="187">
      <c r="B187" s="156" t="n">
        <v>5</v>
      </c>
      <c r="C187" s="199">
        <f>IF($D187&lt;=0,"",IFERROR(INDEX($C$37:$C$179,MATCH($F187,$H$37:$H$179,0)),""))</f>
        <v/>
      </c>
      <c r="D187" s="66">
        <f>IFERROR(INDEX($D$37:$D$179,MATCH($F187,$H$37:$H$179,0)),0)</f>
        <v/>
      </c>
      <c r="E187" s="132">
        <f>IFERROR($D187/SUM($D$37:$D$179),0)</f>
        <v/>
      </c>
      <c r="F187" s="247">
        <f>IFERROR(LARGE($H$37:$H$179,5),0)</f>
        <v/>
      </c>
    </row>
    <row r="188">
      <c r="B188" s="156" t="n">
        <v>6</v>
      </c>
      <c r="C188" s="199">
        <f>IF($D188&lt;=0,"",IFERROR(INDEX($C$37:$C$179,MATCH($F188,$H$37:$H$179,0)),""))</f>
        <v/>
      </c>
      <c r="D188" s="66">
        <f>IFERROR(INDEX($D$37:$D$179,MATCH($F188,$H$37:$H$179,0)),0)</f>
        <v/>
      </c>
      <c r="E188" s="132">
        <f>IFERROR($D188/SUM($D$37:$D$179),0)</f>
        <v/>
      </c>
      <c r="F188" s="247">
        <f>IFERROR(LARGE($H$37:$H$179,6),0)</f>
        <v/>
      </c>
    </row>
    <row r="189">
      <c r="B189" s="156" t="n">
        <v>7</v>
      </c>
      <c r="C189" s="199">
        <f>IF($D189&lt;=0,"",IFERROR(INDEX($C$37:$C$179,MATCH($F189,$H$37:$H$179,0)),""))</f>
        <v/>
      </c>
      <c r="D189" s="66">
        <f>IFERROR(INDEX($D$37:$D$179,MATCH($F189,$H$37:$H$179,0)),0)</f>
        <v/>
      </c>
      <c r="E189" s="132">
        <f>IFERROR($D189/SUM($D$37:$D$179),0)</f>
        <v/>
      </c>
      <c r="F189" s="247">
        <f>IFERROR(LARGE($H$37:$H$179,7),0)</f>
        <v/>
      </c>
    </row>
    <row r="190">
      <c r="B190" s="156" t="n">
        <v>8</v>
      </c>
      <c r="C190" s="199">
        <f>IF($D190&lt;=0,"",IFERROR(INDEX($C$37:$C$179,MATCH($F190,$H$37:$H$179,0)),""))</f>
        <v/>
      </c>
      <c r="D190" s="66">
        <f>IFERROR(INDEX($D$37:$D$179,MATCH($F190,$H$37:$H$179,0)),0)</f>
        <v/>
      </c>
      <c r="E190" s="132">
        <f>IFERROR($D190/SUM($D$37:$D$179),0)</f>
        <v/>
      </c>
      <c r="F190" s="247">
        <f>IFERROR(LARGE($H$37:$H$179,8),0)</f>
        <v/>
      </c>
    </row>
    <row r="191">
      <c r="B191" s="156" t="n">
        <v>9</v>
      </c>
      <c r="C191" s="199">
        <f>IF($D191&lt;=0,"",IFERROR(INDEX($C$37:$C$179,MATCH($F191,$H$37:$H$179,0)),""))</f>
        <v/>
      </c>
      <c r="D191" s="66">
        <f>IFERROR(INDEX($D$37:$D$179,MATCH($F191,$H$37:$H$179,0)),0)</f>
        <v/>
      </c>
      <c r="E191" s="132">
        <f>IFERROR($D191/SUM($D$37:$D$179),0)</f>
        <v/>
      </c>
      <c r="F191" s="247">
        <f>IFERROR(LARGE($H$37:$H$179,9),0)</f>
        <v/>
      </c>
    </row>
    <row r="192">
      <c r="B192" s="156" t="n">
        <v>10</v>
      </c>
      <c r="C192" s="199">
        <f>IF($D192&lt;=0,"",IFERROR(INDEX($C$37:$C$179,MATCH($F192,$H$37:$H$179,0)),""))</f>
        <v/>
      </c>
      <c r="D192" s="66">
        <f>IFERROR(INDEX($D$37:$D$179,MATCH($F192,$H$37:$H$179,0)),0)</f>
        <v/>
      </c>
      <c r="E192" s="132">
        <f>IFERROR($D192/SUM($D$37:$D$179),0)</f>
        <v/>
      </c>
      <c r="F192" s="247">
        <f>IFERROR(LARGE($H$37:$H$179,10),0)</f>
        <v/>
      </c>
    </row>
    <row r="193"/>
    <row r="194" ht="24" customHeight="1">
      <c r="B194" s="6" t="inlineStr">
        <is>
          <t>5 ▸ TOP 10 DES SORTIES DE L'ANNÉE</t>
        </is>
      </c>
      <c r="C194" s="7" t="n"/>
      <c r="D194" s="7" t="n"/>
      <c r="E194" s="7" t="n"/>
      <c r="F194" s="7" t="n"/>
    </row>
    <row r="195" ht="30" customHeight="1">
      <c r="B195" s="63" t="inlineStr">
        <is>
          <t>Rang</t>
        </is>
      </c>
      <c r="C195" s="63" t="inlineStr">
        <is>
          <t>Catégorie</t>
        </is>
      </c>
      <c r="D195" s="63" t="inlineStr">
        <is>
          <t>Montant</t>
        </is>
      </c>
      <c r="E195" s="63" t="inlineStr">
        <is>
          <t>Part</t>
        </is>
      </c>
      <c r="F195" s="63" t="inlineStr">
        <is>
          <t>Clé</t>
        </is>
      </c>
    </row>
    <row r="196">
      <c r="B196" s="156" t="n">
        <v>1</v>
      </c>
      <c r="C196" s="199">
        <f>IF($D196&lt;=0,"",IFERROR(INDEX($C$37:$C$179,MATCH($F196,$I$37:$I$179,0)),""))</f>
        <v/>
      </c>
      <c r="D196" s="66">
        <f>IFERROR(INDEX($E$37:$E$179,MATCH($F196,$I$37:$I$179,0)),0)</f>
        <v/>
      </c>
      <c r="E196" s="132">
        <f>IFERROR($D196/SUM($E$37:$E$179),0)</f>
        <v/>
      </c>
      <c r="F196" s="247">
        <f>IFERROR(LARGE($I$37:$I$179,1),0)</f>
        <v/>
      </c>
    </row>
    <row r="197">
      <c r="B197" s="156" t="n">
        <v>2</v>
      </c>
      <c r="C197" s="199">
        <f>IF($D197&lt;=0,"",IFERROR(INDEX($C$37:$C$179,MATCH($F197,$I$37:$I$179,0)),""))</f>
        <v/>
      </c>
      <c r="D197" s="66">
        <f>IFERROR(INDEX($E$37:$E$179,MATCH($F197,$I$37:$I$179,0)),0)</f>
        <v/>
      </c>
      <c r="E197" s="132">
        <f>IFERROR($D197/SUM($E$37:$E$179),0)</f>
        <v/>
      </c>
      <c r="F197" s="247">
        <f>IFERROR(LARGE($I$37:$I$179,2),0)</f>
        <v/>
      </c>
    </row>
    <row r="198">
      <c r="B198" s="156" t="n">
        <v>3</v>
      </c>
      <c r="C198" s="199">
        <f>IF($D198&lt;=0,"",IFERROR(INDEX($C$37:$C$179,MATCH($F198,$I$37:$I$179,0)),""))</f>
        <v/>
      </c>
      <c r="D198" s="66">
        <f>IFERROR(INDEX($E$37:$E$179,MATCH($F198,$I$37:$I$179,0)),0)</f>
        <v/>
      </c>
      <c r="E198" s="132">
        <f>IFERROR($D198/SUM($E$37:$E$179),0)</f>
        <v/>
      </c>
      <c r="F198" s="247">
        <f>IFERROR(LARGE($I$37:$I$179,3),0)</f>
        <v/>
      </c>
    </row>
    <row r="199">
      <c r="B199" s="156" t="n">
        <v>4</v>
      </c>
      <c r="C199" s="199">
        <f>IF($D199&lt;=0,"",IFERROR(INDEX($C$37:$C$179,MATCH($F199,$I$37:$I$179,0)),""))</f>
        <v/>
      </c>
      <c r="D199" s="66">
        <f>IFERROR(INDEX($E$37:$E$179,MATCH($F199,$I$37:$I$179,0)),0)</f>
        <v/>
      </c>
      <c r="E199" s="132">
        <f>IFERROR($D199/SUM($E$37:$E$179),0)</f>
        <v/>
      </c>
      <c r="F199" s="247">
        <f>IFERROR(LARGE($I$37:$I$179,4),0)</f>
        <v/>
      </c>
    </row>
    <row r="200">
      <c r="B200" s="156" t="n">
        <v>5</v>
      </c>
      <c r="C200" s="199">
        <f>IF($D200&lt;=0,"",IFERROR(INDEX($C$37:$C$179,MATCH($F200,$I$37:$I$179,0)),""))</f>
        <v/>
      </c>
      <c r="D200" s="66">
        <f>IFERROR(INDEX($E$37:$E$179,MATCH($F200,$I$37:$I$179,0)),0)</f>
        <v/>
      </c>
      <c r="E200" s="132">
        <f>IFERROR($D200/SUM($E$37:$E$179),0)</f>
        <v/>
      </c>
      <c r="F200" s="247">
        <f>IFERROR(LARGE($I$37:$I$179,5),0)</f>
        <v/>
      </c>
    </row>
    <row r="201">
      <c r="B201" s="156" t="n">
        <v>6</v>
      </c>
      <c r="C201" s="199">
        <f>IF($D201&lt;=0,"",IFERROR(INDEX($C$37:$C$179,MATCH($F201,$I$37:$I$179,0)),""))</f>
        <v/>
      </c>
      <c r="D201" s="66">
        <f>IFERROR(INDEX($E$37:$E$179,MATCH($F201,$I$37:$I$179,0)),0)</f>
        <v/>
      </c>
      <c r="E201" s="132">
        <f>IFERROR($D201/SUM($E$37:$E$179),0)</f>
        <v/>
      </c>
      <c r="F201" s="247">
        <f>IFERROR(LARGE($I$37:$I$179,6),0)</f>
        <v/>
      </c>
    </row>
    <row r="202">
      <c r="B202" s="156" t="n">
        <v>7</v>
      </c>
      <c r="C202" s="199">
        <f>IF($D202&lt;=0,"",IFERROR(INDEX($C$37:$C$179,MATCH($F202,$I$37:$I$179,0)),""))</f>
        <v/>
      </c>
      <c r="D202" s="66">
        <f>IFERROR(INDEX($E$37:$E$179,MATCH($F202,$I$37:$I$179,0)),0)</f>
        <v/>
      </c>
      <c r="E202" s="132">
        <f>IFERROR($D202/SUM($E$37:$E$179),0)</f>
        <v/>
      </c>
      <c r="F202" s="247">
        <f>IFERROR(LARGE($I$37:$I$179,7),0)</f>
        <v/>
      </c>
    </row>
    <row r="203">
      <c r="B203" s="156" t="n">
        <v>8</v>
      </c>
      <c r="C203" s="199">
        <f>IF($D203&lt;=0,"",IFERROR(INDEX($C$37:$C$179,MATCH($F203,$I$37:$I$179,0)),""))</f>
        <v/>
      </c>
      <c r="D203" s="66">
        <f>IFERROR(INDEX($E$37:$E$179,MATCH($F203,$I$37:$I$179,0)),0)</f>
        <v/>
      </c>
      <c r="E203" s="132">
        <f>IFERROR($D203/SUM($E$37:$E$179),0)</f>
        <v/>
      </c>
      <c r="F203" s="247">
        <f>IFERROR(LARGE($I$37:$I$179,8),0)</f>
        <v/>
      </c>
    </row>
    <row r="204">
      <c r="B204" s="156" t="n">
        <v>9</v>
      </c>
      <c r="C204" s="199">
        <f>IF($D204&lt;=0,"",IFERROR(INDEX($C$37:$C$179,MATCH($F204,$I$37:$I$179,0)),""))</f>
        <v/>
      </c>
      <c r="D204" s="66">
        <f>IFERROR(INDEX($E$37:$E$179,MATCH($F204,$I$37:$I$179,0)),0)</f>
        <v/>
      </c>
      <c r="E204" s="132">
        <f>IFERROR($D204/SUM($E$37:$E$179),0)</f>
        <v/>
      </c>
      <c r="F204" s="247">
        <f>IFERROR(LARGE($I$37:$I$179,9),0)</f>
        <v/>
      </c>
    </row>
    <row r="205">
      <c r="B205" s="156" t="n">
        <v>10</v>
      </c>
      <c r="C205" s="199">
        <f>IF($D205&lt;=0,"",IFERROR(INDEX($C$37:$C$179,MATCH($F205,$I$37:$I$179,0)),""))</f>
        <v/>
      </c>
      <c r="D205" s="66">
        <f>IFERROR(INDEX($E$37:$E$179,MATCH($F205,$I$37:$I$179,0)),0)</f>
        <v/>
      </c>
      <c r="E205" s="132">
        <f>IFERROR($D205/SUM($E$37:$E$179),0)</f>
        <v/>
      </c>
      <c r="F205" s="247">
        <f>IFERROR(LARGE($I$37:$I$179,10),0)</f>
        <v/>
      </c>
    </row>
    <row r="206"/>
    <row r="207" ht="24" customHeight="1">
      <c r="B207" s="6" t="inlineStr">
        <is>
          <t>6 ▸ SOLDES PAR COMPTE</t>
        </is>
      </c>
      <c r="C207" s="7" t="n"/>
      <c r="D207" s="7" t="n"/>
    </row>
    <row r="208" ht="30" customHeight="1">
      <c r="B208" s="63" t="inlineStr">
        <is>
          <t>Compte</t>
        </is>
      </c>
      <c r="C208" s="63" t="inlineStr">
        <is>
          <t>Solde actuel</t>
        </is>
      </c>
      <c r="D208" s="63" t="inlineStr">
        <is>
          <t>Part</t>
        </is>
      </c>
    </row>
    <row r="209">
      <c r="B209" s="199">
        <f>IF(Paramètres!$C$41="","",Paramètres!$C$41)</f>
        <v/>
      </c>
      <c r="C209" s="66">
        <f>IF($B209="",0,N(Paramètres!$H$41))</f>
        <v/>
      </c>
      <c r="D209" s="132">
        <f>IFERROR($C209/SUM($C$209:$C$228),0)</f>
        <v/>
      </c>
    </row>
    <row r="210">
      <c r="B210" s="199">
        <f>IF(Paramètres!$C$42="","",Paramètres!$C$42)</f>
        <v/>
      </c>
      <c r="C210" s="66">
        <f>IF($B210="",0,N(Paramètres!$H$42))</f>
        <v/>
      </c>
      <c r="D210" s="132">
        <f>IFERROR($C210/SUM($C$209:$C$228),0)</f>
        <v/>
      </c>
    </row>
    <row r="211">
      <c r="B211" s="199">
        <f>IF(Paramètres!$C$43="","",Paramètres!$C$43)</f>
        <v/>
      </c>
      <c r="C211" s="66">
        <f>IF($B211="",0,N(Paramètres!$H$43))</f>
        <v/>
      </c>
      <c r="D211" s="132">
        <f>IFERROR($C211/SUM($C$209:$C$228),0)</f>
        <v/>
      </c>
    </row>
    <row r="212">
      <c r="B212" s="199">
        <f>IF(Paramètres!$C$44="","",Paramètres!$C$44)</f>
        <v/>
      </c>
      <c r="C212" s="66">
        <f>IF($B212="",0,N(Paramètres!$H$44))</f>
        <v/>
      </c>
      <c r="D212" s="132">
        <f>IFERROR($C212/SUM($C$209:$C$228),0)</f>
        <v/>
      </c>
    </row>
    <row r="213">
      <c r="B213" s="199">
        <f>IF(Paramètres!$C$45="","",Paramètres!$C$45)</f>
        <v/>
      </c>
      <c r="C213" s="66">
        <f>IF($B213="",0,N(Paramètres!$H$45))</f>
        <v/>
      </c>
      <c r="D213" s="132">
        <f>IFERROR($C213/SUM($C$209:$C$228),0)</f>
        <v/>
      </c>
    </row>
    <row r="214">
      <c r="B214" s="199">
        <f>IF(Paramètres!$C$46="","",Paramètres!$C$46)</f>
        <v/>
      </c>
      <c r="C214" s="66">
        <f>IF($B214="",0,N(Paramètres!$H$46))</f>
        <v/>
      </c>
      <c r="D214" s="132">
        <f>IFERROR($C214/SUM($C$209:$C$228),0)</f>
        <v/>
      </c>
    </row>
    <row r="215">
      <c r="B215" s="199">
        <f>IF(Paramètres!$C$47="","",Paramètres!$C$47)</f>
        <v/>
      </c>
      <c r="C215" s="66">
        <f>IF($B215="",0,N(Paramètres!$H$47))</f>
        <v/>
      </c>
      <c r="D215" s="132">
        <f>IFERROR($C215/SUM($C$209:$C$228),0)</f>
        <v/>
      </c>
    </row>
    <row r="216">
      <c r="B216" s="199">
        <f>IF(Paramètres!$C$48="","",Paramètres!$C$48)</f>
        <v/>
      </c>
      <c r="C216" s="66">
        <f>IF($B216="",0,N(Paramètres!$H$48))</f>
        <v/>
      </c>
      <c r="D216" s="132">
        <f>IFERROR($C216/SUM($C$209:$C$228),0)</f>
        <v/>
      </c>
    </row>
    <row r="217">
      <c r="B217" s="199">
        <f>IF(Paramètres!$C$49="","",Paramètres!$C$49)</f>
        <v/>
      </c>
      <c r="C217" s="66">
        <f>IF($B217="",0,N(Paramètres!$H$49))</f>
        <v/>
      </c>
      <c r="D217" s="132">
        <f>IFERROR($C217/SUM($C$209:$C$228),0)</f>
        <v/>
      </c>
    </row>
    <row r="218">
      <c r="B218" s="199">
        <f>IF(Paramètres!$C$50="","",Paramètres!$C$50)</f>
        <v/>
      </c>
      <c r="C218" s="66">
        <f>IF($B218="",0,N(Paramètres!$H$50))</f>
        <v/>
      </c>
      <c r="D218" s="132">
        <f>IFERROR($C218/SUM($C$209:$C$228),0)</f>
        <v/>
      </c>
    </row>
    <row r="219">
      <c r="B219" s="199">
        <f>IF(Paramètres!$C$51="","",Paramètres!$C$51)</f>
        <v/>
      </c>
      <c r="C219" s="66">
        <f>IF($B219="",0,N(Paramètres!$H$51))</f>
        <v/>
      </c>
      <c r="D219" s="132">
        <f>IFERROR($C219/SUM($C$209:$C$228),0)</f>
        <v/>
      </c>
    </row>
    <row r="220">
      <c r="B220" s="199">
        <f>IF(Paramètres!$C$52="","",Paramètres!$C$52)</f>
        <v/>
      </c>
      <c r="C220" s="66">
        <f>IF($B220="",0,N(Paramètres!$H$52))</f>
        <v/>
      </c>
      <c r="D220" s="132">
        <f>IFERROR($C220/SUM($C$209:$C$228),0)</f>
        <v/>
      </c>
    </row>
    <row r="221">
      <c r="B221" s="199">
        <f>IF(Paramètres!$C$53="","",Paramètres!$C$53)</f>
        <v/>
      </c>
      <c r="C221" s="66">
        <f>IF($B221="",0,N(Paramètres!$H$53))</f>
        <v/>
      </c>
      <c r="D221" s="132">
        <f>IFERROR($C221/SUM($C$209:$C$228),0)</f>
        <v/>
      </c>
    </row>
    <row r="222">
      <c r="B222" s="199">
        <f>IF(Paramètres!$C$54="","",Paramètres!$C$54)</f>
        <v/>
      </c>
      <c r="C222" s="66">
        <f>IF($B222="",0,N(Paramètres!$H$54))</f>
        <v/>
      </c>
      <c r="D222" s="132">
        <f>IFERROR($C222/SUM($C$209:$C$228),0)</f>
        <v/>
      </c>
    </row>
    <row r="223">
      <c r="B223" s="199">
        <f>IF(Paramètres!$C$55="","",Paramètres!$C$55)</f>
        <v/>
      </c>
      <c r="C223" s="66">
        <f>IF($B223="",0,N(Paramètres!$H$55))</f>
        <v/>
      </c>
      <c r="D223" s="132">
        <f>IFERROR($C223/SUM($C$209:$C$228),0)</f>
        <v/>
      </c>
    </row>
    <row r="224">
      <c r="B224" s="199">
        <f>IF(Paramètres!$C$56="","",Paramètres!$C$56)</f>
        <v/>
      </c>
      <c r="C224" s="66">
        <f>IF($B224="",0,N(Paramètres!$H$56))</f>
        <v/>
      </c>
      <c r="D224" s="132">
        <f>IFERROR($C224/SUM($C$209:$C$228),0)</f>
        <v/>
      </c>
    </row>
    <row r="225">
      <c r="B225" s="199">
        <f>IF(Paramètres!$C$57="","",Paramètres!$C$57)</f>
        <v/>
      </c>
      <c r="C225" s="66">
        <f>IF($B225="",0,N(Paramètres!$H$57))</f>
        <v/>
      </c>
      <c r="D225" s="132">
        <f>IFERROR($C225/SUM($C$209:$C$228),0)</f>
        <v/>
      </c>
    </row>
    <row r="226">
      <c r="B226" s="199">
        <f>IF(Paramètres!$C$58="","",Paramètres!$C$58)</f>
        <v/>
      </c>
      <c r="C226" s="66">
        <f>IF($B226="",0,N(Paramètres!$H$58))</f>
        <v/>
      </c>
      <c r="D226" s="132">
        <f>IFERROR($C226/SUM($C$209:$C$228),0)</f>
        <v/>
      </c>
    </row>
    <row r="227">
      <c r="B227" s="199">
        <f>IF(Paramètres!$C$59="","",Paramètres!$C$59)</f>
        <v/>
      </c>
      <c r="C227" s="66">
        <f>IF($B227="",0,N(Paramètres!$H$59))</f>
        <v/>
      </c>
      <c r="D227" s="132">
        <f>IFERROR($C227/SUM($C$209:$C$228),0)</f>
        <v/>
      </c>
    </row>
    <row r="228">
      <c r="B228" s="199">
        <f>IF(Paramètres!$C$60="","",Paramètres!$C$60)</f>
        <v/>
      </c>
      <c r="C228" s="66">
        <f>IF($B228="",0,N(Paramètres!$H$60))</f>
        <v/>
      </c>
      <c r="D228" s="132">
        <f>IFERROR($C228/SUM($C$209:$C$228),0)</f>
        <v/>
      </c>
    </row>
    <row r="229"/>
    <row r="230" ht="24" customHeight="1">
      <c r="B230" s="6" t="inlineStr">
        <is>
          <t>7 ▸ COMPARAISON AVEC L'ANNÉE PRÉCÉDENTE</t>
        </is>
      </c>
      <c r="C230" s="7" t="n"/>
      <c r="D230" s="7" t="n"/>
      <c r="E230" s="7" t="n"/>
      <c r="F230" s="7" t="n"/>
    </row>
    <row r="231" ht="30" customHeight="1">
      <c r="B231" s="63" t="inlineStr">
        <is>
          <t>Mois</t>
        </is>
      </c>
      <c r="C231" s="63" t="inlineStr">
        <is>
          <t>Dépenses N</t>
        </is>
      </c>
      <c r="D231" s="63" t="inlineStr">
        <is>
          <t>Dépenses N-1</t>
        </is>
      </c>
      <c r="E231" s="63" t="inlineStr">
        <is>
          <t>Revenus N</t>
        </is>
      </c>
      <c r="F231" s="63" t="inlineStr">
        <is>
          <t>Revenus N-1</t>
        </is>
      </c>
    </row>
    <row r="232">
      <c r="B232" s="199">
        <f>INDEX(Liste_Mois,1)</f>
        <v/>
      </c>
      <c r="C232" s="66">
        <f>SUMIFS(J_Montant,J_Annee,Annee_Travail,J_Mois,1,J_Type,"&lt;&gt;Revenu",J_Type,"&lt;&gt;Transfert",J_Module,Perimetre_Filtre,J_Statut,"&lt;&gt;Annulé",J_Statut,"&lt;&gt;Prévu")</f>
        <v/>
      </c>
      <c r="D232" s="66">
        <f>SUMIFS(J_Montant,J_Annee,Annee_Travail-1,J_Mois,1,J_Type,"&lt;&gt;Revenu",J_Type,"&lt;&gt;Transfert",J_Module,Perimetre_Filtre,J_Statut,"&lt;&gt;Annulé",J_Statut,"&lt;&gt;Prévu")</f>
        <v/>
      </c>
      <c r="E232" s="66">
        <f>SUMIFS(J_Montant,J_Annee,Annee_Travail,J_Mois,1,J_Type,"Revenu",J_Module,Perimetre_Filtre,J_Statut,"&lt;&gt;Annulé",J_Statut,"&lt;&gt;Prévu")</f>
        <v/>
      </c>
      <c r="F232" s="66">
        <f>SUMIFS(J_Montant,J_Annee,Annee_Travail-1,J_Mois,1,J_Type,"Revenu",J_Module,Perimetre_Filtre,J_Statut,"&lt;&gt;Annulé",J_Statut,"&lt;&gt;Prévu")</f>
        <v/>
      </c>
    </row>
    <row r="233">
      <c r="B233" s="199">
        <f>INDEX(Liste_Mois,2)</f>
        <v/>
      </c>
      <c r="C233" s="66">
        <f>SUMIFS(J_Montant,J_Annee,Annee_Travail,J_Mois,2,J_Type,"&lt;&gt;Revenu",J_Type,"&lt;&gt;Transfert",J_Module,Perimetre_Filtre,J_Statut,"&lt;&gt;Annulé",J_Statut,"&lt;&gt;Prévu")</f>
        <v/>
      </c>
      <c r="D233" s="66">
        <f>SUMIFS(J_Montant,J_Annee,Annee_Travail-1,J_Mois,2,J_Type,"&lt;&gt;Revenu",J_Type,"&lt;&gt;Transfert",J_Module,Perimetre_Filtre,J_Statut,"&lt;&gt;Annulé",J_Statut,"&lt;&gt;Prévu")</f>
        <v/>
      </c>
      <c r="E233" s="66">
        <f>SUMIFS(J_Montant,J_Annee,Annee_Travail,J_Mois,2,J_Type,"Revenu",J_Module,Perimetre_Filtre,J_Statut,"&lt;&gt;Annulé",J_Statut,"&lt;&gt;Prévu")</f>
        <v/>
      </c>
      <c r="F233" s="66">
        <f>SUMIFS(J_Montant,J_Annee,Annee_Travail-1,J_Mois,2,J_Type,"Revenu",J_Module,Perimetre_Filtre,J_Statut,"&lt;&gt;Annulé",J_Statut,"&lt;&gt;Prévu")</f>
        <v/>
      </c>
    </row>
    <row r="234">
      <c r="B234" s="199">
        <f>INDEX(Liste_Mois,3)</f>
        <v/>
      </c>
      <c r="C234" s="66">
        <f>SUMIFS(J_Montant,J_Annee,Annee_Travail,J_Mois,3,J_Type,"&lt;&gt;Revenu",J_Type,"&lt;&gt;Transfert",J_Module,Perimetre_Filtre,J_Statut,"&lt;&gt;Annulé",J_Statut,"&lt;&gt;Prévu")</f>
        <v/>
      </c>
      <c r="D234" s="66">
        <f>SUMIFS(J_Montant,J_Annee,Annee_Travail-1,J_Mois,3,J_Type,"&lt;&gt;Revenu",J_Type,"&lt;&gt;Transfert",J_Module,Perimetre_Filtre,J_Statut,"&lt;&gt;Annulé",J_Statut,"&lt;&gt;Prévu")</f>
        <v/>
      </c>
      <c r="E234" s="66">
        <f>SUMIFS(J_Montant,J_Annee,Annee_Travail,J_Mois,3,J_Type,"Revenu",J_Module,Perimetre_Filtre,J_Statut,"&lt;&gt;Annulé",J_Statut,"&lt;&gt;Prévu")</f>
        <v/>
      </c>
      <c r="F234" s="66">
        <f>SUMIFS(J_Montant,J_Annee,Annee_Travail-1,J_Mois,3,J_Type,"Revenu",J_Module,Perimetre_Filtre,J_Statut,"&lt;&gt;Annulé",J_Statut,"&lt;&gt;Prévu")</f>
        <v/>
      </c>
    </row>
    <row r="235">
      <c r="B235" s="199">
        <f>INDEX(Liste_Mois,4)</f>
        <v/>
      </c>
      <c r="C235" s="66">
        <f>SUMIFS(J_Montant,J_Annee,Annee_Travail,J_Mois,4,J_Type,"&lt;&gt;Revenu",J_Type,"&lt;&gt;Transfert",J_Module,Perimetre_Filtre,J_Statut,"&lt;&gt;Annulé",J_Statut,"&lt;&gt;Prévu")</f>
        <v/>
      </c>
      <c r="D235" s="66">
        <f>SUMIFS(J_Montant,J_Annee,Annee_Travail-1,J_Mois,4,J_Type,"&lt;&gt;Revenu",J_Type,"&lt;&gt;Transfert",J_Module,Perimetre_Filtre,J_Statut,"&lt;&gt;Annulé",J_Statut,"&lt;&gt;Prévu")</f>
        <v/>
      </c>
      <c r="E235" s="66">
        <f>SUMIFS(J_Montant,J_Annee,Annee_Travail,J_Mois,4,J_Type,"Revenu",J_Module,Perimetre_Filtre,J_Statut,"&lt;&gt;Annulé",J_Statut,"&lt;&gt;Prévu")</f>
        <v/>
      </c>
      <c r="F235" s="66">
        <f>SUMIFS(J_Montant,J_Annee,Annee_Travail-1,J_Mois,4,J_Type,"Revenu",J_Module,Perimetre_Filtre,J_Statut,"&lt;&gt;Annulé",J_Statut,"&lt;&gt;Prévu")</f>
        <v/>
      </c>
    </row>
    <row r="236">
      <c r="B236" s="199">
        <f>INDEX(Liste_Mois,5)</f>
        <v/>
      </c>
      <c r="C236" s="66">
        <f>SUMIFS(J_Montant,J_Annee,Annee_Travail,J_Mois,5,J_Type,"&lt;&gt;Revenu",J_Type,"&lt;&gt;Transfert",J_Module,Perimetre_Filtre,J_Statut,"&lt;&gt;Annulé",J_Statut,"&lt;&gt;Prévu")</f>
        <v/>
      </c>
      <c r="D236" s="66">
        <f>SUMIFS(J_Montant,J_Annee,Annee_Travail-1,J_Mois,5,J_Type,"&lt;&gt;Revenu",J_Type,"&lt;&gt;Transfert",J_Module,Perimetre_Filtre,J_Statut,"&lt;&gt;Annulé",J_Statut,"&lt;&gt;Prévu")</f>
        <v/>
      </c>
      <c r="E236" s="66">
        <f>SUMIFS(J_Montant,J_Annee,Annee_Travail,J_Mois,5,J_Type,"Revenu",J_Module,Perimetre_Filtre,J_Statut,"&lt;&gt;Annulé",J_Statut,"&lt;&gt;Prévu")</f>
        <v/>
      </c>
      <c r="F236" s="66">
        <f>SUMIFS(J_Montant,J_Annee,Annee_Travail-1,J_Mois,5,J_Type,"Revenu",J_Module,Perimetre_Filtre,J_Statut,"&lt;&gt;Annulé",J_Statut,"&lt;&gt;Prévu")</f>
        <v/>
      </c>
    </row>
    <row r="237">
      <c r="B237" s="199">
        <f>INDEX(Liste_Mois,6)</f>
        <v/>
      </c>
      <c r="C237" s="66">
        <f>SUMIFS(J_Montant,J_Annee,Annee_Travail,J_Mois,6,J_Type,"&lt;&gt;Revenu",J_Type,"&lt;&gt;Transfert",J_Module,Perimetre_Filtre,J_Statut,"&lt;&gt;Annulé",J_Statut,"&lt;&gt;Prévu")</f>
        <v/>
      </c>
      <c r="D237" s="66">
        <f>SUMIFS(J_Montant,J_Annee,Annee_Travail-1,J_Mois,6,J_Type,"&lt;&gt;Revenu",J_Type,"&lt;&gt;Transfert",J_Module,Perimetre_Filtre,J_Statut,"&lt;&gt;Annulé",J_Statut,"&lt;&gt;Prévu")</f>
        <v/>
      </c>
      <c r="E237" s="66">
        <f>SUMIFS(J_Montant,J_Annee,Annee_Travail,J_Mois,6,J_Type,"Revenu",J_Module,Perimetre_Filtre,J_Statut,"&lt;&gt;Annulé",J_Statut,"&lt;&gt;Prévu")</f>
        <v/>
      </c>
      <c r="F237" s="66">
        <f>SUMIFS(J_Montant,J_Annee,Annee_Travail-1,J_Mois,6,J_Type,"Revenu",J_Module,Perimetre_Filtre,J_Statut,"&lt;&gt;Annulé",J_Statut,"&lt;&gt;Prévu")</f>
        <v/>
      </c>
    </row>
    <row r="238">
      <c r="B238" s="199">
        <f>INDEX(Liste_Mois,7)</f>
        <v/>
      </c>
      <c r="C238" s="66">
        <f>SUMIFS(J_Montant,J_Annee,Annee_Travail,J_Mois,7,J_Type,"&lt;&gt;Revenu",J_Type,"&lt;&gt;Transfert",J_Module,Perimetre_Filtre,J_Statut,"&lt;&gt;Annulé",J_Statut,"&lt;&gt;Prévu")</f>
        <v/>
      </c>
      <c r="D238" s="66">
        <f>SUMIFS(J_Montant,J_Annee,Annee_Travail-1,J_Mois,7,J_Type,"&lt;&gt;Revenu",J_Type,"&lt;&gt;Transfert",J_Module,Perimetre_Filtre,J_Statut,"&lt;&gt;Annulé",J_Statut,"&lt;&gt;Prévu")</f>
        <v/>
      </c>
      <c r="E238" s="66">
        <f>SUMIFS(J_Montant,J_Annee,Annee_Travail,J_Mois,7,J_Type,"Revenu",J_Module,Perimetre_Filtre,J_Statut,"&lt;&gt;Annulé",J_Statut,"&lt;&gt;Prévu")</f>
        <v/>
      </c>
      <c r="F238" s="66">
        <f>SUMIFS(J_Montant,J_Annee,Annee_Travail-1,J_Mois,7,J_Type,"Revenu",J_Module,Perimetre_Filtre,J_Statut,"&lt;&gt;Annulé",J_Statut,"&lt;&gt;Prévu")</f>
        <v/>
      </c>
    </row>
    <row r="239">
      <c r="B239" s="199">
        <f>INDEX(Liste_Mois,8)</f>
        <v/>
      </c>
      <c r="C239" s="66">
        <f>SUMIFS(J_Montant,J_Annee,Annee_Travail,J_Mois,8,J_Type,"&lt;&gt;Revenu",J_Type,"&lt;&gt;Transfert",J_Module,Perimetre_Filtre,J_Statut,"&lt;&gt;Annulé",J_Statut,"&lt;&gt;Prévu")</f>
        <v/>
      </c>
      <c r="D239" s="66">
        <f>SUMIFS(J_Montant,J_Annee,Annee_Travail-1,J_Mois,8,J_Type,"&lt;&gt;Revenu",J_Type,"&lt;&gt;Transfert",J_Module,Perimetre_Filtre,J_Statut,"&lt;&gt;Annulé",J_Statut,"&lt;&gt;Prévu")</f>
        <v/>
      </c>
      <c r="E239" s="66">
        <f>SUMIFS(J_Montant,J_Annee,Annee_Travail,J_Mois,8,J_Type,"Revenu",J_Module,Perimetre_Filtre,J_Statut,"&lt;&gt;Annulé",J_Statut,"&lt;&gt;Prévu")</f>
        <v/>
      </c>
      <c r="F239" s="66">
        <f>SUMIFS(J_Montant,J_Annee,Annee_Travail-1,J_Mois,8,J_Type,"Revenu",J_Module,Perimetre_Filtre,J_Statut,"&lt;&gt;Annulé",J_Statut,"&lt;&gt;Prévu")</f>
        <v/>
      </c>
    </row>
    <row r="240">
      <c r="B240" s="199">
        <f>INDEX(Liste_Mois,9)</f>
        <v/>
      </c>
      <c r="C240" s="66">
        <f>SUMIFS(J_Montant,J_Annee,Annee_Travail,J_Mois,9,J_Type,"&lt;&gt;Revenu",J_Type,"&lt;&gt;Transfert",J_Module,Perimetre_Filtre,J_Statut,"&lt;&gt;Annulé",J_Statut,"&lt;&gt;Prévu")</f>
        <v/>
      </c>
      <c r="D240" s="66">
        <f>SUMIFS(J_Montant,J_Annee,Annee_Travail-1,J_Mois,9,J_Type,"&lt;&gt;Revenu",J_Type,"&lt;&gt;Transfert",J_Module,Perimetre_Filtre,J_Statut,"&lt;&gt;Annulé",J_Statut,"&lt;&gt;Prévu")</f>
        <v/>
      </c>
      <c r="E240" s="66">
        <f>SUMIFS(J_Montant,J_Annee,Annee_Travail,J_Mois,9,J_Type,"Revenu",J_Module,Perimetre_Filtre,J_Statut,"&lt;&gt;Annulé",J_Statut,"&lt;&gt;Prévu")</f>
        <v/>
      </c>
      <c r="F240" s="66">
        <f>SUMIFS(J_Montant,J_Annee,Annee_Travail-1,J_Mois,9,J_Type,"Revenu",J_Module,Perimetre_Filtre,J_Statut,"&lt;&gt;Annulé",J_Statut,"&lt;&gt;Prévu")</f>
        <v/>
      </c>
    </row>
    <row r="241">
      <c r="B241" s="199">
        <f>INDEX(Liste_Mois,10)</f>
        <v/>
      </c>
      <c r="C241" s="66">
        <f>SUMIFS(J_Montant,J_Annee,Annee_Travail,J_Mois,10,J_Type,"&lt;&gt;Revenu",J_Type,"&lt;&gt;Transfert",J_Module,Perimetre_Filtre,J_Statut,"&lt;&gt;Annulé",J_Statut,"&lt;&gt;Prévu")</f>
        <v/>
      </c>
      <c r="D241" s="66">
        <f>SUMIFS(J_Montant,J_Annee,Annee_Travail-1,J_Mois,10,J_Type,"&lt;&gt;Revenu",J_Type,"&lt;&gt;Transfert",J_Module,Perimetre_Filtre,J_Statut,"&lt;&gt;Annulé",J_Statut,"&lt;&gt;Prévu")</f>
        <v/>
      </c>
      <c r="E241" s="66">
        <f>SUMIFS(J_Montant,J_Annee,Annee_Travail,J_Mois,10,J_Type,"Revenu",J_Module,Perimetre_Filtre,J_Statut,"&lt;&gt;Annulé",J_Statut,"&lt;&gt;Prévu")</f>
        <v/>
      </c>
      <c r="F241" s="66">
        <f>SUMIFS(J_Montant,J_Annee,Annee_Travail-1,J_Mois,10,J_Type,"Revenu",J_Module,Perimetre_Filtre,J_Statut,"&lt;&gt;Annulé",J_Statut,"&lt;&gt;Prévu")</f>
        <v/>
      </c>
    </row>
    <row r="242">
      <c r="B242" s="199">
        <f>INDEX(Liste_Mois,11)</f>
        <v/>
      </c>
      <c r="C242" s="66">
        <f>SUMIFS(J_Montant,J_Annee,Annee_Travail,J_Mois,11,J_Type,"&lt;&gt;Revenu",J_Type,"&lt;&gt;Transfert",J_Module,Perimetre_Filtre,J_Statut,"&lt;&gt;Annulé",J_Statut,"&lt;&gt;Prévu")</f>
        <v/>
      </c>
      <c r="D242" s="66">
        <f>SUMIFS(J_Montant,J_Annee,Annee_Travail-1,J_Mois,11,J_Type,"&lt;&gt;Revenu",J_Type,"&lt;&gt;Transfert",J_Module,Perimetre_Filtre,J_Statut,"&lt;&gt;Annulé",J_Statut,"&lt;&gt;Prévu")</f>
        <v/>
      </c>
      <c r="E242" s="66">
        <f>SUMIFS(J_Montant,J_Annee,Annee_Travail,J_Mois,11,J_Type,"Revenu",J_Module,Perimetre_Filtre,J_Statut,"&lt;&gt;Annulé",J_Statut,"&lt;&gt;Prévu")</f>
        <v/>
      </c>
      <c r="F242" s="66">
        <f>SUMIFS(J_Montant,J_Annee,Annee_Travail-1,J_Mois,11,J_Type,"Revenu",J_Module,Perimetre_Filtre,J_Statut,"&lt;&gt;Annulé",J_Statut,"&lt;&gt;Prévu")</f>
        <v/>
      </c>
    </row>
    <row r="243">
      <c r="B243" s="199">
        <f>INDEX(Liste_Mois,12)</f>
        <v/>
      </c>
      <c r="C243" s="66">
        <f>SUMIFS(J_Montant,J_Annee,Annee_Travail,J_Mois,12,J_Type,"&lt;&gt;Revenu",J_Type,"&lt;&gt;Transfert",J_Module,Perimetre_Filtre,J_Statut,"&lt;&gt;Annulé",J_Statut,"&lt;&gt;Prévu")</f>
        <v/>
      </c>
      <c r="D243" s="66">
        <f>SUMIFS(J_Montant,J_Annee,Annee_Travail-1,J_Mois,12,J_Type,"&lt;&gt;Revenu",J_Type,"&lt;&gt;Transfert",J_Module,Perimetre_Filtre,J_Statut,"&lt;&gt;Annulé",J_Statut,"&lt;&gt;Prévu")</f>
        <v/>
      </c>
      <c r="E243" s="66">
        <f>SUMIFS(J_Montant,J_Annee,Annee_Travail,J_Mois,12,J_Type,"Revenu",J_Module,Perimetre_Filtre,J_Statut,"&lt;&gt;Annulé",J_Statut,"&lt;&gt;Prévu")</f>
        <v/>
      </c>
      <c r="F243" s="66">
        <f>SUMIFS(J_Montant,J_Annee,Annee_Travail-1,J_Mois,12,J_Type,"Revenu",J_Module,Perimetre_Filtre,J_Statut,"&lt;&gt;Annulé",J_Statut,"&lt;&gt;Prévu")</f>
        <v/>
      </c>
    </row>
    <row r="244"/>
    <row r="245" ht="24" customHeight="1">
      <c r="B245" s="6" t="inlineStr">
        <is>
          <t>8 ▸ LISTE CONSOLIDÉE — BIENS, PROJETS, OBJECTIFS</t>
        </is>
      </c>
      <c r="C245" s="7" t="n"/>
    </row>
    <row r="246">
      <c r="B246" s="248">
        <f>IF('Immobilier'!$C$10="","",'Immobilier'!$C$10)</f>
        <v/>
      </c>
      <c r="C246" s="242" t="inlineStr">
        <is>
          <t>Immobilier</t>
        </is>
      </c>
    </row>
    <row r="247">
      <c r="B247" s="248">
        <f>IF('Immobilier'!$C$11="","",'Immobilier'!$C$11)</f>
        <v/>
      </c>
      <c r="C247" s="242" t="inlineStr">
        <is>
          <t>Immobilier</t>
        </is>
      </c>
    </row>
    <row r="248">
      <c r="B248" s="248">
        <f>IF('Immobilier'!$C$12="","",'Immobilier'!$C$12)</f>
        <v/>
      </c>
      <c r="C248" s="242" t="inlineStr">
        <is>
          <t>Immobilier</t>
        </is>
      </c>
    </row>
    <row r="249">
      <c r="B249" s="248">
        <f>IF('Immobilier'!$C$13="","",'Immobilier'!$C$13)</f>
        <v/>
      </c>
      <c r="C249" s="242" t="inlineStr">
        <is>
          <t>Immobilier</t>
        </is>
      </c>
    </row>
    <row r="250">
      <c r="B250" s="248">
        <f>IF('Immobilier'!$C$14="","",'Immobilier'!$C$14)</f>
        <v/>
      </c>
      <c r="C250" s="242" t="inlineStr">
        <is>
          <t>Immobilier</t>
        </is>
      </c>
    </row>
    <row r="251">
      <c r="B251" s="248">
        <f>IF('Immobilier'!$C$15="","",'Immobilier'!$C$15)</f>
        <v/>
      </c>
      <c r="C251" s="242" t="inlineStr">
        <is>
          <t>Immobilier</t>
        </is>
      </c>
    </row>
    <row r="252">
      <c r="B252" s="248">
        <f>IF('Immobilier'!$C$16="","",'Immobilier'!$C$16)</f>
        <v/>
      </c>
      <c r="C252" s="242" t="inlineStr">
        <is>
          <t>Immobilier</t>
        </is>
      </c>
    </row>
    <row r="253">
      <c r="B253" s="248">
        <f>IF('Immobilier'!$C$17="","",'Immobilier'!$C$17)</f>
        <v/>
      </c>
      <c r="C253" s="242" t="inlineStr">
        <is>
          <t>Immobilier</t>
        </is>
      </c>
    </row>
    <row r="254">
      <c r="B254" s="248">
        <f>IF('Immobilier'!$C$18="","",'Immobilier'!$C$18)</f>
        <v/>
      </c>
      <c r="C254" s="242" t="inlineStr">
        <is>
          <t>Immobilier</t>
        </is>
      </c>
    </row>
    <row r="255">
      <c r="B255" s="248">
        <f>IF('Immobilier'!$C$19="","",'Immobilier'!$C$19)</f>
        <v/>
      </c>
      <c r="C255" s="242" t="inlineStr">
        <is>
          <t>Immobilier</t>
        </is>
      </c>
    </row>
    <row r="256">
      <c r="B256" s="248">
        <f>IF('Business'!$C$10="","",'Business'!$C$10)</f>
        <v/>
      </c>
      <c r="C256" s="242" t="inlineStr">
        <is>
          <t>Business</t>
        </is>
      </c>
    </row>
    <row r="257">
      <c r="B257" s="248">
        <f>IF('Business'!$C$11="","",'Business'!$C$11)</f>
        <v/>
      </c>
      <c r="C257" s="242" t="inlineStr">
        <is>
          <t>Business</t>
        </is>
      </c>
    </row>
    <row r="258">
      <c r="B258" s="248">
        <f>IF('Business'!$C$12="","",'Business'!$C$12)</f>
        <v/>
      </c>
      <c r="C258" s="242" t="inlineStr">
        <is>
          <t>Business</t>
        </is>
      </c>
    </row>
    <row r="259">
      <c r="B259" s="248">
        <f>IF('Business'!$C$13="","",'Business'!$C$13)</f>
        <v/>
      </c>
      <c r="C259" s="242" t="inlineStr">
        <is>
          <t>Business</t>
        </is>
      </c>
    </row>
    <row r="260">
      <c r="B260" s="248">
        <f>IF('Business'!$C$14="","",'Business'!$C$14)</f>
        <v/>
      </c>
      <c r="C260" s="242" t="inlineStr">
        <is>
          <t>Business</t>
        </is>
      </c>
    </row>
    <row r="261">
      <c r="B261" s="248">
        <f>IF('Business'!$C$15="","",'Business'!$C$15)</f>
        <v/>
      </c>
      <c r="C261" s="242" t="inlineStr">
        <is>
          <t>Business</t>
        </is>
      </c>
    </row>
    <row r="262">
      <c r="B262" s="248">
        <f>IF('Business'!$C$16="","",'Business'!$C$16)</f>
        <v/>
      </c>
      <c r="C262" s="242" t="inlineStr">
        <is>
          <t>Business</t>
        </is>
      </c>
    </row>
    <row r="263">
      <c r="B263" s="248">
        <f>IF('Business'!$C$17="","",'Business'!$C$17)</f>
        <v/>
      </c>
      <c r="C263" s="242" t="inlineStr">
        <is>
          <t>Business</t>
        </is>
      </c>
    </row>
    <row r="264">
      <c r="B264" s="248">
        <f>IF('Business'!$C$18="","",'Business'!$C$18)</f>
        <v/>
      </c>
      <c r="C264" s="242" t="inlineStr">
        <is>
          <t>Business</t>
        </is>
      </c>
    </row>
    <row r="265">
      <c r="B265" s="248">
        <f>IF('Business'!$C$19="","",'Business'!$C$19)</f>
        <v/>
      </c>
      <c r="C265" s="242" t="inlineStr">
        <is>
          <t>Business</t>
        </is>
      </c>
    </row>
    <row r="266">
      <c r="B266" s="248">
        <f>IF('Business'!$C$20="","",'Business'!$C$20)</f>
        <v/>
      </c>
      <c r="C266" s="242" t="inlineStr">
        <is>
          <t>Business</t>
        </is>
      </c>
    </row>
    <row r="267">
      <c r="B267" s="248">
        <f>IF('Business'!$C$21="","",'Business'!$C$21)</f>
        <v/>
      </c>
      <c r="C267" s="242" t="inlineStr">
        <is>
          <t>Business</t>
        </is>
      </c>
    </row>
    <row r="268">
      <c r="B268" s="248">
        <f>IF('Objectifs'!$C$10="","",'Objectifs'!$C$10)</f>
        <v/>
      </c>
      <c r="C268" s="242" t="inlineStr">
        <is>
          <t>Objectifs</t>
        </is>
      </c>
    </row>
    <row r="269">
      <c r="B269" s="248">
        <f>IF('Objectifs'!$C$11="","",'Objectifs'!$C$11)</f>
        <v/>
      </c>
      <c r="C269" s="242" t="inlineStr">
        <is>
          <t>Objectifs</t>
        </is>
      </c>
    </row>
    <row r="270">
      <c r="B270" s="248">
        <f>IF('Objectifs'!$C$12="","",'Objectifs'!$C$12)</f>
        <v/>
      </c>
      <c r="C270" s="242" t="inlineStr">
        <is>
          <t>Objectifs</t>
        </is>
      </c>
    </row>
    <row r="271">
      <c r="B271" s="248">
        <f>IF('Objectifs'!$C$13="","",'Objectifs'!$C$13)</f>
        <v/>
      </c>
      <c r="C271" s="242" t="inlineStr">
        <is>
          <t>Objectifs</t>
        </is>
      </c>
    </row>
    <row r="272">
      <c r="B272" s="248">
        <f>IF('Objectifs'!$C$14="","",'Objectifs'!$C$14)</f>
        <v/>
      </c>
      <c r="C272" s="242" t="inlineStr">
        <is>
          <t>Objectifs</t>
        </is>
      </c>
    </row>
    <row r="273">
      <c r="B273" s="248">
        <f>IF('Objectifs'!$C$15="","",'Objectifs'!$C$15)</f>
        <v/>
      </c>
      <c r="C273" s="242" t="inlineStr">
        <is>
          <t>Objectifs</t>
        </is>
      </c>
    </row>
    <row r="274">
      <c r="B274" s="248">
        <f>IF('Objectifs'!$C$16="","",'Objectifs'!$C$16)</f>
        <v/>
      </c>
      <c r="C274" s="242" t="inlineStr">
        <is>
          <t>Objectifs</t>
        </is>
      </c>
    </row>
    <row r="275">
      <c r="B275" s="248">
        <f>IF('Objectifs'!$C$17="","",'Objectifs'!$C$17)</f>
        <v/>
      </c>
      <c r="C275" s="242" t="inlineStr">
        <is>
          <t>Objectifs</t>
        </is>
      </c>
    </row>
    <row r="276">
      <c r="B276" s="248">
        <f>IF('Objectifs'!$C$18="","",'Objectifs'!$C$18)</f>
        <v/>
      </c>
      <c r="C276" s="242" t="inlineStr">
        <is>
          <t>Objectifs</t>
        </is>
      </c>
    </row>
    <row r="277">
      <c r="B277" s="248">
        <f>IF('Objectifs'!$C$19="","",'Objectifs'!$C$19)</f>
        <v/>
      </c>
      <c r="C277" s="242" t="inlineStr">
        <is>
          <t>Objectifs</t>
        </is>
      </c>
    </row>
    <row r="278">
      <c r="B278" s="248">
        <f>IF('Objectifs'!$C$20="","",'Objectifs'!$C$20)</f>
        <v/>
      </c>
      <c r="C278" s="242" t="inlineStr">
        <is>
          <t>Objectifs</t>
        </is>
      </c>
    </row>
    <row r="279">
      <c r="B279" s="248">
        <f>IF('Objectifs'!$C$21="","",'Objectifs'!$C$21)</f>
        <v/>
      </c>
      <c r="C279" s="242" t="inlineStr">
        <is>
          <t>Objectifs</t>
        </is>
      </c>
      <c r="D279" s="249" t="inlineStr">
        <is>
          <t>↓ lignes libres : ajoutez ici un projet ou un bien qui n'existe dans aucun module</t>
        </is>
      </c>
    </row>
    <row r="280">
      <c r="B280" s="250" t="n"/>
      <c r="C280" s="242" t="inlineStr"/>
    </row>
    <row r="281">
      <c r="B281" s="250" t="n"/>
      <c r="C281" s="242" t="inlineStr"/>
    </row>
    <row r="282">
      <c r="B282" s="250" t="n"/>
      <c r="C282" s="242" t="inlineStr"/>
    </row>
    <row r="283">
      <c r="B283" s="250" t="n"/>
      <c r="C283" s="242" t="inlineStr"/>
    </row>
    <row r="284">
      <c r="B284" s="250" t="n"/>
      <c r="C284" s="242" t="inlineStr"/>
    </row>
    <row r="285">
      <c r="B285" s="250" t="n"/>
      <c r="C285" s="242" t="inlineStr"/>
    </row>
    <row r="286"/>
    <row r="287" ht="24" customHeight="1">
      <c r="B287" s="6" t="inlineStr">
        <is>
          <t>9 ▸ RÉPARTITION DU MOIS SÉLECTIONNÉ</t>
        </is>
      </c>
      <c r="C287" s="7" t="n"/>
      <c r="D287" s="7" t="n"/>
    </row>
    <row r="288" ht="30" customHeight="1">
      <c r="B288" s="63" t="inlineStr">
        <is>
          <t>Module</t>
        </is>
      </c>
      <c r="C288" s="63" t="inlineStr">
        <is>
          <t>Sorties du mois</t>
        </is>
      </c>
    </row>
    <row r="289">
      <c r="B289" s="131" t="inlineStr">
        <is>
          <t>Général</t>
        </is>
      </c>
      <c r="C289" s="66">
        <f>SUMIFS(J_Montant,J_Annee,Annee_Travail,J_Mois,Mois_Num,J_Module,"Général",J_Type,"&lt;&gt;Revenu",J_Type,"&lt;&gt;Transfert",J_Statut,"&lt;&gt;Annulé",J_Statut,"&lt;&gt;Prévu")</f>
        <v/>
      </c>
    </row>
    <row r="290">
      <c r="B290" s="131" t="inlineStr">
        <is>
          <t>Mariage</t>
        </is>
      </c>
      <c r="C290" s="66">
        <f>SUMIFS(J_Montant,J_Annee,Annee_Travail,J_Mois,Mois_Num,J_Module,"Mariage",J_Type,"&lt;&gt;Revenu",J_Type,"&lt;&gt;Transfert",J_Statut,"&lt;&gt;Annulé",J_Statut,"&lt;&gt;Prévu")</f>
        <v/>
      </c>
    </row>
    <row r="291">
      <c r="B291" s="131" t="inlineStr">
        <is>
          <t>Immobilier</t>
        </is>
      </c>
      <c r="C291" s="66">
        <f>SUMIFS(J_Montant,J_Annee,Annee_Travail,J_Mois,Mois_Num,J_Module,"Immobilier",J_Type,"&lt;&gt;Revenu",J_Type,"&lt;&gt;Transfert",J_Statut,"&lt;&gt;Annulé",J_Statut,"&lt;&gt;Prévu")</f>
        <v/>
      </c>
    </row>
    <row r="292">
      <c r="B292" s="131" t="inlineStr">
        <is>
          <t>Business</t>
        </is>
      </c>
      <c r="C292" s="66">
        <f>SUMIFS(J_Montant,J_Annee,Annee_Travail,J_Mois,Mois_Num,J_Module,"Business",J_Type,"&lt;&gt;Revenu",J_Type,"&lt;&gt;Transfert",J_Statut,"&lt;&gt;Annulé",J_Statut,"&lt;&gt;Prévu")</f>
        <v/>
      </c>
    </row>
    <row r="293"/>
    <row r="294" ht="30" customHeight="1">
      <c r="B294" s="63" t="inlineStr">
        <is>
          <t>Nature</t>
        </is>
      </c>
      <c r="C294" s="63" t="inlineStr">
        <is>
          <t>Sorties du mois</t>
        </is>
      </c>
    </row>
    <row r="295">
      <c r="B295" s="131" t="inlineStr">
        <is>
          <t>Fixe</t>
        </is>
      </c>
      <c r="C295" s="66">
        <f>SUMIFS(J_Montant,J_Annee,Annee_Travail,J_Mois,Mois_Num,J_Nature,"Fixe",J_Type,"&lt;&gt;Revenu",J_Type,"&lt;&gt;Transfert",J_Module,Perimetre_Filtre,J_Statut,"&lt;&gt;Annulé",J_Statut,"&lt;&gt;Prévu")</f>
        <v/>
      </c>
    </row>
    <row r="296">
      <c r="B296" s="131" t="inlineStr">
        <is>
          <t>Variable</t>
        </is>
      </c>
      <c r="C296" s="66">
        <f>SUMIFS(J_Montant,J_Annee,Annee_Travail,J_Mois,Mois_Num,J_Nature,"Variable",J_Type,"&lt;&gt;Revenu",J_Type,"&lt;&gt;Transfert",J_Module,Perimetre_Filtre,J_Statut,"&lt;&gt;Annulé",J_Statut,"&lt;&gt;Prévu")</f>
        <v/>
      </c>
    </row>
    <row r="297">
      <c r="B297" s="131" t="inlineStr">
        <is>
          <t>Exceptionnelle</t>
        </is>
      </c>
      <c r="C297" s="66">
        <f>SUMIFS(J_Montant,J_Annee,Annee_Travail,J_Mois,Mois_Num,J_Nature,"Exceptionnelle",J_Type,"&lt;&gt;Revenu",J_Type,"&lt;&gt;Transfert",J_Module,Perimetre_Filtre,J_Statut,"&lt;&gt;Annulé",J_Statut,"&lt;&gt;Prévu")</f>
        <v/>
      </c>
    </row>
    <row r="298"/>
    <row r="299" ht="24" customHeight="1">
      <c r="B299" s="6" t="inlineStr">
        <is>
          <t>10 ▸ PRÉVU vs RÉALISÉ PAR MODULE (mois sélectionné)</t>
        </is>
      </c>
      <c r="C299" s="7" t="n"/>
      <c r="D299" s="7" t="n"/>
      <c r="E299" s="7" t="n"/>
    </row>
    <row r="300" ht="30" customHeight="1">
      <c r="B300" s="63" t="inlineStr">
        <is>
          <t>Module</t>
        </is>
      </c>
      <c r="C300" s="63" t="inlineStr">
        <is>
          <t>Prévu</t>
        </is>
      </c>
      <c r="D300" s="63" t="inlineStr">
        <is>
          <t>Réalisé</t>
        </is>
      </c>
      <c r="E300" s="63" t="inlineStr">
        <is>
          <t>Écart</t>
        </is>
      </c>
    </row>
    <row r="301">
      <c r="B301" s="131" t="inlineStr">
        <is>
          <t>Général</t>
        </is>
      </c>
      <c r="C301" s="66">
        <f>SUMPRODUCT((P_Annee=Annee_Travail)*(P_Module="Général")*(P_Type&lt;&gt;"Revenu")*INDEX(P_Mois,0,Mois_Num))</f>
        <v/>
      </c>
      <c r="D301" s="66">
        <f>$C289</f>
        <v/>
      </c>
      <c r="E301" s="66">
        <f>$C301-$D301</f>
        <v/>
      </c>
    </row>
    <row r="302">
      <c r="B302" s="131" t="inlineStr">
        <is>
          <t>Mariage</t>
        </is>
      </c>
      <c r="C302" s="66">
        <f>SUMPRODUCT((P_Annee=Annee_Travail)*(P_Module="Mariage")*(P_Type&lt;&gt;"Revenu")*INDEX(P_Mois,0,Mois_Num))</f>
        <v/>
      </c>
      <c r="D302" s="66">
        <f>$C290</f>
        <v/>
      </c>
      <c r="E302" s="66">
        <f>$C302-$D302</f>
        <v/>
      </c>
    </row>
    <row r="303">
      <c r="B303" s="131" t="inlineStr">
        <is>
          <t>Immobilier</t>
        </is>
      </c>
      <c r="C303" s="66">
        <f>SUMPRODUCT((P_Annee=Annee_Travail)*(P_Module="Immobilier")*(P_Type&lt;&gt;"Revenu")*INDEX(P_Mois,0,Mois_Num))</f>
        <v/>
      </c>
      <c r="D303" s="66">
        <f>$C291</f>
        <v/>
      </c>
      <c r="E303" s="66">
        <f>$C303-$D303</f>
        <v/>
      </c>
    </row>
    <row r="304">
      <c r="B304" s="131" t="inlineStr">
        <is>
          <t>Business</t>
        </is>
      </c>
      <c r="C304" s="66">
        <f>SUMPRODUCT((P_Annee=Annee_Travail)*(P_Module="Business")*(P_Type&lt;&gt;"Revenu")*INDEX(P_Mois,0,Mois_Num))</f>
        <v/>
      </c>
      <c r="D304" s="66">
        <f>$C292</f>
        <v/>
      </c>
      <c r="E304" s="66">
        <f>$C304-$D304</f>
        <v/>
      </c>
    </row>
    <row r="305"/>
    <row r="306" ht="24" customHeight="1">
      <c r="B306" s="6" t="inlineStr">
        <is>
          <t>11 ▸ DÎME — DUE ET VERSÉE, MOIS PAR MOIS</t>
        </is>
      </c>
      <c r="C306" s="7" t="n"/>
      <c r="D306" s="7" t="n"/>
      <c r="E306" s="7" t="n"/>
      <c r="F306" s="7" t="n"/>
    </row>
    <row r="307" ht="30" customHeight="1">
      <c r="B307" s="63" t="inlineStr">
        <is>
          <t>Mois</t>
        </is>
      </c>
      <c r="C307" s="63" t="inlineStr">
        <is>
          <t>Revenus soumis</t>
        </is>
      </c>
      <c r="D307" s="63" t="inlineStr">
        <is>
          <t>Dîme due</t>
        </is>
      </c>
      <c r="E307" s="63" t="inlineStr">
        <is>
          <t>Déjà versée</t>
        </is>
      </c>
      <c r="F307" s="63" t="inlineStr">
        <is>
          <t>Reste à verser</t>
        </is>
      </c>
    </row>
    <row r="308">
      <c r="B308" s="199">
        <f>INDEX(Liste_Mois,1)</f>
        <v/>
      </c>
      <c r="C308" s="66">
        <f>IF(Dime_Active&lt;&gt;"Oui",0,IF(Dime_Base="Salaire uniquement",SUMIFS(J_Montant,J_Annee,Annee_Travail,J_Mois,1,J_Type,"Revenu",J_Cat,"Salaire",J_Statut,"&lt;&gt;Annulé",J_Statut,"&lt;&gt;Prévu"),IF(Dime_Base="Salaire + primes",SUMIFS(J_Montant,J_Annee,Annee_Travail,J_Mois,1,J_Type,"Revenu",J_Cat,"Salaire",J_Statut,"&lt;&gt;Annulé",J_Statut,"&lt;&gt;Prévu")+SUMIFS(J_Montant,J_Annee,Annee_Travail,J_Mois,1,J_Type,"Revenu",J_Cat,"Prime / 13e mois",J_Statut,"&lt;&gt;Annulé",J_Statut,"&lt;&gt;Prévu"),SUMIFS(J_Montant,J_Annee,Annee_Travail,J_Mois,1,J_Type,"Revenu",J_Statut,"&lt;&gt;Annulé",J_Statut,"&lt;&gt;Prévu"))))</f>
        <v/>
      </c>
      <c r="D308" s="66">
        <f>ROUND($C308*N(Dime_Taux),0)</f>
        <v/>
      </c>
      <c r="E308" s="66">
        <f>SUMIFS(J_Montant,J_Annee,Annee_Travail,J_Mois,1,J_Cat,"Dîme / Offrandes",J_Type,"Dépense",J_Statut,"&lt;&gt;Annulé",J_Statut,"&lt;&gt;Prévu")</f>
        <v/>
      </c>
      <c r="F308" s="66">
        <f>MAX(0,$D308-$E308)</f>
        <v/>
      </c>
    </row>
    <row r="309">
      <c r="B309" s="199">
        <f>INDEX(Liste_Mois,2)</f>
        <v/>
      </c>
      <c r="C309" s="66">
        <f>IF(Dime_Active&lt;&gt;"Oui",0,IF(Dime_Base="Salaire uniquement",SUMIFS(J_Montant,J_Annee,Annee_Travail,J_Mois,2,J_Type,"Revenu",J_Cat,"Salaire",J_Statut,"&lt;&gt;Annulé",J_Statut,"&lt;&gt;Prévu"),IF(Dime_Base="Salaire + primes",SUMIFS(J_Montant,J_Annee,Annee_Travail,J_Mois,2,J_Type,"Revenu",J_Cat,"Salaire",J_Statut,"&lt;&gt;Annulé",J_Statut,"&lt;&gt;Prévu")+SUMIFS(J_Montant,J_Annee,Annee_Travail,J_Mois,2,J_Type,"Revenu",J_Cat,"Prime / 13e mois",J_Statut,"&lt;&gt;Annulé",J_Statut,"&lt;&gt;Prévu"),SUMIFS(J_Montant,J_Annee,Annee_Travail,J_Mois,2,J_Type,"Revenu",J_Statut,"&lt;&gt;Annulé",J_Statut,"&lt;&gt;Prévu"))))</f>
        <v/>
      </c>
      <c r="D309" s="66">
        <f>ROUND($C309*N(Dime_Taux),0)</f>
        <v/>
      </c>
      <c r="E309" s="66">
        <f>SUMIFS(J_Montant,J_Annee,Annee_Travail,J_Mois,2,J_Cat,"Dîme / Offrandes",J_Type,"Dépense",J_Statut,"&lt;&gt;Annulé",J_Statut,"&lt;&gt;Prévu")</f>
        <v/>
      </c>
      <c r="F309" s="66">
        <f>MAX(0,$D309-$E309)</f>
        <v/>
      </c>
    </row>
    <row r="310">
      <c r="B310" s="199">
        <f>INDEX(Liste_Mois,3)</f>
        <v/>
      </c>
      <c r="C310" s="66">
        <f>IF(Dime_Active&lt;&gt;"Oui",0,IF(Dime_Base="Salaire uniquement",SUMIFS(J_Montant,J_Annee,Annee_Travail,J_Mois,3,J_Type,"Revenu",J_Cat,"Salaire",J_Statut,"&lt;&gt;Annulé",J_Statut,"&lt;&gt;Prévu"),IF(Dime_Base="Salaire + primes",SUMIFS(J_Montant,J_Annee,Annee_Travail,J_Mois,3,J_Type,"Revenu",J_Cat,"Salaire",J_Statut,"&lt;&gt;Annulé",J_Statut,"&lt;&gt;Prévu")+SUMIFS(J_Montant,J_Annee,Annee_Travail,J_Mois,3,J_Type,"Revenu",J_Cat,"Prime / 13e mois",J_Statut,"&lt;&gt;Annulé",J_Statut,"&lt;&gt;Prévu"),SUMIFS(J_Montant,J_Annee,Annee_Travail,J_Mois,3,J_Type,"Revenu",J_Statut,"&lt;&gt;Annulé",J_Statut,"&lt;&gt;Prévu"))))</f>
        <v/>
      </c>
      <c r="D310" s="66">
        <f>ROUND($C310*N(Dime_Taux),0)</f>
        <v/>
      </c>
      <c r="E310" s="66">
        <f>SUMIFS(J_Montant,J_Annee,Annee_Travail,J_Mois,3,J_Cat,"Dîme / Offrandes",J_Type,"Dépense",J_Statut,"&lt;&gt;Annulé",J_Statut,"&lt;&gt;Prévu")</f>
        <v/>
      </c>
      <c r="F310" s="66">
        <f>MAX(0,$D310-$E310)</f>
        <v/>
      </c>
    </row>
    <row r="311">
      <c r="B311" s="199">
        <f>INDEX(Liste_Mois,4)</f>
        <v/>
      </c>
      <c r="C311" s="66">
        <f>IF(Dime_Active&lt;&gt;"Oui",0,IF(Dime_Base="Salaire uniquement",SUMIFS(J_Montant,J_Annee,Annee_Travail,J_Mois,4,J_Type,"Revenu",J_Cat,"Salaire",J_Statut,"&lt;&gt;Annulé",J_Statut,"&lt;&gt;Prévu"),IF(Dime_Base="Salaire + primes",SUMIFS(J_Montant,J_Annee,Annee_Travail,J_Mois,4,J_Type,"Revenu",J_Cat,"Salaire",J_Statut,"&lt;&gt;Annulé",J_Statut,"&lt;&gt;Prévu")+SUMIFS(J_Montant,J_Annee,Annee_Travail,J_Mois,4,J_Type,"Revenu",J_Cat,"Prime / 13e mois",J_Statut,"&lt;&gt;Annulé",J_Statut,"&lt;&gt;Prévu"),SUMIFS(J_Montant,J_Annee,Annee_Travail,J_Mois,4,J_Type,"Revenu",J_Statut,"&lt;&gt;Annulé",J_Statut,"&lt;&gt;Prévu"))))</f>
        <v/>
      </c>
      <c r="D311" s="66">
        <f>ROUND($C311*N(Dime_Taux),0)</f>
        <v/>
      </c>
      <c r="E311" s="66">
        <f>SUMIFS(J_Montant,J_Annee,Annee_Travail,J_Mois,4,J_Cat,"Dîme / Offrandes",J_Type,"Dépense",J_Statut,"&lt;&gt;Annulé",J_Statut,"&lt;&gt;Prévu")</f>
        <v/>
      </c>
      <c r="F311" s="66">
        <f>MAX(0,$D311-$E311)</f>
        <v/>
      </c>
    </row>
    <row r="312">
      <c r="B312" s="199">
        <f>INDEX(Liste_Mois,5)</f>
        <v/>
      </c>
      <c r="C312" s="66">
        <f>IF(Dime_Active&lt;&gt;"Oui",0,IF(Dime_Base="Salaire uniquement",SUMIFS(J_Montant,J_Annee,Annee_Travail,J_Mois,5,J_Type,"Revenu",J_Cat,"Salaire",J_Statut,"&lt;&gt;Annulé",J_Statut,"&lt;&gt;Prévu"),IF(Dime_Base="Salaire + primes",SUMIFS(J_Montant,J_Annee,Annee_Travail,J_Mois,5,J_Type,"Revenu",J_Cat,"Salaire",J_Statut,"&lt;&gt;Annulé",J_Statut,"&lt;&gt;Prévu")+SUMIFS(J_Montant,J_Annee,Annee_Travail,J_Mois,5,J_Type,"Revenu",J_Cat,"Prime / 13e mois",J_Statut,"&lt;&gt;Annulé",J_Statut,"&lt;&gt;Prévu"),SUMIFS(J_Montant,J_Annee,Annee_Travail,J_Mois,5,J_Type,"Revenu",J_Statut,"&lt;&gt;Annulé",J_Statut,"&lt;&gt;Prévu"))))</f>
        <v/>
      </c>
      <c r="D312" s="66">
        <f>ROUND($C312*N(Dime_Taux),0)</f>
        <v/>
      </c>
      <c r="E312" s="66">
        <f>SUMIFS(J_Montant,J_Annee,Annee_Travail,J_Mois,5,J_Cat,"Dîme / Offrandes",J_Type,"Dépense",J_Statut,"&lt;&gt;Annulé",J_Statut,"&lt;&gt;Prévu")</f>
        <v/>
      </c>
      <c r="F312" s="66">
        <f>MAX(0,$D312-$E312)</f>
        <v/>
      </c>
    </row>
    <row r="313">
      <c r="B313" s="199">
        <f>INDEX(Liste_Mois,6)</f>
        <v/>
      </c>
      <c r="C313" s="66">
        <f>IF(Dime_Active&lt;&gt;"Oui",0,IF(Dime_Base="Salaire uniquement",SUMIFS(J_Montant,J_Annee,Annee_Travail,J_Mois,6,J_Type,"Revenu",J_Cat,"Salaire",J_Statut,"&lt;&gt;Annulé",J_Statut,"&lt;&gt;Prévu"),IF(Dime_Base="Salaire + primes",SUMIFS(J_Montant,J_Annee,Annee_Travail,J_Mois,6,J_Type,"Revenu",J_Cat,"Salaire",J_Statut,"&lt;&gt;Annulé",J_Statut,"&lt;&gt;Prévu")+SUMIFS(J_Montant,J_Annee,Annee_Travail,J_Mois,6,J_Type,"Revenu",J_Cat,"Prime / 13e mois",J_Statut,"&lt;&gt;Annulé",J_Statut,"&lt;&gt;Prévu"),SUMIFS(J_Montant,J_Annee,Annee_Travail,J_Mois,6,J_Type,"Revenu",J_Statut,"&lt;&gt;Annulé",J_Statut,"&lt;&gt;Prévu"))))</f>
        <v/>
      </c>
      <c r="D313" s="66">
        <f>ROUND($C313*N(Dime_Taux),0)</f>
        <v/>
      </c>
      <c r="E313" s="66">
        <f>SUMIFS(J_Montant,J_Annee,Annee_Travail,J_Mois,6,J_Cat,"Dîme / Offrandes",J_Type,"Dépense",J_Statut,"&lt;&gt;Annulé",J_Statut,"&lt;&gt;Prévu")</f>
        <v/>
      </c>
      <c r="F313" s="66">
        <f>MAX(0,$D313-$E313)</f>
        <v/>
      </c>
    </row>
    <row r="314">
      <c r="B314" s="199">
        <f>INDEX(Liste_Mois,7)</f>
        <v/>
      </c>
      <c r="C314" s="66">
        <f>IF(Dime_Active&lt;&gt;"Oui",0,IF(Dime_Base="Salaire uniquement",SUMIFS(J_Montant,J_Annee,Annee_Travail,J_Mois,7,J_Type,"Revenu",J_Cat,"Salaire",J_Statut,"&lt;&gt;Annulé",J_Statut,"&lt;&gt;Prévu"),IF(Dime_Base="Salaire + primes",SUMIFS(J_Montant,J_Annee,Annee_Travail,J_Mois,7,J_Type,"Revenu",J_Cat,"Salaire",J_Statut,"&lt;&gt;Annulé",J_Statut,"&lt;&gt;Prévu")+SUMIFS(J_Montant,J_Annee,Annee_Travail,J_Mois,7,J_Type,"Revenu",J_Cat,"Prime / 13e mois",J_Statut,"&lt;&gt;Annulé",J_Statut,"&lt;&gt;Prévu"),SUMIFS(J_Montant,J_Annee,Annee_Travail,J_Mois,7,J_Type,"Revenu",J_Statut,"&lt;&gt;Annulé",J_Statut,"&lt;&gt;Prévu"))))</f>
        <v/>
      </c>
      <c r="D314" s="66">
        <f>ROUND($C314*N(Dime_Taux),0)</f>
        <v/>
      </c>
      <c r="E314" s="66">
        <f>SUMIFS(J_Montant,J_Annee,Annee_Travail,J_Mois,7,J_Cat,"Dîme / Offrandes",J_Type,"Dépense",J_Statut,"&lt;&gt;Annulé",J_Statut,"&lt;&gt;Prévu")</f>
        <v/>
      </c>
      <c r="F314" s="66">
        <f>MAX(0,$D314-$E314)</f>
        <v/>
      </c>
    </row>
    <row r="315">
      <c r="B315" s="199">
        <f>INDEX(Liste_Mois,8)</f>
        <v/>
      </c>
      <c r="C315" s="66">
        <f>IF(Dime_Active&lt;&gt;"Oui",0,IF(Dime_Base="Salaire uniquement",SUMIFS(J_Montant,J_Annee,Annee_Travail,J_Mois,8,J_Type,"Revenu",J_Cat,"Salaire",J_Statut,"&lt;&gt;Annulé",J_Statut,"&lt;&gt;Prévu"),IF(Dime_Base="Salaire + primes",SUMIFS(J_Montant,J_Annee,Annee_Travail,J_Mois,8,J_Type,"Revenu",J_Cat,"Salaire",J_Statut,"&lt;&gt;Annulé",J_Statut,"&lt;&gt;Prévu")+SUMIFS(J_Montant,J_Annee,Annee_Travail,J_Mois,8,J_Type,"Revenu",J_Cat,"Prime / 13e mois",J_Statut,"&lt;&gt;Annulé",J_Statut,"&lt;&gt;Prévu"),SUMIFS(J_Montant,J_Annee,Annee_Travail,J_Mois,8,J_Type,"Revenu",J_Statut,"&lt;&gt;Annulé",J_Statut,"&lt;&gt;Prévu"))))</f>
        <v/>
      </c>
      <c r="D315" s="66">
        <f>ROUND($C315*N(Dime_Taux),0)</f>
        <v/>
      </c>
      <c r="E315" s="66">
        <f>SUMIFS(J_Montant,J_Annee,Annee_Travail,J_Mois,8,J_Cat,"Dîme / Offrandes",J_Type,"Dépense",J_Statut,"&lt;&gt;Annulé",J_Statut,"&lt;&gt;Prévu")</f>
        <v/>
      </c>
      <c r="F315" s="66">
        <f>MAX(0,$D315-$E315)</f>
        <v/>
      </c>
    </row>
    <row r="316">
      <c r="B316" s="199">
        <f>INDEX(Liste_Mois,9)</f>
        <v/>
      </c>
      <c r="C316" s="66">
        <f>IF(Dime_Active&lt;&gt;"Oui",0,IF(Dime_Base="Salaire uniquement",SUMIFS(J_Montant,J_Annee,Annee_Travail,J_Mois,9,J_Type,"Revenu",J_Cat,"Salaire",J_Statut,"&lt;&gt;Annulé",J_Statut,"&lt;&gt;Prévu"),IF(Dime_Base="Salaire + primes",SUMIFS(J_Montant,J_Annee,Annee_Travail,J_Mois,9,J_Type,"Revenu",J_Cat,"Salaire",J_Statut,"&lt;&gt;Annulé",J_Statut,"&lt;&gt;Prévu")+SUMIFS(J_Montant,J_Annee,Annee_Travail,J_Mois,9,J_Type,"Revenu",J_Cat,"Prime / 13e mois",J_Statut,"&lt;&gt;Annulé",J_Statut,"&lt;&gt;Prévu"),SUMIFS(J_Montant,J_Annee,Annee_Travail,J_Mois,9,J_Type,"Revenu",J_Statut,"&lt;&gt;Annulé",J_Statut,"&lt;&gt;Prévu"))))</f>
        <v/>
      </c>
      <c r="D316" s="66">
        <f>ROUND($C316*N(Dime_Taux),0)</f>
        <v/>
      </c>
      <c r="E316" s="66">
        <f>SUMIFS(J_Montant,J_Annee,Annee_Travail,J_Mois,9,J_Cat,"Dîme / Offrandes",J_Type,"Dépense",J_Statut,"&lt;&gt;Annulé",J_Statut,"&lt;&gt;Prévu")</f>
        <v/>
      </c>
      <c r="F316" s="66">
        <f>MAX(0,$D316-$E316)</f>
        <v/>
      </c>
    </row>
    <row r="317">
      <c r="B317" s="199">
        <f>INDEX(Liste_Mois,10)</f>
        <v/>
      </c>
      <c r="C317" s="66">
        <f>IF(Dime_Active&lt;&gt;"Oui",0,IF(Dime_Base="Salaire uniquement",SUMIFS(J_Montant,J_Annee,Annee_Travail,J_Mois,10,J_Type,"Revenu",J_Cat,"Salaire",J_Statut,"&lt;&gt;Annulé",J_Statut,"&lt;&gt;Prévu"),IF(Dime_Base="Salaire + primes",SUMIFS(J_Montant,J_Annee,Annee_Travail,J_Mois,10,J_Type,"Revenu",J_Cat,"Salaire",J_Statut,"&lt;&gt;Annulé",J_Statut,"&lt;&gt;Prévu")+SUMIFS(J_Montant,J_Annee,Annee_Travail,J_Mois,10,J_Type,"Revenu",J_Cat,"Prime / 13e mois",J_Statut,"&lt;&gt;Annulé",J_Statut,"&lt;&gt;Prévu"),SUMIFS(J_Montant,J_Annee,Annee_Travail,J_Mois,10,J_Type,"Revenu",J_Statut,"&lt;&gt;Annulé",J_Statut,"&lt;&gt;Prévu"))))</f>
        <v/>
      </c>
      <c r="D317" s="66">
        <f>ROUND($C317*N(Dime_Taux),0)</f>
        <v/>
      </c>
      <c r="E317" s="66">
        <f>SUMIFS(J_Montant,J_Annee,Annee_Travail,J_Mois,10,J_Cat,"Dîme / Offrandes",J_Type,"Dépense",J_Statut,"&lt;&gt;Annulé",J_Statut,"&lt;&gt;Prévu")</f>
        <v/>
      </c>
      <c r="F317" s="66">
        <f>MAX(0,$D317-$E317)</f>
        <v/>
      </c>
    </row>
    <row r="318">
      <c r="B318" s="199">
        <f>INDEX(Liste_Mois,11)</f>
        <v/>
      </c>
      <c r="C318" s="66">
        <f>IF(Dime_Active&lt;&gt;"Oui",0,IF(Dime_Base="Salaire uniquement",SUMIFS(J_Montant,J_Annee,Annee_Travail,J_Mois,11,J_Type,"Revenu",J_Cat,"Salaire",J_Statut,"&lt;&gt;Annulé",J_Statut,"&lt;&gt;Prévu"),IF(Dime_Base="Salaire + primes",SUMIFS(J_Montant,J_Annee,Annee_Travail,J_Mois,11,J_Type,"Revenu",J_Cat,"Salaire",J_Statut,"&lt;&gt;Annulé",J_Statut,"&lt;&gt;Prévu")+SUMIFS(J_Montant,J_Annee,Annee_Travail,J_Mois,11,J_Type,"Revenu",J_Cat,"Prime / 13e mois",J_Statut,"&lt;&gt;Annulé",J_Statut,"&lt;&gt;Prévu"),SUMIFS(J_Montant,J_Annee,Annee_Travail,J_Mois,11,J_Type,"Revenu",J_Statut,"&lt;&gt;Annulé",J_Statut,"&lt;&gt;Prévu"))))</f>
        <v/>
      </c>
      <c r="D318" s="66">
        <f>ROUND($C318*N(Dime_Taux),0)</f>
        <v/>
      </c>
      <c r="E318" s="66">
        <f>SUMIFS(J_Montant,J_Annee,Annee_Travail,J_Mois,11,J_Cat,"Dîme / Offrandes",J_Type,"Dépense",J_Statut,"&lt;&gt;Annulé",J_Statut,"&lt;&gt;Prévu")</f>
        <v/>
      </c>
      <c r="F318" s="66">
        <f>MAX(0,$D318-$E318)</f>
        <v/>
      </c>
    </row>
    <row r="319">
      <c r="B319" s="199">
        <f>INDEX(Liste_Mois,12)</f>
        <v/>
      </c>
      <c r="C319" s="66">
        <f>IF(Dime_Active&lt;&gt;"Oui",0,IF(Dime_Base="Salaire uniquement",SUMIFS(J_Montant,J_Annee,Annee_Travail,J_Mois,12,J_Type,"Revenu",J_Cat,"Salaire",J_Statut,"&lt;&gt;Annulé",J_Statut,"&lt;&gt;Prévu"),IF(Dime_Base="Salaire + primes",SUMIFS(J_Montant,J_Annee,Annee_Travail,J_Mois,12,J_Type,"Revenu",J_Cat,"Salaire",J_Statut,"&lt;&gt;Annulé",J_Statut,"&lt;&gt;Prévu")+SUMIFS(J_Montant,J_Annee,Annee_Travail,J_Mois,12,J_Type,"Revenu",J_Cat,"Prime / 13e mois",J_Statut,"&lt;&gt;Annulé",J_Statut,"&lt;&gt;Prévu"),SUMIFS(J_Montant,J_Annee,Annee_Travail,J_Mois,12,J_Type,"Revenu",J_Statut,"&lt;&gt;Annulé",J_Statut,"&lt;&gt;Prévu"))))</f>
        <v/>
      </c>
      <c r="D319" s="66">
        <f>ROUND($C319*N(Dime_Taux),0)</f>
        <v/>
      </c>
      <c r="E319" s="66">
        <f>SUMIFS(J_Montant,J_Annee,Annee_Travail,J_Mois,12,J_Cat,"Dîme / Offrandes",J_Type,"Dépense",J_Statut,"&lt;&gt;Annulé",J_Statut,"&lt;&gt;Prévu")</f>
        <v/>
      </c>
      <c r="F319" s="66">
        <f>MAX(0,$D319-$E319)</f>
        <v/>
      </c>
    </row>
  </sheetData>
  <sheetProtection selectLockedCells="0" selectUnlockedCells="0" sheet="1" objects="1" insertRows="1" insertHyperlinks="1" autoFilter="0" scenarios="1" formatColumns="0" deleteColumns="1" insertColumns="1" pivotTables="1" deleteRows="1" formatCells="0" formatRows="0" sort="0" password="8708"/>
  <mergeCells count="18">
    <mergeCell ref="F3:G3"/>
    <mergeCell ref="B207:D207"/>
    <mergeCell ref="B20:J20"/>
    <mergeCell ref="B287:D287"/>
    <mergeCell ref="B245:C245"/>
    <mergeCell ref="B194:F194"/>
    <mergeCell ref="B3:C3"/>
    <mergeCell ref="B299:E299"/>
    <mergeCell ref="B181:F181"/>
    <mergeCell ref="J3"/>
    <mergeCell ref="B230:F230"/>
    <mergeCell ref="B1:J1"/>
    <mergeCell ref="B4:J4"/>
    <mergeCell ref="D3:E3"/>
    <mergeCell ref="B35:I35"/>
    <mergeCell ref="B306:F306"/>
    <mergeCell ref="B2:J2"/>
    <mergeCell ref="H3:I3"/>
  </mergeCells>
  <hyperlinks>
    <hyperlink ref="B3" location="'Accueil'!A1"/>
    <hyperlink ref="D3" location="'Paramètres'!A1"/>
    <hyperlink ref="F3" location="'Estimation Annuelle'!A1"/>
    <hyperlink ref="H3" location="'Journal'!A1"/>
    <hyperlink ref="J3" location="'Tableau de Bord'!A1"/>
  </hyperlinks>
  <pageMargins left="0.75" right="0.75" top="1" bottom="1" header="0.5" footer="0.5"/>
</worksheet>
</file>

<file path=xl/worksheets/sheet16.xml><?xml version="1.0" encoding="utf-8"?>
<worksheet xmlns="http://schemas.openxmlformats.org/spreadsheetml/2006/main">
  <sheetPr>
    <tabColor rgb="002E5480"/>
    <outlinePr summaryBelow="1" summaryRight="1"/>
    <pageSetUpPr/>
  </sheetPr>
  <dimension ref="A1:D102"/>
  <sheetViews>
    <sheetView showGridLines="0" zoomScale="100" workbookViewId="0">
      <selection activeCell="A1" sqref="A1"/>
    </sheetView>
  </sheetViews>
  <sheetFormatPr baseColWidth="8" defaultRowHeight="15"/>
  <cols>
    <col width="2" customWidth="1" min="1" max="1"/>
    <col width="4" customWidth="1" min="2" max="2"/>
    <col width="6" customWidth="1" min="3" max="3"/>
    <col width="110" customWidth="1" min="4" max="4"/>
    <col width="2" customWidth="1" min="5" max="5"/>
  </cols>
  <sheetData>
    <row r="1" ht="52" customHeight="1">
      <c r="B1" s="46" t="inlineStr">
        <is>
          <t>GUIDE D'UTILISATION</t>
        </is>
      </c>
      <c r="C1" s="47" t="n"/>
      <c r="D1" s="47" t="n"/>
    </row>
    <row r="2" ht="20" customHeight="1">
      <c r="B2" s="48" t="inlineStr">
        <is>
          <t>Cinq minutes pour prendre en main Budget Smart</t>
        </is>
      </c>
      <c r="C2" s="7" t="n"/>
      <c r="D2" s="7" t="n"/>
    </row>
    <row r="3" ht="20" customHeight="1">
      <c r="B3" s="49" t="inlineStr">
        <is>
          <t>⌂  ACCUEIL</t>
        </is>
      </c>
      <c r="C3" s="42" t="n"/>
      <c r="D3" s="49" t="inlineStr">
        <is>
          <t>①  MES INFOS</t>
        </is>
      </c>
    </row>
    <row r="4" ht="6" customHeight="1"/>
    <row r="5"/>
    <row r="6" ht="24" customHeight="1">
      <c r="B6" s="251" t="inlineStr">
        <is>
          <t>Protection du classeur et droits</t>
        </is>
      </c>
      <c r="C6" s="7" t="n"/>
      <c r="D6" s="7" t="n"/>
    </row>
    <row r="7" ht="28" customHeight="1">
      <c r="C7" s="252" t="inlineStr">
        <is>
          <t>•</t>
        </is>
      </c>
      <c r="D7" s="253" t="inlineStr">
        <is>
          <t>Les feuilles sont protégées : les cellules de calcul sont verrouillées et leurs formules masquées. Seules les zones de saisie — repérables à leur fond jaune pâle — restent modifiables.</t>
        </is>
      </c>
    </row>
    <row r="8" ht="28" customHeight="1">
      <c r="C8" s="252" t="inlineStr">
        <is>
          <t>•</t>
        </is>
      </c>
      <c r="D8" s="253" t="inlineStr">
        <is>
          <t>Mot de passe de déverrouillage : APEX-2026. Excel : Révision → Ôter la protection de la feuille. LibreOffice : Outils → Protéger la feuille. Changez ce mot de passe avant toute diffusion.</t>
        </is>
      </c>
    </row>
    <row r="9" ht="42" customHeight="1">
      <c r="C9" s="252" t="inlineStr">
        <is>
          <t>•</t>
        </is>
      </c>
      <c r="D9" s="253" t="inlineStr">
        <is>
          <t>La structure du classeur est également protégée : on ne peut ni ajouter, ni supprimer, ni renommer un onglet sans le mot de passe. La feuille technique « Calculs » est masquée pour la même raison.</t>
        </is>
      </c>
    </row>
    <row r="10" ht="42" customHeight="1">
      <c r="C10" s="252" t="inlineStr">
        <is>
          <t>•</t>
        </is>
      </c>
      <c r="D10" s="253" t="inlineStr">
        <is>
          <t>À savoir, honnêtement : la protection Excel empêche les modifications accidentelles et la recopie facile des formules. Ce n'est pas du chiffrement — un outil spécialisé lève ce verrou. Elle protège l'intégrité du classeur, pas le secret de son contenu.</t>
        </is>
      </c>
    </row>
    <row r="11" ht="56" customHeight="1">
      <c r="C11" s="252" t="inlineStr">
        <is>
          <t>•</t>
        </is>
      </c>
      <c r="D11" s="253" t="inlineStr">
        <is>
          <t>« Budget Smart » et son logo sont la propriété d'APEX AFRICA. Le droit d'auteur s'applique dès la création ; pour protéger le NOM comme marque, il faut un dépôt à l'OAPI (valable dans les 17 États membres, dont la Côte d'Ivoire) — le droit d'auteur seul ne réserve pas un nom commercial.</t>
        </is>
      </c>
    </row>
    <row r="12"/>
    <row r="13"/>
    <row r="14" ht="24" customHeight="1">
      <c r="B14" s="251" t="inlineStr">
        <is>
          <t>Où est « le budget sur 12 mois » ?</t>
        </is>
      </c>
      <c r="C14" s="7" t="n"/>
      <c r="D14" s="7" t="n"/>
    </row>
    <row r="15" ht="42" customHeight="1">
      <c r="C15" s="252" t="inlineStr">
        <is>
          <t>•</t>
        </is>
      </c>
      <c r="D15" s="253" t="inlineStr">
        <is>
          <t>Feuille BUDGET 12 MOIS : c'est la grande grille équivalente à la feuille « Budget Gold ». Les postes en lignes, les 12 mois en colonnes, et pour chaque mois deux colonnes côte à côte : Prévu et Réel.</t>
        </is>
      </c>
    </row>
    <row r="16" ht="56" customHeight="1">
      <c r="C16" s="252" t="inlineStr">
        <is>
          <t>•</t>
        </is>
      </c>
      <c r="D16" s="253" t="inlineStr">
        <is>
          <t>Elle est organisée en cinq blocs : A. Entrées (revenus) — B. Épargne, placements et provisions — C. Crédits et dettes — D. Dépenses courantes — E. Dépenses des modules (mariage, immobilier, business). Puis la synthèse : total des entrées, total des sorties, balance du mois, trésorerie cumulée, taux d'épargne.</t>
        </is>
      </c>
    </row>
    <row r="17" ht="28" customHeight="1">
      <c r="C17" s="252" t="inlineStr">
        <is>
          <t>•</t>
        </is>
      </c>
      <c r="D17" s="253" t="inlineStr">
        <is>
          <t>On n'y saisit RIEN. Le Prévu vient de la feuille Estimation annuelle, le Réel vient de la feuille Journal. C'est le miroir des deux.</t>
        </is>
      </c>
    </row>
    <row r="18" ht="42" customHeight="1">
      <c r="C18" s="252" t="inlineStr">
        <is>
          <t>•</t>
        </is>
      </c>
      <c r="D18" s="253" t="inlineStr">
        <is>
          <t>Les trois feuilles se répondent : Estimation annuelle = ce que je décide de dépenser ; Journal = ce que je dépense vraiment ; Budget 12 mois = la comparaison des deux, mois par mois, sur une seule page.</t>
        </is>
      </c>
    </row>
    <row r="19"/>
    <row r="20"/>
    <row r="21" ht="24" customHeight="1">
      <c r="B21" s="251" t="inlineStr">
        <is>
          <t>Le principe en une phrase</t>
        </is>
      </c>
      <c r="C21" s="7" t="n"/>
      <c r="D21" s="7" t="n"/>
    </row>
    <row r="22" ht="42" customHeight="1">
      <c r="C22" s="252" t="inlineStr">
        <is>
          <t>•</t>
        </is>
      </c>
      <c r="D22" s="253" t="inlineStr">
        <is>
          <t>Vous saisissez vos opérations dans une seule feuille — le Journal — et tout le reste du classeur se calcule automatiquement : tableau de bord, synthèse annuelle, budget mariage, immobilier, business, objectifs, crédits.</t>
        </is>
      </c>
    </row>
    <row r="23"/>
    <row r="24"/>
    <row r="25" ht="24" customHeight="1">
      <c r="B25" s="251" t="inlineStr">
        <is>
          <t>1. Paramètres — à faire une seule fois</t>
        </is>
      </c>
      <c r="C25" s="7" t="n"/>
      <c r="D25" s="7" t="n"/>
    </row>
    <row r="26" ht="42" customHeight="1">
      <c r="C26" s="252" t="inlineStr">
        <is>
          <t>•</t>
        </is>
      </c>
      <c r="D26" s="253" t="inlineStr">
        <is>
          <t>Bloc ① IDENTITÉ &amp; COORDONNÉES : raison sociale, responsable, activité, adresse, ville, pays, téléphone, email, site web, numéro d'identification. Ces informations remontent en tête de la page d'accueil.</t>
        </is>
      </c>
    </row>
    <row r="27" ht="28" customHeight="1">
      <c r="C27" s="252" t="inlineStr">
        <is>
          <t>•</t>
        </is>
      </c>
      <c r="D27" s="253" t="inlineStr">
        <is>
          <t>Rappel : seules les cases sur fond JAUNE PÂLE sont modifiables. Le reste de la feuille est verrouillé pour protéger les formules.</t>
        </is>
      </c>
    </row>
    <row r="28" ht="28" customHeight="1">
      <c r="C28" s="252" t="inlineStr">
        <is>
          <t>•</t>
        </is>
      </c>
      <c r="D28" s="253" t="inlineStr">
        <is>
          <t>Choisissez votre DEVISE DE BASE (XOF, XAF, EUR, USD, MAD, NGN, GHS, CDF…). Tous les montants et tous les symboles du classeur s'y adaptent.</t>
        </is>
      </c>
    </row>
    <row r="29" ht="28" customHeight="1">
      <c r="C29" s="252" t="inlineStr">
        <is>
          <t>•</t>
        </is>
      </c>
      <c r="D29" s="253" t="inlineStr">
        <is>
          <t>Listez vos comptes, caisses et portefeuilles mobile money, avec leur solde d'ouverture. Leur solde actuel se recalcule ensuite tout seul.</t>
        </is>
      </c>
    </row>
    <row r="30" ht="18" customHeight="1">
      <c r="C30" s="252" t="inlineStr">
        <is>
          <t>•</t>
        </is>
      </c>
      <c r="D30" s="253" t="inlineStr">
        <is>
          <t>Fixez votre taux d'épargne cible et votre seuil d'alerte budgétaire.</t>
        </is>
      </c>
    </row>
    <row r="31"/>
    <row r="32"/>
    <row r="33" ht="24" customHeight="1">
      <c r="B33" s="251" t="inlineStr">
        <is>
          <t>2. Devises multiples</t>
        </is>
      </c>
      <c r="C33" s="7" t="n"/>
      <c r="D33" s="7" t="n"/>
    </row>
    <row r="34" ht="28" customHeight="1">
      <c r="C34" s="252" t="inlineStr">
        <is>
          <t>•</t>
        </is>
      </c>
      <c r="D34" s="253" t="inlineStr">
        <is>
          <t>Chaque ligne du Journal peut être saisie dans une autre devise : indiquez le code (EUR, USD…) dans la colonne « Devise ».</t>
        </is>
      </c>
    </row>
    <row r="35" ht="28" customHeight="1">
      <c r="C35" s="252" t="inlineStr">
        <is>
          <t>•</t>
        </is>
      </c>
      <c r="D35" s="253" t="inlineStr">
        <is>
          <t>Le taux de conversion est repris automatiquement de la feuille Listes, et le montant est converti dans votre devise de base.</t>
        </is>
      </c>
    </row>
    <row r="36" ht="28" customHeight="1">
      <c r="C36" s="252" t="inlineStr">
        <is>
          <t>•</t>
        </is>
      </c>
      <c r="D36" s="253" t="inlineStr">
        <is>
          <t>Les cours sont indicatifs : mettez-les à jour dans Listes, colonne « Cours indicatif ». Le classeur recalcule immédiatement tous les taux croisés.</t>
        </is>
      </c>
    </row>
    <row r="37" ht="18" customHeight="1">
      <c r="C37" s="252" t="inlineStr">
        <is>
          <t>•</t>
        </is>
      </c>
      <c r="D37" s="253" t="inlineStr">
        <is>
          <t>Laissez la colonne « Devise » vide pour utiliser votre devise de base.</t>
        </is>
      </c>
    </row>
    <row r="38" ht="56" customHeight="1">
      <c r="C38" s="252" t="inlineStr">
        <is>
          <t>•</t>
        </is>
      </c>
      <c r="D38" s="253" t="inlineStr">
        <is>
          <t>Choisissez votre devise de base AVANT de commencer à saisir. Une ligne laissée sans code devise est toujours interprétée dans la devise de base du moment : si vous changez de devise de base plus tard, ces lignes suivent. Pour figer une opération dans une monnaie précise, indiquez toujours son code.</t>
        </is>
      </c>
    </row>
    <row r="39"/>
    <row r="40"/>
    <row r="41" ht="24" customHeight="1">
      <c r="B41" s="251" t="inlineStr">
        <is>
          <t>3. Journal — la saisie quotidienne</t>
        </is>
      </c>
      <c r="C41" s="7" t="n"/>
      <c r="D41" s="7" t="n"/>
    </row>
    <row r="42" ht="18" customHeight="1">
      <c r="C42" s="252" t="inlineStr">
        <is>
          <t>•</t>
        </is>
      </c>
      <c r="D42" s="253" t="inlineStr">
        <is>
          <t>La feuille est découpée en quatre blocs, repérés par un bandeau de couleur.</t>
        </is>
      </c>
    </row>
    <row r="43" ht="28" customHeight="1">
      <c r="C43" s="252" t="inlineStr">
        <is>
          <t>•</t>
        </is>
      </c>
      <c r="D43" s="253" t="inlineStr">
        <is>
          <t>BLOC ① À REMPLIR (fond jaune) — sept colonnes, et c'est tout : Date, Type d'opération, Module, Catégorie, Libellé, Montant, Compte. Le montant est toujours POSITIF.</t>
        </is>
      </c>
    </row>
    <row r="44" ht="42" customHeight="1">
      <c r="C44" s="252" t="inlineStr">
        <is>
          <t>•</t>
        </is>
      </c>
      <c r="D44" s="253" t="inlineStr">
        <is>
          <t>BLOC ② CALCULÉ POUR VOUS — Sens (▲ ENTRÉE / ▼ SORTIE / ↔ NEUTRE), ENTRÉE, SORTIE et SOLDE CUMULÉ. Vous voyez immédiatement, ligne par ligne, ce qui est rentré, ce qui est sorti et où vous en êtes, comme sur un relevé de banque.</t>
        </is>
      </c>
    </row>
    <row r="45" ht="28" customHeight="1">
      <c r="C45" s="252" t="inlineStr">
        <is>
          <t>•</t>
        </is>
      </c>
      <c r="D45" s="253" t="inlineStr">
        <is>
          <t>BLOC ③ COMPLÉMENTS (facultatif) — Devise, Moyen de paiement, Projet / Bien, Nature, Statut, Récurrent, Notes. À remplir seulement si c'est utile.</t>
        </is>
      </c>
    </row>
    <row r="46" ht="28" customHeight="1">
      <c r="C46" s="252" t="inlineStr">
        <is>
          <t>•</t>
        </is>
      </c>
      <c r="D46" s="253" t="inlineStr">
        <is>
          <t>BLOC ④ TECHNIQUE — taux de change, montant converti, mois, année. Vous pouvez replier ces colonnes avec le petit « − » au-dessus.</t>
        </is>
      </c>
    </row>
    <row r="47" ht="28" customHeight="1">
      <c r="C47" s="252" t="inlineStr">
        <is>
          <t>•</t>
        </is>
      </c>
      <c r="D47" s="253" t="inlineStr">
        <is>
          <t>Le TYPE dit tout : Revenu = l'argent entre. Dépense, Épargne, Investissement et Remboursement crédit = l'argent sort. Transfert = neutre, d'un de vos comptes vers un autre.</t>
        </is>
      </c>
    </row>
    <row r="48" ht="28" customHeight="1">
      <c r="C48" s="252" t="inlineStr">
        <is>
          <t>•</t>
        </is>
      </c>
      <c r="D48" s="253" t="inlineStr">
        <is>
          <t>Épargne et Investissement sortent de votre poche mais ne sont pas perdus : le tableau de bord les compte à part, dans « MIS DE CÔTÉ ».</t>
        </is>
      </c>
    </row>
    <row r="49" ht="28" customHeight="1">
      <c r="C49" s="252" t="inlineStr">
        <is>
          <t>•</t>
        </is>
      </c>
      <c r="D49" s="253" t="inlineStr">
        <is>
          <t>Pour distinguer une épargne BLOQUÉE d'une épargne disponible, donnez la nature « Épargne » ou « Épargne bloquée » au compte concerné dans Paramètres.</t>
        </is>
      </c>
    </row>
    <row r="50" ht="28" customHeight="1">
      <c r="C50" s="252" t="inlineStr">
        <is>
          <t>•</t>
        </is>
      </c>
      <c r="D50" s="253" t="inlineStr">
        <is>
          <t>« Projet / Bien » relie l'opération à un bien immobilier, un projet business, un objectif d'épargne ou un crédit : c'est ce qui alimente ces modules.</t>
        </is>
      </c>
    </row>
    <row r="51" ht="28" customHeight="1">
      <c r="C51" s="252" t="inlineStr">
        <is>
          <t>•</t>
        </is>
      </c>
      <c r="D51" s="253" t="inlineStr">
        <is>
          <t>« Statut » : Payé compte dans le réalisé ; Prévu et En attente sont suivis à part comme des engagements ; Annulé est ignoré.</t>
        </is>
      </c>
    </row>
    <row r="52"/>
    <row r="53"/>
    <row r="54" ht="24" customHeight="1">
      <c r="B54" s="251" t="inlineStr">
        <is>
          <t>La dîme</t>
        </is>
      </c>
      <c r="C54" s="7" t="n"/>
      <c r="D54" s="7" t="n"/>
    </row>
    <row r="55" ht="28" customHeight="1">
      <c r="C55" s="252" t="inlineStr">
        <is>
          <t>•</t>
        </is>
      </c>
      <c r="D55" s="253" t="inlineStr">
        <is>
          <t>Dans Paramètres, bloc ⑤ : activez la dîme, choisissez le taux (10 % par défaut) et l'assiette — Salaire uniquement, Salaire + primes, ou Tous les revenus.</t>
        </is>
      </c>
    </row>
    <row r="56" ht="42" customHeight="1">
      <c r="C56" s="252" t="inlineStr">
        <is>
          <t>•</t>
        </is>
      </c>
      <c r="D56" s="253" t="inlineStr">
        <is>
          <t>Le classeur calcule alors seul, chaque mois, les revenus soumis, la dîme due, ce que vous avez déjà versé et ce qu'il reste à verser. Le bloc DÎME du tableau de bord et une alerte dédiée vous le rappellent.</t>
        </is>
      </c>
    </row>
    <row r="57" ht="28" customHeight="1">
      <c r="C57" s="252" t="inlineStr">
        <is>
          <t>•</t>
        </is>
      </c>
      <c r="D57" s="253" t="inlineStr">
        <is>
          <t>Dans la grille Budget 12 Mois, la ligne « Dîme / Offrandes » affiche automatiquement le montant dû en colonne Prévu.</t>
        </is>
      </c>
    </row>
    <row r="58" ht="28" customHeight="1">
      <c r="C58" s="252" t="inlineStr">
        <is>
          <t>•</t>
        </is>
      </c>
      <c r="D58" s="253" t="inlineStr">
        <is>
          <t>Pour enregistrer un versement : une ligne du Journal, type Dépense, catégorie « Dîme / Offrandes ». Le reste à verser se met à jour.</t>
        </is>
      </c>
    </row>
    <row r="59" ht="28" customHeight="1">
      <c r="C59" s="252" t="inlineStr">
        <is>
          <t>•</t>
        </is>
      </c>
      <c r="D59" s="253" t="inlineStr">
        <is>
          <t>À savoir : Excel sans macro ne peut pas créer cette ligne tout seul. Le classeur calcule et vous rappelle le montant ; la saisie du versement reste à vous.</t>
        </is>
      </c>
    </row>
    <row r="60"/>
    <row r="61"/>
    <row r="62" ht="24" customHeight="1">
      <c r="B62" s="251" t="inlineStr">
        <is>
          <t>Modules séparés — le périmètre</t>
        </is>
      </c>
      <c r="C62" s="7" t="n"/>
      <c r="D62" s="7" t="n"/>
    </row>
    <row r="63" ht="42" customHeight="1">
      <c r="C63" s="252" t="inlineStr">
        <is>
          <t>•</t>
        </is>
      </c>
      <c r="D63" s="253" t="inlineStr">
        <is>
          <t>Le mariage, l'immobilier et le business ne doivent pas polluer votre budget courant. Dans Paramètres, bloc ⑤, le PÉRIMÈTRE D'ANALYSE règle ce que comptent le tableau de bord et la synthèse annuelle.</t>
        </is>
      </c>
    </row>
    <row r="64" ht="28" customHeight="1">
      <c r="C64" s="252" t="inlineStr">
        <is>
          <t>•</t>
        </is>
      </c>
      <c r="D64" s="253" t="inlineStr">
        <is>
          <t>« Général seul » (par défaut) : seul votre budget courant est agrégé. « Tout confondu » : tout est additionné. Ou choisissez un module précis pour n'analyser que lui.</t>
        </is>
      </c>
    </row>
    <row r="65" ht="42" customHeight="1">
      <c r="C65" s="252" t="inlineStr">
        <is>
          <t>•</t>
        </is>
      </c>
      <c r="D65" s="253" t="inlineStr">
        <is>
          <t>Quel que soit ce réglage, chaque module garde sa feuille complète, avec ses propres indicateurs, ses propres tableaux et son graphique mois par mois. La grille Budget 12 Mois, elle, sépare toujours les modules en bloc E.</t>
        </is>
      </c>
    </row>
    <row r="66" ht="28" customHeight="1">
      <c r="C66" s="252" t="inlineStr">
        <is>
          <t>•</t>
        </is>
      </c>
      <c r="D66" s="253" t="inlineStr">
        <is>
          <t>Un seul Journal alimente tout : c'est ce qui garantit que rien n'est saisi deux fois et que tout reste cohérent. La séparation se fait à la lecture, pas à la saisie.</t>
        </is>
      </c>
    </row>
    <row r="67"/>
    <row r="68"/>
    <row r="69" ht="24" customHeight="1">
      <c r="B69" s="251" t="inlineStr">
        <is>
          <t>4. Estimation annuelle — le budget prévisionnel</t>
        </is>
      </c>
      <c r="C69" s="7" t="n"/>
      <c r="D69" s="7" t="n"/>
    </row>
    <row r="70" ht="18" customHeight="1">
      <c r="C70" s="252" t="inlineStr">
        <is>
          <t>•</t>
        </is>
      </c>
      <c r="D70" s="253" t="inlineStr">
        <is>
          <t>Une ligne = une catégorie budgétée pour une année donnée.</t>
        </is>
      </c>
    </row>
    <row r="71" ht="28" customHeight="1">
      <c r="C71" s="252" t="inlineStr">
        <is>
          <t>•</t>
        </is>
      </c>
      <c r="D71" s="253" t="inlineStr">
        <is>
          <t>Vous saisissez les douze mois ; le total, le réalisé, l'écart et le pourcentage consommé se calculent automatiquement.</t>
        </is>
      </c>
    </row>
    <row r="72" ht="28" customHeight="1">
      <c r="C72" s="252" t="inlineStr">
        <is>
          <t>•</t>
        </is>
      </c>
      <c r="D72" s="253" t="inlineStr">
        <is>
          <t>Pour préparer l'année suivante, recopiez les lignes en changeant l'année : l'historique des années précédentes reste intact et consultable.</t>
        </is>
      </c>
    </row>
    <row r="73"/>
    <row r="74"/>
    <row r="75" ht="24" customHeight="1">
      <c r="B75" s="251" t="inlineStr">
        <is>
          <t>5. Tableau de bord</t>
        </is>
      </c>
      <c r="C75" s="7" t="n"/>
      <c r="D75" s="7" t="n"/>
    </row>
    <row r="76" ht="18" customHeight="1">
      <c r="C76" s="252" t="inlineStr">
        <is>
          <t>•</t>
        </is>
      </c>
      <c r="D76" s="253" t="inlineStr">
        <is>
          <t>Choisissez l'année et le mois en haut de la feuille : tout se recalcule.</t>
        </is>
      </c>
    </row>
    <row r="77" ht="28" customHeight="1">
      <c r="C77" s="252" t="inlineStr">
        <is>
          <t>•</t>
        </is>
      </c>
      <c r="D77" s="253" t="inlineStr">
        <is>
          <t>Dix indicateurs, quatre graphiques, le top 10 des dépenses du mois, le comparatif prévu / réalisé par module et sept alertes automatiques.</t>
        </is>
      </c>
    </row>
    <row r="78"/>
    <row r="79"/>
    <row r="80" ht="24" customHeight="1">
      <c r="B80" s="251" t="inlineStr">
        <is>
          <t>6. Modules spécialisés</t>
        </is>
      </c>
      <c r="C80" s="7" t="n"/>
      <c r="D80" s="7" t="n"/>
    </row>
    <row r="81" ht="56" customHeight="1">
      <c r="C81" s="252" t="inlineStr">
        <is>
          <t>•</t>
        </is>
      </c>
      <c r="D81" s="253" t="inlineStr">
        <is>
          <t>MARIAGE : chaque poste accepte une estimation et jusqu'à trois devis ; vous choisissez le devis retenu. Les paiements réels remontent du Journal (module Mariage + même catégorie). Le plan de financement calcule le reste à financer et l'effort d'épargne mensuel jusqu'à la date du mariage.</t>
        </is>
      </c>
    </row>
    <row r="82" ht="42" customHeight="1">
      <c r="C82" s="252" t="inlineStr">
        <is>
          <t>•</t>
        </is>
      </c>
      <c r="D82" s="253" t="inlineStr">
        <is>
          <t>IMMOBILIER &amp; TERRAIN : portefeuille de biens et de terrains (surface, prix au m², budget, investi, reste à financer, loyer, cash-flow, rendement brut), budget de construction par lot, échéancier de paiement avec alertes, simulateur de crédit.</t>
        </is>
      </c>
    </row>
    <row r="83" ht="28" customHeight="1">
      <c r="C83" s="252" t="inlineStr">
        <is>
          <t>•</t>
        </is>
      </c>
      <c r="D83" s="253" t="inlineStr">
        <is>
          <t>BUSINESS &amp; PROJETS : budget et chiffre d'affaires par projet, marge, ROI, compte de résultat mensuel et seuil de rentabilité.</t>
        </is>
      </c>
    </row>
    <row r="84" ht="28" customHeight="1">
      <c r="C84" s="252" t="inlineStr">
        <is>
          <t>•</t>
        </is>
      </c>
      <c r="D84" s="253" t="inlineStr">
        <is>
          <t>OBJECTIFS : montant cible, échéance, effort mensuel requis, progression réelle, et un simulateur d'intérêts composés sur trente ans.</t>
        </is>
      </c>
    </row>
    <row r="85" ht="28" customHeight="1">
      <c r="C85" s="252" t="inlineStr">
        <is>
          <t>•</t>
        </is>
      </c>
      <c r="D85" s="253" t="inlineStr">
        <is>
          <t>DETTES : mensualité calculée, capital restant dû, taux d'endettement et tableau d'amortissement sur 240 échéances.</t>
        </is>
      </c>
    </row>
    <row r="86" ht="28" customHeight="1">
      <c r="C86" s="252" t="inlineStr">
        <is>
          <t>•</t>
        </is>
      </c>
      <c r="D86" s="253" t="inlineStr">
        <is>
          <t>RÉCURRENTS : abonnements et prélèvements ramenés au mois quelle que soit leur fréquence, avec alerte à J-30, J-7 et en cas de retard.</t>
        </is>
      </c>
    </row>
    <row r="87"/>
    <row r="88"/>
    <row r="89" ht="24" customHeight="1">
      <c r="B89" s="251" t="inlineStr">
        <is>
          <t>7. Les couleurs</t>
        </is>
      </c>
      <c r="C89" s="7" t="n"/>
      <c r="D89" s="7" t="n"/>
    </row>
    <row r="90" ht="18" customHeight="1">
      <c r="C90" s="252" t="inlineStr">
        <is>
          <t>•</t>
        </is>
      </c>
      <c r="D90" s="253" t="inlineStr">
        <is>
          <t>Fond jaune pâle : cellule à remplir.</t>
        </is>
      </c>
    </row>
    <row r="91" ht="18" customHeight="1">
      <c r="C91" s="252" t="inlineStr">
        <is>
          <t>•</t>
        </is>
      </c>
      <c r="D91" s="253" t="inlineStr">
        <is>
          <t>Fond gris clair : cellule calculée — ne pas écrire dedans.</t>
        </is>
      </c>
    </row>
    <row r="92" ht="18" customHeight="1">
      <c r="C92" s="252" t="inlineStr">
        <is>
          <t>•</t>
        </is>
      </c>
      <c r="D92" s="253" t="inlineStr">
        <is>
          <t>Vert : favorable. Orange : vigilance. Rouge : dépassement ou retard.</t>
        </is>
      </c>
    </row>
    <row r="93"/>
    <row r="94"/>
    <row r="95" ht="24" customHeight="1">
      <c r="B95" s="251" t="inlineStr">
        <is>
          <t>8. Bonnes pratiques</t>
        </is>
      </c>
      <c r="C95" s="7" t="n"/>
      <c r="D95" s="7" t="n"/>
    </row>
    <row r="96" ht="18" customHeight="1">
      <c r="C96" s="252" t="inlineStr">
        <is>
          <t>•</t>
        </is>
      </c>
      <c r="D96" s="253" t="inlineStr">
        <is>
          <t>Saisissez au moins une fois par semaine ; l'idéal reste le jour même.</t>
        </is>
      </c>
    </row>
    <row r="97" ht="28" customHeight="1">
      <c r="C97" s="252" t="inlineStr">
        <is>
          <t>•</t>
        </is>
      </c>
      <c r="D97" s="253" t="inlineStr">
        <is>
          <t>Utilisez le statut « Prévu » pour les engagements à venir : ils apparaissent dans les alertes sans fausser vos totaux réalisés.</t>
        </is>
      </c>
    </row>
    <row r="98" ht="28" customHeight="1">
      <c r="C98" s="252" t="inlineStr">
        <is>
          <t>•</t>
        </is>
      </c>
      <c r="D98" s="253" t="inlineStr">
        <is>
          <t>En début d'année, dupliquez vos lignes de plan avec la nouvelle année et mettez à jour la trésorerie initiale dans Paramètres.</t>
        </is>
      </c>
    </row>
    <row r="99" ht="28" customHeight="1">
      <c r="C99" s="252" t="inlineStr">
        <is>
          <t>•</t>
        </is>
      </c>
      <c r="D99" s="253" t="inlineStr">
        <is>
          <t>Le classeur ne contient aucune macro : il s'ouvre dans Excel, LibreOffice Calc, Google Sheets et les applications mobiles Excel.</t>
        </is>
      </c>
    </row>
    <row r="100"/>
    <row r="101"/>
    <row r="102" ht="30" customHeight="1">
      <c r="B102" s="41" t="inlineStr">
        <is>
          <t>Une question sur une cellule ? Les cellules calculées sont grises : cliquez dessus pour lire la formule. Rien n'est verrouillé, tout est modifiable.</t>
        </is>
      </c>
      <c r="C102" s="42" t="n"/>
      <c r="D102" s="42" t="n"/>
    </row>
  </sheetData>
  <sheetProtection selectLockedCells="0" selectUnlockedCells="0" sheet="1" objects="1" insertRows="1" insertHyperlinks="1" autoFilter="0" scenarios="1" formatColumns="0" deleteColumns="1" insertColumns="1" pivotTables="1" deleteRows="1" formatCells="0" formatRows="0" sort="0" password="8708"/>
  <mergeCells count="18">
    <mergeCell ref="B33:D33"/>
    <mergeCell ref="B89:D89"/>
    <mergeCell ref="B54:D54"/>
    <mergeCell ref="B14:D14"/>
    <mergeCell ref="B80:D80"/>
    <mergeCell ref="D3"/>
    <mergeCell ref="B3:C3"/>
    <mergeCell ref="B1:D1"/>
    <mergeCell ref="B41:D41"/>
    <mergeCell ref="B102:D102"/>
    <mergeCell ref="B21:D21"/>
    <mergeCell ref="B62:D62"/>
    <mergeCell ref="B75:D75"/>
    <mergeCell ref="B25:D25"/>
    <mergeCell ref="B6:D6"/>
    <mergeCell ref="B2:D2"/>
    <mergeCell ref="B95:D95"/>
    <mergeCell ref="B69:D69"/>
  </mergeCells>
  <hyperlinks>
    <hyperlink ref="B3" location="'Accueil'!A1"/>
    <hyperlink ref="D3" location="'Paramètres'!A1"/>
  </hyperlink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APEX AFRICA</dc:creator>
  <dc:title>BUDGET SMART by APEX AFRICA — Planification et suivi financier — général, mariage, immobilier &amp; terrain, business</dc:title>
  <dc:description>Classeur de planification et de suivi budgétaire multi-devises : budget général, mariage, immobilier &amp; terrain, business et projets.</dc:description>
  <dc:subject>© 2026 APEX AFRICA. « Budget Smart » et son logo sont la propriété d'APEX AFRICA. Tous droits réservés — reproduction, diffusion ou revente interdites sans autorisation écrite.</dc:subject>
  <dcterms:created xsi:type="dcterms:W3CDTF">2026-09-03T06:54:55Z</dcterms:created>
  <dcterms:modified xsi:type="dcterms:W3CDTF">2026-09-03T06:55:03Z</dcterms:modified>
  <cp:category>Outil financier</cp:category>
  <cp:keywords>budget, APEX AFRICA, Budget Smart, finances</cp:keywords>
</cp:coreProperties>
</file>