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X\"/>
    </mc:Choice>
  </mc:AlternateContent>
  <xr:revisionPtr revIDLastSave="0" documentId="8_{4C88C0BB-FC08-45C4-864A-BCD8AAC989C6}" xr6:coauthVersionLast="40" xr6:coauthVersionMax="40" xr10:uidLastSave="{00000000-0000-0000-0000-000000000000}"/>
  <bookViews>
    <workbookView xWindow="0" yWindow="0" windowWidth="13656" windowHeight="5568" activeTab="3" xr2:uid="{47F414C2-BBF9-46B1-AFE6-7A13ACC31EA3}"/>
  </bookViews>
  <sheets>
    <sheet name="Controls" sheetId="3" r:id="rId1"/>
    <sheet name="Financial Statements" sheetId="1" r:id="rId2"/>
    <sheet name="Loans" sheetId="4" r:id="rId3"/>
    <sheet name="Deposits" sheetId="10" r:id="rId4"/>
  </sheets>
  <externalReferences>
    <externalReference r:id="rId5"/>
    <externalReference r:id="rId6"/>
  </externalReferences>
  <definedNames>
    <definedName name="_xlnm._FilterDatabase" localSheetId="1" hidden="1">'Financial Statements'!$V$3:$W$15</definedName>
    <definedName name="CIQWBGuid" hidden="1">"fedf60f8-2cd9-49ba-9fee-91fc372c3a0f"</definedName>
    <definedName name="Circ_Ref">#REF!</definedName>
    <definedName name="Company_Name">Loans!$D$7</definedName>
    <definedName name="Hist_Year">Loans!$D$8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"08/30/2015 13:55:30"</definedName>
    <definedName name="IQ_QTD" hidden="1">750000</definedName>
    <definedName name="IQ_TODAY" hidden="1">0</definedName>
    <definedName name="IQ_YTDMONTH" hidden="1">130000</definedName>
    <definedName name="_xlnm.Print_Area" localSheetId="2">Loans!$A$1:$O$79</definedName>
    <definedName name="Scenario">Loans!$D$11</definedName>
    <definedName name="Tax_Rate">'Financial Statements'!$G$7</definedName>
    <definedName name="Units">Loans!$D$9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10" l="1"/>
  <c r="K1" i="10" s="1"/>
  <c r="L1" i="10" s="1"/>
  <c r="M1" i="10" s="1"/>
  <c r="N1" i="10" s="1"/>
  <c r="I1" i="10"/>
  <c r="H1" i="10" s="1"/>
  <c r="G1" i="10" s="1"/>
  <c r="F1" i="10" s="1"/>
  <c r="E1" i="10" s="1"/>
  <c r="D1" i="10"/>
  <c r="N7" i="10"/>
  <c r="M7" i="10"/>
  <c r="L7" i="10"/>
  <c r="K7" i="10"/>
  <c r="J7" i="10"/>
  <c r="C10" i="10"/>
  <c r="C9" i="10"/>
  <c r="C8" i="10"/>
  <c r="I14" i="10"/>
  <c r="J14" i="10" s="1"/>
  <c r="K14" i="10" s="1"/>
  <c r="L14" i="10" s="1"/>
  <c r="M14" i="10" s="1"/>
  <c r="N14" i="10" s="1"/>
  <c r="D14" i="10"/>
  <c r="J13" i="10"/>
  <c r="E13" i="10"/>
  <c r="J13" i="1"/>
  <c r="N160" i="4"/>
  <c r="M160" i="4"/>
  <c r="L160" i="4"/>
  <c r="K160" i="4"/>
  <c r="J160" i="4"/>
  <c r="I160" i="4"/>
  <c r="H160" i="4"/>
  <c r="G160" i="4"/>
  <c r="F160" i="4"/>
  <c r="E160" i="4"/>
  <c r="I107" i="4"/>
  <c r="H107" i="4"/>
  <c r="G107" i="4"/>
  <c r="G155" i="4" s="1"/>
  <c r="F107" i="4"/>
  <c r="F155" i="4" s="1"/>
  <c r="E107" i="4"/>
  <c r="E155" i="4" s="1"/>
  <c r="J99" i="4"/>
  <c r="K99" i="4" s="1"/>
  <c r="L99" i="4" s="1"/>
  <c r="M99" i="4" s="1"/>
  <c r="N99" i="4" s="1"/>
  <c r="O99" i="4" s="1"/>
  <c r="I155" i="4"/>
  <c r="I11" i="3"/>
  <c r="I100" i="4"/>
  <c r="H100" i="4"/>
  <c r="G100" i="4"/>
  <c r="F100" i="4"/>
  <c r="E100" i="4"/>
  <c r="N159" i="4"/>
  <c r="M159" i="4"/>
  <c r="L159" i="4"/>
  <c r="K159" i="4"/>
  <c r="J159" i="4"/>
  <c r="I159" i="4"/>
  <c r="H159" i="4"/>
  <c r="G159" i="4"/>
  <c r="F159" i="4"/>
  <c r="C148" i="4"/>
  <c r="C147" i="4"/>
  <c r="C146" i="4"/>
  <c r="C143" i="4"/>
  <c r="C142" i="4"/>
  <c r="C141" i="4"/>
  <c r="C138" i="4"/>
  <c r="C137" i="4"/>
  <c r="C136" i="4"/>
  <c r="C133" i="4"/>
  <c r="C132" i="4"/>
  <c r="C131" i="4"/>
  <c r="C130" i="4"/>
  <c r="C128" i="4"/>
  <c r="C127" i="4"/>
  <c r="C126" i="4"/>
  <c r="C125" i="4"/>
  <c r="C123" i="4"/>
  <c r="C122" i="4"/>
  <c r="C121" i="4"/>
  <c r="C120" i="4"/>
  <c r="C118" i="4"/>
  <c r="C117" i="4"/>
  <c r="C116" i="4"/>
  <c r="C115" i="4"/>
  <c r="I52" i="4"/>
  <c r="H52" i="4"/>
  <c r="G52" i="4"/>
  <c r="F52" i="4"/>
  <c r="E52" i="4"/>
  <c r="I85" i="4"/>
  <c r="H85" i="4"/>
  <c r="G85" i="4"/>
  <c r="F85" i="4"/>
  <c r="E85" i="4"/>
  <c r="E80" i="4"/>
  <c r="E60" i="4"/>
  <c r="H43" i="4"/>
  <c r="G43" i="4"/>
  <c r="F43" i="4"/>
  <c r="E43" i="4"/>
  <c r="I43" i="4"/>
  <c r="I80" i="4"/>
  <c r="H80" i="4"/>
  <c r="G80" i="4"/>
  <c r="F80" i="4"/>
  <c r="E75" i="4"/>
  <c r="E70" i="4"/>
  <c r="I75" i="4"/>
  <c r="H75" i="4"/>
  <c r="G75" i="4"/>
  <c r="F75" i="4"/>
  <c r="I70" i="4"/>
  <c r="H70" i="4"/>
  <c r="G70" i="4"/>
  <c r="F70" i="4"/>
  <c r="C42" i="4"/>
  <c r="C52" i="4" s="1"/>
  <c r="C41" i="4"/>
  <c r="C51" i="4" s="1"/>
  <c r="C40" i="4"/>
  <c r="C50" i="4" s="1"/>
  <c r="C39" i="4"/>
  <c r="C49" i="4" s="1"/>
  <c r="C38" i="4"/>
  <c r="C48" i="4" s="1"/>
  <c r="C37" i="4"/>
  <c r="C47" i="4" s="1"/>
  <c r="C36" i="4"/>
  <c r="C46" i="4" s="1"/>
  <c r="I65" i="4"/>
  <c r="H65" i="4"/>
  <c r="G65" i="4"/>
  <c r="F65" i="4"/>
  <c r="E65" i="4"/>
  <c r="I60" i="4"/>
  <c r="H60" i="4"/>
  <c r="G60" i="4"/>
  <c r="F60" i="4"/>
  <c r="I55" i="4"/>
  <c r="H55" i="4"/>
  <c r="G55" i="4"/>
  <c r="F55" i="4"/>
  <c r="E55" i="4"/>
  <c r="I51" i="4"/>
  <c r="H51" i="4"/>
  <c r="G51" i="4"/>
  <c r="F51" i="4"/>
  <c r="E51" i="4"/>
  <c r="I50" i="4"/>
  <c r="H50" i="4"/>
  <c r="G50" i="4"/>
  <c r="F50" i="4"/>
  <c r="E50" i="4"/>
  <c r="I49" i="4"/>
  <c r="H49" i="4"/>
  <c r="G49" i="4"/>
  <c r="F49" i="4"/>
  <c r="E49" i="4"/>
  <c r="I48" i="4"/>
  <c r="H48" i="4"/>
  <c r="G48" i="4"/>
  <c r="F48" i="4"/>
  <c r="E48" i="4"/>
  <c r="I47" i="4"/>
  <c r="H47" i="4"/>
  <c r="G47" i="4"/>
  <c r="F47" i="4"/>
  <c r="E47" i="4"/>
  <c r="I46" i="4"/>
  <c r="H46" i="4"/>
  <c r="G46" i="4"/>
  <c r="F46" i="4"/>
  <c r="E46" i="4"/>
  <c r="C99" i="4"/>
  <c r="C98" i="4"/>
  <c r="C97" i="4"/>
  <c r="C96" i="4"/>
  <c r="C95" i="4"/>
  <c r="C94" i="4"/>
  <c r="C93" i="4"/>
  <c r="I91" i="4"/>
  <c r="H91" i="4" s="1"/>
  <c r="G91" i="4" s="1"/>
  <c r="F91" i="4" s="1"/>
  <c r="E91" i="4" s="1"/>
  <c r="H14" i="10" l="1"/>
  <c r="G14" i="10" s="1"/>
  <c r="F14" i="10" s="1"/>
  <c r="E14" i="10" s="1"/>
  <c r="J103" i="4"/>
  <c r="J107" i="4" s="1"/>
  <c r="H155" i="4"/>
  <c r="E159" i="4"/>
  <c r="J91" i="4"/>
  <c r="K91" i="4" s="1"/>
  <c r="L91" i="4" s="1"/>
  <c r="M91" i="4" s="1"/>
  <c r="N91" i="4" s="1"/>
  <c r="I24" i="4" l="1"/>
  <c r="I150" i="4" s="1"/>
  <c r="I151" i="4" s="1"/>
  <c r="H24" i="4"/>
  <c r="G24" i="4"/>
  <c r="G150" i="4" s="1"/>
  <c r="G151" i="4" s="1"/>
  <c r="F24" i="4"/>
  <c r="F150" i="4" s="1"/>
  <c r="F151" i="4" s="1"/>
  <c r="E24" i="4"/>
  <c r="E158" i="4" s="1"/>
  <c r="I14" i="4"/>
  <c r="H14" i="4" s="1"/>
  <c r="G14" i="4" s="1"/>
  <c r="F14" i="4" s="1"/>
  <c r="E14" i="4" s="1"/>
  <c r="E12" i="4"/>
  <c r="F161" i="4" l="1"/>
  <c r="G152" i="4"/>
  <c r="G158" i="4" s="1"/>
  <c r="G161" i="4"/>
  <c r="H25" i="4"/>
  <c r="H150" i="4"/>
  <c r="H151" i="4" s="1"/>
  <c r="H152" i="4" s="1"/>
  <c r="H158" i="4" s="1"/>
  <c r="I161" i="4"/>
  <c r="F25" i="4"/>
  <c r="E150" i="4"/>
  <c r="E151" i="4" s="1"/>
  <c r="G25" i="4"/>
  <c r="I25" i="4"/>
  <c r="H161" i="4" l="1"/>
  <c r="I152" i="4"/>
  <c r="I158" i="4" s="1"/>
  <c r="F152" i="4"/>
  <c r="F158" i="4" s="1"/>
  <c r="E161" i="4"/>
  <c r="K118" i="1"/>
  <c r="K117" i="1" s="1"/>
  <c r="K121" i="1" s="1"/>
  <c r="L118" i="1"/>
  <c r="J118" i="1"/>
  <c r="K116" i="1"/>
  <c r="G53" i="1"/>
  <c r="F52" i="1"/>
  <c r="F53" i="1" s="1"/>
  <c r="O53" i="1" s="1"/>
  <c r="J14" i="1"/>
  <c r="K14" i="1" s="1"/>
  <c r="K16" i="1" s="1"/>
  <c r="I32" i="1"/>
  <c r="I53" i="1" s="1"/>
  <c r="H32" i="1"/>
  <c r="H53" i="1" s="1"/>
  <c r="J26" i="1"/>
  <c r="K26" i="1" s="1"/>
  <c r="J25" i="1"/>
  <c r="K25" i="1" s="1"/>
  <c r="M114" i="1"/>
  <c r="M116" i="1" s="1"/>
  <c r="L114" i="1"/>
  <c r="L116" i="1" s="1"/>
  <c r="K114" i="1"/>
  <c r="J114" i="1"/>
  <c r="J116" i="1" s="1"/>
  <c r="J117" i="1" s="1"/>
  <c r="J121" i="1" s="1"/>
  <c r="I114" i="1"/>
  <c r="I116" i="1" s="1"/>
  <c r="I117" i="1" s="1"/>
  <c r="I121" i="1" s="1"/>
  <c r="H114" i="1"/>
  <c r="F114" i="1"/>
  <c r="G114" i="1"/>
  <c r="M75" i="1"/>
  <c r="L75" i="1"/>
  <c r="K75" i="1"/>
  <c r="J75" i="1"/>
  <c r="I75" i="1"/>
  <c r="H75" i="1"/>
  <c r="G75" i="1"/>
  <c r="I74" i="1"/>
  <c r="H74" i="1"/>
  <c r="G74" i="1"/>
  <c r="F74" i="1"/>
  <c r="F76" i="1" s="1"/>
  <c r="J31" i="1"/>
  <c r="K31" i="1" s="1"/>
  <c r="J30" i="1"/>
  <c r="K30" i="1" s="1"/>
  <c r="J27" i="1"/>
  <c r="J28" i="1"/>
  <c r="K28" i="1" s="1"/>
  <c r="J29" i="1"/>
  <c r="K29" i="1" s="1"/>
  <c r="L29" i="1" s="1"/>
  <c r="J24" i="1"/>
  <c r="K24" i="1" s="1"/>
  <c r="L24" i="1" s="1"/>
  <c r="M24" i="1" s="1"/>
  <c r="J20" i="1"/>
  <c r="K20" i="1" s="1"/>
  <c r="L20" i="1" s="1"/>
  <c r="M20" i="1" s="1"/>
  <c r="J21" i="1"/>
  <c r="K21" i="1" s="1"/>
  <c r="J22" i="1"/>
  <c r="K22" i="1" s="1"/>
  <c r="L22" i="1" s="1"/>
  <c r="J18" i="1"/>
  <c r="C88" i="4"/>
  <c r="C87" i="4"/>
  <c r="C86" i="4"/>
  <c r="C83" i="4"/>
  <c r="C82" i="4"/>
  <c r="C81" i="4"/>
  <c r="C70" i="4"/>
  <c r="F9" i="1"/>
  <c r="L117" i="1" l="1"/>
  <c r="L121" i="1" s="1"/>
  <c r="M118" i="1"/>
  <c r="M117" i="1"/>
  <c r="J16" i="1"/>
  <c r="L14" i="1"/>
  <c r="G76" i="1"/>
  <c r="I76" i="1"/>
  <c r="K18" i="1"/>
  <c r="L28" i="1"/>
  <c r="M28" i="1" s="1"/>
  <c r="M22" i="1"/>
  <c r="H76" i="1"/>
  <c r="K27" i="1"/>
  <c r="L26" i="1"/>
  <c r="M26" i="1" s="1"/>
  <c r="L25" i="1"/>
  <c r="M25" i="1" s="1"/>
  <c r="L31" i="1"/>
  <c r="M31" i="1" s="1"/>
  <c r="L30" i="1"/>
  <c r="M30" i="1" s="1"/>
  <c r="M29" i="1"/>
  <c r="L21" i="1"/>
  <c r="M21" i="1" s="1"/>
  <c r="L18" i="1" l="1"/>
  <c r="M14" i="1"/>
  <c r="M16" i="1" s="1"/>
  <c r="L16" i="1"/>
  <c r="M18" i="1"/>
  <c r="L27" i="1"/>
  <c r="M27" i="1" l="1"/>
  <c r="Q48" i="1" l="1"/>
  <c r="Q46" i="1"/>
  <c r="Q41" i="1"/>
  <c r="O41" i="1"/>
  <c r="O37" i="1"/>
  <c r="O35" i="1"/>
  <c r="Q31" i="1"/>
  <c r="O31" i="1"/>
  <c r="Q29" i="1"/>
  <c r="O29" i="1"/>
  <c r="O27" i="1"/>
  <c r="O25" i="1"/>
  <c r="Q24" i="1"/>
  <c r="Q20" i="1"/>
  <c r="P19" i="1"/>
  <c r="Q18" i="1"/>
  <c r="O18" i="1"/>
  <c r="P14" i="1"/>
  <c r="Q14" i="1"/>
  <c r="R14" i="1"/>
  <c r="P15" i="1"/>
  <c r="Q15" i="1"/>
  <c r="R15" i="1"/>
  <c r="P16" i="1"/>
  <c r="Q16" i="1"/>
  <c r="R16" i="1"/>
  <c r="P18" i="1"/>
  <c r="R18" i="1"/>
  <c r="Q19" i="1"/>
  <c r="R19" i="1"/>
  <c r="P20" i="1"/>
  <c r="R20" i="1"/>
  <c r="P21" i="1"/>
  <c r="Q21" i="1"/>
  <c r="R21" i="1"/>
  <c r="P22" i="1"/>
  <c r="Q22" i="1"/>
  <c r="R22" i="1"/>
  <c r="P23" i="1"/>
  <c r="Q23" i="1"/>
  <c r="R23" i="1"/>
  <c r="P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R29" i="1"/>
  <c r="P30" i="1"/>
  <c r="Q30" i="1"/>
  <c r="R30" i="1"/>
  <c r="P31" i="1"/>
  <c r="R31" i="1"/>
  <c r="P32" i="1"/>
  <c r="Q32" i="1"/>
  <c r="R32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R41" i="1"/>
  <c r="P42" i="1"/>
  <c r="Q42" i="1"/>
  <c r="R42" i="1"/>
  <c r="P43" i="1"/>
  <c r="Q43" i="1"/>
  <c r="R43" i="1"/>
  <c r="P46" i="1"/>
  <c r="R46" i="1"/>
  <c r="P47" i="1"/>
  <c r="Q47" i="1"/>
  <c r="R47" i="1"/>
  <c r="P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7" i="1"/>
  <c r="Q57" i="1"/>
  <c r="R57" i="1"/>
  <c r="O15" i="1"/>
  <c r="O16" i="1"/>
  <c r="O19" i="1"/>
  <c r="O20" i="1"/>
  <c r="O21" i="1"/>
  <c r="O22" i="1"/>
  <c r="O23" i="1"/>
  <c r="O24" i="1"/>
  <c r="O26" i="1"/>
  <c r="O28" i="1"/>
  <c r="O30" i="1"/>
  <c r="O32" i="1"/>
  <c r="O36" i="1"/>
  <c r="O38" i="1"/>
  <c r="O39" i="1"/>
  <c r="O40" i="1"/>
  <c r="O42" i="1"/>
  <c r="O43" i="1"/>
  <c r="O46" i="1"/>
  <c r="O47" i="1"/>
  <c r="O48" i="1"/>
  <c r="O49" i="1"/>
  <c r="O50" i="1"/>
  <c r="O51" i="1"/>
  <c r="O52" i="1"/>
  <c r="O57" i="1"/>
  <c r="O14" i="1"/>
  <c r="H13" i="1"/>
  <c r="G13" i="1" s="1"/>
  <c r="F13" i="1" s="1"/>
  <c r="K13" i="1"/>
  <c r="L13" i="1" s="1"/>
  <c r="M13" i="1" s="1"/>
  <c r="BM29" i="1"/>
  <c r="BL29" i="1"/>
  <c r="BK29" i="1"/>
  <c r="BI29" i="1"/>
  <c r="BH29" i="1"/>
  <c r="BG29" i="1"/>
  <c r="BB29" i="1"/>
  <c r="BA29" i="1"/>
  <c r="AZ29" i="1"/>
  <c r="AY29" i="1"/>
  <c r="AX29" i="1"/>
  <c r="AW29" i="1"/>
  <c r="AV29" i="1"/>
  <c r="AU29" i="1"/>
  <c r="AT29" i="1"/>
  <c r="AP29" i="1"/>
  <c r="AN29" i="1"/>
  <c r="AM29" i="1"/>
  <c r="AL29" i="1"/>
  <c r="AK29" i="1"/>
  <c r="AJ29" i="1"/>
  <c r="AI29" i="1"/>
  <c r="AG29" i="1"/>
  <c r="AF29" i="1"/>
  <c r="AE29" i="1"/>
  <c r="AD29" i="1"/>
  <c r="AC29" i="1"/>
  <c r="X29" i="1"/>
  <c r="W29" i="1"/>
  <c r="BM28" i="1"/>
  <c r="BL28" i="1"/>
  <c r="BK28" i="1"/>
  <c r="BI28" i="1"/>
  <c r="BH28" i="1"/>
  <c r="BG28" i="1"/>
  <c r="BB28" i="1"/>
  <c r="BA28" i="1"/>
  <c r="AZ28" i="1"/>
  <c r="AY28" i="1"/>
  <c r="AX28" i="1"/>
  <c r="AW28" i="1"/>
  <c r="AV28" i="1"/>
  <c r="AU28" i="1"/>
  <c r="AT28" i="1"/>
  <c r="AP28" i="1"/>
  <c r="AN28" i="1"/>
  <c r="AM28" i="1"/>
  <c r="AL28" i="1"/>
  <c r="AK28" i="1"/>
  <c r="AJ28" i="1"/>
  <c r="AI28" i="1"/>
  <c r="AG28" i="1"/>
  <c r="AF28" i="1"/>
  <c r="AE28" i="1"/>
  <c r="AD28" i="1"/>
  <c r="AC28" i="1"/>
  <c r="AQ28" i="1" s="1"/>
  <c r="X28" i="1"/>
  <c r="W28" i="1"/>
  <c r="AQ27" i="1"/>
  <c r="Y27" i="1"/>
  <c r="AQ26" i="1"/>
  <c r="Y26" i="1"/>
  <c r="Y29" i="1" l="1"/>
  <c r="Y28" i="1"/>
  <c r="AQ29" i="1"/>
  <c r="D11" i="4"/>
  <c r="C54" i="4"/>
  <c r="C55" i="4"/>
  <c r="C56" i="4"/>
  <c r="C57" i="4"/>
  <c r="C58" i="4"/>
  <c r="C60" i="4"/>
  <c r="C61" i="4"/>
  <c r="C62" i="4"/>
  <c r="C63" i="4"/>
  <c r="C65" i="4"/>
  <c r="C66" i="4"/>
  <c r="C67" i="4"/>
  <c r="C68" i="4"/>
  <c r="C71" i="4"/>
  <c r="C72" i="4"/>
  <c r="C73" i="4"/>
  <c r="C76" i="4"/>
  <c r="C77" i="4"/>
  <c r="C78" i="4"/>
  <c r="L109" i="4" l="1"/>
  <c r="K109" i="4"/>
  <c r="J109" i="4"/>
  <c r="N109" i="4"/>
  <c r="M109" i="4"/>
  <c r="M145" i="4"/>
  <c r="M120" i="4"/>
  <c r="L135" i="4"/>
  <c r="L145" i="4"/>
  <c r="K145" i="4"/>
  <c r="M115" i="4"/>
  <c r="J145" i="4"/>
  <c r="L115" i="4"/>
  <c r="N135" i="4"/>
  <c r="K115" i="4"/>
  <c r="N145" i="4"/>
  <c r="N125" i="4"/>
  <c r="L130" i="4"/>
  <c r="M125" i="4"/>
  <c r="K140" i="4"/>
  <c r="N140" i="4"/>
  <c r="J120" i="4"/>
  <c r="K130" i="4"/>
  <c r="N130" i="4"/>
  <c r="J140" i="4"/>
  <c r="J135" i="4"/>
  <c r="J130" i="4"/>
  <c r="M135" i="4"/>
  <c r="L120" i="4"/>
  <c r="J125" i="4"/>
  <c r="M130" i="4"/>
  <c r="N120" i="4"/>
  <c r="K125" i="4"/>
  <c r="M140" i="4"/>
  <c r="K135" i="4"/>
  <c r="L125" i="4"/>
  <c r="K120" i="4"/>
  <c r="J115" i="4"/>
  <c r="N115" i="4"/>
  <c r="L140" i="4"/>
  <c r="M80" i="4"/>
  <c r="M70" i="4"/>
  <c r="J65" i="4"/>
  <c r="L55" i="4"/>
  <c r="N80" i="4"/>
  <c r="L80" i="4"/>
  <c r="L70" i="4"/>
  <c r="N60" i="4"/>
  <c r="K55" i="4"/>
  <c r="L65" i="4"/>
  <c r="N70" i="4"/>
  <c r="K80" i="4"/>
  <c r="K70" i="4"/>
  <c r="M60" i="4"/>
  <c r="J55" i="4"/>
  <c r="N75" i="4"/>
  <c r="J70" i="4"/>
  <c r="L60" i="4"/>
  <c r="J75" i="4"/>
  <c r="N55" i="4"/>
  <c r="M55" i="4"/>
  <c r="M75" i="4"/>
  <c r="N65" i="4"/>
  <c r="K60" i="4"/>
  <c r="J80" i="4"/>
  <c r="L75" i="4"/>
  <c r="M65" i="4"/>
  <c r="J60" i="4"/>
  <c r="K75" i="4"/>
  <c r="K65" i="4"/>
  <c r="N85" i="4"/>
  <c r="M85" i="4"/>
  <c r="K85" i="4"/>
  <c r="L85" i="4"/>
  <c r="J85" i="4"/>
  <c r="L33" i="4"/>
  <c r="K33" i="4"/>
  <c r="J33" i="4"/>
  <c r="N33" i="4"/>
  <c r="M33" i="4"/>
  <c r="B2" i="4"/>
  <c r="J14" i="4"/>
  <c r="K14" i="4" s="1"/>
  <c r="L14" i="4" s="1"/>
  <c r="M14" i="4" s="1"/>
  <c r="N14" i="4" s="1"/>
  <c r="J27" i="4" l="1"/>
  <c r="J22" i="4"/>
  <c r="J37" i="4"/>
  <c r="J41" i="4"/>
  <c r="J21" i="4" s="1"/>
  <c r="J42" i="4"/>
  <c r="J23" i="4" s="1"/>
  <c r="K27" i="4"/>
  <c r="J38" i="4"/>
  <c r="J39" i="4"/>
  <c r="J19" i="4" s="1"/>
  <c r="J40" i="4"/>
  <c r="J20" i="4" s="1"/>
  <c r="J36" i="4"/>
  <c r="J97" i="4" l="1"/>
  <c r="J96" i="4"/>
  <c r="K22" i="4"/>
  <c r="K36" i="4"/>
  <c r="K40" i="4"/>
  <c r="K20" i="4" s="1"/>
  <c r="K42" i="4"/>
  <c r="K23" i="4" s="1"/>
  <c r="K41" i="4"/>
  <c r="K21" i="4" s="1"/>
  <c r="J43" i="4"/>
  <c r="K38" i="4"/>
  <c r="K39" i="4"/>
  <c r="K19" i="4" s="1"/>
  <c r="K37" i="4"/>
  <c r="L27" i="4"/>
  <c r="L22" i="4" l="1"/>
  <c r="M22" i="4" s="1"/>
  <c r="K96" i="4"/>
  <c r="K97" i="4"/>
  <c r="M27" i="4"/>
  <c r="M36" i="4" s="1"/>
  <c r="L40" i="4"/>
  <c r="L20" i="4" s="1"/>
  <c r="L97" i="4" s="1"/>
  <c r="L42" i="4"/>
  <c r="L23" i="4" s="1"/>
  <c r="L41" i="4"/>
  <c r="L21" i="4" s="1"/>
  <c r="K43" i="4"/>
  <c r="L36" i="4"/>
  <c r="L39" i="4"/>
  <c r="L19" i="4" s="1"/>
  <c r="L37" i="4"/>
  <c r="L38" i="4"/>
  <c r="M37" i="4" l="1"/>
  <c r="L96" i="4"/>
  <c r="N22" i="4"/>
  <c r="M38" i="4"/>
  <c r="N27" i="4"/>
  <c r="N37" i="4" s="1"/>
  <c r="M39" i="4"/>
  <c r="M19" i="4" s="1"/>
  <c r="L43" i="4"/>
  <c r="M40" i="4"/>
  <c r="M20" i="4" s="1"/>
  <c r="M42" i="4"/>
  <c r="M23" i="4" s="1"/>
  <c r="M41" i="4"/>
  <c r="M21" i="4" s="1"/>
  <c r="N40" i="4" l="1"/>
  <c r="N20" i="4" s="1"/>
  <c r="N97" i="4" s="1"/>
  <c r="N41" i="4"/>
  <c r="N21" i="4" s="1"/>
  <c r="N39" i="4"/>
  <c r="N19" i="4" s="1"/>
  <c r="N96" i="4" s="1"/>
  <c r="N36" i="4"/>
  <c r="N38" i="4"/>
  <c r="N42" i="4"/>
  <c r="N23" i="4" s="1"/>
  <c r="M97" i="4"/>
  <c r="M96" i="4"/>
  <c r="M43" i="4"/>
  <c r="N43" i="4" l="1"/>
  <c r="J16" i="4"/>
  <c r="N16" i="4"/>
  <c r="L16" i="4"/>
  <c r="K16" i="4"/>
  <c r="M16" i="4"/>
  <c r="N93" i="4" s="1"/>
  <c r="J17" i="4"/>
  <c r="L17" i="4"/>
  <c r="K17" i="4"/>
  <c r="M17" i="4"/>
  <c r="N17" i="4"/>
  <c r="J18" i="4"/>
  <c r="M18" i="4"/>
  <c r="K18" i="4"/>
  <c r="L18" i="4"/>
  <c r="M95" i="4" s="1"/>
  <c r="N18" i="4"/>
  <c r="L94" i="4" l="1"/>
  <c r="M94" i="4"/>
  <c r="N95" i="4"/>
  <c r="M93" i="4"/>
  <c r="J24" i="4"/>
  <c r="J105" i="4" s="1"/>
  <c r="J98" i="4"/>
  <c r="K94" i="4"/>
  <c r="J94" i="4"/>
  <c r="L95" i="4"/>
  <c r="L93" i="4"/>
  <c r="J95" i="4"/>
  <c r="K95" i="4"/>
  <c r="N94" i="4"/>
  <c r="J93" i="4"/>
  <c r="K93" i="4"/>
  <c r="J25" i="4" l="1"/>
  <c r="J100" i="4"/>
  <c r="J104" i="4" s="1"/>
  <c r="J150" i="4"/>
  <c r="J23" i="1"/>
  <c r="J32" i="1" s="1"/>
  <c r="N24" i="4"/>
  <c r="N105" i="4" s="1"/>
  <c r="J151" i="4" l="1"/>
  <c r="J154" i="4"/>
  <c r="K103" i="4"/>
  <c r="K107" i="4" s="1"/>
  <c r="J74" i="1"/>
  <c r="J76" i="1" s="1"/>
  <c r="N150" i="4"/>
  <c r="N98" i="4"/>
  <c r="N100" i="4" s="1"/>
  <c r="N104" i="4" s="1"/>
  <c r="M98" i="4"/>
  <c r="M100" i="4" s="1"/>
  <c r="M104" i="4" s="1"/>
  <c r="L98" i="4"/>
  <c r="L100" i="4" s="1"/>
  <c r="L104" i="4" s="1"/>
  <c r="K98" i="4"/>
  <c r="K100" i="4" s="1"/>
  <c r="K104" i="4" s="1"/>
  <c r="K24" i="4"/>
  <c r="K105" i="4" s="1"/>
  <c r="L24" i="4"/>
  <c r="L105" i="4" s="1"/>
  <c r="M24" i="4"/>
  <c r="M105" i="4" s="1"/>
  <c r="L103" i="4" l="1"/>
  <c r="L107" i="4" s="1"/>
  <c r="J152" i="4"/>
  <c r="J158" i="4" s="1"/>
  <c r="J161" i="4"/>
  <c r="L150" i="4"/>
  <c r="K150" i="4"/>
  <c r="K151" i="4" s="1"/>
  <c r="N25" i="4"/>
  <c r="M150" i="4"/>
  <c r="M25" i="4"/>
  <c r="M23" i="1"/>
  <c r="L25" i="4"/>
  <c r="L23" i="1"/>
  <c r="K25" i="4"/>
  <c r="K23" i="1"/>
  <c r="K154" i="4" l="1"/>
  <c r="K161" i="4" s="1"/>
  <c r="L151" i="4"/>
  <c r="L152" i="4"/>
  <c r="L158" i="4" s="1"/>
  <c r="K152" i="4"/>
  <c r="K158" i="4" s="1"/>
  <c r="M103" i="4"/>
  <c r="M107" i="4" s="1"/>
  <c r="L154" i="4"/>
  <c r="K32" i="1"/>
  <c r="K74" i="1"/>
  <c r="K76" i="1" s="1"/>
  <c r="L32" i="1"/>
  <c r="L74" i="1"/>
  <c r="L76" i="1" s="1"/>
  <c r="M32" i="1"/>
  <c r="M74" i="1"/>
  <c r="M76" i="1" s="1"/>
  <c r="L161" i="4" l="1"/>
  <c r="N103" i="4"/>
  <c r="N107" i="4" s="1"/>
  <c r="M154" i="4"/>
  <c r="M151" i="4"/>
  <c r="M152" i="4" l="1"/>
  <c r="M158" i="4" s="1"/>
  <c r="M161" i="4"/>
  <c r="N154" i="4"/>
  <c r="N151" i="4"/>
  <c r="N152" i="4" l="1"/>
  <c r="N158" i="4" s="1"/>
  <c r="N161" i="4"/>
  <c r="M124" i="1"/>
  <c r="M1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33" authorId="0" shapeId="0" xr:uid="{568FCD69-AB38-4C9B-993D-D4FDB0FF5CF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the Federal Reserve Bank of St. Louis</t>
        </r>
      </text>
    </comment>
    <comment ref="I33" authorId="0" shapeId="0" xr:uid="{41730A36-6733-4A12-81F6-C7FF3C97895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the Federal Reserve Bank of St. Louis</t>
        </r>
      </text>
    </comment>
    <comment ref="C92" authorId="0" shapeId="0" xr:uid="{2C46259E-D4E1-45AA-A8E3-17B2E1BCD82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page 51 in 10K</t>
        </r>
      </text>
    </comment>
  </commentList>
</comments>
</file>

<file path=xl/sharedStrings.xml><?xml version="1.0" encoding="utf-8"?>
<sst xmlns="http://schemas.openxmlformats.org/spreadsheetml/2006/main" count="396" uniqueCount="191">
  <si>
    <t>Preferred stock—$0.01 par value; 1,000,000 shares authorized; Series A—$10,000 stated value and liquidation preference per share; 515 shares issued and outstanding as of June 2018 and June 2017</t>
  </si>
  <si>
    <t>TOTAL LIABILITIES AND STOCKHOLDERS’ EQUITY</t>
  </si>
  <si>
    <t>Total stockholders’ equity</t>
  </si>
  <si>
    <t>Treasury stock, at cost; 3,107,996 shares as of June 2018 and 1,579,688 shares as of June 2017</t>
  </si>
  <si>
    <t>Retained earnings</t>
  </si>
  <si>
    <t>Accumulated other comprehensive income (loss)—net of tax</t>
  </si>
  <si>
    <t>Additional paid-in capital</t>
  </si>
  <si>
    <t>Common stock—$0.01 par value; 150,000,000 shares authorized, 65,796,060 shares issued and 62,688,064 shares outstanding as of June 2018, 65,115,932 shares issued and 63,536,244 shares outstanding as of June 2017</t>
  </si>
  <si>
    <t xml:space="preserve"> </t>
  </si>
  <si>
    <t>Total liabilities</t>
  </si>
  <si>
    <t>Accounts payable and accrued liabilities and other liabilities</t>
  </si>
  <si>
    <t>Accrued interest payable</t>
  </si>
  <si>
    <t>Subordinated notes and debentures and other</t>
  </si>
  <si>
    <t>Advances from the Federal Home Loan Bank</t>
  </si>
  <si>
    <t>Securities sold under agreements to repurchase</t>
  </si>
  <si>
    <t>Total deposits</t>
  </si>
  <si>
    <t>Interest bearing</t>
  </si>
  <si>
    <t>Non-interest bearing</t>
  </si>
  <si>
    <t>TOTAL ASSETS</t>
  </si>
  <si>
    <t>Other assets</t>
  </si>
  <si>
    <t>Goodwill and other intangible assets—net</t>
  </si>
  <si>
    <t>Other real estate owned and repossessed vehicles</t>
  </si>
  <si>
    <t>Mortgage servicing rights, carried at fair value</t>
  </si>
  <si>
    <t>Cash surrender value of life insurance</t>
  </si>
  <si>
    <t>Deferred income tax</t>
  </si>
  <si>
    <t>Furniture, equipment and software—net</t>
  </si>
  <si>
    <t>Accrued interest receivable</t>
  </si>
  <si>
    <t>Loans and leases—net of allowance for loan and lease losses of $49,151 as of June 2018 and $40,832 as of June 2017</t>
  </si>
  <si>
    <t>Loans held for sale, carried at lower of cost or fair value</t>
  </si>
  <si>
    <t>Loans held for sale, carried at fair value</t>
  </si>
  <si>
    <t>Stock of the Federal Home Loan Bank, at cost</t>
  </si>
  <si>
    <t>Available for sale</t>
  </si>
  <si>
    <t>Trading</t>
  </si>
  <si>
    <t>Total cash and cash equivalents</t>
  </si>
  <si>
    <t>Federal funds sold</t>
  </si>
  <si>
    <t>Cash and due from banks</t>
  </si>
  <si>
    <t>CONSOLIDATED BALANCE SHEETS - USD ($) $ in Thousands</t>
  </si>
  <si>
    <t>q</t>
  </si>
  <si>
    <t>%</t>
  </si>
  <si>
    <t>Addressable Lending Market Sizes as %'s of Nominal GDP:</t>
  </si>
  <si>
    <t>Total Addressable Lending Market:</t>
  </si>
  <si>
    <t>Total Addressable Loan Markets by Segment:</t>
  </si>
  <si>
    <t>Selected Nominal GDP Growth Rate:</t>
  </si>
  <si>
    <t>Downside</t>
  </si>
  <si>
    <t>Upside</t>
  </si>
  <si>
    <t>Base</t>
  </si>
  <si>
    <t>Total Loan Portfolio Growth Rate:</t>
  </si>
  <si>
    <t>Total Loans and Advances to Customers:</t>
  </si>
  <si>
    <t>Gross Loans:</t>
  </si>
  <si>
    <t>Units:</t>
  </si>
  <si>
    <t>Loan Portfolio Projections:</t>
  </si>
  <si>
    <t>Projected - Prior to Charge-Offs</t>
  </si>
  <si>
    <t>Selected Scenario</t>
  </si>
  <si>
    <t>Conversion Units:</t>
  </si>
  <si>
    <t>Last Historical Year:</t>
  </si>
  <si>
    <t>Company Name:</t>
  </si>
  <si>
    <t>General Assumptions:</t>
  </si>
  <si>
    <t>United States Nominal GDP:</t>
  </si>
  <si>
    <t>$ B</t>
  </si>
  <si>
    <t>Single family real estate secured</t>
  </si>
  <si>
    <t>Multifamily real estate secured</t>
  </si>
  <si>
    <t>Commercial real estate secured</t>
  </si>
  <si>
    <t>Auto and RV secured</t>
  </si>
  <si>
    <t>Factoring</t>
  </si>
  <si>
    <t>Commercial &amp; Industrial</t>
  </si>
  <si>
    <t>Other</t>
  </si>
  <si>
    <t>AXOS Bank</t>
  </si>
  <si>
    <t>(USD $ in Millions Except Per Share and Per Unit Data)</t>
  </si>
  <si>
    <t>Assets:</t>
  </si>
  <si>
    <t>AXOS</t>
  </si>
  <si>
    <t>Shareholder's Equity:</t>
  </si>
  <si>
    <t>Shareholder's Equity (Cont):</t>
  </si>
  <si>
    <t>Annual Period:</t>
  </si>
  <si>
    <t>Net Income to Common:</t>
  </si>
  <si>
    <t>Provisions for Credit Losses:</t>
  </si>
  <si>
    <t>c</t>
  </si>
  <si>
    <t>(+) Interest Income:</t>
  </si>
  <si>
    <t>(-) Interest Expense:</t>
  </si>
  <si>
    <t>Net Interest Income:</t>
  </si>
  <si>
    <t>Non-Interest Expenses:</t>
  </si>
  <si>
    <t>Pre-Tax Income:</t>
  </si>
  <si>
    <t>(-) Income Taxes:</t>
  </si>
  <si>
    <t>Net Income:</t>
  </si>
  <si>
    <t>(-) Preferred Stock Dividend:</t>
  </si>
  <si>
    <t>Axos Bank - Income Statement:</t>
  </si>
  <si>
    <t>Interest Rates</t>
  </si>
  <si>
    <t xml:space="preserve">Aggregated Interest Rate </t>
  </si>
  <si>
    <t>Aggregated Rate on Interest Bearing deposits</t>
  </si>
  <si>
    <t>Aggregated NIM</t>
  </si>
  <si>
    <t>US Nominal GDP Growth Rates:</t>
  </si>
  <si>
    <t>$ T</t>
  </si>
  <si>
    <t>Interest-earning deposits in other financial institutions</t>
  </si>
  <si>
    <t>Mortgage-backed and other investment securities</t>
  </si>
  <si>
    <t>Stock of the FHLB, at cost</t>
  </si>
  <si>
    <t>Deposits:</t>
  </si>
  <si>
    <t>Assets</t>
  </si>
  <si>
    <t>.</t>
  </si>
  <si>
    <t>Mortgage</t>
  </si>
  <si>
    <t>Principal loan and lease balance</t>
  </si>
  <si>
    <t>Allowance for loan and lease losses</t>
  </si>
  <si>
    <t>Unaccreted discounts and loan and lease fees</t>
  </si>
  <si>
    <t>Home equity</t>
  </si>
  <si>
    <t>Warehouse &amp; Other</t>
  </si>
  <si>
    <t>Historical</t>
  </si>
  <si>
    <t>C&amp;I</t>
  </si>
  <si>
    <t xml:space="preserve">Warehouse </t>
  </si>
  <si>
    <t>Interest Rate on Deposits</t>
  </si>
  <si>
    <t>Other Expenses (Tech, Data, Wages, etc)</t>
  </si>
  <si>
    <t>Total impairment losses</t>
  </si>
  <si>
    <t>Loss (gain) recognized in other comprehensive income</t>
  </si>
  <si>
    <t>Net impairment loss recognized in earnings</t>
  </si>
  <si>
    <t>Fair value gain (loss) on trading securities</t>
  </si>
  <si>
    <t>Total unrealized loss on securities</t>
  </si>
  <si>
    <t>Prepayment penalty fee income</t>
  </si>
  <si>
    <t>Gain on sale – other</t>
  </si>
  <si>
    <t>Mortgage banking income</t>
  </si>
  <si>
    <t>Banking and service fees</t>
  </si>
  <si>
    <t>Total non-interest income</t>
  </si>
  <si>
    <t>Salaries and related costs</t>
  </si>
  <si>
    <t>Data processing and internet</t>
  </si>
  <si>
    <t>Advertising and promotional</t>
  </si>
  <si>
    <t>Depreciation and amortization</t>
  </si>
  <si>
    <t>Occupancy and equipment</t>
  </si>
  <si>
    <t>Professional services</t>
  </si>
  <si>
    <t>FDIC and regulatory fees</t>
  </si>
  <si>
    <t>Real estate owned and repossessed vehicles</t>
  </si>
  <si>
    <t>General and administrative expense</t>
  </si>
  <si>
    <t>Total non-interest expense</t>
  </si>
  <si>
    <t>Current ROE</t>
  </si>
  <si>
    <t>Cost of Equity</t>
  </si>
  <si>
    <t>x</t>
  </si>
  <si>
    <t>Balance</t>
  </si>
  <si>
    <t>Beginnig Book Value of Equity</t>
  </si>
  <si>
    <t>WACC</t>
  </si>
  <si>
    <t>Spread</t>
  </si>
  <si>
    <t>Excess Equity Return</t>
  </si>
  <si>
    <t>Acculimated Discounted Excess Return</t>
  </si>
  <si>
    <t>total number of common shares</t>
  </si>
  <si>
    <t>Value</t>
  </si>
  <si>
    <t>Company Full Name:</t>
  </si>
  <si>
    <t>Ticker:</t>
  </si>
  <si>
    <t>Valuation Date:</t>
  </si>
  <si>
    <t>Share Price as of Jan, 27 2017</t>
  </si>
  <si>
    <t>Last Fiscal Date:</t>
  </si>
  <si>
    <t>Operating Case:</t>
  </si>
  <si>
    <t>AXOS BANK</t>
  </si>
  <si>
    <t>AX</t>
  </si>
  <si>
    <t>Charge-Offs &amp; Loan Loss Reserves:</t>
  </si>
  <si>
    <t>Provisions for Credit Loss</t>
  </si>
  <si>
    <t>Allowance for Loan Losses:</t>
  </si>
  <si>
    <t xml:space="preserve">  Provision for loan losses</t>
  </si>
  <si>
    <t xml:space="preserve">  Recoveries</t>
  </si>
  <si>
    <t xml:space="preserve">  Beginning Balance</t>
  </si>
  <si>
    <t xml:space="preserve">  Ending Balance</t>
  </si>
  <si>
    <t>Provisions for Credit Losses % Average Loan Balances:</t>
  </si>
  <si>
    <t>Gross Loan Balance:</t>
  </si>
  <si>
    <t>Gross Loans, Net of Charge-Offs:</t>
  </si>
  <si>
    <t>Average Loan Balance:</t>
  </si>
  <si>
    <t>Impaired Loans (Non-Performing Loans):</t>
  </si>
  <si>
    <t>% Allowance for Loan Losses:</t>
  </si>
  <si>
    <t>$ M</t>
  </si>
  <si>
    <t>Key Metrics &amp; Ratios:</t>
  </si>
  <si>
    <t>Net Charge-Off Ratio:</t>
  </si>
  <si>
    <t>Net Charge-Offs  / Reserves:</t>
  </si>
  <si>
    <t>Reserve Ratio:</t>
  </si>
  <si>
    <t>NPLs / Gross Loans:</t>
  </si>
  <si>
    <t>Total</t>
  </si>
  <si>
    <t xml:space="preserve">Student Foundation Investment Committee </t>
  </si>
  <si>
    <t xml:space="preserve">  Charge-offs (-)</t>
  </si>
  <si>
    <t>Net Charge-Offs % Average Gross Loans:</t>
  </si>
  <si>
    <t>INTEREST-BEARING LIABILITIES (IBL):</t>
  </si>
  <si>
    <t>Total Interest-Bearing Liabilities (IBL):</t>
  </si>
  <si>
    <t>Avg. Interest-Bearing Liabilities (IBL):</t>
  </si>
  <si>
    <t>Interest Expense Paid On:</t>
  </si>
  <si>
    <t>Other:</t>
  </si>
  <si>
    <t>Average Deposits - Fixed vs. Variable Rates:</t>
  </si>
  <si>
    <t>Fixed-Rate Deposits:</t>
  </si>
  <si>
    <t>Variable-Rate Deposits:</t>
  </si>
  <si>
    <t>Total:</t>
  </si>
  <si>
    <t>% Fixed-Rate:</t>
  </si>
  <si>
    <t>% Variable:</t>
  </si>
  <si>
    <t>Average Interest Rate Paid On:</t>
  </si>
  <si>
    <t>Due to Banks:</t>
  </si>
  <si>
    <t>Subordinated Notes:</t>
  </si>
  <si>
    <t>Interest-Bearing Liabilities (IBL):</t>
  </si>
  <si>
    <t>Average Annual Federal Funds Rate</t>
  </si>
  <si>
    <t>Loans to Deposit Ratio</t>
  </si>
  <si>
    <t>Interest Bearing Loans</t>
  </si>
  <si>
    <t>Necessary Deposits</t>
  </si>
  <si>
    <t>Non Interest Bearing Liabilities</t>
  </si>
  <si>
    <t>Fed Funds Rate Spread on Interest Paid 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</si>
</sst>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_);\(0.0%\);\-_%_);@_)"/>
    <numFmt numFmtId="165" formatCode="0.00%_);\(0.00%\);\-_%_);@_)"/>
    <numFmt numFmtId="166" formatCode="_(* #,##0.0_);_(* \(#,##0.0\);_(* &quot;-&quot;_);_(@_)"/>
    <numFmt numFmtId="167" formatCode="&quot;FY&quot;yy"/>
    <numFmt numFmtId="168" formatCode="#,##0_);\(#,##0\);\-_);@_)"/>
    <numFmt numFmtId="169" formatCode="yyyy\-mm\-dd"/>
    <numFmt numFmtId="170" formatCode="_(&quot;$&quot;* #,##0_);_(&quot;$&quot;* \(#,##0\);_(&quot;$&quot;* &quot;-&quot;??_);_(@_)"/>
    <numFmt numFmtId="171" formatCode="0.0"/>
    <numFmt numFmtId="172" formatCode="0.0%"/>
    <numFmt numFmtId="173" formatCode="_(* #,##0.0_);_(* \(#,##0.0\);_(* &quot;-&quot;??_);_(@_)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Inherit"/>
    </font>
    <font>
      <sz val="11"/>
      <name val="Calibri"/>
      <family val="2"/>
    </font>
    <font>
      <sz val="8"/>
      <color theme="1"/>
      <name val="Inherit"/>
    </font>
    <font>
      <b/>
      <sz val="11"/>
      <color theme="0"/>
      <name val="Calibri Light"/>
      <family val="2"/>
      <scheme val="major"/>
    </font>
    <font>
      <sz val="11"/>
      <color theme="1"/>
      <name val="Calibri Light"/>
      <family val="2"/>
      <scheme val="major"/>
    </font>
    <font>
      <i/>
      <sz val="11"/>
      <color theme="1"/>
      <name val="Calibri Light"/>
      <family val="2"/>
      <scheme val="major"/>
    </font>
    <font>
      <sz val="11"/>
      <color rgb="FF0000FF"/>
      <name val="Calibri Light"/>
      <family val="2"/>
      <scheme val="major"/>
    </font>
    <font>
      <sz val="1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color theme="0"/>
      <name val="Calibri Light"/>
      <family val="2"/>
      <scheme val="major"/>
    </font>
    <font>
      <b/>
      <sz val="11"/>
      <name val="Calibri"/>
      <family val="2"/>
    </font>
    <font>
      <sz val="9.5"/>
      <color theme="1"/>
      <name val="Inherit"/>
    </font>
    <font>
      <b/>
      <sz val="10"/>
      <color rgb="FF000000"/>
      <name val="Garamond"/>
      <family val="1"/>
    </font>
    <font>
      <sz val="12"/>
      <color theme="1"/>
      <name val="Calibri"/>
      <family val="2"/>
      <scheme val="minor"/>
    </font>
    <font>
      <sz val="10"/>
      <color rgb="FF0070C0"/>
      <name val="Garamond"/>
      <family val="1"/>
    </font>
    <font>
      <b/>
      <sz val="10"/>
      <color rgb="FFFFFFFF"/>
      <name val="Garamond"/>
      <family val="1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4471A7"/>
        <bgColor indexed="64"/>
      </patternFill>
    </fill>
    <fill>
      <patternFill patternType="solid">
        <fgColor rgb="FFFDF699"/>
        <bgColor indexed="64"/>
      </patternFill>
    </fill>
    <fill>
      <patternFill patternType="solid">
        <fgColor rgb="FFC00000"/>
        <bgColor indexed="64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/>
      </right>
      <top/>
      <bottom style="thin">
        <color theme="0" tint="-0.249977111117893"/>
      </bottom>
      <diagonal/>
    </border>
    <border>
      <left/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164" fontId="4" fillId="0" borderId="0" xfId="0" applyNumberFormat="1" applyFont="1" applyFill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0" fontId="5" fillId="0" borderId="0" xfId="0" applyFont="1" applyBorder="1" applyAlignment="1"/>
    <xf numFmtId="0" fontId="3" fillId="0" borderId="0" xfId="0" applyFont="1" applyBorder="1" applyAlignment="1"/>
    <xf numFmtId="165" fontId="6" fillId="2" borderId="1" xfId="0" applyNumberFormat="1" applyFont="1" applyFill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left" indent="2"/>
    </xf>
    <xf numFmtId="165" fontId="6" fillId="2" borderId="2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left" indent="2"/>
    </xf>
    <xf numFmtId="165" fontId="0" fillId="0" borderId="0" xfId="0" applyNumberFormat="1" applyFont="1" applyFill="1" applyBorder="1" applyAlignment="1">
      <alignment horizontal="right"/>
    </xf>
    <xf numFmtId="165" fontId="3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left" indent="1"/>
    </xf>
    <xf numFmtId="165" fontId="6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left"/>
    </xf>
    <xf numFmtId="164" fontId="4" fillId="3" borderId="3" xfId="0" applyNumberFormat="1" applyFont="1" applyFill="1" applyBorder="1" applyAlignment="1">
      <alignment horizontal="right"/>
    </xf>
    <xf numFmtId="165" fontId="0" fillId="3" borderId="3" xfId="0" applyNumberFormat="1" applyFont="1" applyFill="1" applyBorder="1" applyAlignment="1">
      <alignment horizontal="right"/>
    </xf>
    <xf numFmtId="0" fontId="5" fillId="3" borderId="3" xfId="0" applyFont="1" applyFill="1" applyBorder="1" applyAlignment="1"/>
    <xf numFmtId="0" fontId="3" fillId="3" borderId="3" xfId="0" applyFont="1" applyFill="1" applyBorder="1" applyAlignment="1"/>
    <xf numFmtId="164" fontId="0" fillId="0" borderId="0" xfId="0" applyNumberFormat="1" applyFont="1" applyBorder="1" applyAlignment="1">
      <alignment horizontal="right"/>
    </xf>
    <xf numFmtId="0" fontId="3" fillId="0" borderId="5" xfId="0" applyFont="1" applyBorder="1" applyAlignment="1"/>
    <xf numFmtId="166" fontId="9" fillId="0" borderId="0" xfId="0" applyNumberFormat="1" applyFont="1" applyFill="1" applyBorder="1" applyAlignment="1"/>
    <xf numFmtId="0" fontId="7" fillId="0" borderId="3" xfId="0" applyFont="1" applyBorder="1" applyAlignment="1">
      <alignment horizontal="center"/>
    </xf>
    <xf numFmtId="164" fontId="0" fillId="0" borderId="3" xfId="0" applyNumberFormat="1" applyFont="1" applyBorder="1" applyAlignment="1">
      <alignment horizontal="right"/>
    </xf>
    <xf numFmtId="0" fontId="0" fillId="0" borderId="3" xfId="0" applyFont="1" applyFill="1" applyBorder="1" applyAlignment="1">
      <alignment horizontal="left" indent="1"/>
    </xf>
    <xf numFmtId="0" fontId="0" fillId="0" borderId="0" xfId="0" applyFont="1" applyFill="1" applyBorder="1" applyAlignment="1">
      <alignment horizontal="left" indent="1"/>
    </xf>
    <xf numFmtId="166" fontId="10" fillId="0" borderId="0" xfId="0" applyNumberFormat="1" applyFont="1" applyBorder="1" applyAlignment="1"/>
    <xf numFmtId="0" fontId="3" fillId="0" borderId="0" xfId="0" applyFont="1" applyFill="1" applyBorder="1" applyAlignment="1">
      <alignment horizontal="left"/>
    </xf>
    <xf numFmtId="0" fontId="0" fillId="0" borderId="0" xfId="0" applyFont="1" applyBorder="1" applyAlignment="1"/>
    <xf numFmtId="0" fontId="7" fillId="0" borderId="0" xfId="0" applyFont="1" applyBorder="1" applyAlignment="1"/>
    <xf numFmtId="0" fontId="7" fillId="0" borderId="0" xfId="0" applyFont="1" applyFill="1" applyBorder="1" applyAlignment="1">
      <alignment horizontal="left" indent="1"/>
    </xf>
    <xf numFmtId="167" fontId="2" fillId="4" borderId="3" xfId="0" applyNumberFormat="1" applyFont="1" applyFill="1" applyBorder="1" applyAlignment="1">
      <alignment horizontal="center"/>
    </xf>
    <xf numFmtId="0" fontId="2" fillId="5" borderId="3" xfId="0" applyFont="1" applyFill="1" applyBorder="1" applyAlignment="1">
      <alignment horizontal="left"/>
    </xf>
    <xf numFmtId="0" fontId="2" fillId="5" borderId="7" xfId="0" applyFont="1" applyFill="1" applyBorder="1" applyAlignment="1">
      <alignment horizontal="centerContinuous"/>
    </xf>
    <xf numFmtId="0" fontId="2" fillId="5" borderId="8" xfId="0" applyFont="1" applyFill="1" applyBorder="1" applyAlignment="1">
      <alignment horizontal="centerContinuous"/>
    </xf>
    <xf numFmtId="0" fontId="11" fillId="5" borderId="0" xfId="0" applyFont="1" applyFill="1" applyBorder="1" applyAlignment="1"/>
    <xf numFmtId="0" fontId="2" fillId="5" borderId="0" xfId="0" applyFont="1" applyFill="1" applyBorder="1" applyAlignment="1"/>
    <xf numFmtId="168" fontId="6" fillId="2" borderId="1" xfId="0" applyNumberFormat="1" applyFont="1" applyFill="1" applyBorder="1" applyAlignment="1">
      <alignment horizontal="center"/>
    </xf>
    <xf numFmtId="0" fontId="0" fillId="0" borderId="0" xfId="0" applyFont="1" applyFill="1" applyBorder="1" applyAlignment="1"/>
    <xf numFmtId="169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Continuous"/>
    </xf>
    <xf numFmtId="0" fontId="2" fillId="5" borderId="3" xfId="0" applyFont="1" applyFill="1" applyBorder="1" applyAlignment="1"/>
    <xf numFmtId="9" fontId="0" fillId="0" borderId="0" xfId="0" applyNumberFormat="1" applyFont="1" applyBorder="1"/>
    <xf numFmtId="0" fontId="0" fillId="0" borderId="0" xfId="0" applyFont="1" applyBorder="1" applyAlignment="1">
      <alignment horizontal="left" vertical="center" indent="1"/>
    </xf>
    <xf numFmtId="0" fontId="0" fillId="0" borderId="0" xfId="0" applyFont="1" applyAlignment="1">
      <alignment horizontal="left" vertical="center" indent="1"/>
    </xf>
    <xf numFmtId="0" fontId="14" fillId="0" borderId="0" xfId="0" applyFont="1" applyAlignment="1">
      <alignment horizontal="left" vertical="center" indent="1"/>
    </xf>
    <xf numFmtId="0" fontId="7" fillId="0" borderId="5" xfId="0" applyFont="1" applyBorder="1" applyAlignment="1">
      <alignment horizontal="center"/>
    </xf>
    <xf numFmtId="0" fontId="0" fillId="6" borderId="0" xfId="0" applyFill="1"/>
    <xf numFmtId="0" fontId="0" fillId="6" borderId="0" xfId="0" applyFont="1" applyFill="1"/>
    <xf numFmtId="0" fontId="0" fillId="6" borderId="0" xfId="0" applyFont="1" applyFill="1" applyBorder="1" applyAlignment="1"/>
    <xf numFmtId="0" fontId="0" fillId="6" borderId="0" xfId="0" applyFill="1" applyBorder="1"/>
    <xf numFmtId="0" fontId="3" fillId="6" borderId="0" xfId="0" applyFont="1" applyFill="1" applyBorder="1" applyAlignment="1">
      <alignment horizontal="left"/>
    </xf>
    <xf numFmtId="0" fontId="15" fillId="6" borderId="9" xfId="0" applyFont="1" applyFill="1" applyBorder="1" applyAlignment="1">
      <alignment vertical="top" wrapText="1"/>
    </xf>
    <xf numFmtId="43" fontId="0" fillId="0" borderId="0" xfId="2" applyFont="1" applyBorder="1" applyAlignment="1"/>
    <xf numFmtId="43" fontId="8" fillId="0" borderId="0" xfId="2" applyFont="1" applyFill="1" applyBorder="1" applyAlignment="1"/>
    <xf numFmtId="43" fontId="8" fillId="0" borderId="0" xfId="2" applyFont="1" applyBorder="1" applyAlignment="1"/>
    <xf numFmtId="43" fontId="3" fillId="0" borderId="5" xfId="2" applyFont="1" applyBorder="1" applyAlignment="1"/>
    <xf numFmtId="43" fontId="5" fillId="0" borderId="0" xfId="2" applyFont="1" applyBorder="1" applyAlignment="1">
      <alignment horizontal="right"/>
    </xf>
    <xf numFmtId="43" fontId="10" fillId="0" borderId="0" xfId="2" applyFont="1" applyBorder="1" applyAlignment="1"/>
    <xf numFmtId="0" fontId="17" fillId="5" borderId="3" xfId="0" applyFont="1" applyFill="1" applyBorder="1"/>
    <xf numFmtId="0" fontId="17" fillId="5" borderId="3" xfId="0" applyFont="1" applyFill="1" applyBorder="1" applyAlignment="1"/>
    <xf numFmtId="0" fontId="18" fillId="6" borderId="0" xfId="0" applyFont="1" applyFill="1"/>
    <xf numFmtId="0" fontId="18" fillId="6" borderId="0" xfId="0" applyFont="1" applyFill="1" applyBorder="1"/>
    <xf numFmtId="0" fontId="18" fillId="6" borderId="0" xfId="0" applyFont="1" applyFill="1" applyBorder="1" applyAlignment="1"/>
    <xf numFmtId="0" fontId="19" fillId="0" borderId="0" xfId="0" applyFont="1" applyBorder="1" applyAlignment="1"/>
    <xf numFmtId="167" fontId="18" fillId="6" borderId="0" xfId="0" applyNumberFormat="1" applyFont="1" applyFill="1"/>
    <xf numFmtId="0" fontId="20" fillId="2" borderId="1" xfId="0" applyFont="1" applyFill="1" applyBorder="1" applyAlignment="1">
      <alignment horizontal="centerContinuous"/>
    </xf>
    <xf numFmtId="169" fontId="20" fillId="2" borderId="1" xfId="0" applyNumberFormat="1" applyFont="1" applyFill="1" applyBorder="1" applyAlignment="1">
      <alignment horizontal="center"/>
    </xf>
    <xf numFmtId="168" fontId="20" fillId="2" borderId="1" xfId="0" applyNumberFormat="1" applyFont="1" applyFill="1" applyBorder="1" applyAlignment="1">
      <alignment horizontal="center"/>
    </xf>
    <xf numFmtId="0" fontId="22" fillId="6" borderId="0" xfId="0" applyFont="1" applyFill="1" applyBorder="1" applyAlignment="1"/>
    <xf numFmtId="0" fontId="18" fillId="0" borderId="0" xfId="0" applyFont="1" applyBorder="1" applyAlignment="1"/>
    <xf numFmtId="0" fontId="23" fillId="6" borderId="0" xfId="0" applyFont="1" applyFill="1" applyAlignment="1">
      <alignment horizontal="center" vertical="center" wrapText="1"/>
    </xf>
    <xf numFmtId="167" fontId="18" fillId="6" borderId="0" xfId="0" applyNumberFormat="1" applyFont="1" applyFill="1" applyBorder="1"/>
    <xf numFmtId="0" fontId="18" fillId="5" borderId="0" xfId="0" applyFont="1" applyFill="1"/>
    <xf numFmtId="167" fontId="18" fillId="5" borderId="0" xfId="0" applyNumberFormat="1" applyFont="1" applyFill="1"/>
    <xf numFmtId="167" fontId="24" fillId="7" borderId="0" xfId="0" applyNumberFormat="1" applyFont="1" applyFill="1"/>
    <xf numFmtId="167" fontId="24" fillId="6" borderId="0" xfId="0" applyNumberFormat="1" applyFont="1" applyFill="1"/>
    <xf numFmtId="0" fontId="17" fillId="6" borderId="0" xfId="0" applyFont="1" applyFill="1" applyBorder="1" applyAlignment="1"/>
    <xf numFmtId="0" fontId="21" fillId="6" borderId="0" xfId="0" applyFont="1" applyFill="1" applyAlignment="1">
      <alignment vertical="top" wrapText="1"/>
    </xf>
    <xf numFmtId="170" fontId="21" fillId="6" borderId="0" xfId="1" applyNumberFormat="1" applyFont="1" applyFill="1" applyAlignment="1">
      <alignment horizontal="right" vertical="top"/>
    </xf>
    <xf numFmtId="170" fontId="18" fillId="6" borderId="0" xfId="1" applyNumberFormat="1" applyFont="1" applyFill="1"/>
    <xf numFmtId="44" fontId="21" fillId="6" borderId="0" xfId="1" applyFont="1" applyFill="1" applyAlignment="1">
      <alignment horizontal="right" vertical="top"/>
    </xf>
    <xf numFmtId="44" fontId="18" fillId="5" borderId="0" xfId="1" applyFont="1" applyFill="1"/>
    <xf numFmtId="44" fontId="18" fillId="6" borderId="0" xfId="1" applyFont="1" applyFill="1"/>
    <xf numFmtId="44" fontId="17" fillId="5" borderId="3" xfId="1" applyFont="1" applyFill="1" applyBorder="1" applyAlignment="1"/>
    <xf numFmtId="44" fontId="17" fillId="6" borderId="0" xfId="1" applyFont="1" applyFill="1" applyBorder="1" applyAlignment="1"/>
    <xf numFmtId="170" fontId="18" fillId="6" borderId="0" xfId="1" applyNumberFormat="1" applyFont="1" applyFill="1" applyAlignment="1">
      <alignment horizontal="right" vertical="top"/>
    </xf>
    <xf numFmtId="170" fontId="21" fillId="6" borderId="3" xfId="1" applyNumberFormat="1" applyFont="1" applyFill="1" applyBorder="1" applyAlignment="1">
      <alignment horizontal="right" vertical="top"/>
    </xf>
    <xf numFmtId="170" fontId="21" fillId="6" borderId="9" xfId="1" applyNumberFormat="1" applyFont="1" applyFill="1" applyBorder="1" applyAlignment="1">
      <alignment horizontal="right" vertical="top"/>
    </xf>
    <xf numFmtId="44" fontId="21" fillId="6" borderId="0" xfId="1" applyFont="1" applyFill="1" applyAlignment="1">
      <alignment vertical="top" wrapText="1"/>
    </xf>
    <xf numFmtId="170" fontId="18" fillId="6" borderId="3" xfId="1" applyNumberFormat="1" applyFont="1" applyFill="1" applyBorder="1"/>
    <xf numFmtId="170" fontId="18" fillId="6" borderId="9" xfId="1" applyNumberFormat="1" applyFont="1" applyFill="1" applyBorder="1"/>
    <xf numFmtId="44" fontId="18" fillId="6" borderId="0" xfId="1" applyFont="1" applyFill="1" applyAlignment="1">
      <alignment horizontal="right" vertical="top"/>
    </xf>
    <xf numFmtId="0" fontId="21" fillId="6" borderId="3" xfId="0" applyFont="1" applyFill="1" applyBorder="1" applyAlignment="1">
      <alignment vertical="top" wrapText="1"/>
    </xf>
    <xf numFmtId="170" fontId="18" fillId="6" borderId="0" xfId="1" applyNumberFormat="1" applyFont="1" applyFill="1" applyBorder="1"/>
    <xf numFmtId="0" fontId="21" fillId="6" borderId="9" xfId="0" applyFont="1" applyFill="1" applyBorder="1" applyAlignment="1">
      <alignment vertical="top" wrapText="1"/>
    </xf>
    <xf numFmtId="0" fontId="23" fillId="5" borderId="0" xfId="0" applyFont="1" applyFill="1" applyAlignment="1">
      <alignment vertical="top" wrapText="1"/>
    </xf>
    <xf numFmtId="0" fontId="17" fillId="5" borderId="0" xfId="0" applyFont="1" applyFill="1"/>
    <xf numFmtId="0" fontId="24" fillId="5" borderId="0" xfId="0" applyFont="1" applyFill="1"/>
    <xf numFmtId="0" fontId="18" fillId="6" borderId="0" xfId="0" applyFont="1" applyFill="1" applyAlignment="1">
      <alignment horizontal="center" vertical="center"/>
    </xf>
    <xf numFmtId="10" fontId="18" fillId="6" borderId="0" xfId="0" applyNumberFormat="1" applyFont="1" applyFill="1" applyAlignment="1">
      <alignment horizontal="center" vertical="center"/>
    </xf>
    <xf numFmtId="0" fontId="18" fillId="6" borderId="3" xfId="0" applyFont="1" applyFill="1" applyBorder="1"/>
    <xf numFmtId="10" fontId="18" fillId="6" borderId="3" xfId="3" applyNumberFormat="1" applyFont="1" applyFill="1" applyBorder="1" applyAlignment="1">
      <alignment horizontal="center" vertical="center"/>
    </xf>
    <xf numFmtId="10" fontId="18" fillId="6" borderId="0" xfId="3" applyNumberFormat="1" applyFont="1" applyFill="1" applyAlignment="1">
      <alignment horizontal="center" vertical="center"/>
    </xf>
    <xf numFmtId="167" fontId="24" fillId="8" borderId="0" xfId="0" applyNumberFormat="1" applyFont="1" applyFill="1"/>
    <xf numFmtId="10" fontId="18" fillId="6" borderId="0" xfId="3" applyNumberFormat="1" applyFont="1" applyFill="1" applyAlignment="1">
      <alignment horizontal="center" vertical="center" wrapText="1"/>
    </xf>
    <xf numFmtId="0" fontId="18" fillId="6" borderId="0" xfId="0" applyFont="1" applyFill="1" applyAlignment="1">
      <alignment horizontal="left" vertical="center"/>
    </xf>
    <xf numFmtId="10" fontId="18" fillId="6" borderId="3" xfId="3" applyNumberFormat="1" applyFont="1" applyFill="1" applyBorder="1" applyAlignment="1">
      <alignment horizontal="center" vertical="center" wrapText="1"/>
    </xf>
    <xf numFmtId="9" fontId="18" fillId="6" borderId="0" xfId="3" applyFont="1" applyFill="1" applyAlignment="1">
      <alignment horizontal="center" vertical="center"/>
    </xf>
    <xf numFmtId="172" fontId="18" fillId="6" borderId="0" xfId="3" applyNumberFormat="1" applyFont="1" applyFill="1" applyAlignment="1">
      <alignment horizontal="center" vertical="center"/>
    </xf>
    <xf numFmtId="171" fontId="21" fillId="6" borderId="0" xfId="1" applyNumberFormat="1" applyFont="1" applyFill="1" applyAlignment="1">
      <alignment horizontal="right" vertical="top"/>
    </xf>
    <xf numFmtId="171" fontId="18" fillId="6" borderId="0" xfId="1" applyNumberFormat="1" applyFont="1" applyFill="1"/>
    <xf numFmtId="171" fontId="21" fillId="6" borderId="3" xfId="1" applyNumberFormat="1" applyFont="1" applyFill="1" applyBorder="1" applyAlignment="1">
      <alignment horizontal="right" vertical="top"/>
    </xf>
    <xf numFmtId="171" fontId="18" fillId="6" borderId="3" xfId="1" applyNumberFormat="1" applyFont="1" applyFill="1" applyBorder="1"/>
    <xf numFmtId="171" fontId="21" fillId="6" borderId="9" xfId="1" applyNumberFormat="1" applyFont="1" applyFill="1" applyBorder="1" applyAlignment="1">
      <alignment horizontal="right" vertical="top"/>
    </xf>
    <xf numFmtId="171" fontId="18" fillId="6" borderId="9" xfId="1" applyNumberFormat="1" applyFont="1" applyFill="1" applyBorder="1"/>
    <xf numFmtId="44" fontId="21" fillId="6" borderId="0" xfId="1" applyNumberFormat="1" applyFont="1" applyFill="1" applyAlignment="1">
      <alignment horizontal="right" vertical="top"/>
    </xf>
    <xf numFmtId="44" fontId="18" fillId="6" borderId="0" xfId="1" applyNumberFormat="1" applyFont="1" applyFill="1" applyAlignment="1">
      <alignment horizontal="right" vertical="top"/>
    </xf>
    <xf numFmtId="44" fontId="18" fillId="6" borderId="0" xfId="1" applyNumberFormat="1" applyFont="1" applyFill="1"/>
    <xf numFmtId="0" fontId="15" fillId="0" borderId="0" xfId="0" applyFont="1" applyAlignment="1">
      <alignment vertical="top" wrapText="1"/>
    </xf>
    <xf numFmtId="37" fontId="15" fillId="0" borderId="0" xfId="0" applyNumberFormat="1" applyFont="1" applyAlignment="1">
      <alignment horizontal="right" vertical="top"/>
    </xf>
    <xf numFmtId="1" fontId="18" fillId="6" borderId="0" xfId="0" applyNumberFormat="1" applyFont="1" applyFill="1" applyAlignment="1">
      <alignment horizontal="center" vertical="center"/>
    </xf>
    <xf numFmtId="0" fontId="25" fillId="0" borderId="0" xfId="0" applyFont="1" applyAlignment="1">
      <alignment vertical="top"/>
    </xf>
    <xf numFmtId="0" fontId="3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15" fillId="0" borderId="0" xfId="0" applyFont="1" applyAlignment="1">
      <alignment vertical="top"/>
    </xf>
    <xf numFmtId="37" fontId="0" fillId="0" borderId="0" xfId="0" applyNumberFormat="1" applyFont="1" applyBorder="1"/>
    <xf numFmtId="0" fontId="18" fillId="10" borderId="10" xfId="0" applyFont="1" applyFill="1" applyBorder="1" applyAlignment="1">
      <alignment horizontal="center" vertical="center"/>
    </xf>
    <xf numFmtId="169" fontId="21" fillId="10" borderId="10" xfId="0" applyNumberFormat="1" applyFont="1" applyFill="1" applyBorder="1" applyAlignment="1">
      <alignment horizontal="center" vertical="center"/>
    </xf>
    <xf numFmtId="167" fontId="18" fillId="6" borderId="0" xfId="0" applyNumberFormat="1" applyFont="1" applyFill="1" applyAlignment="1">
      <alignment horizontal="center" vertical="center"/>
    </xf>
    <xf numFmtId="167" fontId="24" fillId="7" borderId="0" xfId="0" applyNumberFormat="1" applyFont="1" applyFill="1" applyBorder="1" applyAlignment="1">
      <alignment horizontal="center" vertical="center"/>
    </xf>
    <xf numFmtId="171" fontId="18" fillId="6" borderId="0" xfId="0" applyNumberFormat="1" applyFont="1" applyFill="1" applyAlignment="1">
      <alignment horizontal="center" vertical="center"/>
    </xf>
    <xf numFmtId="171" fontId="18" fillId="6" borderId="0" xfId="0" applyNumberFormat="1" applyFont="1" applyFill="1" applyBorder="1" applyAlignment="1">
      <alignment horizontal="center" vertical="center"/>
    </xf>
    <xf numFmtId="1" fontId="18" fillId="5" borderId="0" xfId="0" applyNumberFormat="1" applyFont="1" applyFill="1" applyAlignment="1">
      <alignment horizontal="center" vertical="center"/>
    </xf>
    <xf numFmtId="1" fontId="18" fillId="5" borderId="0" xfId="0" applyNumberFormat="1" applyFont="1" applyFill="1" applyBorder="1" applyAlignment="1">
      <alignment horizontal="center" vertical="center"/>
    </xf>
    <xf numFmtId="171" fontId="18" fillId="6" borderId="3" xfId="0" applyNumberFormat="1" applyFont="1" applyFill="1" applyBorder="1" applyAlignment="1">
      <alignment horizontal="center" vertical="center"/>
    </xf>
    <xf numFmtId="171" fontId="18" fillId="6" borderId="9" xfId="0" applyNumberFormat="1" applyFont="1" applyFill="1" applyBorder="1" applyAlignment="1">
      <alignment horizontal="center" vertical="center"/>
    </xf>
    <xf numFmtId="1" fontId="18" fillId="6" borderId="0" xfId="0" applyNumberFormat="1" applyFont="1" applyFill="1" applyBorder="1" applyAlignment="1">
      <alignment horizontal="center" vertical="center"/>
    </xf>
    <xf numFmtId="43" fontId="18" fillId="6" borderId="0" xfId="2" applyFont="1" applyFill="1" applyAlignment="1">
      <alignment horizontal="center" vertical="center"/>
    </xf>
    <xf numFmtId="43" fontId="18" fillId="9" borderId="0" xfId="2" applyFont="1" applyFill="1" applyAlignment="1">
      <alignment horizontal="center" vertical="center"/>
    </xf>
    <xf numFmtId="44" fontId="18" fillId="6" borderId="0" xfId="0" applyNumberFormat="1" applyFont="1" applyFill="1" applyAlignment="1">
      <alignment horizontal="center" vertical="center"/>
    </xf>
    <xf numFmtId="0" fontId="24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167" fontId="24" fillId="8" borderId="0" xfId="0" applyNumberFormat="1" applyFont="1" applyFill="1" applyAlignment="1">
      <alignment horizontal="center" vertical="center"/>
    </xf>
    <xf numFmtId="0" fontId="18" fillId="6" borderId="0" xfId="0" applyFont="1" applyFill="1" applyAlignment="1">
      <alignment horizontal="center"/>
    </xf>
    <xf numFmtId="4" fontId="0" fillId="0" borderId="0" xfId="0" applyNumberFormat="1"/>
    <xf numFmtId="0" fontId="18" fillId="11" borderId="0" xfId="0" applyFont="1" applyFill="1" applyAlignment="1">
      <alignment horizontal="center" vertical="center"/>
    </xf>
    <xf numFmtId="168" fontId="20" fillId="2" borderId="0" xfId="0" applyNumberFormat="1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22" fillId="6" borderId="0" xfId="0" applyFont="1" applyFill="1"/>
    <xf numFmtId="167" fontId="18" fillId="6" borderId="0" xfId="0" applyNumberFormat="1" applyFont="1" applyFill="1" applyBorder="1" applyAlignment="1">
      <alignment horizontal="center" vertical="center"/>
    </xf>
    <xf numFmtId="37" fontId="8" fillId="0" borderId="0" xfId="2" applyNumberFormat="1" applyFont="1" applyBorder="1" applyAlignment="1"/>
    <xf numFmtId="165" fontId="6" fillId="6" borderId="0" xfId="0" applyNumberFormat="1" applyFont="1" applyFill="1" applyBorder="1" applyAlignment="1">
      <alignment horizontal="right"/>
    </xf>
    <xf numFmtId="43" fontId="21" fillId="6" borderId="0" xfId="2" applyFont="1" applyFill="1" applyAlignment="1">
      <alignment horizontal="right" vertical="top"/>
    </xf>
    <xf numFmtId="43" fontId="21" fillId="6" borderId="3" xfId="2" applyFont="1" applyFill="1" applyBorder="1" applyAlignment="1">
      <alignment horizontal="right" vertical="top"/>
    </xf>
    <xf numFmtId="0" fontId="21" fillId="6" borderId="11" xfId="0" applyFont="1" applyFill="1" applyBorder="1" applyAlignment="1">
      <alignment vertical="top" wrapText="1"/>
    </xf>
    <xf numFmtId="171" fontId="18" fillId="6" borderId="11" xfId="0" applyNumberFormat="1" applyFont="1" applyFill="1" applyBorder="1" applyAlignment="1">
      <alignment horizontal="center" vertical="center"/>
    </xf>
    <xf numFmtId="171" fontId="21" fillId="6" borderId="11" xfId="1" applyNumberFormat="1" applyFont="1" applyFill="1" applyBorder="1" applyAlignment="1">
      <alignment horizontal="right" vertical="top"/>
    </xf>
    <xf numFmtId="171" fontId="18" fillId="6" borderId="11" xfId="1" applyNumberFormat="1" applyFont="1" applyFill="1" applyBorder="1"/>
    <xf numFmtId="0" fontId="18" fillId="6" borderId="11" xfId="0" applyFont="1" applyFill="1" applyBorder="1"/>
    <xf numFmtId="10" fontId="18" fillId="6" borderId="11" xfId="3" applyNumberFormat="1" applyFont="1" applyFill="1" applyBorder="1" applyAlignment="1">
      <alignment horizontal="center" vertical="center"/>
    </xf>
    <xf numFmtId="10" fontId="18" fillId="6" borderId="11" xfId="3" applyNumberFormat="1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vertical="center"/>
    </xf>
    <xf numFmtId="0" fontId="22" fillId="6" borderId="11" xfId="0" applyFont="1" applyFill="1" applyBorder="1"/>
    <xf numFmtId="0" fontId="23" fillId="6" borderId="9" xfId="0" applyFont="1" applyFill="1" applyBorder="1" applyAlignment="1">
      <alignment vertical="top" wrapText="1"/>
    </xf>
    <xf numFmtId="0" fontId="23" fillId="6" borderId="11" xfId="0" applyFont="1" applyFill="1" applyBorder="1" applyAlignment="1">
      <alignment vertical="top" wrapText="1"/>
    </xf>
    <xf numFmtId="2" fontId="18" fillId="6" borderId="0" xfId="0" applyNumberFormat="1" applyFont="1" applyFill="1" applyAlignment="1">
      <alignment horizontal="center"/>
    </xf>
    <xf numFmtId="2" fontId="18" fillId="6" borderId="0" xfId="2" applyNumberFormat="1" applyFont="1" applyFill="1" applyAlignment="1">
      <alignment horizontal="center"/>
    </xf>
    <xf numFmtId="2" fontId="18" fillId="6" borderId="0" xfId="0" applyNumberFormat="1" applyFont="1" applyFill="1" applyAlignment="1">
      <alignment horizontal="center" vertical="center"/>
    </xf>
    <xf numFmtId="0" fontId="22" fillId="6" borderId="0" xfId="0" applyFont="1" applyFill="1" applyBorder="1"/>
    <xf numFmtId="2" fontId="18" fillId="6" borderId="0" xfId="0" applyNumberFormat="1" applyFont="1" applyFill="1" applyBorder="1" applyAlignment="1">
      <alignment horizontal="center" vertical="center"/>
    </xf>
    <xf numFmtId="0" fontId="15" fillId="6" borderId="0" xfId="0" applyFont="1" applyFill="1" applyAlignment="1">
      <alignment vertical="top" wrapText="1"/>
    </xf>
    <xf numFmtId="37" fontId="15" fillId="6" borderId="0" xfId="0" applyNumberFormat="1" applyFont="1" applyFill="1" applyAlignment="1">
      <alignment horizontal="center" vertical="top"/>
    </xf>
    <xf numFmtId="0" fontId="18" fillId="6" borderId="9" xfId="0" applyFont="1" applyFill="1" applyBorder="1"/>
    <xf numFmtId="0" fontId="18" fillId="6" borderId="9" xfId="0" applyFont="1" applyFill="1" applyBorder="1" applyAlignment="1">
      <alignment horizontal="center" vertical="center"/>
    </xf>
    <xf numFmtId="0" fontId="22" fillId="6" borderId="9" xfId="0" applyFont="1" applyFill="1" applyBorder="1"/>
    <xf numFmtId="2" fontId="18" fillId="6" borderId="9" xfId="0" applyNumberFormat="1" applyFont="1" applyFill="1" applyBorder="1" applyAlignment="1">
      <alignment horizontal="center" vertical="center"/>
    </xf>
    <xf numFmtId="0" fontId="25" fillId="6" borderId="9" xfId="0" applyFont="1" applyFill="1" applyBorder="1" applyAlignment="1">
      <alignment vertical="top" wrapText="1"/>
    </xf>
    <xf numFmtId="0" fontId="18" fillId="6" borderId="0" xfId="0" applyFont="1" applyFill="1" applyBorder="1" applyAlignment="1">
      <alignment horizontal="center" vertical="center"/>
    </xf>
    <xf numFmtId="37" fontId="15" fillId="6" borderId="9" xfId="0" applyNumberFormat="1" applyFont="1" applyFill="1" applyBorder="1" applyAlignment="1">
      <alignment horizontal="center" vertical="top"/>
    </xf>
    <xf numFmtId="0" fontId="18" fillId="6" borderId="9" xfId="0" applyFont="1" applyFill="1" applyBorder="1" applyAlignment="1">
      <alignment horizontal="center"/>
    </xf>
    <xf numFmtId="0" fontId="18" fillId="6" borderId="0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21" fillId="6" borderId="0" xfId="0" applyFont="1" applyFill="1" applyBorder="1" applyAlignment="1">
      <alignment vertical="top" wrapText="1"/>
    </xf>
    <xf numFmtId="171" fontId="21" fillId="6" borderId="0" xfId="0" applyNumberFormat="1" applyFont="1" applyFill="1" applyBorder="1" applyAlignment="1">
      <alignment horizontal="center" vertical="center"/>
    </xf>
    <xf numFmtId="43" fontId="21" fillId="12" borderId="0" xfId="2" applyFont="1" applyFill="1" applyBorder="1" applyAlignment="1">
      <alignment horizontal="right" vertical="top"/>
    </xf>
    <xf numFmtId="0" fontId="24" fillId="6" borderId="0" xfId="0" applyFont="1" applyFill="1" applyAlignment="1">
      <alignment horizontal="center" vertical="center"/>
    </xf>
    <xf numFmtId="0" fontId="24" fillId="6" borderId="0" xfId="0" applyFont="1" applyFill="1" applyAlignment="1">
      <alignment horizontal="center"/>
    </xf>
    <xf numFmtId="172" fontId="18" fillId="6" borderId="0" xfId="3" applyNumberFormat="1" applyFont="1" applyFill="1"/>
    <xf numFmtId="172" fontId="18" fillId="6" borderId="0" xfId="0" applyNumberFormat="1" applyFont="1" applyFill="1" applyAlignment="1">
      <alignment horizontal="center" vertical="center"/>
    </xf>
    <xf numFmtId="172" fontId="15" fillId="0" borderId="0" xfId="3" applyNumberFormat="1" applyFont="1" applyAlignment="1">
      <alignment horizontal="center" vertical="top"/>
    </xf>
    <xf numFmtId="0" fontId="18" fillId="9" borderId="0" xfId="0" applyFont="1" applyFill="1"/>
    <xf numFmtId="0" fontId="18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18" fillId="9" borderId="0" xfId="0" applyFont="1" applyFill="1" applyAlignment="1">
      <alignment horizontal="center"/>
    </xf>
    <xf numFmtId="43" fontId="18" fillId="6" borderId="0" xfId="0" applyNumberFormat="1" applyFont="1" applyFill="1"/>
    <xf numFmtId="3" fontId="26" fillId="0" borderId="0" xfId="0" applyNumberFormat="1" applyFont="1"/>
    <xf numFmtId="0" fontId="0" fillId="6" borderId="0" xfId="0" applyFont="1" applyFill="1" applyBorder="1"/>
    <xf numFmtId="0" fontId="7" fillId="6" borderId="0" xfId="0" applyFont="1" applyFill="1" applyBorder="1" applyAlignment="1">
      <alignment horizontal="center"/>
    </xf>
    <xf numFmtId="164" fontId="0" fillId="6" borderId="0" xfId="0" applyNumberFormat="1" applyFont="1" applyFill="1" applyBorder="1" applyAlignment="1">
      <alignment horizontal="right"/>
    </xf>
    <xf numFmtId="165" fontId="0" fillId="6" borderId="0" xfId="0" applyNumberFormat="1" applyFont="1" applyFill="1" applyBorder="1" applyAlignment="1">
      <alignment horizontal="right"/>
    </xf>
    <xf numFmtId="0" fontId="0" fillId="6" borderId="0" xfId="0" applyFont="1" applyFill="1" applyBorder="1" applyAlignment="1">
      <alignment horizontal="left" indent="2"/>
    </xf>
    <xf numFmtId="0" fontId="30" fillId="13" borderId="0" xfId="0" applyFont="1" applyFill="1" applyAlignment="1">
      <alignment vertical="center"/>
    </xf>
    <xf numFmtId="0" fontId="28" fillId="13" borderId="0" xfId="0" applyFont="1" applyFill="1" applyAlignment="1">
      <alignment wrapText="1"/>
    </xf>
    <xf numFmtId="0" fontId="27" fillId="6" borderId="0" xfId="0" applyFont="1" applyFill="1" applyAlignment="1">
      <alignment vertical="center"/>
    </xf>
    <xf numFmtId="0" fontId="28" fillId="6" borderId="0" xfId="0" applyFont="1" applyFill="1" applyAlignment="1">
      <alignment wrapText="1"/>
    </xf>
    <xf numFmtId="0" fontId="27" fillId="6" borderId="0" xfId="0" applyFont="1" applyFill="1" applyAlignment="1">
      <alignment wrapText="1"/>
    </xf>
    <xf numFmtId="0" fontId="29" fillId="6" borderId="0" xfId="0" applyFont="1" applyFill="1" applyBorder="1" applyAlignment="1">
      <alignment horizontal="right" wrapText="1"/>
    </xf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/>
    <xf numFmtId="0" fontId="0" fillId="7" borderId="12" xfId="0" applyFill="1" applyBorder="1"/>
    <xf numFmtId="0" fontId="28" fillId="6" borderId="0" xfId="0" applyFont="1" applyFill="1" applyBorder="1" applyAlignment="1">
      <alignment wrapText="1"/>
    </xf>
    <xf numFmtId="0" fontId="2" fillId="5" borderId="16" xfId="0" applyFont="1" applyFill="1" applyBorder="1" applyAlignment="1">
      <alignment horizontal="centerContinuous"/>
    </xf>
    <xf numFmtId="165" fontId="0" fillId="3" borderId="0" xfId="0" applyNumberFormat="1" applyFont="1" applyFill="1" applyBorder="1" applyAlignment="1">
      <alignment horizontal="right"/>
    </xf>
    <xf numFmtId="4" fontId="0" fillId="14" borderId="17" xfId="0" applyNumberFormat="1" applyFill="1" applyBorder="1"/>
    <xf numFmtId="164" fontId="4" fillId="3" borderId="0" xfId="0" applyNumberFormat="1" applyFont="1" applyFill="1" applyBorder="1" applyAlignment="1">
      <alignment horizontal="right"/>
    </xf>
    <xf numFmtId="164" fontId="4" fillId="3" borderId="18" xfId="0" applyNumberFormat="1" applyFont="1" applyFill="1" applyBorder="1" applyAlignment="1">
      <alignment horizontal="right"/>
    </xf>
    <xf numFmtId="0" fontId="11" fillId="5" borderId="6" xfId="0" applyFont="1" applyFill="1" applyBorder="1" applyAlignment="1">
      <alignment horizontal="center"/>
    </xf>
    <xf numFmtId="167" fontId="2" fillId="4" borderId="19" xfId="0" applyNumberFormat="1" applyFont="1" applyFill="1" applyBorder="1" applyAlignment="1">
      <alignment horizontal="center"/>
    </xf>
    <xf numFmtId="37" fontId="15" fillId="0" borderId="0" xfId="0" applyNumberFormat="1" applyFont="1" applyBorder="1" applyAlignment="1">
      <alignment horizontal="right" vertical="top"/>
    </xf>
    <xf numFmtId="43" fontId="16" fillId="12" borderId="5" xfId="2" applyFont="1" applyFill="1" applyBorder="1" applyAlignment="1">
      <alignment horizontal="right" vertical="center"/>
    </xf>
    <xf numFmtId="43" fontId="3" fillId="0" borderId="0" xfId="2" applyFont="1" applyBorder="1" applyAlignment="1">
      <alignment horizontal="right"/>
    </xf>
    <xf numFmtId="0" fontId="3" fillId="0" borderId="0" xfId="0" applyNumberFormat="1" applyFont="1" applyBorder="1" applyAlignment="1">
      <alignment horizontal="right"/>
    </xf>
    <xf numFmtId="0" fontId="8" fillId="2" borderId="20" xfId="0" applyFont="1" applyFill="1" applyBorder="1"/>
    <xf numFmtId="0" fontId="8" fillId="2" borderId="22" xfId="0" applyFont="1" applyFill="1" applyBorder="1"/>
    <xf numFmtId="165" fontId="0" fillId="3" borderId="23" xfId="0" applyNumberFormat="1" applyFont="1" applyFill="1" applyBorder="1" applyAlignment="1">
      <alignment horizontal="right"/>
    </xf>
    <xf numFmtId="0" fontId="3" fillId="3" borderId="23" xfId="0" applyFont="1" applyFill="1" applyBorder="1" applyAlignment="1"/>
    <xf numFmtId="0" fontId="5" fillId="3" borderId="23" xfId="0" applyFont="1" applyFill="1" applyBorder="1" applyAlignment="1"/>
    <xf numFmtId="164" fontId="4" fillId="3" borderId="23" xfId="0" applyNumberFormat="1" applyFont="1" applyFill="1" applyBorder="1" applyAlignment="1">
      <alignment horizontal="right"/>
    </xf>
    <xf numFmtId="0" fontId="8" fillId="6" borderId="0" xfId="0" applyFont="1" applyFill="1"/>
    <xf numFmtId="0" fontId="8" fillId="6" borderId="0" xfId="0" applyFont="1" applyFill="1" applyBorder="1"/>
    <xf numFmtId="164" fontId="10" fillId="6" borderId="0" xfId="0" applyNumberFormat="1" applyFont="1" applyFill="1" applyBorder="1" applyAlignment="1">
      <alignment horizontal="right"/>
    </xf>
    <xf numFmtId="0" fontId="0" fillId="3" borderId="3" xfId="0" applyFont="1" applyFill="1" applyBorder="1"/>
    <xf numFmtId="0" fontId="3" fillId="0" borderId="0" xfId="0" applyFont="1" applyFill="1" applyBorder="1"/>
    <xf numFmtId="0" fontId="3" fillId="0" borderId="0" xfId="0" applyFont="1" applyBorder="1"/>
    <xf numFmtId="0" fontId="3" fillId="0" borderId="5" xfId="0" applyFont="1" applyFill="1" applyBorder="1"/>
    <xf numFmtId="0" fontId="0" fillId="0" borderId="5" xfId="0" applyFont="1" applyBorder="1"/>
    <xf numFmtId="0" fontId="7" fillId="3" borderId="3" xfId="0" applyFont="1" applyFill="1" applyBorder="1" applyAlignment="1"/>
    <xf numFmtId="37" fontId="0" fillId="3" borderId="3" xfId="0" applyNumberFormat="1" applyFont="1" applyFill="1" applyBorder="1" applyAlignment="1"/>
    <xf numFmtId="0" fontId="0" fillId="3" borderId="3" xfId="0" applyFont="1" applyFill="1" applyBorder="1" applyAlignment="1"/>
    <xf numFmtId="0" fontId="0" fillId="0" borderId="0" xfId="0" applyFont="1" applyFill="1" applyBorder="1" applyAlignment="1">
      <alignment horizontal="left"/>
    </xf>
    <xf numFmtId="166" fontId="8" fillId="0" borderId="0" xfId="0" applyNumberFormat="1" applyFont="1" applyFill="1" applyBorder="1" applyAlignment="1"/>
    <xf numFmtId="166" fontId="4" fillId="0" borderId="0" xfId="0" applyNumberFormat="1" applyFont="1" applyFill="1" applyBorder="1" applyAlignment="1"/>
    <xf numFmtId="166" fontId="31" fillId="0" borderId="0" xfId="0" applyNumberFormat="1" applyFont="1" applyFill="1" applyBorder="1" applyAlignment="1"/>
    <xf numFmtId="0" fontId="3" fillId="0" borderId="0" xfId="0" applyFont="1" applyFill="1" applyBorder="1" applyAlignment="1"/>
    <xf numFmtId="37" fontId="0" fillId="0" borderId="0" xfId="0" applyNumberFormat="1" applyFont="1" applyBorder="1" applyAlignment="1"/>
    <xf numFmtId="41" fontId="0" fillId="0" borderId="0" xfId="0" applyNumberFormat="1" applyFont="1" applyBorder="1" applyAlignment="1"/>
    <xf numFmtId="164" fontId="8" fillId="2" borderId="1" xfId="0" applyNumberFormat="1" applyFont="1" applyFill="1" applyBorder="1" applyAlignment="1">
      <alignment horizontal="right"/>
    </xf>
    <xf numFmtId="165" fontId="31" fillId="0" borderId="0" xfId="0" applyNumberFormat="1" applyFont="1" applyFill="1" applyBorder="1" applyAlignment="1">
      <alignment horizontal="right"/>
    </xf>
    <xf numFmtId="165" fontId="4" fillId="0" borderId="0" xfId="0" applyNumberFormat="1" applyFon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43" fontId="0" fillId="0" borderId="0" xfId="2" applyFont="1" applyBorder="1"/>
    <xf numFmtId="43" fontId="0" fillId="3" borderId="3" xfId="2" applyFont="1" applyFill="1" applyBorder="1"/>
    <xf numFmtId="43" fontId="0" fillId="0" borderId="5" xfId="2" applyFont="1" applyBorder="1"/>
    <xf numFmtId="0" fontId="0" fillId="2" borderId="24" xfId="0" applyFont="1" applyFill="1" applyBorder="1"/>
    <xf numFmtId="0" fontId="0" fillId="2" borderId="25" xfId="0" applyFont="1" applyFill="1" applyBorder="1"/>
    <xf numFmtId="0" fontId="0" fillId="2" borderId="26" xfId="0" applyFont="1" applyFill="1" applyBorder="1"/>
    <xf numFmtId="0" fontId="8" fillId="2" borderId="27" xfId="0" applyFont="1" applyFill="1" applyBorder="1"/>
    <xf numFmtId="43" fontId="8" fillId="6" borderId="5" xfId="2" applyFont="1" applyFill="1" applyBorder="1"/>
    <xf numFmtId="0" fontId="3" fillId="0" borderId="5" xfId="0" applyFont="1" applyBorder="1" applyAlignment="1">
      <alignment horizontal="left" indent="1"/>
    </xf>
    <xf numFmtId="166" fontId="6" fillId="2" borderId="24" xfId="0" applyNumberFormat="1" applyFont="1" applyFill="1" applyBorder="1" applyAlignment="1"/>
    <xf numFmtId="166" fontId="9" fillId="2" borderId="24" xfId="0" applyNumberFormat="1" applyFont="1" applyFill="1" applyBorder="1" applyAlignment="1"/>
    <xf numFmtId="37" fontId="15" fillId="6" borderId="3" xfId="0" applyNumberFormat="1" applyFont="1" applyFill="1" applyBorder="1" applyAlignment="1">
      <alignment horizontal="center" vertical="top"/>
    </xf>
    <xf numFmtId="0" fontId="18" fillId="6" borderId="3" xfId="0" applyFont="1" applyFill="1" applyBorder="1" applyAlignment="1">
      <alignment horizontal="center"/>
    </xf>
    <xf numFmtId="0" fontId="27" fillId="6" borderId="10" xfId="0" applyFont="1" applyFill="1" applyBorder="1" applyAlignment="1">
      <alignment horizontal="center" vertical="center" wrapText="1"/>
    </xf>
    <xf numFmtId="0" fontId="29" fillId="2" borderId="10" xfId="0" applyFont="1" applyFill="1" applyBorder="1" applyAlignment="1">
      <alignment horizontal="center" vertical="center" wrapText="1"/>
    </xf>
    <xf numFmtId="0" fontId="29" fillId="2" borderId="28" xfId="0" applyFont="1" applyFill="1" applyBorder="1" applyAlignment="1">
      <alignment horizontal="center" vertical="center" wrapText="1"/>
    </xf>
    <xf numFmtId="0" fontId="29" fillId="2" borderId="29" xfId="0" applyFont="1" applyFill="1" applyBorder="1" applyAlignment="1">
      <alignment horizontal="center" vertical="center" wrapText="1"/>
    </xf>
    <xf numFmtId="14" fontId="29" fillId="2" borderId="28" xfId="0" applyNumberFormat="1" applyFont="1" applyFill="1" applyBorder="1" applyAlignment="1">
      <alignment horizontal="center" vertical="center" wrapText="1"/>
    </xf>
    <xf numFmtId="14" fontId="29" fillId="2" borderId="29" xfId="0" applyNumberFormat="1" applyFont="1" applyFill="1" applyBorder="1" applyAlignment="1">
      <alignment horizontal="center" vertical="center" wrapText="1"/>
    </xf>
    <xf numFmtId="8" fontId="29" fillId="2" borderId="28" xfId="0" applyNumberFormat="1" applyFont="1" applyFill="1" applyBorder="1" applyAlignment="1">
      <alignment horizontal="center" vertical="center" wrapText="1"/>
    </xf>
    <xf numFmtId="8" fontId="29" fillId="2" borderId="29" xfId="0" applyNumberFormat="1" applyFont="1" applyFill="1" applyBorder="1" applyAlignment="1">
      <alignment horizontal="center" vertical="center" wrapText="1"/>
    </xf>
    <xf numFmtId="14" fontId="0" fillId="2" borderId="28" xfId="0" applyNumberFormat="1" applyFill="1" applyBorder="1" applyAlignment="1">
      <alignment horizontal="center" vertical="center"/>
    </xf>
    <xf numFmtId="14" fontId="0" fillId="2" borderId="29" xfId="0" applyNumberFormat="1" applyFill="1" applyBorder="1" applyAlignment="1">
      <alignment horizontal="center" vertical="center"/>
    </xf>
    <xf numFmtId="164" fontId="4" fillId="2" borderId="24" xfId="0" applyNumberFormat="1" applyFont="1" applyFill="1" applyBorder="1" applyAlignment="1">
      <alignment horizontal="right"/>
    </xf>
    <xf numFmtId="164" fontId="6" fillId="2" borderId="20" xfId="0" applyNumberFormat="1" applyFont="1" applyFill="1" applyBorder="1" applyAlignment="1">
      <alignment horizontal="right"/>
    </xf>
    <xf numFmtId="43" fontId="3" fillId="0" borderId="0" xfId="2" applyFont="1" applyBorder="1" applyAlignment="1"/>
    <xf numFmtId="43" fontId="10" fillId="2" borderId="20" xfId="2" applyFont="1" applyFill="1" applyBorder="1" applyAlignment="1"/>
    <xf numFmtId="43" fontId="9" fillId="2" borderId="20" xfId="2" applyFont="1" applyFill="1" applyBorder="1" applyAlignment="1"/>
    <xf numFmtId="43" fontId="16" fillId="12" borderId="0" xfId="2" applyFont="1" applyFill="1" applyBorder="1" applyAlignment="1">
      <alignment horizontal="right" vertical="center"/>
    </xf>
    <xf numFmtId="37" fontId="15" fillId="14" borderId="20" xfId="0" applyNumberFormat="1" applyFont="1" applyFill="1" applyBorder="1" applyAlignment="1">
      <alignment horizontal="right" vertical="top"/>
    </xf>
    <xf numFmtId="37" fontId="8" fillId="14" borderId="20" xfId="2" applyNumberFormat="1" applyFont="1" applyFill="1" applyBorder="1" applyAlignment="1"/>
    <xf numFmtId="0" fontId="2" fillId="5" borderId="30" xfId="0" applyFont="1" applyFill="1" applyBorder="1" applyAlignment="1">
      <alignment horizontal="left"/>
    </xf>
    <xf numFmtId="0" fontId="11" fillId="5" borderId="31" xfId="0" applyFont="1" applyFill="1" applyBorder="1" applyAlignment="1">
      <alignment horizontal="center"/>
    </xf>
    <xf numFmtId="167" fontId="2" fillId="4" borderId="30" xfId="0" applyNumberFormat="1" applyFont="1" applyFill="1" applyBorder="1" applyAlignment="1">
      <alignment horizontal="center"/>
    </xf>
    <xf numFmtId="167" fontId="2" fillId="4" borderId="32" xfId="0" applyNumberFormat="1" applyFont="1" applyFill="1" applyBorder="1" applyAlignment="1">
      <alignment horizontal="center"/>
    </xf>
    <xf numFmtId="37" fontId="15" fillId="14" borderId="22" xfId="0" applyNumberFormat="1" applyFont="1" applyFill="1" applyBorder="1" applyAlignment="1">
      <alignment horizontal="right" vertical="top"/>
    </xf>
    <xf numFmtId="0" fontId="3" fillId="3" borderId="33" xfId="0" applyFont="1" applyFill="1" applyBorder="1" applyAlignment="1"/>
    <xf numFmtId="0" fontId="5" fillId="3" borderId="33" xfId="0" applyFont="1" applyFill="1" applyBorder="1" applyAlignment="1"/>
    <xf numFmtId="165" fontId="0" fillId="3" borderId="33" xfId="0" applyNumberFormat="1" applyFont="1" applyFill="1" applyBorder="1" applyAlignment="1">
      <alignment horizontal="right"/>
    </xf>
    <xf numFmtId="164" fontId="4" fillId="3" borderId="33" xfId="0" applyNumberFormat="1" applyFont="1" applyFill="1" applyBorder="1" applyAlignment="1">
      <alignment horizontal="right"/>
    </xf>
    <xf numFmtId="43" fontId="21" fillId="15" borderId="0" xfId="2" applyFont="1" applyFill="1" applyAlignment="1">
      <alignment horizontal="right" vertical="top"/>
    </xf>
    <xf numFmtId="0" fontId="17" fillId="5" borderId="0" xfId="0" applyFont="1" applyFill="1" applyBorder="1" applyAlignment="1"/>
    <xf numFmtId="44" fontId="17" fillId="5" borderId="0" xfId="1" applyFont="1" applyFill="1" applyBorder="1" applyAlignment="1"/>
    <xf numFmtId="0" fontId="23" fillId="5" borderId="0" xfId="0" applyFont="1" applyFill="1" applyBorder="1" applyAlignment="1">
      <alignment vertical="top" wrapText="1"/>
    </xf>
    <xf numFmtId="0" fontId="17" fillId="5" borderId="0" xfId="0" applyFont="1" applyFill="1" applyBorder="1"/>
    <xf numFmtId="0" fontId="17" fillId="6" borderId="0" xfId="0" applyFont="1" applyFill="1" applyBorder="1"/>
    <xf numFmtId="167" fontId="17" fillId="7" borderId="0" xfId="0" applyNumberFormat="1" applyFont="1" applyFill="1" applyBorder="1"/>
    <xf numFmtId="0" fontId="8" fillId="3" borderId="3" xfId="0" applyFont="1" applyFill="1" applyBorder="1"/>
    <xf numFmtId="0" fontId="11" fillId="5" borderId="3" xfId="0" applyFont="1" applyFill="1" applyBorder="1" applyAlignment="1">
      <alignment horizontal="center"/>
    </xf>
    <xf numFmtId="0" fontId="8" fillId="3" borderId="0" xfId="0" applyFont="1" applyFill="1" applyBorder="1"/>
    <xf numFmtId="0" fontId="10" fillId="6" borderId="0" xfId="0" applyFont="1" applyFill="1"/>
    <xf numFmtId="165" fontId="6" fillId="2" borderId="4" xfId="0" applyNumberFormat="1" applyFont="1" applyFill="1" applyBorder="1" applyAlignment="1">
      <alignment horizontal="right"/>
    </xf>
    <xf numFmtId="165" fontId="3" fillId="0" borderId="21" xfId="0" applyNumberFormat="1" applyFont="1" applyFill="1" applyBorder="1" applyAlignment="1">
      <alignment horizontal="right"/>
    </xf>
    <xf numFmtId="165" fontId="9" fillId="2" borderId="20" xfId="0" applyNumberFormat="1" applyFont="1" applyFill="1" applyBorder="1" applyAlignment="1">
      <alignment horizontal="right"/>
    </xf>
    <xf numFmtId="0" fontId="8" fillId="6" borderId="3" xfId="0" applyFont="1" applyFill="1" applyBorder="1"/>
    <xf numFmtId="0" fontId="8" fillId="2" borderId="34" xfId="0" applyFont="1" applyFill="1" applyBorder="1"/>
    <xf numFmtId="0" fontId="10" fillId="6" borderId="23" xfId="0" applyFont="1" applyFill="1" applyBorder="1"/>
    <xf numFmtId="0" fontId="8" fillId="6" borderId="23" xfId="0" applyFont="1" applyFill="1" applyBorder="1"/>
    <xf numFmtId="0" fontId="8" fillId="2" borderId="35" xfId="0" applyFont="1" applyFill="1" applyBorder="1"/>
    <xf numFmtId="0" fontId="23" fillId="6" borderId="36" xfId="0" applyFont="1" applyFill="1" applyBorder="1" applyAlignment="1">
      <alignment vertical="top" wrapText="1"/>
    </xf>
    <xf numFmtId="0" fontId="21" fillId="6" borderId="36" xfId="0" applyFont="1" applyFill="1" applyBorder="1" applyAlignment="1">
      <alignment vertical="top" wrapText="1"/>
    </xf>
    <xf numFmtId="173" fontId="18" fillId="6" borderId="36" xfId="2" applyNumberFormat="1" applyFont="1" applyFill="1" applyBorder="1" applyAlignment="1">
      <alignment horizontal="center" vertical="center"/>
    </xf>
    <xf numFmtId="44" fontId="21" fillId="6" borderId="36" xfId="1" applyNumberFormat="1" applyFont="1" applyFill="1" applyBorder="1" applyAlignment="1">
      <alignment horizontal="right" vertical="top"/>
    </xf>
    <xf numFmtId="44" fontId="18" fillId="6" borderId="36" xfId="1" applyNumberFormat="1" applyFont="1" applyFill="1" applyBorder="1"/>
    <xf numFmtId="43" fontId="18" fillId="9" borderId="11" xfId="2" applyFont="1" applyFill="1" applyBorder="1" applyAlignment="1">
      <alignment horizontal="center" vertical="center"/>
    </xf>
    <xf numFmtId="43" fontId="18" fillId="6" borderId="3" xfId="2" applyFont="1" applyFill="1" applyBorder="1" applyAlignment="1">
      <alignment horizontal="center" vertical="center"/>
    </xf>
    <xf numFmtId="44" fontId="21" fillId="6" borderId="3" xfId="1" applyNumberFormat="1" applyFont="1" applyFill="1" applyBorder="1" applyAlignment="1">
      <alignment horizontal="right" vertical="top"/>
    </xf>
    <xf numFmtId="44" fontId="18" fillId="6" borderId="3" xfId="1" applyNumberFormat="1" applyFont="1" applyFill="1" applyBorder="1" applyAlignment="1">
      <alignment horizontal="right" vertical="top"/>
    </xf>
    <xf numFmtId="44" fontId="21" fillId="9" borderId="11" xfId="1" applyNumberFormat="1" applyFont="1" applyFill="1" applyBorder="1" applyAlignment="1">
      <alignment horizontal="right" vertical="top"/>
    </xf>
    <xf numFmtId="44" fontId="18" fillId="9" borderId="11" xfId="1" applyNumberFormat="1" applyFont="1" applyFill="1" applyBorder="1"/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FFFF99"/>
      <color rgb="FFFDF699"/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Financial_Report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Packages/Microsoft.Office.Desktop_8wekyb3d8bbwe/LocalCache/Roaming/Microsoft/Excel/Banks-SHAW-Valuation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 and Entity Information"/>
      <sheetName val="CONSOLIDATED BALANCE SHEETS"/>
      <sheetName val="CONSOLIDATED BALANCE SHEETS (PA"/>
      <sheetName val="CONSOLIDATED STATEMENTS OF INCO"/>
      <sheetName val="CONSOLIDATED STATEMENTS OF COMP"/>
      <sheetName val="CONSOLIDATED STATEMENTS OF COM6"/>
      <sheetName val="CONSOLIDATED STATEMENTS OF STOC"/>
      <sheetName val="CONSOLIDATED STATEMENTS OF CASH"/>
      <sheetName val="ORGANIZATIONS AND SUMMARY OF SI"/>
      <sheetName val="FAIR VALUE"/>
      <sheetName val="SECURITIES"/>
      <sheetName val="LOANS, LEASES &amp; ALLOWANCE FOR L"/>
      <sheetName val="FURNITURE, EQUIPMENT AND SOFTWA"/>
      <sheetName val="DEPOSITS"/>
      <sheetName val="ADVANCES FROM THE FEDERAL HOME "/>
      <sheetName val="SECURITIES SOLD UNDER AGREEMENT"/>
      <sheetName val="SUBORDINATED NOTES AND DEBENTUR"/>
      <sheetName val="INCOME TAXES"/>
      <sheetName val="STOCKHOLDERS' EQUITY"/>
      <sheetName val="STOCK-BASED COMPENSATION"/>
      <sheetName val="EARNINGS PER SHARE"/>
      <sheetName val="COMMITMENTS AND CONTINGENCIES"/>
      <sheetName val="OFF-BALANCE-SHEET ACTIVITIES"/>
      <sheetName val="MINIMUM REGULATORY CAPITAL REQU"/>
      <sheetName val="EMPLOYMENT AGREEMENTS AND EMPLO"/>
      <sheetName val="PARENT-ONLY CONDENSED FINANCIAL"/>
      <sheetName val="QUARTERLY FINANCIAL INFORMATION"/>
      <sheetName val="ORGANIZATIONS AND SUMMARY OF 28"/>
      <sheetName val="FAIR VALUE (Tables)"/>
      <sheetName val="SECURITIES (Tables)"/>
      <sheetName val="LOANS, LEASES &amp; ALLOWANCE FOR31"/>
      <sheetName val="FURNITURE, EQUIPMENT AND SOFT32"/>
      <sheetName val="DEPOSITS (Tables)"/>
      <sheetName val="ADVANCES FROM THE FEDERAL HOM34"/>
      <sheetName val="INCOME TAXES (Tables)"/>
      <sheetName val="STOCKHOLDERS' EQUITY (Tables)"/>
      <sheetName val="STOCK-BASED COMPENSATION (Table"/>
      <sheetName val="EARNINGS PER SHARE (Tables)"/>
      <sheetName val="COMMITMENTS AND CONTINGENCIES ("/>
      <sheetName val="MINIMUM REGULATORY CAPITAL RE40"/>
      <sheetName val="PARENT-ONLY CONDENSED FINANCI41"/>
      <sheetName val="QUARTERLY FINANCIAL INFORMATI42"/>
      <sheetName val="ORGANIZATIONS AND SUMMARY OF 43"/>
      <sheetName val="FAIR VALUE - INPUTS (Details)"/>
      <sheetName val="FAIR VALUE - ASSETS AND LIABILI"/>
      <sheetName val="FAIR VALUE - LEVEL 3 ASSETS MEA"/>
      <sheetName val="FAIR VALUE - QUANTITATIVE INFOR"/>
      <sheetName val="FAIR VALUE - LEVEL 3 UNREALIZED"/>
      <sheetName val="FAIR VALUE - ASSETS MEASURED NO"/>
      <sheetName val="FAIR VALUE - ASSETS MEASURED ON"/>
      <sheetName val="FAIR VALUE - LOANS HELD-FOR-SAL"/>
      <sheetName val="FAIR VALUE - QUANTITATIVE INF52"/>
      <sheetName val="FAIR VALUE - FAIR VALUE BY BALA"/>
      <sheetName val="SECURITIES - SCHEDULE OF MARKET"/>
      <sheetName val="SECURITIES - NARRATIVE (Details"/>
      <sheetName val="SECURITIES - SCHEDULE OF UNREAL"/>
      <sheetName val="SECURITIES - OTHER THAN TEMPORA"/>
      <sheetName val="SECURITIES - REALIZED GAIN (LOS"/>
      <sheetName val="SECURITIES - UNREALIZED GAIN (L"/>
      <sheetName val="SECURITIES - INVESTMENTS CLASSI"/>
      <sheetName val="LOANS, LEASES &amp; ALLOWANCE FOR61"/>
      <sheetName val="LOANS, LEASES &amp; ALLOWANCE FOR62"/>
      <sheetName val="LOANS, LEASES &amp; ALLOWANCE FOR63"/>
      <sheetName val="LOANS, LEASES &amp; ALLOWANCE FOR64"/>
      <sheetName val="LOANS, LEASES &amp; ALLOWANCE FOR65"/>
      <sheetName val="LOANS, LEASES &amp; ALLOWANCE FOR66"/>
      <sheetName val="LOANS, LEASES &amp; ALLOWANCE FOR67"/>
      <sheetName val="LOANS, LEASES &amp; ALLOWANCE FOR68"/>
      <sheetName val="LOANS, LEASES &amp; ALLOWANCE FOR69"/>
      <sheetName val="LOANS, LEASES &amp; ALLOWANCE FOR70"/>
      <sheetName val="LOANS, LEASES &amp; ALLOWANCE FOR71"/>
      <sheetName val="LOANS, LEASES &amp; ALLOWANCE FOR72"/>
      <sheetName val="LOANS, LEASES &amp; ALLOWANCE FOR73"/>
      <sheetName val="LOANS, LEASES &amp; ALLOWANCE FOR74"/>
      <sheetName val="LOANS, LEASES &amp; ALLOWANCE FOR75"/>
      <sheetName val="LOANS, LEASES &amp; ALLOWANCE FOR76"/>
      <sheetName val="LOANS, LEASES &amp; ALLOWANCE FOR77"/>
      <sheetName val="FURNITURE, EQUIPMENT AND SOFT78"/>
      <sheetName val="DEPOSITS - SUMMARY OF DEPOSIT A"/>
      <sheetName val="DEPOSITS - MATURITIES (Details)"/>
      <sheetName val="ADVANCES FROM THE FEDERAL HOM81"/>
      <sheetName val="SECURITIES SOLD UNDER AGREEME82"/>
      <sheetName val="SUBORDINATED NOTES AND DEBENT83"/>
      <sheetName val="SUBORDINATED NOTES AND DEBENT84"/>
      <sheetName val="INCOME TAXES - COMPONENTS OF IN"/>
      <sheetName val="INCOME TAXES - EFFECTIVE INCOME"/>
      <sheetName val="INCOME TAXES - NET DEFERRED TAX"/>
      <sheetName val="INCOME TAXES - UNRECOGNIZED TAX"/>
      <sheetName val="STOCKHOLDERS' EQUITY - CHANGES "/>
      <sheetName val="STOCKHOLDERS' EQUITY - NARRATIV"/>
      <sheetName val="STOCKHOLDERS' EQUITY - ATM OFFE"/>
      <sheetName val="STOCK-BASED COMPENSATION - NARR"/>
      <sheetName val="STOCK-BASED COMPENSATION - STOC"/>
      <sheetName val="STOCK-BASED COMPENSATION - REST"/>
      <sheetName val="EARNINGS PER SHARE (Details)"/>
      <sheetName val="COMMITMENTS AND CONTINGENCIES96"/>
      <sheetName val="OFF-BALANCE-SHEET ACTIVITIES (D"/>
      <sheetName val="MINIMUM REGULATORY CAPITAL RE98"/>
      <sheetName val="EMPLOYMENT AGREEMENTS AND EMP99"/>
      <sheetName val="PARENT-ONLY CONDENSED FINANC100"/>
      <sheetName val="PARENT-ONLY CONDENSED FINANC101"/>
      <sheetName val="PARENT-ONLY CONDENSED FINANC102"/>
      <sheetName val="QUARTERLY FINANCIAL INFORMAT103"/>
      <sheetName val="Uncategorized Items - bofi-2016"/>
    </sheetNames>
    <sheetDataSet>
      <sheetData sheetId="0" refreshError="1"/>
      <sheetData sheetId="1" refreshError="1">
        <row r="3">
          <cell r="A3" t="str">
            <v>Cash and due from banks</v>
          </cell>
          <cell r="C3">
            <v>486627</v>
          </cell>
          <cell r="D3">
            <v>222774</v>
          </cell>
        </row>
        <row r="4">
          <cell r="A4" t="str">
            <v>Federal funds sold</v>
          </cell>
          <cell r="C4">
            <v>100</v>
          </cell>
          <cell r="D4">
            <v>100</v>
          </cell>
        </row>
        <row r="5">
          <cell r="A5" t="str">
            <v>Total cash and cash equivalents</v>
          </cell>
          <cell r="C5">
            <v>486727</v>
          </cell>
          <cell r="D5">
            <v>222874</v>
          </cell>
        </row>
        <row r="6">
          <cell r="A6" t="str">
            <v>Securities:</v>
          </cell>
        </row>
        <row r="7">
          <cell r="A7" t="str">
            <v>Trading</v>
          </cell>
          <cell r="C7">
            <v>7584</v>
          </cell>
          <cell r="D7">
            <v>7832</v>
          </cell>
        </row>
        <row r="8">
          <cell r="A8" t="str">
            <v>Available for sale</v>
          </cell>
          <cell r="C8">
            <v>265447</v>
          </cell>
          <cell r="D8">
            <v>163361</v>
          </cell>
        </row>
        <row r="9">
          <cell r="A9" t="str">
            <v>Held to maturity—fair value of $202,677 at June 2016 and $228,323 at June 2015</v>
          </cell>
          <cell r="C9">
            <v>199174</v>
          </cell>
          <cell r="D9">
            <v>225555</v>
          </cell>
        </row>
        <row r="10">
          <cell r="A10" t="str">
            <v>Stock of the Federal Home Loan Bank, at cost</v>
          </cell>
          <cell r="C10">
            <v>57123</v>
          </cell>
          <cell r="D10">
            <v>66270</v>
          </cell>
        </row>
        <row r="11">
          <cell r="A11" t="str">
            <v>Loans held for sale, carried at fair value</v>
          </cell>
          <cell r="C11">
            <v>20871</v>
          </cell>
          <cell r="D11">
            <v>25430</v>
          </cell>
        </row>
        <row r="12">
          <cell r="A12" t="str">
            <v>Loans held for sale, carried at lower of cost or fair value</v>
          </cell>
          <cell r="C12">
            <v>33530</v>
          </cell>
          <cell r="D12">
            <v>77891</v>
          </cell>
        </row>
        <row r="13">
          <cell r="A13" t="str">
            <v>Loans and leases—net of allowance for loan and lease losses of $35,826 as of June 2016 and $28,327 as of June 2015</v>
          </cell>
          <cell r="C13">
            <v>6354679</v>
          </cell>
          <cell r="D13">
            <v>4928618</v>
          </cell>
        </row>
        <row r="14">
          <cell r="A14" t="str">
            <v>Accrued interest receivable</v>
          </cell>
          <cell r="C14">
            <v>26201</v>
          </cell>
          <cell r="D14">
            <v>20268</v>
          </cell>
        </row>
        <row r="15">
          <cell r="A15" t="str">
            <v>Furniture, equipment and software—net</v>
          </cell>
          <cell r="C15">
            <v>13995</v>
          </cell>
          <cell r="D15">
            <v>8551</v>
          </cell>
        </row>
        <row r="16">
          <cell r="A16" t="str">
            <v>Deferred income tax</v>
          </cell>
          <cell r="C16">
            <v>39171</v>
          </cell>
          <cell r="D16">
            <v>32955</v>
          </cell>
        </row>
        <row r="17">
          <cell r="A17" t="str">
            <v>Cash surrender value of life insurance</v>
          </cell>
          <cell r="C17">
            <v>5990</v>
          </cell>
          <cell r="D17">
            <v>5806</v>
          </cell>
        </row>
        <row r="18">
          <cell r="A18" t="str">
            <v>Mortgage servicing rights, carried at fair value</v>
          </cell>
          <cell r="C18">
            <v>3943</v>
          </cell>
          <cell r="D18">
            <v>2098</v>
          </cell>
        </row>
        <row r="19">
          <cell r="A19" t="str">
            <v>Other real estate owned and repossessed vehicles</v>
          </cell>
          <cell r="C19">
            <v>252</v>
          </cell>
          <cell r="D19">
            <v>1240</v>
          </cell>
        </row>
        <row r="20">
          <cell r="A20" t="str">
            <v>Other assets</v>
          </cell>
          <cell r="C20">
            <v>86667</v>
          </cell>
          <cell r="D20">
            <v>34970</v>
          </cell>
        </row>
        <row r="21">
          <cell r="A21" t="str">
            <v>TOTAL ASSETS</v>
          </cell>
          <cell r="C21">
            <v>7601354</v>
          </cell>
          <cell r="D21">
            <v>5823719</v>
          </cell>
        </row>
        <row r="22">
          <cell r="A22" t="str">
            <v>Deposits:</v>
          </cell>
        </row>
        <row r="23">
          <cell r="A23" t="str">
            <v>Non-interest bearing</v>
          </cell>
          <cell r="C23">
            <v>588774</v>
          </cell>
          <cell r="D23">
            <v>309339</v>
          </cell>
        </row>
        <row r="24">
          <cell r="A24" t="str">
            <v>Interest bearing</v>
          </cell>
          <cell r="B24" t="str">
            <v>[1]</v>
          </cell>
          <cell r="C24">
            <v>5455277</v>
          </cell>
          <cell r="D24">
            <v>4142578</v>
          </cell>
        </row>
        <row r="25">
          <cell r="A25" t="str">
            <v>Total deposits</v>
          </cell>
          <cell r="C25">
            <v>6044051</v>
          </cell>
          <cell r="D25">
            <v>4451917</v>
          </cell>
        </row>
        <row r="26">
          <cell r="A26" t="str">
            <v>Securities sold under agreements to repurchase</v>
          </cell>
          <cell r="C26">
            <v>35000</v>
          </cell>
          <cell r="D26">
            <v>35000</v>
          </cell>
        </row>
        <row r="27">
          <cell r="A27" t="str">
            <v>Advances from the Federal Home Loan Bank</v>
          </cell>
          <cell r="C27">
            <v>727000</v>
          </cell>
          <cell r="D27">
            <v>753000</v>
          </cell>
        </row>
        <row r="28">
          <cell r="A28" t="str">
            <v>Subordinated notes and debentures and other</v>
          </cell>
          <cell r="C28">
            <v>58066</v>
          </cell>
          <cell r="D28">
            <v>5155</v>
          </cell>
        </row>
        <row r="29">
          <cell r="A29" t="str">
            <v>Accrued interest payable</v>
          </cell>
          <cell r="C29">
            <v>1667</v>
          </cell>
          <cell r="D29">
            <v>1266</v>
          </cell>
        </row>
        <row r="30">
          <cell r="A30" t="str">
            <v>Accounts payable and accrued liabilities and other liabilities</v>
          </cell>
          <cell r="C30">
            <v>51980</v>
          </cell>
          <cell r="D30">
            <v>43855</v>
          </cell>
        </row>
        <row r="31">
          <cell r="A31" t="str">
            <v>Total liabilities</v>
          </cell>
          <cell r="C31">
            <v>6917764</v>
          </cell>
          <cell r="D31">
            <v>5290193</v>
          </cell>
        </row>
        <row r="32">
          <cell r="A32" t="str">
            <v>COMMITMENTS AND CONTINGENCIES</v>
          </cell>
          <cell r="C32" t="str">
            <v xml:space="preserve"> </v>
          </cell>
          <cell r="D32" t="str">
            <v xml:space="preserve"> </v>
          </cell>
        </row>
        <row r="33">
          <cell r="A33" t="str">
            <v>STOCKHOLDERS’ EQUITY:</v>
          </cell>
        </row>
        <row r="34">
          <cell r="A34" t="str">
            <v>Preferred Stock— $0.01 par value, 1,000,000 shares authorized, Series A— $10,000 stated value and liquidation preference per share; 515 shares issued and outstanding as of June 2016 and June 2015</v>
          </cell>
          <cell r="B34" t="str">
            <v>[2]</v>
          </cell>
          <cell r="C34">
            <v>5063</v>
          </cell>
          <cell r="D34">
            <v>5063</v>
          </cell>
        </row>
        <row r="35">
          <cell r="A35" t="str">
            <v>Common stock—$0.01 par value; 150,000,000 shares authorized, 64,513,494 shares issued and 63,219,392 shares outstanding as of June 2016, 63,145,364 shares issued and 62,075,004 shares outstanding as of June 2015</v>
          </cell>
          <cell r="B35" t="str">
            <v>[2]</v>
          </cell>
          <cell r="C35">
            <v>645</v>
          </cell>
          <cell r="D35">
            <v>631</v>
          </cell>
        </row>
        <row r="36">
          <cell r="A36" t="str">
            <v>Additional paid-in capital</v>
          </cell>
          <cell r="B36" t="str">
            <v>[2]</v>
          </cell>
          <cell r="C36">
            <v>331156</v>
          </cell>
          <cell r="D36">
            <v>296042</v>
          </cell>
        </row>
        <row r="37">
          <cell r="A37" t="str">
            <v>Accumulated other comprehensive income (loss) — net of tax</v>
          </cell>
          <cell r="B37" t="str">
            <v>[2]</v>
          </cell>
          <cell r="C37">
            <v>-7304</v>
          </cell>
          <cell r="D37">
            <v>-9399</v>
          </cell>
        </row>
        <row r="38">
          <cell r="A38" t="str">
            <v>Retained earnings</v>
          </cell>
          <cell r="B38" t="str">
            <v>[2]</v>
          </cell>
          <cell r="C38">
            <v>384815</v>
          </cell>
          <cell r="D38">
            <v>265833</v>
          </cell>
        </row>
        <row r="39">
          <cell r="A39" t="str">
            <v>Treasury stock, at cost; 1,294,102 shares as of June 2016 and 1,070,360 shares as of June 2015</v>
          </cell>
          <cell r="B39" t="str">
            <v>[2]</v>
          </cell>
          <cell r="C39">
            <v>-30785</v>
          </cell>
          <cell r="D39">
            <v>-24644</v>
          </cell>
        </row>
        <row r="40">
          <cell r="A40" t="str">
            <v>Total stockholders’ equity</v>
          </cell>
          <cell r="B40" t="str">
            <v>[2]</v>
          </cell>
          <cell r="C40">
            <v>683590</v>
          </cell>
          <cell r="D40">
            <v>533526</v>
          </cell>
        </row>
        <row r="41">
          <cell r="A41" t="str">
            <v>TOTAL LIABILITIES AND STOCKHOLDERS’ EQUITY</v>
          </cell>
          <cell r="B41" t="str">
            <v>[2]</v>
          </cell>
          <cell r="C41">
            <v>7601354</v>
          </cell>
          <cell r="D41">
            <v>5823719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-Model"/>
      <sheetName val="Loans"/>
      <sheetName val="1H-Stub"/>
      <sheetName val="Capital"/>
      <sheetName val="Summary"/>
      <sheetName val="Val-Graph"/>
      <sheetName val="DDM"/>
      <sheetName val="Res-Inc"/>
      <sheetName val="Cost-Equity"/>
      <sheetName val="Regression"/>
      <sheetName val="Public-Comps"/>
      <sheetName val="Graphs"/>
      <sheetName val="Pub-Comps-Data"/>
      <sheetName val="MA-Comps"/>
      <sheetName val="Inputs"/>
    </sheetNames>
    <sheetDataSet>
      <sheetData sheetId="0"/>
      <sheetData sheetId="1">
        <row r="6">
          <cell r="D6" t="str">
            <v>Units:</v>
          </cell>
        </row>
        <row r="19">
          <cell r="C19" t="str">
            <v>Base</v>
          </cell>
        </row>
        <row r="20">
          <cell r="C20" t="str">
            <v>Upside</v>
          </cell>
        </row>
        <row r="21">
          <cell r="C21" t="str">
            <v>Downside</v>
          </cell>
        </row>
        <row r="65">
          <cell r="E65" t="str">
            <v>Historical</v>
          </cell>
          <cell r="J65" t="str">
            <v>Projected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203CE-B72E-49CE-91F7-BE6C540D2847}">
  <dimension ref="A1:J16"/>
  <sheetViews>
    <sheetView zoomScale="150" zoomScaleNormal="150" workbookViewId="0">
      <selection activeCell="I10" sqref="I10:J10"/>
    </sheetView>
  </sheetViews>
  <sheetFormatPr defaultRowHeight="14.4"/>
  <cols>
    <col min="1" max="1" width="15.5546875" style="51" customWidth="1"/>
    <col min="2" max="9" width="8.88671875" style="51"/>
    <col min="10" max="10" width="14.77734375" style="51" customWidth="1"/>
    <col min="11" max="16384" width="8.88671875" style="51"/>
  </cols>
  <sheetData>
    <row r="1" spans="1:10" ht="15" thickBot="1"/>
    <row r="2" spans="1:10" ht="15" thickBot="1">
      <c r="A2" s="216" t="s">
        <v>43</v>
      </c>
      <c r="B2" s="213" t="s">
        <v>44</v>
      </c>
    </row>
    <row r="3" spans="1:10">
      <c r="A3" s="214"/>
      <c r="B3" s="214" t="s">
        <v>45</v>
      </c>
    </row>
    <row r="4" spans="1:10" ht="15" thickBot="1">
      <c r="A4" s="215"/>
      <c r="B4" s="215" t="s">
        <v>43</v>
      </c>
    </row>
    <row r="5" spans="1:10">
      <c r="A5" s="54"/>
      <c r="B5" s="54"/>
    </row>
    <row r="6" spans="1:10" ht="26.4" customHeight="1">
      <c r="A6" s="209" t="s">
        <v>139</v>
      </c>
      <c r="B6" s="210"/>
      <c r="C6" s="210"/>
      <c r="D6" s="210"/>
      <c r="E6" s="210"/>
      <c r="F6" s="210"/>
      <c r="G6" s="210"/>
      <c r="H6" s="210"/>
      <c r="I6" s="272" t="s">
        <v>145</v>
      </c>
      <c r="J6" s="272"/>
    </row>
    <row r="7" spans="1:10" ht="15.6">
      <c r="A7" s="211" t="s">
        <v>140</v>
      </c>
      <c r="B7" s="210"/>
      <c r="C7" s="210"/>
      <c r="D7" s="210"/>
      <c r="E7" s="210"/>
      <c r="F7" s="210"/>
      <c r="G7" s="210"/>
      <c r="H7" s="210"/>
      <c r="I7" s="273" t="s">
        <v>146</v>
      </c>
      <c r="J7" s="274"/>
    </row>
    <row r="8" spans="1:10" ht="15.6">
      <c r="A8" s="209" t="s">
        <v>141</v>
      </c>
      <c r="B8" s="210"/>
      <c r="C8" s="210"/>
      <c r="D8" s="210"/>
      <c r="E8" s="210"/>
      <c r="F8" s="210"/>
      <c r="G8" s="210"/>
      <c r="H8" s="210"/>
      <c r="I8" s="275">
        <v>43463</v>
      </c>
      <c r="J8" s="276"/>
    </row>
    <row r="9" spans="1:10" ht="15.6">
      <c r="A9" s="209" t="s">
        <v>142</v>
      </c>
      <c r="B9" s="210"/>
      <c r="C9" s="210"/>
      <c r="D9" s="210"/>
      <c r="E9" s="210"/>
      <c r="F9" s="210"/>
      <c r="G9" s="210"/>
      <c r="H9" s="210"/>
      <c r="I9" s="277">
        <v>24.89</v>
      </c>
      <c r="J9" s="278"/>
    </row>
    <row r="10" spans="1:10" ht="15.6">
      <c r="A10" s="209" t="s">
        <v>143</v>
      </c>
      <c r="B10" s="210"/>
      <c r="C10" s="210"/>
      <c r="D10" s="210"/>
      <c r="E10" s="210"/>
      <c r="F10" s="210"/>
      <c r="G10" s="210"/>
      <c r="H10" s="217"/>
      <c r="I10" s="279">
        <v>43336</v>
      </c>
      <c r="J10" s="280"/>
    </row>
    <row r="11" spans="1:10" ht="15.6">
      <c r="A11" s="209" t="s">
        <v>144</v>
      </c>
      <c r="B11" s="210"/>
      <c r="C11" s="210"/>
      <c r="D11" s="210"/>
      <c r="E11" s="210"/>
      <c r="F11" s="210"/>
      <c r="G11" s="217"/>
      <c r="H11" s="212"/>
      <c r="I11" s="271" t="str">
        <f>A2</f>
        <v>Downside</v>
      </c>
      <c r="J11" s="271"/>
    </row>
    <row r="12" spans="1:10" ht="15.6">
      <c r="A12" s="210"/>
      <c r="B12" s="210"/>
      <c r="C12" s="210"/>
      <c r="D12" s="210"/>
      <c r="E12" s="210"/>
      <c r="F12" s="210"/>
      <c r="G12" s="217"/>
      <c r="H12" s="212"/>
      <c r="I12" s="54"/>
      <c r="J12" s="54"/>
    </row>
    <row r="13" spans="1:10" ht="15.6">
      <c r="A13" s="210"/>
      <c r="B13" s="210"/>
      <c r="C13" s="210"/>
      <c r="D13" s="210"/>
      <c r="E13" s="210"/>
      <c r="F13" s="210"/>
      <c r="G13" s="217"/>
      <c r="H13" s="212"/>
      <c r="I13" s="54"/>
      <c r="J13" s="54"/>
    </row>
    <row r="14" spans="1:10" ht="15.6">
      <c r="A14" s="210"/>
      <c r="B14" s="210"/>
      <c r="C14" s="210"/>
      <c r="D14" s="210"/>
      <c r="E14" s="210"/>
      <c r="F14" s="210"/>
      <c r="G14" s="217"/>
      <c r="H14" s="212"/>
      <c r="I14" s="54"/>
      <c r="J14" s="54"/>
    </row>
    <row r="15" spans="1:10" ht="15.6">
      <c r="A15" s="210"/>
      <c r="B15" s="210"/>
      <c r="C15" s="210"/>
      <c r="D15" s="210"/>
      <c r="E15" s="210"/>
      <c r="F15" s="210"/>
      <c r="G15" s="210"/>
      <c r="H15" s="210"/>
      <c r="I15" s="210"/>
      <c r="J15" s="210"/>
    </row>
    <row r="16" spans="1:10" ht="15.6">
      <c r="A16" s="207" t="s">
        <v>167</v>
      </c>
      <c r="B16" s="208"/>
      <c r="C16" s="208"/>
      <c r="D16" s="208"/>
      <c r="E16" s="208"/>
      <c r="F16" s="208"/>
      <c r="G16" s="208"/>
      <c r="H16" s="208"/>
      <c r="I16" s="208"/>
      <c r="J16" s="208"/>
    </row>
  </sheetData>
  <mergeCells count="6">
    <mergeCell ref="I6:J6"/>
    <mergeCell ref="I11:J11"/>
    <mergeCell ref="I7:J7"/>
    <mergeCell ref="I8:J8"/>
    <mergeCell ref="I9:J9"/>
    <mergeCell ref="I10:J10"/>
  </mergeCells>
  <dataValidations count="1">
    <dataValidation type="list" allowBlank="1" showInputMessage="1" showErrorMessage="1" sqref="A2" xr:uid="{D00B46E4-3AC7-4719-9405-0837526BB80D}">
      <formula1>B2:B4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FEA85-3CC2-43CC-9E36-8C9CA7BC97B4}">
  <sheetPr codeName="Sheet1"/>
  <dimension ref="B3:BT124"/>
  <sheetViews>
    <sheetView topLeftCell="A22" zoomScale="90" zoomScaleNormal="90" workbookViewId="0">
      <selection activeCell="I37" sqref="I37"/>
    </sheetView>
  </sheetViews>
  <sheetFormatPr defaultRowHeight="14.4"/>
  <cols>
    <col min="1" max="1" width="2.5546875" style="65" customWidth="1"/>
    <col min="2" max="2" width="3" style="65" customWidth="1"/>
    <col min="3" max="3" width="52.44140625" style="65" customWidth="1"/>
    <col min="4" max="4" width="23.6640625" style="65" hidden="1" customWidth="1"/>
    <col min="5" max="5" width="20" style="65" hidden="1" customWidth="1"/>
    <col min="6" max="6" width="19.88671875" style="103" customWidth="1"/>
    <col min="7" max="7" width="16" style="103" customWidth="1"/>
    <col min="8" max="8" width="16.33203125" style="103" customWidth="1"/>
    <col min="9" max="9" width="21.109375" style="103" bestFit="1" customWidth="1"/>
    <col min="10" max="13" width="17.88671875" style="65" customWidth="1"/>
    <col min="14" max="18" width="10.6640625" style="65" customWidth="1"/>
    <col min="19" max="19" width="8.88671875" style="65"/>
    <col min="20" max="22" width="9" style="65" bestFit="1" customWidth="1"/>
    <col min="23" max="23" width="9.5546875" style="65" bestFit="1" customWidth="1"/>
    <col min="24" max="24" width="9" style="65" bestFit="1" customWidth="1"/>
    <col min="25" max="25" width="9.5546875" style="65" bestFit="1" customWidth="1"/>
    <col min="26" max="29" width="9" style="65" bestFit="1" customWidth="1"/>
    <col min="30" max="30" width="9.5546875" style="65" bestFit="1" customWidth="1"/>
    <col min="31" max="33" width="9" style="65" bestFit="1" customWidth="1"/>
    <col min="34" max="34" width="11" style="65" bestFit="1" customWidth="1"/>
    <col min="35" max="42" width="9" style="65" bestFit="1" customWidth="1"/>
    <col min="43" max="43" width="11" style="65" bestFit="1" customWidth="1"/>
    <col min="44" max="45" width="9" style="65" bestFit="1" customWidth="1"/>
    <col min="46" max="48" width="11" style="65" bestFit="1" customWidth="1"/>
    <col min="49" max="49" width="9" style="65" bestFit="1" customWidth="1"/>
    <col min="50" max="50" width="9.5546875" style="65" bestFit="1" customWidth="1"/>
    <col min="51" max="53" width="9" style="65" bestFit="1" customWidth="1"/>
    <col min="54" max="54" width="11" style="65" bestFit="1" customWidth="1"/>
    <col min="55" max="57" width="9" style="65" bestFit="1" customWidth="1"/>
    <col min="58" max="58" width="10" style="65" bestFit="1" customWidth="1"/>
    <col min="59" max="59" width="12" style="65" bestFit="1" customWidth="1"/>
    <col min="60" max="60" width="9.109375" style="65" bestFit="1" customWidth="1"/>
    <col min="61" max="61" width="12" style="65" bestFit="1" customWidth="1"/>
    <col min="62" max="62" width="11.5546875" style="65" bestFit="1" customWidth="1"/>
    <col min="63" max="63" width="12" style="65" bestFit="1" customWidth="1"/>
    <col min="64" max="64" width="13.5546875" style="65" bestFit="1" customWidth="1"/>
    <col min="65" max="67" width="9" style="65" bestFit="1" customWidth="1"/>
    <col min="68" max="68" width="10" style="65" bestFit="1" customWidth="1"/>
    <col min="69" max="69" width="9" style="65" bestFit="1" customWidth="1"/>
    <col min="70" max="71" width="8.88671875" style="65"/>
    <col min="72" max="72" width="9" style="65" bestFit="1" customWidth="1"/>
    <col min="73" max="16384" width="8.88671875" style="65"/>
  </cols>
  <sheetData>
    <row r="3" spans="2:23">
      <c r="B3" s="63" t="s">
        <v>56</v>
      </c>
      <c r="C3" s="64"/>
      <c r="D3" s="64"/>
      <c r="W3" s="66"/>
    </row>
    <row r="4" spans="2:23">
      <c r="C4" s="67"/>
      <c r="D4" s="68"/>
      <c r="V4" s="65">
        <v>10</v>
      </c>
      <c r="W4" s="69">
        <v>45291</v>
      </c>
    </row>
    <row r="5" spans="2:23">
      <c r="C5" s="67" t="s">
        <v>55</v>
      </c>
      <c r="D5" s="70" t="s">
        <v>66</v>
      </c>
      <c r="F5" s="132" t="s">
        <v>69</v>
      </c>
      <c r="V5" s="65">
        <v>9</v>
      </c>
      <c r="W5" s="69">
        <v>44926</v>
      </c>
    </row>
    <row r="6" spans="2:23">
      <c r="C6" s="67" t="s">
        <v>54</v>
      </c>
      <c r="D6" s="71">
        <v>43465</v>
      </c>
      <c r="F6" s="133">
        <v>43336</v>
      </c>
      <c r="V6" s="65">
        <v>8</v>
      </c>
      <c r="W6" s="69">
        <v>44561</v>
      </c>
    </row>
    <row r="7" spans="2:23">
      <c r="C7" s="67" t="s">
        <v>53</v>
      </c>
      <c r="D7" s="72">
        <v>1000</v>
      </c>
      <c r="F7" s="132">
        <v>1000</v>
      </c>
      <c r="V7" s="65">
        <v>7</v>
      </c>
      <c r="W7" s="69">
        <v>44196</v>
      </c>
    </row>
    <row r="8" spans="2:23">
      <c r="C8" s="73"/>
      <c r="D8" s="74"/>
      <c r="S8" s="66"/>
      <c r="T8" s="66"/>
      <c r="U8" s="66"/>
      <c r="V8" s="66"/>
      <c r="W8" s="69">
        <v>43830</v>
      </c>
    </row>
    <row r="9" spans="2:23">
      <c r="C9" s="67" t="s">
        <v>52</v>
      </c>
      <c r="D9" s="72" t="s">
        <v>45</v>
      </c>
      <c r="F9" s="151" t="str">
        <f>Controls!A2</f>
        <v>Downside</v>
      </c>
      <c r="S9" s="66"/>
      <c r="T9" s="66"/>
      <c r="U9" s="66"/>
      <c r="V9" s="66"/>
      <c r="W9" s="69">
        <v>43465</v>
      </c>
    </row>
    <row r="10" spans="2:23">
      <c r="C10" s="67"/>
      <c r="D10" s="152"/>
      <c r="S10" s="66"/>
      <c r="T10" s="66"/>
      <c r="U10" s="66"/>
      <c r="V10" s="66"/>
      <c r="W10" s="69"/>
    </row>
    <row r="11" spans="2:23">
      <c r="B11" s="154" t="s">
        <v>36</v>
      </c>
      <c r="C11" s="67"/>
      <c r="D11" s="152"/>
      <c r="F11" s="153"/>
      <c r="S11" s="66"/>
      <c r="T11" s="66"/>
      <c r="U11" s="66"/>
      <c r="V11" s="66"/>
      <c r="W11" s="69"/>
    </row>
    <row r="12" spans="2:23">
      <c r="C12" s="75"/>
      <c r="D12" s="75"/>
      <c r="E12" s="75"/>
      <c r="F12" s="134"/>
      <c r="G12" s="134"/>
      <c r="H12" s="134"/>
      <c r="I12" s="155"/>
      <c r="J12" s="76"/>
      <c r="K12" s="69"/>
      <c r="L12" s="69"/>
      <c r="M12" s="69"/>
      <c r="N12" s="69"/>
      <c r="O12" s="69"/>
      <c r="P12" s="69"/>
      <c r="Q12" s="69"/>
      <c r="R12" s="69"/>
      <c r="S12" s="76"/>
      <c r="T12" s="76"/>
      <c r="U12" s="76"/>
      <c r="V12" s="66"/>
      <c r="W12" s="69"/>
    </row>
    <row r="13" spans="2:23">
      <c r="B13" s="302" t="s">
        <v>68</v>
      </c>
      <c r="C13" s="299"/>
      <c r="D13" s="299"/>
      <c r="E13" s="299"/>
      <c r="F13" s="135">
        <f>EOMONTH(G13,-12)</f>
        <v>42369</v>
      </c>
      <c r="G13" s="135">
        <f>EOMONTH(H13,-12)</f>
        <v>42735</v>
      </c>
      <c r="H13" s="135">
        <f>EOMONTH(I13,-12)</f>
        <v>43100</v>
      </c>
      <c r="I13" s="135">
        <v>43465</v>
      </c>
      <c r="J13" s="304">
        <f>EOMONTH(I13,12)</f>
        <v>43830</v>
      </c>
      <c r="K13" s="304">
        <f>EOMONTH(J13,12)</f>
        <v>44196</v>
      </c>
      <c r="L13" s="304">
        <f>EOMONTH(K13,12)</f>
        <v>44561</v>
      </c>
      <c r="M13" s="304">
        <f>EOMONTH(L13,12)</f>
        <v>44926</v>
      </c>
      <c r="N13" s="80"/>
      <c r="O13" s="80"/>
      <c r="P13" s="80"/>
      <c r="Q13" s="80"/>
      <c r="R13" s="80"/>
      <c r="S13" s="81"/>
      <c r="T13" s="81"/>
      <c r="U13" s="66"/>
      <c r="V13" s="66"/>
      <c r="W13" s="69">
        <v>42735</v>
      </c>
    </row>
    <row r="14" spans="2:23">
      <c r="C14" s="82" t="s">
        <v>35</v>
      </c>
      <c r="D14" s="82"/>
      <c r="E14" s="82"/>
      <c r="F14" s="136">
        <v>222.774</v>
      </c>
      <c r="G14" s="137">
        <v>486.62700000000001</v>
      </c>
      <c r="H14" s="137">
        <v>628.17200000000003</v>
      </c>
      <c r="I14" s="137">
        <v>622.75</v>
      </c>
      <c r="J14" s="114">
        <f ca="1">I14*RANDBETWEEN(0.8,1.4)</f>
        <v>622.75</v>
      </c>
      <c r="K14" s="114">
        <f ca="1">J14*RANDBETWEEN(0.8,1.5)</f>
        <v>622.75</v>
      </c>
      <c r="L14" s="114">
        <f ca="1">K14*RANDBETWEEN(0.8,1.5)</f>
        <v>622.75</v>
      </c>
      <c r="M14" s="114">
        <f ca="1">L14*RANDBETWEEN(0.8,1.5)</f>
        <v>622.75</v>
      </c>
      <c r="N14" s="84"/>
      <c r="O14" s="84">
        <f>F14*0.001</f>
        <v>0.222774</v>
      </c>
      <c r="P14" s="84">
        <f t="shared" ref="P14:R27" si="0">G14*0.001</f>
        <v>0.48662700000000003</v>
      </c>
      <c r="Q14" s="84">
        <f t="shared" si="0"/>
        <v>0.62817200000000006</v>
      </c>
      <c r="R14" s="84">
        <f t="shared" si="0"/>
        <v>0.62275000000000003</v>
      </c>
      <c r="S14" s="66"/>
      <c r="T14" s="66"/>
      <c r="U14" s="66"/>
      <c r="V14" s="66"/>
      <c r="W14" s="69">
        <v>42369</v>
      </c>
    </row>
    <row r="15" spans="2:23">
      <c r="C15" s="82" t="s">
        <v>34</v>
      </c>
      <c r="D15" s="82"/>
      <c r="E15" s="82"/>
      <c r="F15" s="136">
        <v>0.1</v>
      </c>
      <c r="G15" s="137">
        <v>0.1</v>
      </c>
      <c r="H15" s="137">
        <v>15.369</v>
      </c>
      <c r="I15" s="140">
        <v>0.1</v>
      </c>
      <c r="J15" s="116">
        <v>0.8</v>
      </c>
      <c r="K15" s="116">
        <v>0.8</v>
      </c>
      <c r="L15" s="116">
        <v>0.8</v>
      </c>
      <c r="M15" s="116">
        <v>0.8</v>
      </c>
      <c r="N15" s="84"/>
      <c r="O15" s="84">
        <f t="shared" ref="O15:O57" si="1">F15*0.001</f>
        <v>1E-4</v>
      </c>
      <c r="P15" s="84">
        <f t="shared" si="0"/>
        <v>1E-4</v>
      </c>
      <c r="Q15" s="84">
        <f t="shared" si="0"/>
        <v>1.5369000000000001E-2</v>
      </c>
      <c r="R15" s="84">
        <f t="shared" si="0"/>
        <v>1E-4</v>
      </c>
      <c r="S15" s="66"/>
      <c r="T15" s="66"/>
      <c r="U15" s="66"/>
      <c r="V15" s="66"/>
      <c r="W15" s="69">
        <v>42004</v>
      </c>
    </row>
    <row r="16" spans="2:23" ht="15" thickBot="1">
      <c r="C16" s="99" t="s">
        <v>33</v>
      </c>
      <c r="D16" s="99"/>
      <c r="E16" s="99"/>
      <c r="F16" s="141">
        <v>222.874</v>
      </c>
      <c r="G16" s="141">
        <v>486.72700000000003</v>
      </c>
      <c r="H16" s="141">
        <v>643.54100000000005</v>
      </c>
      <c r="I16" s="161">
        <v>622.85</v>
      </c>
      <c r="J16" s="162">
        <f ca="1">SUM(J14:J15)</f>
        <v>623.54999999999995</v>
      </c>
      <c r="K16" s="162">
        <f ca="1">SUM(K14:K15)</f>
        <v>623.54999999999995</v>
      </c>
      <c r="L16" s="162">
        <f ca="1">SUM(L14:L15)</f>
        <v>623.54999999999995</v>
      </c>
      <c r="M16" s="162">
        <f ca="1">SUM(M14:M15)</f>
        <v>623.54999999999995</v>
      </c>
      <c r="N16" s="83"/>
      <c r="O16" s="84">
        <f t="shared" si="1"/>
        <v>0.22287399999999999</v>
      </c>
      <c r="P16" s="84">
        <f t="shared" si="0"/>
        <v>0.48672700000000002</v>
      </c>
      <c r="Q16" s="84">
        <f t="shared" si="0"/>
        <v>0.64354100000000003</v>
      </c>
      <c r="R16" s="84">
        <f t="shared" si="0"/>
        <v>0.62285000000000001</v>
      </c>
      <c r="S16" s="66"/>
      <c r="T16" s="66"/>
      <c r="U16" s="66"/>
      <c r="V16" s="66"/>
    </row>
    <row r="17" spans="2:68" ht="15" thickTop="1">
      <c r="B17" s="303" t="s">
        <v>95</v>
      </c>
      <c r="C17" s="81"/>
      <c r="D17" s="81"/>
      <c r="E17" s="81"/>
      <c r="F17" s="142"/>
      <c r="G17" s="142"/>
      <c r="H17" s="142"/>
      <c r="I17" s="142"/>
      <c r="J17" s="89"/>
      <c r="K17" s="89"/>
      <c r="L17" s="89"/>
      <c r="M17" s="89"/>
      <c r="N17" s="89"/>
      <c r="O17" s="84"/>
      <c r="P17" s="84"/>
      <c r="Q17" s="84"/>
      <c r="R17" s="84"/>
      <c r="S17" s="66"/>
      <c r="T17" s="66"/>
      <c r="U17" s="66"/>
      <c r="V17" s="66"/>
    </row>
    <row r="18" spans="2:68">
      <c r="C18" s="82" t="s">
        <v>32</v>
      </c>
      <c r="D18" s="82"/>
      <c r="E18" s="82"/>
      <c r="F18" s="136">
        <v>7.8319999999999999</v>
      </c>
      <c r="G18" s="137">
        <v>7.5840000000000005</v>
      </c>
      <c r="H18" s="137">
        <v>8.327</v>
      </c>
      <c r="I18" s="137">
        <v>0</v>
      </c>
      <c r="J18" s="158">
        <f>AVERAGE(F18:I18)</f>
        <v>5.9357500000000005</v>
      </c>
      <c r="K18" s="158">
        <f>AVERAGE(G18:J18)</f>
        <v>5.4616875</v>
      </c>
      <c r="L18" s="158">
        <f>AVERAGE(H18:K18)</f>
        <v>4.9311093750000001</v>
      </c>
      <c r="M18" s="158">
        <f>AVERAGE(I18:L18)</f>
        <v>4.0821367187500002</v>
      </c>
      <c r="N18" s="84"/>
      <c r="O18" s="84">
        <f t="shared" si="1"/>
        <v>7.8320000000000004E-3</v>
      </c>
      <c r="P18" s="84">
        <f t="shared" si="0"/>
        <v>7.5840000000000005E-3</v>
      </c>
      <c r="Q18" s="84">
        <f t="shared" si="0"/>
        <v>8.3269999999999993E-3</v>
      </c>
      <c r="R18" s="84">
        <f t="shared" si="0"/>
        <v>0</v>
      </c>
      <c r="S18" s="66"/>
      <c r="T18" s="66"/>
      <c r="U18" s="66"/>
      <c r="V18" s="76"/>
      <c r="W18" s="69">
        <v>42369</v>
      </c>
      <c r="X18" s="69">
        <v>42735</v>
      </c>
      <c r="Y18" s="69">
        <v>43100</v>
      </c>
      <c r="Z18" s="69">
        <v>43465</v>
      </c>
      <c r="AA18" s="69">
        <v>43830</v>
      </c>
      <c r="AB18" s="69">
        <v>44196</v>
      </c>
      <c r="AC18" s="69">
        <v>44561</v>
      </c>
      <c r="AD18" s="69">
        <v>44926</v>
      </c>
      <c r="AE18" s="69">
        <v>45291</v>
      </c>
    </row>
    <row r="19" spans="2:68">
      <c r="C19" s="82" t="s">
        <v>31</v>
      </c>
      <c r="D19" s="82"/>
      <c r="E19" s="82"/>
      <c r="F19" s="136">
        <v>163.36099999999999</v>
      </c>
      <c r="G19" s="137">
        <v>265.447</v>
      </c>
      <c r="H19" s="137">
        <v>264.47000000000003</v>
      </c>
      <c r="I19" s="137">
        <v>180.30500000000001</v>
      </c>
      <c r="J19" s="298"/>
      <c r="K19" s="298"/>
      <c r="L19" s="298"/>
      <c r="M19" s="298"/>
      <c r="N19" s="84"/>
      <c r="O19" s="84">
        <f t="shared" si="1"/>
        <v>0.16336100000000001</v>
      </c>
      <c r="P19" s="84">
        <f t="shared" si="0"/>
        <v>0.26544699999999999</v>
      </c>
      <c r="Q19" s="84">
        <f t="shared" si="0"/>
        <v>0.26447000000000004</v>
      </c>
      <c r="R19" s="84">
        <f t="shared" si="0"/>
        <v>0.18030500000000002</v>
      </c>
      <c r="S19" s="66"/>
      <c r="T19" s="66"/>
      <c r="U19" s="66"/>
      <c r="V19" s="66"/>
    </row>
    <row r="20" spans="2:68">
      <c r="C20" s="82" t="s">
        <v>30</v>
      </c>
      <c r="D20" s="82"/>
      <c r="E20" s="82"/>
      <c r="F20" s="136">
        <v>66.27</v>
      </c>
      <c r="G20" s="137">
        <v>57.123000000000005</v>
      </c>
      <c r="H20" s="137">
        <v>63.207000000000001</v>
      </c>
      <c r="I20" s="137">
        <v>17.25</v>
      </c>
      <c r="J20" s="158">
        <f t="shared" ref="J20:J29" si="2">AVERAGE(F20:I20)</f>
        <v>50.962499999999999</v>
      </c>
      <c r="K20" s="158">
        <f t="shared" ref="K20:M22" si="3">AVERAGE(G20:J20)</f>
        <v>47.135625000000005</v>
      </c>
      <c r="L20" s="158">
        <f t="shared" si="3"/>
        <v>44.638781250000001</v>
      </c>
      <c r="M20" s="158">
        <f t="shared" si="3"/>
        <v>39.996726562500001</v>
      </c>
      <c r="N20" s="84"/>
      <c r="O20" s="84">
        <f t="shared" si="1"/>
        <v>6.6269999999999996E-2</v>
      </c>
      <c r="P20" s="84">
        <f t="shared" si="0"/>
        <v>5.7123000000000007E-2</v>
      </c>
      <c r="Q20" s="84">
        <f t="shared" si="0"/>
        <v>6.3206999999999999E-2</v>
      </c>
      <c r="R20" s="84">
        <f t="shared" si="0"/>
        <v>1.7250000000000001E-2</v>
      </c>
      <c r="S20" s="66"/>
      <c r="T20" s="66"/>
      <c r="U20" s="66"/>
      <c r="V20" s="66"/>
      <c r="X20" s="65" t="s">
        <v>37</v>
      </c>
    </row>
    <row r="21" spans="2:68">
      <c r="C21" s="82" t="s">
        <v>29</v>
      </c>
      <c r="D21" s="82"/>
      <c r="E21" s="82"/>
      <c r="F21" s="136">
        <v>25.43</v>
      </c>
      <c r="G21" s="137">
        <v>20.870999999999999</v>
      </c>
      <c r="H21" s="137">
        <v>18.738</v>
      </c>
      <c r="I21" s="137">
        <v>35.076999999999998</v>
      </c>
      <c r="J21" s="158">
        <f t="shared" si="2"/>
        <v>25.029</v>
      </c>
      <c r="K21" s="158">
        <f t="shared" si="3"/>
        <v>24.928749999999997</v>
      </c>
      <c r="L21" s="158">
        <f t="shared" si="3"/>
        <v>25.943187499999997</v>
      </c>
      <c r="M21" s="158">
        <f t="shared" si="3"/>
        <v>27.744484374999995</v>
      </c>
      <c r="N21" s="84"/>
      <c r="O21" s="84">
        <f t="shared" si="1"/>
        <v>2.5430000000000001E-2</v>
      </c>
      <c r="P21" s="84">
        <f t="shared" si="0"/>
        <v>2.0871000000000001E-2</v>
      </c>
      <c r="Q21" s="84">
        <f t="shared" si="0"/>
        <v>1.8738000000000001E-2</v>
      </c>
      <c r="R21" s="84">
        <f t="shared" si="0"/>
        <v>3.5076999999999997E-2</v>
      </c>
      <c r="S21" s="66"/>
      <c r="T21" s="66"/>
      <c r="U21" s="66"/>
      <c r="V21" s="66"/>
    </row>
    <row r="22" spans="2:68">
      <c r="C22" s="82" t="s">
        <v>28</v>
      </c>
      <c r="D22" s="82"/>
      <c r="E22" s="82"/>
      <c r="F22" s="136">
        <v>77.891000000000005</v>
      </c>
      <c r="G22" s="137">
        <v>33.53</v>
      </c>
      <c r="H22" s="137">
        <v>6.6690000000000005</v>
      </c>
      <c r="I22" s="137">
        <v>2.6859999999999999</v>
      </c>
      <c r="J22" s="158">
        <f t="shared" si="2"/>
        <v>30.194000000000003</v>
      </c>
      <c r="K22" s="158">
        <f t="shared" si="3"/>
        <v>18.269750000000002</v>
      </c>
      <c r="L22" s="158">
        <f t="shared" si="3"/>
        <v>14.454687500000002</v>
      </c>
      <c r="M22" s="158">
        <f t="shared" si="3"/>
        <v>16.401109375000001</v>
      </c>
      <c r="N22" s="84"/>
      <c r="O22" s="84">
        <f t="shared" si="1"/>
        <v>7.7891000000000002E-2</v>
      </c>
      <c r="P22" s="84">
        <f t="shared" si="0"/>
        <v>3.3530000000000004E-2</v>
      </c>
      <c r="Q22" s="84">
        <f t="shared" si="0"/>
        <v>6.6690000000000004E-3</v>
      </c>
      <c r="R22" s="84">
        <f t="shared" si="0"/>
        <v>2.686E-3</v>
      </c>
      <c r="S22" s="66"/>
      <c r="T22" s="66"/>
      <c r="U22" s="66"/>
      <c r="V22" s="66"/>
    </row>
    <row r="23" spans="2:68" ht="28.8">
      <c r="C23" s="188" t="s">
        <v>27</v>
      </c>
      <c r="D23" s="188"/>
      <c r="E23" s="188"/>
      <c r="F23" s="137">
        <v>4928.6180000000004</v>
      </c>
      <c r="G23" s="137">
        <v>6354.6790000000001</v>
      </c>
      <c r="H23" s="137">
        <v>7374.4930000000004</v>
      </c>
      <c r="I23" s="189">
        <v>8432.2890000000007</v>
      </c>
      <c r="J23" s="190">
        <f>Loans!J24</f>
        <v>1.4069999999999999E-2</v>
      </c>
      <c r="K23" s="190">
        <f>Loans!K24</f>
        <v>1.3858949999999998E-2</v>
      </c>
      <c r="L23" s="190">
        <f>Loans!L24</f>
        <v>1.3498617299999998E-2</v>
      </c>
      <c r="M23" s="190">
        <f>Loans!M24</f>
        <v>1.3633603472999998E-2</v>
      </c>
      <c r="N23" s="90"/>
      <c r="O23" s="84">
        <f t="shared" si="1"/>
        <v>4.9286180000000002</v>
      </c>
      <c r="P23" s="84">
        <f t="shared" si="0"/>
        <v>6.354679</v>
      </c>
      <c r="Q23" s="84">
        <f t="shared" si="0"/>
        <v>7.3744930000000002</v>
      </c>
      <c r="R23" s="84">
        <f t="shared" si="0"/>
        <v>8.4322890000000008</v>
      </c>
      <c r="S23" s="66"/>
      <c r="T23" s="66"/>
      <c r="U23" s="66"/>
      <c r="V23" s="66"/>
    </row>
    <row r="24" spans="2:68">
      <c r="C24" s="82" t="s">
        <v>26</v>
      </c>
      <c r="D24" s="82"/>
      <c r="E24" s="82"/>
      <c r="F24" s="136">
        <v>20.268000000000001</v>
      </c>
      <c r="G24" s="137">
        <v>26.201000000000001</v>
      </c>
      <c r="H24" s="137">
        <v>20.780999999999999</v>
      </c>
      <c r="I24" s="137">
        <v>26.728999999999999</v>
      </c>
      <c r="J24" s="158">
        <f t="shared" si="2"/>
        <v>23.49475</v>
      </c>
      <c r="K24" s="158">
        <f t="shared" ref="K24:K31" si="4">AVERAGE(G24:J24)</f>
        <v>24.301437499999999</v>
      </c>
      <c r="L24" s="158">
        <f t="shared" ref="L24:L31" si="5">AVERAGE(H24:K24)</f>
        <v>23.826546874999998</v>
      </c>
      <c r="M24" s="158">
        <f t="shared" ref="M24:M31" si="6">AVERAGE(I24:L24)</f>
        <v>24.587933593749995</v>
      </c>
      <c r="N24" s="84"/>
      <c r="O24" s="84">
        <f t="shared" si="1"/>
        <v>2.0268000000000001E-2</v>
      </c>
      <c r="P24" s="84">
        <f t="shared" si="0"/>
        <v>2.6201000000000002E-2</v>
      </c>
      <c r="Q24" s="84">
        <f t="shared" si="0"/>
        <v>2.0781000000000001E-2</v>
      </c>
      <c r="R24" s="84">
        <f t="shared" si="0"/>
        <v>2.6728999999999999E-2</v>
      </c>
      <c r="S24" s="66"/>
      <c r="T24" s="66"/>
      <c r="U24" s="66"/>
      <c r="V24" s="66"/>
    </row>
    <row r="25" spans="2:68">
      <c r="C25" s="82" t="s">
        <v>25</v>
      </c>
      <c r="D25" s="82"/>
      <c r="E25" s="82"/>
      <c r="F25" s="136">
        <v>8.5510000000000002</v>
      </c>
      <c r="G25" s="137">
        <v>13.995000000000001</v>
      </c>
      <c r="H25" s="137">
        <v>16.658999999999999</v>
      </c>
      <c r="I25" s="137">
        <v>21.454000000000001</v>
      </c>
      <c r="J25" s="158">
        <f t="shared" si="2"/>
        <v>15.16475</v>
      </c>
      <c r="K25" s="158">
        <f t="shared" si="4"/>
        <v>16.818187500000001</v>
      </c>
      <c r="L25" s="158">
        <f t="shared" si="5"/>
        <v>17.523984374999998</v>
      </c>
      <c r="M25" s="158">
        <f t="shared" si="6"/>
        <v>17.740230468749999</v>
      </c>
      <c r="N25" s="84"/>
      <c r="O25" s="84">
        <f t="shared" si="1"/>
        <v>8.5509999999999996E-3</v>
      </c>
      <c r="P25" s="84">
        <f t="shared" si="0"/>
        <v>1.3995E-2</v>
      </c>
      <c r="Q25" s="84">
        <f t="shared" si="0"/>
        <v>1.6659E-2</v>
      </c>
      <c r="R25" s="84">
        <f t="shared" si="0"/>
        <v>2.1454000000000001E-2</v>
      </c>
      <c r="S25" s="66"/>
      <c r="T25" s="66"/>
      <c r="U25" s="66"/>
      <c r="V25" s="66"/>
    </row>
    <row r="26" spans="2:68" ht="15" thickBot="1">
      <c r="C26" s="82" t="s">
        <v>24</v>
      </c>
      <c r="D26" s="82"/>
      <c r="E26" s="82"/>
      <c r="F26" s="136">
        <v>32.954999999999998</v>
      </c>
      <c r="G26" s="137">
        <v>39.170999999999999</v>
      </c>
      <c r="H26" s="137">
        <v>34.341000000000001</v>
      </c>
      <c r="I26" s="137">
        <v>17.957000000000001</v>
      </c>
      <c r="J26" s="158">
        <f t="shared" si="2"/>
        <v>31.106000000000002</v>
      </c>
      <c r="K26" s="158">
        <f t="shared" si="4"/>
        <v>30.643749999999997</v>
      </c>
      <c r="L26" s="158">
        <f t="shared" si="5"/>
        <v>28.511937499999998</v>
      </c>
      <c r="M26" s="158">
        <f t="shared" si="6"/>
        <v>27.054671875</v>
      </c>
      <c r="N26" s="84"/>
      <c r="O26" s="84">
        <f t="shared" si="1"/>
        <v>3.2954999999999998E-2</v>
      </c>
      <c r="P26" s="84">
        <f t="shared" si="0"/>
        <v>3.9170999999999997E-2</v>
      </c>
      <c r="Q26" s="84">
        <f t="shared" si="0"/>
        <v>3.4341000000000003E-2</v>
      </c>
      <c r="R26" s="84">
        <f t="shared" si="0"/>
        <v>1.7957000000000001E-2</v>
      </c>
      <c r="S26" s="66"/>
      <c r="T26" s="69"/>
      <c r="U26" s="78"/>
      <c r="V26" s="79">
        <v>43465</v>
      </c>
      <c r="W26" s="83">
        <v>622750</v>
      </c>
      <c r="X26" s="83">
        <v>100</v>
      </c>
      <c r="Y26" s="83">
        <f>SUM(W26:X26)</f>
        <v>622850</v>
      </c>
      <c r="Z26" s="85"/>
      <c r="AA26" s="86"/>
      <c r="AB26" s="88"/>
      <c r="AC26" s="83">
        <v>0</v>
      </c>
      <c r="AD26" s="83">
        <v>180305</v>
      </c>
      <c r="AE26" s="83">
        <v>17250</v>
      </c>
      <c r="AF26" s="83">
        <v>35077</v>
      </c>
      <c r="AG26" s="83">
        <v>2686</v>
      </c>
      <c r="AH26" s="83">
        <v>8432289</v>
      </c>
      <c r="AI26" s="83">
        <v>26729</v>
      </c>
      <c r="AJ26" s="83">
        <v>21454</v>
      </c>
      <c r="AK26" s="83">
        <v>17957</v>
      </c>
      <c r="AL26" s="83">
        <v>6358</v>
      </c>
      <c r="AM26" s="83">
        <v>10752</v>
      </c>
      <c r="AN26" s="83">
        <v>9591</v>
      </c>
      <c r="AO26" s="83">
        <v>67788</v>
      </c>
      <c r="AP26" s="83">
        <v>88418</v>
      </c>
      <c r="AQ26" s="83">
        <f>SUM(AC26:AP26)</f>
        <v>8916654</v>
      </c>
      <c r="AR26" s="85"/>
      <c r="AS26" s="88"/>
      <c r="AT26" s="83">
        <v>1015355</v>
      </c>
      <c r="AU26" s="91">
        <v>6969995</v>
      </c>
      <c r="AV26" s="92">
        <v>7985350</v>
      </c>
      <c r="AW26" s="83">
        <v>0</v>
      </c>
      <c r="AX26" s="83">
        <v>457000</v>
      </c>
      <c r="AY26" s="83">
        <v>54552</v>
      </c>
      <c r="AZ26" s="83">
        <v>1753</v>
      </c>
      <c r="BA26" s="83">
        <v>80336</v>
      </c>
      <c r="BB26" s="83">
        <v>8578991</v>
      </c>
      <c r="BC26" s="93" t="s">
        <v>8</v>
      </c>
      <c r="BD26" s="93"/>
      <c r="BE26" s="88"/>
      <c r="BF26" s="85">
        <v>658</v>
      </c>
      <c r="BG26" s="85">
        <v>366515</v>
      </c>
      <c r="BH26" s="85">
        <v>-613</v>
      </c>
      <c r="BI26" s="85">
        <v>671348</v>
      </c>
      <c r="BJ26" s="85">
        <v>-82458</v>
      </c>
      <c r="BK26" s="85">
        <v>960513</v>
      </c>
      <c r="BL26" s="85">
        <v>9539504</v>
      </c>
      <c r="BM26" s="87"/>
      <c r="BN26" s="87"/>
      <c r="BO26" s="88"/>
      <c r="BP26" s="85">
        <v>5063</v>
      </c>
    </row>
    <row r="27" spans="2:68" ht="15.6" thickTop="1" thickBot="1">
      <c r="C27" s="82" t="s">
        <v>23</v>
      </c>
      <c r="D27" s="82"/>
      <c r="E27" s="82"/>
      <c r="F27" s="136" t="s">
        <v>96</v>
      </c>
      <c r="G27" s="137">
        <v>5.99</v>
      </c>
      <c r="H27" s="137">
        <v>6.1740000000000004</v>
      </c>
      <c r="I27" s="137">
        <v>6.3580000000000005</v>
      </c>
      <c r="J27" s="158">
        <f t="shared" si="2"/>
        <v>6.1740000000000004</v>
      </c>
      <c r="K27" s="158">
        <f t="shared" si="4"/>
        <v>6.1740000000000004</v>
      </c>
      <c r="L27" s="158">
        <f t="shared" si="5"/>
        <v>6.22</v>
      </c>
      <c r="M27" s="158">
        <f t="shared" si="6"/>
        <v>6.2314999999999996</v>
      </c>
      <c r="N27" s="84"/>
      <c r="O27" s="84" t="e">
        <f t="shared" si="1"/>
        <v>#VALUE!</v>
      </c>
      <c r="P27" s="84">
        <f t="shared" si="0"/>
        <v>5.9900000000000005E-3</v>
      </c>
      <c r="Q27" s="84">
        <f t="shared" si="0"/>
        <v>6.1740000000000007E-3</v>
      </c>
      <c r="R27" s="84">
        <f t="shared" si="0"/>
        <v>6.3580000000000008E-3</v>
      </c>
      <c r="S27" s="66"/>
      <c r="T27" s="69"/>
      <c r="U27" s="78"/>
      <c r="V27" s="79">
        <v>43100</v>
      </c>
      <c r="W27" s="83">
        <v>628172</v>
      </c>
      <c r="X27" s="83">
        <v>15369</v>
      </c>
      <c r="Y27" s="83">
        <f>SUM(W27:X27)</f>
        <v>643541</v>
      </c>
      <c r="Z27" s="85"/>
      <c r="AA27" s="86"/>
      <c r="AB27" s="88"/>
      <c r="AC27" s="83">
        <v>8327</v>
      </c>
      <c r="AD27" s="83">
        <v>264470</v>
      </c>
      <c r="AE27" s="83">
        <v>63207</v>
      </c>
      <c r="AF27" s="83">
        <v>18738</v>
      </c>
      <c r="AG27" s="83">
        <v>6669</v>
      </c>
      <c r="AH27" s="83">
        <v>7374493</v>
      </c>
      <c r="AI27" s="83">
        <v>20781</v>
      </c>
      <c r="AJ27" s="83">
        <v>16659</v>
      </c>
      <c r="AK27" s="83">
        <v>34341</v>
      </c>
      <c r="AL27" s="83">
        <v>6174</v>
      </c>
      <c r="AM27" s="83">
        <v>7200</v>
      </c>
      <c r="AN27" s="83">
        <v>1413</v>
      </c>
      <c r="AO27" s="83">
        <v>0</v>
      </c>
      <c r="AP27" s="83">
        <v>35667</v>
      </c>
      <c r="AQ27" s="83">
        <f>SUM(AC27:AP27)</f>
        <v>7858139</v>
      </c>
      <c r="AR27" s="85"/>
      <c r="AS27" s="88"/>
      <c r="AT27" s="83">
        <v>848544</v>
      </c>
      <c r="AU27" s="91">
        <v>6050963</v>
      </c>
      <c r="AV27" s="92">
        <v>6899507</v>
      </c>
      <c r="AW27" s="83">
        <v>20000</v>
      </c>
      <c r="AX27" s="83">
        <v>640000</v>
      </c>
      <c r="AY27" s="83">
        <v>54463</v>
      </c>
      <c r="AZ27" s="83">
        <v>1284</v>
      </c>
      <c r="BA27" s="83">
        <v>52179</v>
      </c>
      <c r="BB27" s="83">
        <v>7667433</v>
      </c>
      <c r="BC27" s="93" t="s">
        <v>8</v>
      </c>
      <c r="BD27" s="93"/>
      <c r="BE27" s="88"/>
      <c r="BF27" s="85">
        <v>651</v>
      </c>
      <c r="BG27" s="85">
        <v>346117</v>
      </c>
      <c r="BH27" s="85">
        <v>487</v>
      </c>
      <c r="BI27" s="85">
        <v>519246</v>
      </c>
      <c r="BJ27" s="85">
        <v>-37317</v>
      </c>
      <c r="BK27" s="85">
        <v>834247</v>
      </c>
      <c r="BL27" s="85">
        <v>8501680</v>
      </c>
      <c r="BM27" s="87"/>
      <c r="BN27" s="87"/>
      <c r="BO27" s="88"/>
      <c r="BP27" s="85">
        <v>5063</v>
      </c>
    </row>
    <row r="28" spans="2:68" ht="15.6" thickTop="1" thickBot="1">
      <c r="C28" s="82" t="s">
        <v>22</v>
      </c>
      <c r="D28" s="82"/>
      <c r="E28" s="82"/>
      <c r="F28" s="136">
        <v>2.0979999999999999</v>
      </c>
      <c r="G28" s="137">
        <v>3.9430000000000001</v>
      </c>
      <c r="H28" s="137">
        <v>7.2</v>
      </c>
      <c r="I28" s="137">
        <v>10.752000000000001</v>
      </c>
      <c r="J28" s="158">
        <f t="shared" si="2"/>
        <v>5.9982500000000005</v>
      </c>
      <c r="K28" s="158">
        <f t="shared" si="4"/>
        <v>6.9733125000000005</v>
      </c>
      <c r="L28" s="158">
        <f t="shared" si="5"/>
        <v>7.7308906250000007</v>
      </c>
      <c r="M28" s="158">
        <f t="shared" si="6"/>
        <v>7.8636132812500001</v>
      </c>
      <c r="N28" s="84"/>
      <c r="O28" s="84">
        <f t="shared" si="1"/>
        <v>2.098E-3</v>
      </c>
      <c r="P28" s="84">
        <f t="shared" ref="P28:P57" si="7">G28*0.001</f>
        <v>3.9430000000000003E-3</v>
      </c>
      <c r="Q28" s="84">
        <f t="shared" ref="Q28:Q57" si="8">H28*0.001</f>
        <v>7.2000000000000007E-3</v>
      </c>
      <c r="R28" s="84">
        <f t="shared" ref="R28:R57" si="9">I28*0.001</f>
        <v>1.0752000000000001E-2</v>
      </c>
      <c r="S28" s="66"/>
      <c r="T28" s="69"/>
      <c r="U28" s="78"/>
      <c r="V28" s="79">
        <v>42735</v>
      </c>
      <c r="W28" s="84">
        <f>VLOOKUP($C14,'[1]CONSOLIDATED BALANCE SHEETS'!$A$3:$D$41,3,)</f>
        <v>486627</v>
      </c>
      <c r="X28" s="84" t="e">
        <f>VLOOKUP(X20,'[1]CONSOLIDATED BALANCE SHEETS'!$A$3:$D$41,3,)</f>
        <v>#N/A</v>
      </c>
      <c r="Y28" s="83" t="e">
        <f>SUM(W28:X28)</f>
        <v>#N/A</v>
      </c>
      <c r="Z28" s="85"/>
      <c r="AA28" s="86"/>
      <c r="AB28" s="88"/>
      <c r="AC28" s="84" t="e">
        <f>VLOOKUP(AC20,'[1]CONSOLIDATED BALANCE SHEETS'!$A$3:$D$41,3,)</f>
        <v>#N/A</v>
      </c>
      <c r="AD28" s="84" t="e">
        <f>VLOOKUP(AD20,'[1]CONSOLIDATED BALANCE SHEETS'!$A$3:$D$41,3,)</f>
        <v>#N/A</v>
      </c>
      <c r="AE28" s="84" t="e">
        <f>VLOOKUP(AE20,'[1]CONSOLIDATED BALANCE SHEETS'!$A$3:$D$41,3,)</f>
        <v>#N/A</v>
      </c>
      <c r="AF28" s="84" t="e">
        <f>VLOOKUP(AF20,'[1]CONSOLIDATED BALANCE SHEETS'!$A$3:$D$41,3,)</f>
        <v>#N/A</v>
      </c>
      <c r="AG28" s="84" t="e">
        <f>VLOOKUP(AG20,'[1]CONSOLIDATED BALANCE SHEETS'!$A$3:$D$41,3,)</f>
        <v>#N/A</v>
      </c>
      <c r="AH28" s="90">
        <v>6354679</v>
      </c>
      <c r="AI28" s="84" t="e">
        <f>VLOOKUP(AI20,'[1]CONSOLIDATED BALANCE SHEETS'!$A$3:$D$41,3,)</f>
        <v>#N/A</v>
      </c>
      <c r="AJ28" s="84" t="e">
        <f>VLOOKUP(AJ20,'[1]CONSOLIDATED BALANCE SHEETS'!$A$3:$D$41,3,)</f>
        <v>#N/A</v>
      </c>
      <c r="AK28" s="84" t="e">
        <f>VLOOKUP(AK20,'[1]CONSOLIDATED BALANCE SHEETS'!$A$3:$D$41,3,)</f>
        <v>#N/A</v>
      </c>
      <c r="AL28" s="84" t="e">
        <f>VLOOKUP(AL20,'[1]CONSOLIDATED BALANCE SHEETS'!$A$3:$D$41,3,)</f>
        <v>#N/A</v>
      </c>
      <c r="AM28" s="84" t="e">
        <f>VLOOKUP(AM20,'[1]CONSOLIDATED BALANCE SHEETS'!$A$3:$D$41,3,)</f>
        <v>#N/A</v>
      </c>
      <c r="AN28" s="84" t="e">
        <f>VLOOKUP(AN20,'[1]CONSOLIDATED BALANCE SHEETS'!$A$3:$D$41,3,)</f>
        <v>#N/A</v>
      </c>
      <c r="AO28" s="90">
        <v>86667</v>
      </c>
      <c r="AP28" s="84" t="e">
        <f>VLOOKUP(AP20,'[1]CONSOLIDATED BALANCE SHEETS'!$A$3:$D$41,3,)</f>
        <v>#N/A</v>
      </c>
      <c r="AQ28" s="83" t="e">
        <f>SUM(AC28:AP28)</f>
        <v>#N/A</v>
      </c>
      <c r="AR28" s="85"/>
      <c r="AS28" s="88"/>
      <c r="AT28" s="84" t="e">
        <f>VLOOKUP(AT20,'[1]CONSOLIDATED BALANCE SHEETS'!$A$3:$D$41,3,)</f>
        <v>#N/A</v>
      </c>
      <c r="AU28" s="94" t="e">
        <f>VLOOKUP(AU20,'[1]CONSOLIDATED BALANCE SHEETS'!$A$3:$D$41,3,)</f>
        <v>#N/A</v>
      </c>
      <c r="AV28" s="95" t="e">
        <f>VLOOKUP(AV20,'[1]CONSOLIDATED BALANCE SHEETS'!$A$3:$D$41,3,)</f>
        <v>#N/A</v>
      </c>
      <c r="AW28" s="84" t="e">
        <f>VLOOKUP(AW20,'[1]CONSOLIDATED BALANCE SHEETS'!$A$3:$D$41,3,)</f>
        <v>#N/A</v>
      </c>
      <c r="AX28" s="84" t="e">
        <f>VLOOKUP(AX20,'[1]CONSOLIDATED BALANCE SHEETS'!$A$3:$D$41,3,)</f>
        <v>#N/A</v>
      </c>
      <c r="AY28" s="84" t="e">
        <f>VLOOKUP(AY20,'[1]CONSOLIDATED BALANCE SHEETS'!$A$3:$D$41,3,)</f>
        <v>#N/A</v>
      </c>
      <c r="AZ28" s="84" t="e">
        <f>VLOOKUP(AZ20,'[1]CONSOLIDATED BALANCE SHEETS'!$A$3:$D$41,3,)</f>
        <v>#N/A</v>
      </c>
      <c r="BA28" s="84" t="e">
        <f>VLOOKUP(BA20,'[1]CONSOLIDATED BALANCE SHEETS'!$A$3:$D$41,3,)</f>
        <v>#N/A</v>
      </c>
      <c r="BB28" s="84" t="e">
        <f>VLOOKUP(BB20,'[1]CONSOLIDATED BALANCE SHEETS'!$A$3:$D$41,3,)</f>
        <v>#N/A</v>
      </c>
      <c r="BC28" s="87"/>
      <c r="BD28" s="87"/>
      <c r="BE28" s="88"/>
      <c r="BF28" s="96">
        <v>5063</v>
      </c>
      <c r="BG28" s="87" t="e">
        <f>VLOOKUP(BG20,'[1]CONSOLIDATED BALANCE SHEETS'!$A$3:$D$41,3,)</f>
        <v>#N/A</v>
      </c>
      <c r="BH28" s="87" t="e">
        <f>VLOOKUP(BH20,'[1]CONSOLIDATED BALANCE SHEETS'!$A$3:$D$41,3,)</f>
        <v>#N/A</v>
      </c>
      <c r="BI28" s="87" t="e">
        <f>VLOOKUP(BI20,'[1]CONSOLIDATED BALANCE SHEETS'!$A$3:$D$41,3,)</f>
        <v>#N/A</v>
      </c>
      <c r="BJ28" s="96">
        <v>-30785</v>
      </c>
      <c r="BK28" s="87" t="e">
        <f>VLOOKUP(BK20,'[1]CONSOLIDATED BALANCE SHEETS'!$A$3:$D$41,3,)</f>
        <v>#N/A</v>
      </c>
      <c r="BL28" s="87" t="e">
        <f>VLOOKUP(BL20,'[1]CONSOLIDATED BALANCE SHEETS'!$A$3:$D$41,3,)</f>
        <v>#N/A</v>
      </c>
      <c r="BM28" s="87" t="e">
        <f>VLOOKUP(BM20,'[1]CONSOLIDATED BALANCE SHEETS'!$A$3:$D$41,3,)</f>
        <v>#N/A</v>
      </c>
      <c r="BN28" s="87"/>
      <c r="BO28" s="88"/>
      <c r="BP28" s="96">
        <v>5063</v>
      </c>
    </row>
    <row r="29" spans="2:68" ht="15.6" thickTop="1" thickBot="1">
      <c r="C29" s="82" t="s">
        <v>21</v>
      </c>
      <c r="D29" s="82"/>
      <c r="E29" s="82"/>
      <c r="F29" s="136">
        <v>1.24</v>
      </c>
      <c r="G29" s="137">
        <v>0.252</v>
      </c>
      <c r="H29" s="137">
        <v>1.413</v>
      </c>
      <c r="I29" s="137">
        <v>9.5910000000000011</v>
      </c>
      <c r="J29" s="158">
        <f t="shared" si="2"/>
        <v>3.1240000000000006</v>
      </c>
      <c r="K29" s="158">
        <f t="shared" si="4"/>
        <v>3.5950000000000002</v>
      </c>
      <c r="L29" s="158">
        <f t="shared" si="5"/>
        <v>4.4307500000000006</v>
      </c>
      <c r="M29" s="158">
        <f t="shared" si="6"/>
        <v>5.1851875000000005</v>
      </c>
      <c r="N29" s="84"/>
      <c r="O29" s="84">
        <f t="shared" si="1"/>
        <v>1.24E-3</v>
      </c>
      <c r="P29" s="84">
        <f t="shared" si="7"/>
        <v>2.52E-4</v>
      </c>
      <c r="Q29" s="84">
        <f t="shared" si="8"/>
        <v>1.413E-3</v>
      </c>
      <c r="R29" s="84">
        <f t="shared" si="9"/>
        <v>9.5910000000000006E-3</v>
      </c>
      <c r="S29" s="66"/>
      <c r="T29" s="69"/>
      <c r="U29" s="78"/>
      <c r="V29" s="79">
        <v>42369</v>
      </c>
      <c r="W29" s="84">
        <f>VLOOKUP($C14,'[1]CONSOLIDATED BALANCE SHEETS'!$A$3:$D$41,4,0)</f>
        <v>222774</v>
      </c>
      <c r="X29" s="84">
        <f>VLOOKUP($C15,'[1]CONSOLIDATED BALANCE SHEETS'!$A$3:$D$41,4,0)</f>
        <v>100</v>
      </c>
      <c r="Y29" s="83">
        <f>SUM(W29:X29)</f>
        <v>222874</v>
      </c>
      <c r="Z29" s="85"/>
      <c r="AA29" s="86"/>
      <c r="AB29" s="88"/>
      <c r="AC29" s="84">
        <f>VLOOKUP($C18,'[1]CONSOLIDATED BALANCE SHEETS'!$A$3:$D$41,4,0)</f>
        <v>7832</v>
      </c>
      <c r="AD29" s="84">
        <f>VLOOKUP($C19,'[1]CONSOLIDATED BALANCE SHEETS'!$A$3:$D$41,4,0)</f>
        <v>163361</v>
      </c>
      <c r="AE29" s="84">
        <f>VLOOKUP($C20,'[1]CONSOLIDATED BALANCE SHEETS'!$A$3:$D$41,4,0)</f>
        <v>66270</v>
      </c>
      <c r="AF29" s="84">
        <f>VLOOKUP($C21,'[1]CONSOLIDATED BALANCE SHEETS'!$A$3:$D$41,4,0)</f>
        <v>25430</v>
      </c>
      <c r="AG29" s="84">
        <f>VLOOKUP($C22,'[1]CONSOLIDATED BALANCE SHEETS'!$A$3:$D$41,4,0)</f>
        <v>77891</v>
      </c>
      <c r="AH29" s="90">
        <v>4928618</v>
      </c>
      <c r="AI29" s="84">
        <f>VLOOKUP($C24,'[1]CONSOLIDATED BALANCE SHEETS'!$A$3:$D$41,4,0)</f>
        <v>20268</v>
      </c>
      <c r="AJ29" s="84">
        <f>VLOOKUP($C25,'[1]CONSOLIDATED BALANCE SHEETS'!$A$3:$D$41,4,0)</f>
        <v>8551</v>
      </c>
      <c r="AK29" s="84">
        <f>VLOOKUP($C26,'[1]CONSOLIDATED BALANCE SHEETS'!$A$3:$D$41,4,0)</f>
        <v>32955</v>
      </c>
      <c r="AL29" s="84">
        <f>VLOOKUP($C27,'[1]CONSOLIDATED BALANCE SHEETS'!$A$3:$D$41,4,0)</f>
        <v>5806</v>
      </c>
      <c r="AM29" s="84">
        <f>VLOOKUP($C28,'[1]CONSOLIDATED BALANCE SHEETS'!$A$3:$D$41,4,0)</f>
        <v>2098</v>
      </c>
      <c r="AN29" s="84">
        <f>VLOOKUP($C29,'[1]CONSOLIDATED BALANCE SHEETS'!$A$3:$D$41,4,0)</f>
        <v>1240</v>
      </c>
      <c r="AO29" s="90">
        <v>34970</v>
      </c>
      <c r="AP29" s="84">
        <f>VLOOKUP($C31,'[1]CONSOLIDATED BALANCE SHEETS'!$A$3:$D$41,4,0)</f>
        <v>34970</v>
      </c>
      <c r="AQ29" s="83">
        <f>SUM(AC29:AP29)</f>
        <v>5410260</v>
      </c>
      <c r="AR29" s="85"/>
      <c r="AS29" s="88"/>
      <c r="AT29" s="84">
        <f>VLOOKUP($C35,'[1]CONSOLIDATED BALANCE SHEETS'!$A$3:$D$41,4,0)</f>
        <v>309339</v>
      </c>
      <c r="AU29" s="94">
        <f>VLOOKUP($C36,'[1]CONSOLIDATED BALANCE SHEETS'!$A$3:$D$41,4,0)</f>
        <v>4142578</v>
      </c>
      <c r="AV29" s="95">
        <f>VLOOKUP($C37,'[1]CONSOLIDATED BALANCE SHEETS'!$A$3:$D$41,4,0)</f>
        <v>4451917</v>
      </c>
      <c r="AW29" s="84">
        <f>VLOOKUP($C38,'[1]CONSOLIDATED BALANCE SHEETS'!$A$3:$D$41,4,0)</f>
        <v>35000</v>
      </c>
      <c r="AX29" s="84">
        <f>VLOOKUP($C39,'[1]CONSOLIDATED BALANCE SHEETS'!$A$3:$D$41,4,0)</f>
        <v>753000</v>
      </c>
      <c r="AY29" s="84">
        <f>VLOOKUP($C40,'[1]CONSOLIDATED BALANCE SHEETS'!$A$3:$D$41,4,0)</f>
        <v>5155</v>
      </c>
      <c r="AZ29" s="84">
        <f>VLOOKUP($C41,'[1]CONSOLIDATED BALANCE SHEETS'!$A$3:$D$41,4,0)</f>
        <v>1266</v>
      </c>
      <c r="BA29" s="84">
        <f>VLOOKUP($C42,'[1]CONSOLIDATED BALANCE SHEETS'!$A$3:$D$41,4,0)</f>
        <v>43855</v>
      </c>
      <c r="BB29" s="84">
        <f>VLOOKUP($C43,'[1]CONSOLIDATED BALANCE SHEETS'!$A$3:$D$41,4,0)</f>
        <v>5290193</v>
      </c>
      <c r="BC29" s="87"/>
      <c r="BD29" s="87"/>
      <c r="BE29" s="88"/>
      <c r="BF29" s="96">
        <v>5063</v>
      </c>
      <c r="BG29" s="87">
        <f>VLOOKUP($C47,'[1]CONSOLIDATED BALANCE SHEETS'!$A$3:$D$41,4,0)</f>
        <v>296042</v>
      </c>
      <c r="BH29" s="87" t="e">
        <f>VLOOKUP($C48,'[1]CONSOLIDATED BALANCE SHEETS'!$A$3:$D$41,4,0)</f>
        <v>#N/A</v>
      </c>
      <c r="BI29" s="87">
        <f>VLOOKUP($C49,'[1]CONSOLIDATED BALANCE SHEETS'!$A$3:$D$41,4,0)</f>
        <v>265833</v>
      </c>
      <c r="BJ29" s="96">
        <v>-24644</v>
      </c>
      <c r="BK29" s="87">
        <f>VLOOKUP($C51,'[1]CONSOLIDATED BALANCE SHEETS'!$A$3:$D$41,4,0)</f>
        <v>533526</v>
      </c>
      <c r="BL29" s="87">
        <f>VLOOKUP($C52,'[1]CONSOLIDATED BALANCE SHEETS'!$A$3:$D$41,4,0)</f>
        <v>5823719</v>
      </c>
      <c r="BM29" s="87" t="e">
        <f>VLOOKUP($C53,'[1]CONSOLIDATED BALANCE SHEETS'!$A$3:$D$41,4,0)</f>
        <v>#N/A</v>
      </c>
      <c r="BN29" s="87"/>
      <c r="BO29" s="88"/>
      <c r="BP29" s="96">
        <v>5063</v>
      </c>
    </row>
    <row r="30" spans="2:68" ht="15" thickTop="1">
      <c r="C30" s="82" t="s">
        <v>20</v>
      </c>
      <c r="D30" s="82"/>
      <c r="E30" s="82"/>
      <c r="F30" s="136">
        <v>34.97</v>
      </c>
      <c r="G30" s="137">
        <v>86.667000000000002</v>
      </c>
      <c r="H30" s="137">
        <v>0</v>
      </c>
      <c r="I30" s="137">
        <v>67.787999999999997</v>
      </c>
      <c r="J30" s="158">
        <f>AVERAGE(F30:I30)</f>
        <v>47.356250000000003</v>
      </c>
      <c r="K30" s="158">
        <f t="shared" si="4"/>
        <v>50.452812499999993</v>
      </c>
      <c r="L30" s="158">
        <f t="shared" si="5"/>
        <v>41.399265624999998</v>
      </c>
      <c r="M30" s="158">
        <f t="shared" si="6"/>
        <v>51.749082031249998</v>
      </c>
      <c r="N30" s="90"/>
      <c r="O30" s="84">
        <f t="shared" si="1"/>
        <v>3.4970000000000001E-2</v>
      </c>
      <c r="P30" s="84">
        <f t="shared" si="7"/>
        <v>8.6667000000000008E-2</v>
      </c>
      <c r="Q30" s="84">
        <f t="shared" si="8"/>
        <v>0</v>
      </c>
      <c r="R30" s="84">
        <f t="shared" si="9"/>
        <v>6.7788000000000001E-2</v>
      </c>
      <c r="S30" s="66"/>
      <c r="T30" s="66"/>
      <c r="U30" s="66"/>
      <c r="V30" s="66"/>
    </row>
    <row r="31" spans="2:68">
      <c r="C31" s="97" t="s">
        <v>19</v>
      </c>
      <c r="D31" s="97"/>
      <c r="E31" s="97"/>
      <c r="F31" s="140">
        <v>34.97</v>
      </c>
      <c r="G31" s="140">
        <v>86.667000000000002</v>
      </c>
      <c r="H31" s="140">
        <v>35.667000000000002</v>
      </c>
      <c r="I31" s="140">
        <v>88.418000000000006</v>
      </c>
      <c r="J31" s="159">
        <f>AVERAGE(F31:I31)</f>
        <v>61.430500000000002</v>
      </c>
      <c r="K31" s="159">
        <f t="shared" si="4"/>
        <v>68.045625000000001</v>
      </c>
      <c r="L31" s="159">
        <f t="shared" si="5"/>
        <v>63.390281250000001</v>
      </c>
      <c r="M31" s="159">
        <f t="shared" si="6"/>
        <v>70.321101562500004</v>
      </c>
      <c r="N31" s="84"/>
      <c r="O31" s="84">
        <f t="shared" si="1"/>
        <v>3.4970000000000001E-2</v>
      </c>
      <c r="P31" s="84">
        <f t="shared" si="7"/>
        <v>8.6667000000000008E-2</v>
      </c>
      <c r="Q31" s="84">
        <f t="shared" si="8"/>
        <v>3.5667000000000004E-2</v>
      </c>
      <c r="R31" s="84">
        <f t="shared" si="9"/>
        <v>8.841800000000001E-2</v>
      </c>
      <c r="S31" s="66"/>
      <c r="T31" s="66"/>
      <c r="U31" s="66"/>
      <c r="V31" s="66"/>
    </row>
    <row r="32" spans="2:68" ht="15" thickBot="1">
      <c r="C32" s="169" t="s">
        <v>18</v>
      </c>
      <c r="D32" s="99"/>
      <c r="E32" s="99"/>
      <c r="F32" s="141">
        <v>5823.7190000000001</v>
      </c>
      <c r="G32" s="141">
        <v>7601.3540000000003</v>
      </c>
      <c r="H32" s="141">
        <f>SUM(H16:H31)</f>
        <v>8501.6800000000021</v>
      </c>
      <c r="I32" s="141">
        <f>SUM(I16:I31)</f>
        <v>9539.5040000000008</v>
      </c>
      <c r="J32" s="141">
        <f ca="1">SUM(J16:J31)</f>
        <v>929.53381999999988</v>
      </c>
      <c r="K32" s="141">
        <f ca="1">SUM(K16:K31)</f>
        <v>926.36379645000011</v>
      </c>
      <c r="L32" s="141">
        <f ca="1">SUM(L16:L31)</f>
        <v>906.56492049230008</v>
      </c>
      <c r="M32" s="141">
        <f ca="1">SUM(M16:M31)</f>
        <v>922.52141094722288</v>
      </c>
      <c r="N32" s="83"/>
      <c r="O32" s="84">
        <f t="shared" si="1"/>
        <v>5.8237190000000005</v>
      </c>
      <c r="P32" s="84">
        <f t="shared" si="7"/>
        <v>7.6013540000000006</v>
      </c>
      <c r="Q32" s="84">
        <f t="shared" si="8"/>
        <v>8.5016800000000021</v>
      </c>
      <c r="R32" s="84">
        <f t="shared" si="9"/>
        <v>9.5395040000000009</v>
      </c>
      <c r="S32" s="66"/>
      <c r="T32" s="66" t="s">
        <v>75</v>
      </c>
      <c r="U32" s="66"/>
      <c r="V32" s="66"/>
    </row>
    <row r="33" spans="2:72" ht="15" thickTop="1">
      <c r="C33" s="82"/>
      <c r="D33" s="82"/>
      <c r="E33" s="82"/>
      <c r="F33" s="125"/>
      <c r="G33" s="142"/>
      <c r="H33" s="142"/>
      <c r="I33" s="142"/>
      <c r="J33" s="85"/>
      <c r="K33" s="85"/>
      <c r="L33" s="85"/>
      <c r="M33" s="85"/>
      <c r="N33" s="85"/>
      <c r="O33" s="84"/>
      <c r="P33" s="84"/>
      <c r="Q33" s="84"/>
      <c r="R33" s="84"/>
      <c r="S33" s="81"/>
      <c r="T33" s="81">
        <v>43465</v>
      </c>
      <c r="U33" s="66">
        <v>43100</v>
      </c>
      <c r="V33" s="66">
        <v>42735</v>
      </c>
      <c r="W33" s="65">
        <v>42369</v>
      </c>
      <c r="Y33" s="65">
        <v>4</v>
      </c>
      <c r="Z33" s="65">
        <v>42369</v>
      </c>
      <c r="AA33" s="65">
        <v>222774</v>
      </c>
      <c r="AB33" s="65">
        <v>100</v>
      </c>
      <c r="AC33" s="65">
        <v>222874</v>
      </c>
      <c r="AG33" s="65">
        <v>7832</v>
      </c>
      <c r="AH33" s="65">
        <v>163361</v>
      </c>
      <c r="AI33" s="65">
        <v>66270</v>
      </c>
      <c r="AJ33" s="65">
        <v>25430</v>
      </c>
      <c r="AK33" s="65">
        <v>77891</v>
      </c>
      <c r="AL33" s="65">
        <v>4928618</v>
      </c>
      <c r="AM33" s="65">
        <v>20268</v>
      </c>
      <c r="AN33" s="65">
        <v>8551</v>
      </c>
      <c r="AO33" s="65">
        <v>32955</v>
      </c>
      <c r="AP33" s="65">
        <v>5806</v>
      </c>
      <c r="AQ33" s="65">
        <v>2098</v>
      </c>
      <c r="AR33" s="65">
        <v>1240</v>
      </c>
      <c r="AS33" s="65">
        <v>34970</v>
      </c>
      <c r="AT33" s="65">
        <v>34970</v>
      </c>
      <c r="AU33" s="65">
        <v>5410260</v>
      </c>
      <c r="AX33" s="65">
        <v>309339</v>
      </c>
      <c r="AY33" s="65">
        <v>4142578</v>
      </c>
      <c r="AZ33" s="65">
        <v>4451917</v>
      </c>
      <c r="BA33" s="65">
        <v>35000</v>
      </c>
      <c r="BB33" s="65">
        <v>753000</v>
      </c>
      <c r="BC33" s="65">
        <v>5155</v>
      </c>
      <c r="BD33" s="65">
        <v>1266</v>
      </c>
      <c r="BE33" s="65">
        <v>43855</v>
      </c>
      <c r="BF33" s="65">
        <v>5290193</v>
      </c>
      <c r="BJ33" s="65">
        <v>5063</v>
      </c>
      <c r="BK33" s="65">
        <v>296042</v>
      </c>
      <c r="BL33" s="65" t="e">
        <v>#N/A</v>
      </c>
      <c r="BM33" s="65">
        <v>265833</v>
      </c>
      <c r="BN33" s="65">
        <v>-24644</v>
      </c>
      <c r="BO33" s="65">
        <v>533526</v>
      </c>
      <c r="BP33" s="65">
        <v>5823719</v>
      </c>
      <c r="BQ33" s="65" t="e">
        <v>#N/A</v>
      </c>
      <c r="BT33" s="65">
        <v>5063</v>
      </c>
    </row>
    <row r="34" spans="2:72">
      <c r="B34" s="63" t="s">
        <v>94</v>
      </c>
      <c r="C34" s="299"/>
      <c r="D34" s="299"/>
      <c r="E34" s="299"/>
      <c r="F34" s="139" t="s">
        <v>130</v>
      </c>
      <c r="G34" s="139"/>
      <c r="H34" s="139"/>
      <c r="I34" s="139"/>
      <c r="J34" s="300"/>
      <c r="K34" s="300"/>
      <c r="L34" s="300"/>
      <c r="M34" s="300"/>
      <c r="N34" s="89"/>
      <c r="O34" s="84"/>
      <c r="P34" s="84"/>
      <c r="Q34" s="84"/>
      <c r="R34" s="84"/>
      <c r="S34" s="66"/>
      <c r="T34" s="66">
        <v>622750</v>
      </c>
      <c r="U34" s="66">
        <v>628172</v>
      </c>
      <c r="V34" s="66">
        <v>486627</v>
      </c>
      <c r="W34" s="65">
        <v>222774</v>
      </c>
      <c r="Y34" s="66">
        <v>3</v>
      </c>
      <c r="Z34" s="66">
        <v>42735</v>
      </c>
      <c r="AA34" s="66">
        <v>486627</v>
      </c>
      <c r="AB34" s="66">
        <v>100</v>
      </c>
      <c r="AC34" s="66">
        <v>486727</v>
      </c>
      <c r="AD34" s="66"/>
      <c r="AE34" s="66"/>
      <c r="AF34" s="66"/>
      <c r="AG34" s="66">
        <v>7584</v>
      </c>
      <c r="AH34" s="66">
        <v>265447</v>
      </c>
      <c r="AI34" s="66">
        <v>57123</v>
      </c>
      <c r="AJ34" s="66">
        <v>20871</v>
      </c>
      <c r="AK34" s="66">
        <v>33530</v>
      </c>
      <c r="AL34" s="66">
        <v>6354679</v>
      </c>
      <c r="AM34" s="66">
        <v>26201</v>
      </c>
      <c r="AN34" s="66">
        <v>13995</v>
      </c>
      <c r="AO34" s="66">
        <v>39171</v>
      </c>
      <c r="AP34" s="66">
        <v>5990</v>
      </c>
      <c r="AQ34" s="66">
        <v>3943</v>
      </c>
      <c r="AR34" s="66">
        <v>252</v>
      </c>
      <c r="AS34" s="66">
        <v>86667</v>
      </c>
      <c r="AT34" s="66">
        <v>86667</v>
      </c>
      <c r="AU34" s="66">
        <v>7002120</v>
      </c>
      <c r="AV34" s="66"/>
      <c r="AW34" s="66"/>
      <c r="AX34" s="65">
        <v>588774</v>
      </c>
      <c r="AY34" s="65">
        <v>5455277</v>
      </c>
      <c r="AZ34" s="65">
        <v>6044051</v>
      </c>
      <c r="BA34" s="65">
        <v>35000</v>
      </c>
      <c r="BB34" s="65">
        <v>727000</v>
      </c>
      <c r="BC34" s="65">
        <v>58066</v>
      </c>
      <c r="BD34" s="65">
        <v>1667</v>
      </c>
      <c r="BE34" s="65">
        <v>51980</v>
      </c>
      <c r="BF34" s="65">
        <v>6917764</v>
      </c>
      <c r="BJ34" s="65">
        <v>5063</v>
      </c>
      <c r="BK34" s="65">
        <v>331156</v>
      </c>
      <c r="BL34" s="65" t="e">
        <v>#N/A</v>
      </c>
      <c r="BM34" s="65">
        <v>384815</v>
      </c>
      <c r="BN34" s="65">
        <v>-30785</v>
      </c>
      <c r="BO34" s="65">
        <v>683590</v>
      </c>
      <c r="BP34" s="65">
        <v>7601354</v>
      </c>
      <c r="BQ34" s="65" t="e">
        <v>#N/A</v>
      </c>
      <c r="BT34" s="65">
        <v>5063</v>
      </c>
    </row>
    <row r="35" spans="2:72">
      <c r="C35" s="82" t="s">
        <v>17</v>
      </c>
      <c r="D35" s="82"/>
      <c r="E35" s="82"/>
      <c r="F35" s="136">
        <v>309.339</v>
      </c>
      <c r="G35" s="136">
        <v>588.774</v>
      </c>
      <c r="H35" s="136">
        <v>848.54399999999998</v>
      </c>
      <c r="I35" s="136">
        <v>1015.355</v>
      </c>
      <c r="J35" s="114"/>
      <c r="K35" s="114"/>
      <c r="L35" s="115"/>
      <c r="M35" s="115"/>
      <c r="N35" s="84"/>
      <c r="O35" s="84">
        <f t="shared" si="1"/>
        <v>0.30933900000000003</v>
      </c>
      <c r="P35" s="84">
        <f t="shared" si="7"/>
        <v>0.58877400000000002</v>
      </c>
      <c r="Q35" s="84">
        <f t="shared" si="8"/>
        <v>0.84854399999999996</v>
      </c>
      <c r="R35" s="84">
        <f t="shared" si="9"/>
        <v>1.015355</v>
      </c>
      <c r="S35" s="66"/>
      <c r="T35" s="66">
        <v>100</v>
      </c>
      <c r="U35" s="66">
        <v>15369</v>
      </c>
      <c r="V35" s="66">
        <v>100</v>
      </c>
      <c r="W35" s="65">
        <v>100</v>
      </c>
      <c r="Y35" s="66">
        <v>2</v>
      </c>
      <c r="Z35" s="66">
        <v>43100</v>
      </c>
      <c r="AA35" s="66">
        <v>628172</v>
      </c>
      <c r="AB35" s="66">
        <v>15369</v>
      </c>
      <c r="AC35" s="66">
        <v>643541</v>
      </c>
      <c r="AD35" s="66"/>
      <c r="AE35" s="66"/>
      <c r="AF35" s="66"/>
      <c r="AG35" s="66">
        <v>8327</v>
      </c>
      <c r="AH35" s="66">
        <v>264470</v>
      </c>
      <c r="AI35" s="66">
        <v>63207</v>
      </c>
      <c r="AJ35" s="66">
        <v>18738</v>
      </c>
      <c r="AK35" s="66">
        <v>6669</v>
      </c>
      <c r="AL35" s="66">
        <v>7374493</v>
      </c>
      <c r="AM35" s="66">
        <v>20781</v>
      </c>
      <c r="AN35" s="66">
        <v>16659</v>
      </c>
      <c r="AO35" s="66">
        <v>34341</v>
      </c>
      <c r="AP35" s="66">
        <v>6174</v>
      </c>
      <c r="AQ35" s="66">
        <v>7200</v>
      </c>
      <c r="AR35" s="66">
        <v>1413</v>
      </c>
      <c r="AS35" s="66">
        <v>0</v>
      </c>
      <c r="AT35" s="66">
        <v>35667</v>
      </c>
      <c r="AU35" s="66">
        <v>7858139</v>
      </c>
      <c r="AV35" s="66"/>
      <c r="AW35" s="66"/>
      <c r="AX35" s="65">
        <v>848544</v>
      </c>
      <c r="AY35" s="65">
        <v>6050963</v>
      </c>
      <c r="AZ35" s="65">
        <v>6899507</v>
      </c>
      <c r="BA35" s="65">
        <v>20000</v>
      </c>
      <c r="BB35" s="65">
        <v>640000</v>
      </c>
      <c r="BC35" s="65">
        <v>54463</v>
      </c>
      <c r="BD35" s="65">
        <v>1284</v>
      </c>
      <c r="BE35" s="65">
        <v>52179</v>
      </c>
      <c r="BF35" s="65">
        <v>7667433</v>
      </c>
      <c r="BG35" s="65" t="s">
        <v>8</v>
      </c>
      <c r="BJ35" s="65">
        <v>651</v>
      </c>
      <c r="BK35" s="65">
        <v>346117</v>
      </c>
      <c r="BL35" s="65">
        <v>487</v>
      </c>
      <c r="BM35" s="65">
        <v>519246</v>
      </c>
      <c r="BN35" s="65">
        <v>-37317</v>
      </c>
      <c r="BO35" s="65">
        <v>834247</v>
      </c>
      <c r="BP35" s="65">
        <v>8501680</v>
      </c>
      <c r="BT35" s="65">
        <v>5063</v>
      </c>
    </row>
    <row r="36" spans="2:72">
      <c r="C36" s="97" t="s">
        <v>16</v>
      </c>
      <c r="D36" s="97"/>
      <c r="E36" s="97"/>
      <c r="F36" s="140">
        <v>4142.5780000000004</v>
      </c>
      <c r="G36" s="140">
        <v>5455.277</v>
      </c>
      <c r="H36" s="140">
        <v>6050.9629999999997</v>
      </c>
      <c r="I36" s="140">
        <v>6969.9949999999999</v>
      </c>
      <c r="J36" s="116"/>
      <c r="K36" s="116"/>
      <c r="L36" s="117"/>
      <c r="M36" s="117"/>
      <c r="N36" s="98"/>
      <c r="O36" s="84">
        <f t="shared" si="1"/>
        <v>4.1425780000000003</v>
      </c>
      <c r="P36" s="84">
        <f t="shared" si="7"/>
        <v>5.4552770000000006</v>
      </c>
      <c r="Q36" s="84">
        <f t="shared" si="8"/>
        <v>6.0509629999999994</v>
      </c>
      <c r="R36" s="84">
        <f t="shared" si="9"/>
        <v>6.9699949999999999</v>
      </c>
      <c r="S36" s="66"/>
      <c r="T36" s="66">
        <v>622850</v>
      </c>
      <c r="U36" s="66">
        <v>643541</v>
      </c>
      <c r="V36" s="66">
        <v>486727</v>
      </c>
      <c r="W36" s="65">
        <v>222874</v>
      </c>
      <c r="Y36" s="66">
        <v>1</v>
      </c>
      <c r="Z36" s="81">
        <v>43465</v>
      </c>
      <c r="AA36" s="66">
        <v>622750</v>
      </c>
      <c r="AB36" s="66">
        <v>100</v>
      </c>
      <c r="AC36" s="66">
        <v>622850</v>
      </c>
      <c r="AD36" s="66"/>
      <c r="AE36" s="66"/>
      <c r="AF36" s="66"/>
      <c r="AG36" s="66">
        <v>0</v>
      </c>
      <c r="AH36" s="66">
        <v>180305</v>
      </c>
      <c r="AI36" s="66">
        <v>17250</v>
      </c>
      <c r="AJ36" s="66">
        <v>35077</v>
      </c>
      <c r="AK36" s="66">
        <v>2686</v>
      </c>
      <c r="AL36" s="81">
        <v>8432289</v>
      </c>
      <c r="AM36" s="66">
        <v>26729</v>
      </c>
      <c r="AN36" s="66">
        <v>21454</v>
      </c>
      <c r="AO36" s="66">
        <v>17957</v>
      </c>
      <c r="AP36" s="66">
        <v>6358</v>
      </c>
      <c r="AQ36" s="66">
        <v>10752</v>
      </c>
      <c r="AR36" s="66">
        <v>9591</v>
      </c>
      <c r="AS36" s="66">
        <v>67788</v>
      </c>
      <c r="AT36" s="66">
        <v>88418</v>
      </c>
      <c r="AU36" s="66">
        <v>8916654</v>
      </c>
      <c r="AV36" s="66"/>
      <c r="AW36" s="66"/>
      <c r="AX36" s="65">
        <v>1015355</v>
      </c>
      <c r="AY36" s="65">
        <v>6969995</v>
      </c>
      <c r="AZ36" s="65">
        <v>7985350</v>
      </c>
      <c r="BA36" s="65">
        <v>0</v>
      </c>
      <c r="BB36" s="65">
        <v>457000</v>
      </c>
      <c r="BC36" s="65">
        <v>54552</v>
      </c>
      <c r="BD36" s="65">
        <v>1753</v>
      </c>
      <c r="BE36" s="65">
        <v>80336</v>
      </c>
      <c r="BF36" s="65">
        <v>8578991</v>
      </c>
      <c r="BG36" s="65" t="s">
        <v>8</v>
      </c>
      <c r="BJ36" s="65">
        <v>658</v>
      </c>
      <c r="BK36" s="65">
        <v>366515</v>
      </c>
      <c r="BL36" s="65">
        <v>-613</v>
      </c>
      <c r="BM36" s="65">
        <v>671348</v>
      </c>
      <c r="BN36" s="65">
        <v>-82458</v>
      </c>
      <c r="BO36" s="65">
        <v>960513</v>
      </c>
      <c r="BP36" s="65">
        <v>9539504</v>
      </c>
      <c r="BT36" s="65">
        <v>5063</v>
      </c>
    </row>
    <row r="37" spans="2:72" ht="15" thickBot="1">
      <c r="C37" s="169" t="s">
        <v>15</v>
      </c>
      <c r="D37" s="99"/>
      <c r="E37" s="99"/>
      <c r="F37" s="141">
        <v>4451.9170000000004</v>
      </c>
      <c r="G37" s="141">
        <v>6044.0510000000004</v>
      </c>
      <c r="H37" s="141">
        <v>6899.5070000000005</v>
      </c>
      <c r="I37" s="141">
        <v>7985.35</v>
      </c>
      <c r="J37" s="118"/>
      <c r="K37" s="118"/>
      <c r="L37" s="119"/>
      <c r="M37" s="119"/>
      <c r="N37" s="98"/>
      <c r="O37" s="84">
        <f t="shared" si="1"/>
        <v>4.4519170000000008</v>
      </c>
      <c r="P37" s="84">
        <f t="shared" si="7"/>
        <v>6.0440510000000005</v>
      </c>
      <c r="Q37" s="84">
        <f t="shared" si="8"/>
        <v>6.8995070000000007</v>
      </c>
      <c r="R37" s="84">
        <f t="shared" si="9"/>
        <v>7.9853500000000004</v>
      </c>
      <c r="S37" s="66"/>
      <c r="T37" s="66"/>
      <c r="U37" s="66"/>
      <c r="V37" s="66"/>
    </row>
    <row r="38" spans="2:72" ht="15" thickTop="1">
      <c r="C38" s="82" t="s">
        <v>14</v>
      </c>
      <c r="D38" s="82"/>
      <c r="E38" s="82"/>
      <c r="F38" s="136">
        <v>35</v>
      </c>
      <c r="G38" s="136">
        <v>35</v>
      </c>
      <c r="H38" s="136">
        <v>20</v>
      </c>
      <c r="I38" s="136">
        <v>0</v>
      </c>
      <c r="J38" s="114"/>
      <c r="K38" s="114"/>
      <c r="L38" s="115"/>
      <c r="M38" s="115"/>
      <c r="N38" s="84"/>
      <c r="O38" s="84">
        <f t="shared" si="1"/>
        <v>3.5000000000000003E-2</v>
      </c>
      <c r="P38" s="84">
        <f t="shared" si="7"/>
        <v>3.5000000000000003E-2</v>
      </c>
      <c r="Q38" s="84">
        <f t="shared" si="8"/>
        <v>0.02</v>
      </c>
      <c r="R38" s="84">
        <f t="shared" si="9"/>
        <v>0</v>
      </c>
      <c r="S38" s="66"/>
      <c r="T38" s="66"/>
      <c r="U38" s="66"/>
      <c r="V38" s="66"/>
    </row>
    <row r="39" spans="2:72">
      <c r="C39" s="82" t="s">
        <v>13</v>
      </c>
      <c r="D39" s="82"/>
      <c r="E39" s="82"/>
      <c r="F39" s="136">
        <v>753</v>
      </c>
      <c r="G39" s="136">
        <v>727</v>
      </c>
      <c r="H39" s="136">
        <v>640</v>
      </c>
      <c r="I39" s="136">
        <v>457</v>
      </c>
      <c r="J39" s="114"/>
      <c r="K39" s="114"/>
      <c r="L39" s="115"/>
      <c r="M39" s="115"/>
      <c r="N39" s="84"/>
      <c r="O39" s="84">
        <f t="shared" si="1"/>
        <v>0.753</v>
      </c>
      <c r="P39" s="84">
        <f t="shared" si="7"/>
        <v>0.72699999999999998</v>
      </c>
      <c r="Q39" s="84">
        <f t="shared" si="8"/>
        <v>0.64</v>
      </c>
      <c r="R39" s="84">
        <f t="shared" si="9"/>
        <v>0.45700000000000002</v>
      </c>
      <c r="S39" s="66"/>
      <c r="T39" s="66"/>
      <c r="U39" s="66"/>
      <c r="V39" s="66"/>
    </row>
    <row r="40" spans="2:72">
      <c r="C40" s="82" t="s">
        <v>12</v>
      </c>
      <c r="D40" s="82"/>
      <c r="E40" s="82"/>
      <c r="F40" s="136">
        <v>5.1550000000000002</v>
      </c>
      <c r="G40" s="136">
        <v>58.066000000000003</v>
      </c>
      <c r="H40" s="136">
        <v>54.463000000000001</v>
      </c>
      <c r="I40" s="136">
        <v>54.552</v>
      </c>
      <c r="J40" s="114"/>
      <c r="K40" s="114"/>
      <c r="L40" s="115"/>
      <c r="M40" s="115"/>
      <c r="N40" s="84"/>
      <c r="O40" s="84">
        <f t="shared" si="1"/>
        <v>5.1550000000000007E-3</v>
      </c>
      <c r="P40" s="84">
        <f t="shared" si="7"/>
        <v>5.8066000000000006E-2</v>
      </c>
      <c r="Q40" s="84">
        <f t="shared" si="8"/>
        <v>5.4463000000000004E-2</v>
      </c>
      <c r="R40" s="84">
        <f t="shared" si="9"/>
        <v>5.4552000000000003E-2</v>
      </c>
      <c r="S40" s="66"/>
      <c r="T40" s="66">
        <v>0</v>
      </c>
      <c r="U40" s="66">
        <v>8327</v>
      </c>
      <c r="V40" s="66">
        <v>7584</v>
      </c>
      <c r="W40" s="65">
        <v>7832</v>
      </c>
    </row>
    <row r="41" spans="2:72">
      <c r="C41" s="82" t="s">
        <v>11</v>
      </c>
      <c r="D41" s="82"/>
      <c r="E41" s="82"/>
      <c r="F41" s="136">
        <v>1.266</v>
      </c>
      <c r="G41" s="136">
        <v>1.667</v>
      </c>
      <c r="H41" s="136">
        <v>1.284</v>
      </c>
      <c r="I41" s="136">
        <v>1.7530000000000001</v>
      </c>
      <c r="J41" s="114"/>
      <c r="K41" s="114"/>
      <c r="L41" s="115"/>
      <c r="M41" s="115"/>
      <c r="N41" s="84"/>
      <c r="O41" s="84">
        <f t="shared" si="1"/>
        <v>1.266E-3</v>
      </c>
      <c r="P41" s="84">
        <f t="shared" si="7"/>
        <v>1.6670000000000001E-3</v>
      </c>
      <c r="Q41" s="84">
        <f t="shared" si="8"/>
        <v>1.284E-3</v>
      </c>
      <c r="R41" s="84">
        <f t="shared" si="9"/>
        <v>1.7530000000000002E-3</v>
      </c>
      <c r="S41" s="66"/>
      <c r="T41" s="66">
        <v>180305</v>
      </c>
      <c r="U41" s="66">
        <v>264470</v>
      </c>
      <c r="V41" s="66">
        <v>265447</v>
      </c>
      <c r="W41" s="65">
        <v>163361</v>
      </c>
    </row>
    <row r="42" spans="2:72">
      <c r="C42" s="97" t="s">
        <v>10</v>
      </c>
      <c r="D42" s="97"/>
      <c r="E42" s="97"/>
      <c r="F42" s="140">
        <v>43.855000000000004</v>
      </c>
      <c r="G42" s="140">
        <v>51.980000000000004</v>
      </c>
      <c r="H42" s="140">
        <v>52.179000000000002</v>
      </c>
      <c r="I42" s="140">
        <v>80.335999999999999</v>
      </c>
      <c r="J42" s="116"/>
      <c r="K42" s="116"/>
      <c r="L42" s="117"/>
      <c r="M42" s="117"/>
      <c r="N42" s="84"/>
      <c r="O42" s="84">
        <f t="shared" si="1"/>
        <v>4.3855000000000005E-2</v>
      </c>
      <c r="P42" s="84">
        <f t="shared" si="7"/>
        <v>5.1980000000000005E-2</v>
      </c>
      <c r="Q42" s="84">
        <f t="shared" si="8"/>
        <v>5.2179000000000003E-2</v>
      </c>
      <c r="R42" s="84">
        <f t="shared" si="9"/>
        <v>8.0336000000000005E-2</v>
      </c>
      <c r="S42" s="66"/>
      <c r="T42" s="66">
        <v>17250</v>
      </c>
      <c r="U42" s="66">
        <v>63207</v>
      </c>
      <c r="V42" s="66">
        <v>57123</v>
      </c>
      <c r="W42" s="65">
        <v>66270</v>
      </c>
    </row>
    <row r="43" spans="2:72" ht="15" thickBot="1">
      <c r="C43" s="170" t="s">
        <v>9</v>
      </c>
      <c r="D43" s="160"/>
      <c r="E43" s="160"/>
      <c r="F43" s="161">
        <v>5290.1930000000002</v>
      </c>
      <c r="G43" s="161">
        <v>6915.7640000000001</v>
      </c>
      <c r="H43" s="161">
        <v>7667.433</v>
      </c>
      <c r="I43" s="161">
        <v>8578.991</v>
      </c>
      <c r="J43" s="162"/>
      <c r="K43" s="162"/>
      <c r="L43" s="163"/>
      <c r="M43" s="163"/>
      <c r="N43" s="84"/>
      <c r="O43" s="84">
        <f t="shared" si="1"/>
        <v>5.2901930000000004</v>
      </c>
      <c r="P43" s="84">
        <f t="shared" si="7"/>
        <v>6.9157640000000002</v>
      </c>
      <c r="Q43" s="84">
        <f t="shared" si="8"/>
        <v>7.6674329999999999</v>
      </c>
      <c r="R43" s="84">
        <f t="shared" si="9"/>
        <v>8.5789910000000003</v>
      </c>
      <c r="S43" s="66"/>
      <c r="T43" s="66">
        <v>35077</v>
      </c>
      <c r="U43" s="66">
        <v>18738</v>
      </c>
      <c r="V43" s="66">
        <v>20871</v>
      </c>
      <c r="W43" s="65">
        <v>25430</v>
      </c>
    </row>
    <row r="44" spans="2:72" ht="15" thickTop="1">
      <c r="C44" s="82"/>
      <c r="D44" s="82"/>
      <c r="E44" s="82"/>
      <c r="F44" s="125"/>
      <c r="G44" s="125"/>
      <c r="H44" s="125"/>
      <c r="I44" s="125"/>
      <c r="J44" s="93"/>
      <c r="K44" s="93"/>
      <c r="L44" s="87"/>
      <c r="M44" s="87"/>
      <c r="N44" s="87"/>
      <c r="O44" s="84"/>
      <c r="P44" s="84"/>
      <c r="Q44" s="84"/>
      <c r="R44" s="84"/>
      <c r="S44" s="81"/>
      <c r="T44" s="81">
        <v>8432289</v>
      </c>
      <c r="U44" s="66">
        <v>7374493</v>
      </c>
      <c r="V44" s="66">
        <v>6354679</v>
      </c>
      <c r="W44" s="65">
        <v>4928618</v>
      </c>
    </row>
    <row r="45" spans="2:72">
      <c r="B45" s="63" t="s">
        <v>70</v>
      </c>
      <c r="C45" s="299"/>
      <c r="D45" s="301"/>
      <c r="E45" s="301"/>
      <c r="F45" s="139"/>
      <c r="G45" s="139"/>
      <c r="H45" s="139"/>
      <c r="I45" s="139"/>
      <c r="J45" s="300"/>
      <c r="K45" s="300"/>
      <c r="L45" s="300"/>
      <c r="M45" s="300"/>
      <c r="N45" s="89"/>
      <c r="O45" s="84"/>
      <c r="P45" s="84"/>
      <c r="Q45" s="84"/>
      <c r="R45" s="84"/>
      <c r="S45" s="66"/>
      <c r="T45" s="66">
        <v>26729</v>
      </c>
      <c r="U45" s="66">
        <v>20781</v>
      </c>
      <c r="V45" s="66">
        <v>26201</v>
      </c>
      <c r="W45" s="65">
        <v>20268</v>
      </c>
    </row>
    <row r="46" spans="2:72" ht="57.6">
      <c r="C46" s="82" t="s">
        <v>7</v>
      </c>
      <c r="D46" s="82"/>
      <c r="E46" s="82"/>
      <c r="F46" s="143">
        <v>5.0629999999999997</v>
      </c>
      <c r="G46" s="143">
        <v>5.0629999999999997</v>
      </c>
      <c r="H46" s="143">
        <v>0.65100000000000002</v>
      </c>
      <c r="I46" s="143">
        <v>0.65800000000000003</v>
      </c>
      <c r="J46" s="120"/>
      <c r="K46" s="120"/>
      <c r="L46" s="121"/>
      <c r="M46" s="121"/>
      <c r="N46" s="96"/>
      <c r="O46" s="84">
        <f t="shared" si="1"/>
        <v>5.0629999999999998E-3</v>
      </c>
      <c r="P46" s="84">
        <f t="shared" si="7"/>
        <v>5.0629999999999998E-3</v>
      </c>
      <c r="Q46" s="84">
        <f t="shared" si="8"/>
        <v>6.5099999999999999E-4</v>
      </c>
      <c r="R46" s="84">
        <f t="shared" si="9"/>
        <v>6.5800000000000006E-4</v>
      </c>
      <c r="S46" s="66"/>
      <c r="T46" s="66">
        <v>21454</v>
      </c>
      <c r="U46" s="66">
        <v>16659</v>
      </c>
      <c r="V46" s="66">
        <v>13995</v>
      </c>
      <c r="W46" s="65">
        <v>8551</v>
      </c>
    </row>
    <row r="47" spans="2:72">
      <c r="C47" s="82" t="s">
        <v>6</v>
      </c>
      <c r="D47" s="82"/>
      <c r="E47" s="82"/>
      <c r="F47" s="143">
        <v>296.04200000000003</v>
      </c>
      <c r="G47" s="143">
        <v>331.15600000000001</v>
      </c>
      <c r="H47" s="143">
        <v>346.11700000000002</v>
      </c>
      <c r="I47" s="143">
        <v>366.51499999999999</v>
      </c>
      <c r="J47" s="120"/>
      <c r="K47" s="120"/>
      <c r="L47" s="122"/>
      <c r="M47" s="122"/>
      <c r="N47" s="87"/>
      <c r="O47" s="84">
        <f t="shared" si="1"/>
        <v>0.29604200000000003</v>
      </c>
      <c r="P47" s="84">
        <f t="shared" si="7"/>
        <v>0.33115600000000001</v>
      </c>
      <c r="Q47" s="84">
        <f t="shared" si="8"/>
        <v>0.34611700000000001</v>
      </c>
      <c r="R47" s="84">
        <f t="shared" si="9"/>
        <v>0.36651499999999998</v>
      </c>
      <c r="S47" s="66"/>
      <c r="T47" s="66">
        <v>17957</v>
      </c>
      <c r="U47" s="66">
        <v>34341</v>
      </c>
      <c r="V47" s="66">
        <v>39171</v>
      </c>
      <c r="W47" s="65">
        <v>32955</v>
      </c>
    </row>
    <row r="48" spans="2:72">
      <c r="C48" s="82" t="s">
        <v>5</v>
      </c>
      <c r="D48" s="82"/>
      <c r="E48" s="82"/>
      <c r="F48" s="143">
        <v>0</v>
      </c>
      <c r="G48" s="143">
        <v>0</v>
      </c>
      <c r="H48" s="143">
        <v>0.48699999999999999</v>
      </c>
      <c r="I48" s="143">
        <v>-0.61299999999999999</v>
      </c>
      <c r="J48" s="120"/>
      <c r="K48" s="120"/>
      <c r="L48" s="122"/>
      <c r="M48" s="122"/>
      <c r="N48" s="87"/>
      <c r="O48" s="84">
        <f t="shared" si="1"/>
        <v>0</v>
      </c>
      <c r="P48" s="84">
        <f t="shared" si="7"/>
        <v>0</v>
      </c>
      <c r="Q48" s="84">
        <f t="shared" si="8"/>
        <v>4.8700000000000002E-4</v>
      </c>
      <c r="R48" s="84">
        <f t="shared" si="9"/>
        <v>-6.1300000000000005E-4</v>
      </c>
      <c r="S48" s="66"/>
      <c r="T48" s="66">
        <v>6358</v>
      </c>
      <c r="U48" s="66">
        <v>6174</v>
      </c>
      <c r="V48" s="66">
        <v>5990</v>
      </c>
      <c r="W48" s="65">
        <v>5806</v>
      </c>
    </row>
    <row r="49" spans="2:23">
      <c r="C49" s="82" t="s">
        <v>4</v>
      </c>
      <c r="D49" s="82"/>
      <c r="E49" s="82"/>
      <c r="F49" s="143">
        <v>265.83300000000003</v>
      </c>
      <c r="G49" s="143">
        <v>384.815</v>
      </c>
      <c r="H49" s="143">
        <v>519.24599999999998</v>
      </c>
      <c r="I49" s="143">
        <v>671.34800000000007</v>
      </c>
      <c r="J49" s="120"/>
      <c r="K49" s="120"/>
      <c r="L49" s="122"/>
      <c r="M49" s="122"/>
      <c r="N49" s="87"/>
      <c r="O49" s="84">
        <f t="shared" si="1"/>
        <v>0.26583300000000004</v>
      </c>
      <c r="P49" s="84">
        <f t="shared" si="7"/>
        <v>0.38481500000000002</v>
      </c>
      <c r="Q49" s="84">
        <f t="shared" si="8"/>
        <v>0.51924599999999999</v>
      </c>
      <c r="R49" s="84">
        <f t="shared" si="9"/>
        <v>0.67134800000000006</v>
      </c>
      <c r="S49" s="66"/>
      <c r="T49" s="66">
        <v>10752</v>
      </c>
      <c r="U49" s="66">
        <v>7200</v>
      </c>
      <c r="V49" s="66">
        <v>3943</v>
      </c>
      <c r="W49" s="65">
        <v>2098</v>
      </c>
    </row>
    <row r="50" spans="2:23" ht="28.8">
      <c r="C50" s="97" t="s">
        <v>3</v>
      </c>
      <c r="D50" s="97"/>
      <c r="E50" s="97"/>
      <c r="F50" s="323">
        <v>-24.644000000000002</v>
      </c>
      <c r="G50" s="323">
        <v>-30.785</v>
      </c>
      <c r="H50" s="323">
        <v>-37.317</v>
      </c>
      <c r="I50" s="323">
        <v>-82.457999999999998</v>
      </c>
      <c r="J50" s="324"/>
      <c r="K50" s="324"/>
      <c r="L50" s="325"/>
      <c r="M50" s="325"/>
      <c r="N50" s="96"/>
      <c r="O50" s="84">
        <f t="shared" si="1"/>
        <v>-2.4644000000000003E-2</v>
      </c>
      <c r="P50" s="84">
        <f t="shared" si="7"/>
        <v>-3.0785E-2</v>
      </c>
      <c r="Q50" s="84">
        <f t="shared" si="8"/>
        <v>-3.7317000000000003E-2</v>
      </c>
      <c r="R50" s="84">
        <f t="shared" si="9"/>
        <v>-8.2458000000000004E-2</v>
      </c>
      <c r="S50" s="66"/>
      <c r="T50" s="66">
        <v>9591</v>
      </c>
      <c r="U50" s="66">
        <v>1413</v>
      </c>
      <c r="V50" s="66">
        <v>252</v>
      </c>
      <c r="W50" s="65">
        <v>1240</v>
      </c>
    </row>
    <row r="51" spans="2:23" ht="15" thickBot="1">
      <c r="C51" s="160" t="s">
        <v>2</v>
      </c>
      <c r="D51" s="160"/>
      <c r="E51" s="160"/>
      <c r="F51" s="322">
        <v>533.52599999999995</v>
      </c>
      <c r="G51" s="322">
        <v>683.59</v>
      </c>
      <c r="H51" s="322">
        <v>834.24700000000007</v>
      </c>
      <c r="I51" s="322">
        <v>960.51300000000003</v>
      </c>
      <c r="J51" s="326"/>
      <c r="K51" s="326"/>
      <c r="L51" s="327"/>
      <c r="M51" s="327"/>
      <c r="N51" s="87"/>
      <c r="O51" s="84">
        <f t="shared" si="1"/>
        <v>0.53352599999999994</v>
      </c>
      <c r="P51" s="84">
        <f t="shared" si="7"/>
        <v>0.68359000000000003</v>
      </c>
      <c r="Q51" s="84">
        <f t="shared" si="8"/>
        <v>0.83424700000000007</v>
      </c>
      <c r="R51" s="84">
        <f t="shared" si="9"/>
        <v>0.96051300000000006</v>
      </c>
      <c r="S51" s="66"/>
      <c r="T51" s="66">
        <v>67788</v>
      </c>
      <c r="U51" s="66">
        <v>0</v>
      </c>
      <c r="V51" s="66">
        <v>86667</v>
      </c>
      <c r="W51" s="65">
        <v>34970</v>
      </c>
    </row>
    <row r="52" spans="2:23" ht="15.6" thickTop="1" thickBot="1">
      <c r="C52" s="317" t="s">
        <v>1</v>
      </c>
      <c r="D52" s="318"/>
      <c r="E52" s="318"/>
      <c r="F52" s="319">
        <f>SUM(F51,F43)</f>
        <v>5823.7190000000001</v>
      </c>
      <c r="G52" s="319">
        <v>7601.3540000000003</v>
      </c>
      <c r="H52" s="319">
        <v>8501.68</v>
      </c>
      <c r="I52" s="319">
        <v>9539.5040000000008</v>
      </c>
      <c r="J52" s="320"/>
      <c r="K52" s="320"/>
      <c r="L52" s="321"/>
      <c r="M52" s="321"/>
      <c r="N52" s="87"/>
      <c r="O52" s="84">
        <f t="shared" si="1"/>
        <v>5.8237190000000005</v>
      </c>
      <c r="P52" s="84">
        <f t="shared" si="7"/>
        <v>7.6013540000000006</v>
      </c>
      <c r="Q52" s="84">
        <f t="shared" si="8"/>
        <v>8.5016800000000003</v>
      </c>
      <c r="R52" s="84">
        <f t="shared" si="9"/>
        <v>9.5395040000000009</v>
      </c>
      <c r="S52" s="66"/>
      <c r="T52" s="66">
        <v>88418</v>
      </c>
      <c r="U52" s="66">
        <v>35667</v>
      </c>
      <c r="V52" s="66">
        <v>86667</v>
      </c>
      <c r="W52" s="65">
        <v>34970</v>
      </c>
    </row>
    <row r="53" spans="2:23">
      <c r="C53" s="82" t="s">
        <v>131</v>
      </c>
      <c r="D53" s="82"/>
      <c r="E53" s="82"/>
      <c r="F53" s="145" t="str">
        <f>IF(F52=F32,"Yes","No")</f>
        <v>Yes</v>
      </c>
      <c r="G53" s="145" t="str">
        <f>IF(G52=G32,"Yes","No")</f>
        <v>Yes</v>
      </c>
      <c r="H53" s="145" t="str">
        <f>IF(H52=H32,"Yes","No")</f>
        <v>Yes</v>
      </c>
      <c r="I53" s="145" t="str">
        <f>IF(I52=I32,"Yes","No")</f>
        <v>Yes</v>
      </c>
      <c r="J53" s="122"/>
      <c r="K53" s="122"/>
      <c r="L53" s="122"/>
      <c r="M53" s="122"/>
      <c r="N53" s="87"/>
      <c r="O53" s="84" t="e">
        <f t="shared" si="1"/>
        <v>#VALUE!</v>
      </c>
      <c r="P53" s="84"/>
      <c r="Q53" s="84"/>
      <c r="R53" s="84"/>
      <c r="S53" s="66"/>
      <c r="T53" s="66">
        <v>8916654</v>
      </c>
      <c r="U53" s="66">
        <v>7858139</v>
      </c>
      <c r="V53" s="66">
        <v>7002120</v>
      </c>
      <c r="W53" s="65">
        <v>5410260</v>
      </c>
    </row>
    <row r="54" spans="2:23">
      <c r="C54" s="82"/>
      <c r="D54" s="82"/>
      <c r="E54" s="82"/>
      <c r="F54" s="145"/>
      <c r="G54" s="145"/>
      <c r="H54" s="145"/>
      <c r="I54" s="145"/>
      <c r="J54" s="122"/>
      <c r="K54" s="122"/>
      <c r="L54" s="122"/>
      <c r="M54" s="122"/>
      <c r="N54" s="87"/>
      <c r="O54" s="84"/>
      <c r="P54" s="84"/>
      <c r="Q54" s="84"/>
      <c r="R54" s="84"/>
      <c r="S54" s="66"/>
      <c r="T54" s="66"/>
      <c r="U54" s="66"/>
      <c r="V54" s="66"/>
    </row>
    <row r="55" spans="2:23">
      <c r="C55" s="82"/>
      <c r="D55" s="82"/>
      <c r="E55" s="82"/>
      <c r="F55" s="125"/>
      <c r="G55" s="125"/>
      <c r="H55" s="125"/>
      <c r="I55" s="125"/>
      <c r="J55" s="87"/>
      <c r="K55" s="87"/>
      <c r="L55" s="87"/>
      <c r="M55" s="87"/>
      <c r="N55" s="87"/>
      <c r="O55" s="84"/>
      <c r="P55" s="84"/>
      <c r="Q55" s="84"/>
      <c r="R55" s="84"/>
      <c r="S55" s="81"/>
      <c r="T55" s="66"/>
      <c r="U55" s="66"/>
      <c r="V55" s="66"/>
    </row>
    <row r="56" spans="2:23">
      <c r="B56" s="63" t="s">
        <v>71</v>
      </c>
      <c r="C56" s="64"/>
      <c r="D56" s="100"/>
      <c r="E56" s="100"/>
      <c r="F56" s="138"/>
      <c r="G56" s="138"/>
      <c r="H56" s="138"/>
      <c r="I56" s="138"/>
      <c r="J56" s="88"/>
      <c r="K56" s="88"/>
      <c r="L56" s="88"/>
      <c r="M56" s="88"/>
      <c r="N56" s="89"/>
      <c r="O56" s="84"/>
      <c r="P56" s="84"/>
      <c r="Q56" s="84"/>
      <c r="R56" s="84"/>
      <c r="S56" s="66"/>
      <c r="T56" s="66"/>
      <c r="U56" s="66"/>
      <c r="V56" s="66"/>
    </row>
    <row r="57" spans="2:23" ht="57.6">
      <c r="C57" s="82" t="s">
        <v>0</v>
      </c>
      <c r="D57" s="82"/>
      <c r="E57" s="82"/>
      <c r="F57" s="125">
        <v>5.0629999999999997</v>
      </c>
      <c r="G57" s="125">
        <v>5.0629999999999997</v>
      </c>
      <c r="H57" s="125">
        <v>5.0629999999999997</v>
      </c>
      <c r="I57" s="125">
        <v>5.0629999999999997</v>
      </c>
      <c r="J57" s="125">
        <v>5.0629999999999997</v>
      </c>
      <c r="K57" s="125">
        <v>5.0629999999999997</v>
      </c>
      <c r="L57" s="125">
        <v>5.0629999999999997</v>
      </c>
      <c r="M57" s="125">
        <v>5.0629999999999997</v>
      </c>
      <c r="N57" s="125"/>
      <c r="O57" s="84">
        <f t="shared" si="1"/>
        <v>5.0629999999999998E-3</v>
      </c>
      <c r="P57" s="84">
        <f t="shared" si="7"/>
        <v>5.0629999999999998E-3</v>
      </c>
      <c r="Q57" s="84">
        <f t="shared" si="8"/>
        <v>5.0629999999999998E-3</v>
      </c>
      <c r="R57" s="84">
        <f t="shared" si="9"/>
        <v>5.0629999999999998E-3</v>
      </c>
      <c r="T57" s="65">
        <v>1015355</v>
      </c>
      <c r="U57" s="65">
        <v>848544</v>
      </c>
      <c r="V57" s="65">
        <v>588774</v>
      </c>
      <c r="W57" s="65">
        <v>309339</v>
      </c>
    </row>
    <row r="59" spans="2:23">
      <c r="B59" s="101" t="s">
        <v>85</v>
      </c>
      <c r="C59" s="102"/>
      <c r="D59" s="102"/>
      <c r="E59" s="102"/>
      <c r="F59" s="146"/>
      <c r="G59" s="146"/>
      <c r="H59" s="146"/>
      <c r="I59" s="146"/>
      <c r="J59" s="102"/>
      <c r="K59" s="102"/>
      <c r="L59" s="102"/>
      <c r="M59" s="102"/>
      <c r="T59" s="65">
        <v>5063</v>
      </c>
      <c r="U59" s="65">
        <v>5063</v>
      </c>
      <c r="V59" s="65">
        <v>5063</v>
      </c>
      <c r="W59" s="65">
        <v>5063</v>
      </c>
    </row>
    <row r="60" spans="2:23">
      <c r="C60" s="65" t="s">
        <v>86</v>
      </c>
      <c r="F60" s="109">
        <v>5.0200000000000002E-2</v>
      </c>
      <c r="G60" s="109">
        <v>5.1200000000000002E-2</v>
      </c>
      <c r="H60" s="109">
        <v>5.2600000000000001E-2</v>
      </c>
      <c r="I60" s="109">
        <v>5.6599999999999998E-2</v>
      </c>
      <c r="J60" s="109"/>
      <c r="K60" s="109"/>
      <c r="L60" s="107"/>
      <c r="M60" s="107"/>
    </row>
    <row r="61" spans="2:23">
      <c r="C61" s="65" t="s">
        <v>91</v>
      </c>
      <c r="F61" s="109">
        <v>2.5000000000000001E-3</v>
      </c>
      <c r="G61" s="109">
        <v>4.1999999999999997E-3</v>
      </c>
      <c r="H61" s="109">
        <v>7.9000000000000001E-4</v>
      </c>
      <c r="I61" s="109">
        <v>1.54E-2</v>
      </c>
      <c r="J61" s="109"/>
      <c r="K61" s="107"/>
      <c r="L61" s="107"/>
      <c r="M61" s="107"/>
    </row>
    <row r="62" spans="2:23">
      <c r="C62" s="110" t="s">
        <v>92</v>
      </c>
      <c r="F62" s="109">
        <v>4.2500000000000003E-2</v>
      </c>
      <c r="G62" s="109">
        <v>4.2799999999999998E-2</v>
      </c>
      <c r="H62" s="109">
        <v>4.2900000000000001E-2</v>
      </c>
      <c r="I62" s="109">
        <v>5.4100000000000002E-2</v>
      </c>
      <c r="J62" s="109"/>
      <c r="K62" s="107"/>
      <c r="L62" s="107"/>
      <c r="M62" s="107"/>
    </row>
    <row r="63" spans="2:23">
      <c r="C63" s="167" t="s">
        <v>93</v>
      </c>
      <c r="D63" s="105"/>
      <c r="E63" s="105"/>
      <c r="F63" s="111">
        <v>0.1111</v>
      </c>
      <c r="G63" s="111">
        <v>9.11E-2</v>
      </c>
      <c r="H63" s="111">
        <v>0.1142</v>
      </c>
      <c r="I63" s="111">
        <v>7.0199999999999999E-2</v>
      </c>
      <c r="J63" s="111"/>
      <c r="K63" s="106"/>
      <c r="L63" s="106"/>
      <c r="M63" s="106"/>
    </row>
    <row r="64" spans="2:23" ht="15" thickBot="1">
      <c r="C64" s="168" t="s">
        <v>87</v>
      </c>
      <c r="D64" s="164"/>
      <c r="E64" s="164"/>
      <c r="F64" s="165">
        <v>4.82E-2</v>
      </c>
      <c r="G64" s="165">
        <v>4.7500000000000001E-2</v>
      </c>
      <c r="H64" s="166">
        <v>4.8899999999999999E-2</v>
      </c>
      <c r="I64" s="166">
        <v>5.2999999999999999E-2</v>
      </c>
      <c r="J64" s="165"/>
      <c r="K64" s="165"/>
      <c r="L64" s="165"/>
      <c r="M64" s="165"/>
    </row>
    <row r="65" spans="2:23" ht="15" thickTop="1">
      <c r="F65" s="107"/>
      <c r="G65" s="107"/>
      <c r="H65" s="109"/>
      <c r="I65" s="109"/>
      <c r="J65" s="107"/>
      <c r="K65" s="107"/>
      <c r="L65" s="107"/>
      <c r="M65" s="107"/>
    </row>
    <row r="66" spans="2:23">
      <c r="C66" s="65" t="s">
        <v>106</v>
      </c>
      <c r="F66" s="65"/>
      <c r="G66" s="107">
        <v>1.0500000000000001E-2</v>
      </c>
      <c r="H66" s="107">
        <v>1.15E-2</v>
      </c>
      <c r="I66" s="107">
        <v>1.5100000000000001E-2</v>
      </c>
      <c r="J66" s="107"/>
      <c r="K66" s="107"/>
      <c r="L66" s="107"/>
      <c r="M66" s="107"/>
    </row>
    <row r="67" spans="2:23">
      <c r="F67" s="107"/>
      <c r="G67" s="107"/>
      <c r="H67" s="107"/>
      <c r="I67" s="107"/>
      <c r="J67" s="107"/>
      <c r="K67" s="107"/>
      <c r="L67" s="107"/>
      <c r="M67" s="107"/>
    </row>
    <row r="68" spans="2:23">
      <c r="C68" s="65" t="s">
        <v>88</v>
      </c>
      <c r="F68" s="107"/>
      <c r="G68" s="107"/>
      <c r="H68" s="107"/>
      <c r="I68" s="107"/>
      <c r="J68" s="107"/>
      <c r="K68" s="107"/>
      <c r="L68" s="107"/>
      <c r="M68" s="107"/>
    </row>
    <row r="69" spans="2:23">
      <c r="G69" s="104"/>
      <c r="H69" s="104"/>
      <c r="I69" s="104"/>
      <c r="J69" s="104"/>
      <c r="K69" s="104"/>
      <c r="L69" s="103"/>
      <c r="M69" s="103"/>
    </row>
    <row r="70" spans="2:23">
      <c r="T70" s="65">
        <v>6969995</v>
      </c>
      <c r="U70" s="65">
        <v>6050963</v>
      </c>
      <c r="V70" s="65">
        <v>5455277</v>
      </c>
      <c r="W70" s="65">
        <v>4142578</v>
      </c>
    </row>
    <row r="71" spans="2:23">
      <c r="B71" s="77"/>
      <c r="C71" s="77"/>
      <c r="D71" s="77"/>
      <c r="E71" s="77"/>
      <c r="F71" s="147"/>
      <c r="G71" s="147"/>
      <c r="H71" s="147"/>
      <c r="I71" s="147"/>
      <c r="J71" s="77"/>
      <c r="K71" s="77"/>
      <c r="L71" s="77"/>
      <c r="M71" s="77"/>
      <c r="T71" s="65">
        <v>7985350</v>
      </c>
      <c r="U71" s="65">
        <v>6899507</v>
      </c>
      <c r="V71" s="65">
        <v>6044051</v>
      </c>
      <c r="W71" s="65">
        <v>4451917</v>
      </c>
    </row>
    <row r="72" spans="2:23">
      <c r="B72" s="101" t="s">
        <v>84</v>
      </c>
      <c r="C72" s="102"/>
      <c r="D72" s="77"/>
      <c r="E72" s="77"/>
      <c r="F72" s="148">
        <v>42369</v>
      </c>
      <c r="G72" s="148">
        <v>42735</v>
      </c>
      <c r="H72" s="148">
        <v>43100</v>
      </c>
      <c r="I72" s="148">
        <v>43465</v>
      </c>
      <c r="J72" s="108">
        <v>43830</v>
      </c>
      <c r="K72" s="108">
        <v>44196</v>
      </c>
      <c r="L72" s="108">
        <v>44561</v>
      </c>
      <c r="M72" s="108">
        <v>44926</v>
      </c>
      <c r="T72" s="65">
        <v>0</v>
      </c>
      <c r="U72" s="65">
        <v>20000</v>
      </c>
      <c r="V72" s="65">
        <v>35000</v>
      </c>
      <c r="W72" s="65">
        <v>35000</v>
      </c>
    </row>
    <row r="73" spans="2:23">
      <c r="B73" s="65" t="s">
        <v>72</v>
      </c>
      <c r="T73" s="65">
        <v>457000</v>
      </c>
      <c r="U73" s="65">
        <v>640000</v>
      </c>
      <c r="V73" s="65">
        <v>727000</v>
      </c>
      <c r="W73" s="65">
        <v>753000</v>
      </c>
    </row>
    <row r="74" spans="2:23">
      <c r="C74" s="65" t="s">
        <v>76</v>
      </c>
      <c r="F74" s="171">
        <f t="shared" ref="F74:M74" si="10">F60*F23</f>
        <v>247.41662360000004</v>
      </c>
      <c r="G74" s="171">
        <f t="shared" si="10"/>
        <v>325.35956480000004</v>
      </c>
      <c r="H74" s="171">
        <f t="shared" si="10"/>
        <v>387.89833180000005</v>
      </c>
      <c r="I74" s="171">
        <f t="shared" si="10"/>
        <v>477.26755740000004</v>
      </c>
      <c r="J74" s="172">
        <f t="shared" si="10"/>
        <v>0</v>
      </c>
      <c r="K74" s="172">
        <f t="shared" si="10"/>
        <v>0</v>
      </c>
      <c r="L74" s="172">
        <f t="shared" si="10"/>
        <v>0</v>
      </c>
      <c r="M74" s="172">
        <f t="shared" si="10"/>
        <v>0</v>
      </c>
      <c r="T74" s="65">
        <v>54552</v>
      </c>
      <c r="U74" s="65">
        <v>54463</v>
      </c>
      <c r="V74" s="65">
        <v>58066</v>
      </c>
      <c r="W74" s="65">
        <v>5155</v>
      </c>
    </row>
    <row r="75" spans="2:23">
      <c r="C75" s="65" t="s">
        <v>77</v>
      </c>
      <c r="F75" s="173">
        <v>-33.25</v>
      </c>
      <c r="G75" s="173">
        <f t="shared" ref="G75:M75" si="11">G36*G66</f>
        <v>57.280408500000007</v>
      </c>
      <c r="H75" s="173">
        <f t="shared" si="11"/>
        <v>69.586074499999995</v>
      </c>
      <c r="I75" s="173">
        <f t="shared" si="11"/>
        <v>105.24692450000001</v>
      </c>
      <c r="J75" s="173">
        <f t="shared" si="11"/>
        <v>0</v>
      </c>
      <c r="K75" s="173">
        <f t="shared" si="11"/>
        <v>0</v>
      </c>
      <c r="L75" s="173">
        <f t="shared" si="11"/>
        <v>0</v>
      </c>
      <c r="M75" s="173">
        <f t="shared" si="11"/>
        <v>0</v>
      </c>
      <c r="T75" s="65">
        <v>1753</v>
      </c>
      <c r="U75" s="65">
        <v>1284</v>
      </c>
      <c r="V75" s="65">
        <v>1667</v>
      </c>
      <c r="W75" s="65">
        <v>1266</v>
      </c>
    </row>
    <row r="76" spans="2:23" ht="15" thickBot="1">
      <c r="C76" s="180" t="s">
        <v>78</v>
      </c>
      <c r="D76" s="178"/>
      <c r="E76" s="178"/>
      <c r="F76" s="181">
        <f>F74-F75</f>
        <v>280.66662360000004</v>
      </c>
      <c r="G76" s="181">
        <f t="shared" ref="G76:M76" si="12">G74-G75</f>
        <v>268.07915630000002</v>
      </c>
      <c r="H76" s="181">
        <f t="shared" si="12"/>
        <v>318.31225730000006</v>
      </c>
      <c r="I76" s="181">
        <f t="shared" si="12"/>
        <v>372.02063290000001</v>
      </c>
      <c r="J76" s="181">
        <f t="shared" si="12"/>
        <v>0</v>
      </c>
      <c r="K76" s="181">
        <f t="shared" si="12"/>
        <v>0</v>
      </c>
      <c r="L76" s="181">
        <f t="shared" si="12"/>
        <v>0</v>
      </c>
      <c r="M76" s="181">
        <f t="shared" si="12"/>
        <v>0</v>
      </c>
      <c r="T76" s="65">
        <v>80336</v>
      </c>
      <c r="U76" s="65">
        <v>52179</v>
      </c>
      <c r="V76" s="65">
        <v>51980</v>
      </c>
      <c r="W76" s="65">
        <v>43855</v>
      </c>
    </row>
    <row r="77" spans="2:23" ht="15" thickTop="1">
      <c r="C77" s="174"/>
      <c r="F77" s="175"/>
      <c r="G77" s="175"/>
      <c r="H77" s="175"/>
      <c r="I77" s="175"/>
      <c r="J77" s="175"/>
      <c r="K77" s="175"/>
      <c r="L77" s="175"/>
      <c r="M77" s="175"/>
    </row>
    <row r="78" spans="2:23">
      <c r="C78" s="176" t="s">
        <v>108</v>
      </c>
      <c r="G78" s="177">
        <v>-3.472</v>
      </c>
      <c r="H78" s="177">
        <v>-10.936999999999999</v>
      </c>
      <c r="I78" s="177">
        <v>-6.2709999999999999</v>
      </c>
      <c r="J78" s="149"/>
      <c r="K78" s="149"/>
      <c r="L78" s="149"/>
      <c r="M78" s="149"/>
    </row>
    <row r="79" spans="2:23">
      <c r="C79" s="176" t="s">
        <v>109</v>
      </c>
      <c r="F79" s="177"/>
      <c r="G79" s="177">
        <v>2.907</v>
      </c>
      <c r="H79" s="177">
        <v>8.9730000000000008</v>
      </c>
      <c r="I79" s="177">
        <v>6.1150000000000002</v>
      </c>
      <c r="J79" s="149"/>
      <c r="K79" s="149"/>
      <c r="L79" s="149"/>
      <c r="M79" s="149"/>
      <c r="T79" s="65">
        <v>5063</v>
      </c>
      <c r="U79" s="65">
        <v>5063</v>
      </c>
      <c r="V79" s="65">
        <v>5063</v>
      </c>
      <c r="W79" s="65">
        <v>5063</v>
      </c>
    </row>
    <row r="80" spans="2:23">
      <c r="C80" s="176" t="s">
        <v>110</v>
      </c>
      <c r="G80" s="177">
        <v>-0.56500000000000006</v>
      </c>
      <c r="H80" s="177">
        <v>-1.964</v>
      </c>
      <c r="I80" s="177">
        <v>-0.156</v>
      </c>
      <c r="J80" s="149"/>
      <c r="K80" s="149"/>
      <c r="L80" s="149"/>
      <c r="M80" s="149"/>
    </row>
    <row r="81" spans="3:23">
      <c r="C81" s="176" t="s">
        <v>111</v>
      </c>
      <c r="G81" s="177">
        <v>-0.248</v>
      </c>
      <c r="H81" s="177">
        <v>0.74299999999999999</v>
      </c>
      <c r="I81" s="177">
        <v>0</v>
      </c>
      <c r="J81" s="149"/>
      <c r="K81" s="149"/>
      <c r="L81" s="149"/>
      <c r="M81" s="149"/>
      <c r="T81" s="65">
        <v>8578991</v>
      </c>
      <c r="U81" s="65">
        <v>7667433</v>
      </c>
      <c r="V81" s="65">
        <v>6917764</v>
      </c>
      <c r="W81" s="65">
        <v>5290193</v>
      </c>
    </row>
    <row r="82" spans="3:23">
      <c r="C82" s="176" t="s">
        <v>112</v>
      </c>
      <c r="G82" s="177">
        <v>-0.81300000000000006</v>
      </c>
      <c r="H82" s="177">
        <v>-1.2210000000000001</v>
      </c>
      <c r="I82" s="177">
        <v>-0.156</v>
      </c>
      <c r="J82" s="149"/>
      <c r="K82" s="149"/>
      <c r="L82" s="149"/>
      <c r="M82" s="149"/>
    </row>
    <row r="83" spans="3:23">
      <c r="C83" s="176" t="s">
        <v>113</v>
      </c>
      <c r="G83" s="177">
        <v>2.9140000000000001</v>
      </c>
      <c r="H83" s="177">
        <v>4.5739999999999998</v>
      </c>
      <c r="I83" s="177">
        <v>3.8620000000000001</v>
      </c>
      <c r="J83" s="149"/>
      <c r="K83" s="149"/>
      <c r="L83" s="149"/>
      <c r="M83" s="149"/>
    </row>
    <row r="84" spans="3:23">
      <c r="C84" s="176" t="s">
        <v>114</v>
      </c>
      <c r="F84" s="177"/>
      <c r="G84" s="177">
        <v>15.540000000000001</v>
      </c>
      <c r="H84" s="177">
        <v>4.4870000000000001</v>
      </c>
      <c r="I84" s="177">
        <v>5.734</v>
      </c>
      <c r="J84" s="149"/>
      <c r="K84" s="149"/>
      <c r="L84" s="149"/>
      <c r="M84" s="149"/>
      <c r="T84" s="65">
        <v>5063</v>
      </c>
      <c r="U84" s="65">
        <v>5063</v>
      </c>
      <c r="V84" s="65">
        <v>5063</v>
      </c>
      <c r="W84" s="65">
        <v>5063</v>
      </c>
    </row>
    <row r="85" spans="3:23">
      <c r="C85" s="176" t="s">
        <v>115</v>
      </c>
      <c r="G85" s="177">
        <v>11.076000000000001</v>
      </c>
      <c r="H85" s="177">
        <v>14.284000000000001</v>
      </c>
      <c r="I85" s="177">
        <v>13.755000000000001</v>
      </c>
      <c r="J85" s="149"/>
      <c r="K85" s="149"/>
      <c r="L85" s="149"/>
      <c r="M85" s="149"/>
    </row>
    <row r="86" spans="3:23">
      <c r="C86" s="176" t="s">
        <v>116</v>
      </c>
      <c r="G86" s="177">
        <v>36.195999999999998</v>
      </c>
      <c r="H86" s="269">
        <v>42.088000000000001</v>
      </c>
      <c r="I86" s="269">
        <v>47.764000000000003</v>
      </c>
      <c r="J86" s="270"/>
      <c r="K86" s="270"/>
      <c r="L86" s="270"/>
      <c r="M86" s="270"/>
      <c r="T86" s="65">
        <v>8578991</v>
      </c>
      <c r="U86" s="65">
        <v>7667433</v>
      </c>
      <c r="V86" s="65">
        <v>6917764</v>
      </c>
      <c r="W86" s="65">
        <v>5290193</v>
      </c>
    </row>
    <row r="87" spans="3:23" ht="15" thickBot="1">
      <c r="C87" s="182" t="s">
        <v>117</v>
      </c>
      <c r="D87" s="178"/>
      <c r="E87" s="178"/>
      <c r="F87" s="179"/>
      <c r="G87" s="184">
        <v>66.34</v>
      </c>
      <c r="H87" s="184">
        <v>68.132000000000005</v>
      </c>
      <c r="I87" s="184">
        <v>70.941000000000003</v>
      </c>
      <c r="J87" s="185"/>
      <c r="K87" s="185"/>
      <c r="L87" s="185"/>
      <c r="M87" s="185"/>
      <c r="T87" s="65" t="s">
        <v>8</v>
      </c>
      <c r="U87" s="65" t="s">
        <v>8</v>
      </c>
    </row>
    <row r="88" spans="3:23" ht="15" thickTop="1">
      <c r="C88" s="123"/>
      <c r="J88" s="149"/>
      <c r="K88" s="149"/>
      <c r="L88" s="149"/>
      <c r="M88" s="149"/>
    </row>
    <row r="89" spans="3:23">
      <c r="C89" s="65" t="s">
        <v>74</v>
      </c>
      <c r="G89" s="103">
        <v>9.6999999999999993</v>
      </c>
      <c r="H89" s="103">
        <v>11.06</v>
      </c>
      <c r="I89" s="103">
        <v>25.8</v>
      </c>
      <c r="J89" s="149"/>
      <c r="K89" s="149"/>
      <c r="L89" s="149"/>
      <c r="M89" s="149"/>
    </row>
    <row r="90" spans="3:23">
      <c r="C90" s="65" t="s">
        <v>107</v>
      </c>
      <c r="J90" s="149"/>
      <c r="K90" s="149"/>
      <c r="L90" s="149"/>
      <c r="M90" s="149"/>
    </row>
    <row r="91" spans="3:23" ht="15" thickBot="1">
      <c r="C91" s="180" t="s">
        <v>79</v>
      </c>
      <c r="D91" s="178"/>
      <c r="E91" s="178"/>
      <c r="F91" s="179"/>
      <c r="G91" s="179">
        <v>112.756</v>
      </c>
      <c r="H91" s="179">
        <v>137.035</v>
      </c>
      <c r="I91" s="179">
        <v>173.94</v>
      </c>
      <c r="J91" s="185"/>
      <c r="K91" s="185"/>
      <c r="L91" s="185"/>
      <c r="M91" s="185"/>
      <c r="T91" s="65">
        <v>366515</v>
      </c>
      <c r="U91" s="65">
        <v>346117</v>
      </c>
      <c r="V91" s="65">
        <v>331156</v>
      </c>
      <c r="W91" s="65">
        <v>296042</v>
      </c>
    </row>
    <row r="92" spans="3:23" ht="15" thickTop="1">
      <c r="C92" s="174"/>
      <c r="D92" s="66"/>
      <c r="E92" s="66"/>
      <c r="F92" s="183"/>
      <c r="G92" s="183"/>
      <c r="H92" s="183"/>
      <c r="I92" s="183"/>
      <c r="J92" s="186"/>
      <c r="K92" s="186"/>
      <c r="L92" s="186"/>
      <c r="M92" s="186"/>
    </row>
    <row r="93" spans="3:23">
      <c r="C93" s="176" t="s">
        <v>118</v>
      </c>
      <c r="G93" s="103">
        <v>66.667000000000002</v>
      </c>
      <c r="H93" s="103">
        <v>81.820999999999998</v>
      </c>
      <c r="I93" s="103">
        <v>100.97500000000001</v>
      </c>
      <c r="J93" s="149"/>
      <c r="K93" s="149"/>
      <c r="L93" s="149"/>
      <c r="M93" s="149"/>
    </row>
    <row r="94" spans="3:23">
      <c r="C94" s="176" t="s">
        <v>119</v>
      </c>
      <c r="F94" s="177"/>
      <c r="G94" s="177">
        <v>10.348000000000001</v>
      </c>
      <c r="H94" s="177">
        <v>13.323</v>
      </c>
      <c r="I94" s="103">
        <v>17.400000000000002</v>
      </c>
      <c r="J94" s="149"/>
      <c r="K94" s="149"/>
      <c r="L94" s="149"/>
      <c r="M94" s="149"/>
      <c r="T94" s="65">
        <v>5063</v>
      </c>
      <c r="U94" s="65">
        <v>5063</v>
      </c>
      <c r="V94" s="65">
        <v>5063</v>
      </c>
      <c r="W94" s="65">
        <v>5063</v>
      </c>
    </row>
    <row r="95" spans="3:23">
      <c r="C95" s="176" t="s">
        <v>120</v>
      </c>
      <c r="G95" s="103">
        <v>6.867</v>
      </c>
      <c r="H95" s="103">
        <v>9.3670000000000009</v>
      </c>
      <c r="I95" s="103">
        <v>15.5</v>
      </c>
      <c r="J95" s="149"/>
      <c r="K95" s="149"/>
      <c r="L95" s="149"/>
      <c r="M95" s="149"/>
    </row>
    <row r="96" spans="3:23">
      <c r="C96" s="176" t="s">
        <v>121</v>
      </c>
      <c r="G96" s="103">
        <v>4.7949999999999999</v>
      </c>
      <c r="H96" s="103">
        <v>6.0940000000000003</v>
      </c>
      <c r="I96" s="103">
        <v>8.5739999999999998</v>
      </c>
      <c r="J96" s="149"/>
      <c r="K96" s="149"/>
      <c r="L96" s="149"/>
      <c r="M96" s="149"/>
    </row>
    <row r="97" spans="3:23">
      <c r="C97" s="176" t="s">
        <v>122</v>
      </c>
      <c r="G97" s="103">
        <v>4.3260000000000005</v>
      </c>
      <c r="H97" s="103">
        <v>5.6120000000000001</v>
      </c>
      <c r="I97" s="103">
        <v>6.0629999999999997</v>
      </c>
      <c r="J97" s="149"/>
      <c r="K97" s="149"/>
      <c r="L97" s="149"/>
      <c r="M97" s="149"/>
    </row>
    <row r="98" spans="3:23">
      <c r="C98" s="176" t="s">
        <v>123</v>
      </c>
      <c r="G98" s="103">
        <v>4.7</v>
      </c>
      <c r="H98" s="103">
        <v>4.9800000000000004</v>
      </c>
      <c r="I98" s="149">
        <v>5.28</v>
      </c>
      <c r="J98" s="149"/>
      <c r="K98" s="149"/>
      <c r="L98" s="149"/>
      <c r="M98" s="149"/>
    </row>
    <row r="99" spans="3:23">
      <c r="C99" s="176" t="s">
        <v>124</v>
      </c>
      <c r="G99" s="103">
        <v>4.6319999999999997</v>
      </c>
      <c r="H99" s="103">
        <v>4.33</v>
      </c>
      <c r="I99" s="149">
        <v>4.8600000000000003</v>
      </c>
      <c r="J99" s="149"/>
      <c r="K99" s="149"/>
      <c r="L99" s="149"/>
      <c r="M99" s="149"/>
    </row>
    <row r="100" spans="3:23">
      <c r="C100" s="176" t="s">
        <v>125</v>
      </c>
      <c r="G100" s="177">
        <v>-4.5999999999999999E-2</v>
      </c>
      <c r="H100" s="177">
        <v>0.498</v>
      </c>
      <c r="I100" s="177">
        <v>0.26</v>
      </c>
      <c r="J100" s="149"/>
      <c r="K100" s="149"/>
      <c r="L100" s="149"/>
      <c r="M100" s="149"/>
    </row>
    <row r="101" spans="3:23">
      <c r="C101" s="176" t="s">
        <v>126</v>
      </c>
      <c r="G101" s="103">
        <v>10.467000000000001</v>
      </c>
      <c r="H101" s="103">
        <v>11.58</v>
      </c>
      <c r="I101" s="103">
        <v>15.024000000000001</v>
      </c>
      <c r="J101" s="149"/>
      <c r="K101" s="149"/>
      <c r="L101" s="149"/>
      <c r="M101" s="149"/>
    </row>
    <row r="102" spans="3:23" ht="15" thickBot="1">
      <c r="C102" s="56" t="s">
        <v>127</v>
      </c>
      <c r="D102" s="178"/>
      <c r="E102" s="178"/>
      <c r="F102" s="179"/>
      <c r="G102" s="179">
        <v>112.756</v>
      </c>
      <c r="H102" s="179">
        <v>137.60499999999999</v>
      </c>
      <c r="I102" s="179">
        <v>173.93600000000001</v>
      </c>
      <c r="J102" s="185"/>
      <c r="K102" s="185"/>
      <c r="L102" s="185"/>
      <c r="M102" s="185"/>
    </row>
    <row r="103" spans="3:23" ht="15" thickTop="1">
      <c r="J103" s="149"/>
      <c r="K103" s="149"/>
      <c r="L103" s="149"/>
      <c r="M103" s="149"/>
    </row>
    <row r="104" spans="3:23">
      <c r="J104" s="149"/>
      <c r="K104" s="149"/>
      <c r="L104" s="149"/>
      <c r="M104" s="149"/>
    </row>
    <row r="105" spans="3:23">
      <c r="J105" s="149"/>
      <c r="K105" s="149"/>
      <c r="L105" s="149"/>
      <c r="M105" s="149"/>
    </row>
    <row r="106" spans="3:23">
      <c r="J106" s="149"/>
      <c r="K106" s="149"/>
      <c r="L106" s="149"/>
      <c r="M106" s="149"/>
      <c r="T106" s="65">
        <v>-613</v>
      </c>
      <c r="U106" s="65">
        <v>487</v>
      </c>
      <c r="V106" s="65" t="e">
        <v>#N/A</v>
      </c>
      <c r="W106" s="65" t="e">
        <v>#N/A</v>
      </c>
    </row>
    <row r="107" spans="3:23">
      <c r="C107" s="65" t="s">
        <v>80</v>
      </c>
      <c r="G107" s="187">
        <v>204.89500000000001</v>
      </c>
      <c r="H107" s="103">
        <v>232.69300000000001</v>
      </c>
      <c r="I107" s="103">
        <v>239.69900000000001</v>
      </c>
      <c r="J107" s="149"/>
      <c r="K107" s="149"/>
      <c r="L107" s="149"/>
      <c r="M107" s="149"/>
      <c r="T107" s="65">
        <v>671348</v>
      </c>
      <c r="U107" s="65">
        <v>519246</v>
      </c>
      <c r="V107" s="65">
        <v>384815</v>
      </c>
      <c r="W107" s="65">
        <v>265833</v>
      </c>
    </row>
    <row r="108" spans="3:23">
      <c r="C108" s="65" t="s">
        <v>81</v>
      </c>
      <c r="G108" s="187">
        <v>85.603999999999999</v>
      </c>
      <c r="H108" s="103">
        <v>97.953000000000003</v>
      </c>
      <c r="I108" s="103">
        <v>87.287999999999997</v>
      </c>
      <c r="J108" s="149"/>
      <c r="K108" s="149"/>
      <c r="L108" s="149"/>
      <c r="M108" s="149"/>
      <c r="T108" s="65">
        <v>-82458</v>
      </c>
      <c r="U108" s="65">
        <v>-37317</v>
      </c>
      <c r="V108" s="65">
        <v>-30785</v>
      </c>
      <c r="W108" s="65">
        <v>-24644</v>
      </c>
    </row>
    <row r="109" spans="3:23">
      <c r="C109" s="196" t="s">
        <v>82</v>
      </c>
      <c r="D109" s="196"/>
      <c r="E109" s="196"/>
      <c r="F109" s="197"/>
      <c r="G109" s="198">
        <v>119.291</v>
      </c>
      <c r="H109" s="197">
        <v>134.74</v>
      </c>
      <c r="I109" s="197">
        <v>152.411</v>
      </c>
      <c r="J109" s="199"/>
      <c r="K109" s="199"/>
      <c r="L109" s="199"/>
      <c r="M109" s="199"/>
      <c r="T109" s="65">
        <v>960513</v>
      </c>
      <c r="U109" s="65">
        <v>834247</v>
      </c>
      <c r="V109" s="65">
        <v>683590</v>
      </c>
      <c r="W109" s="65">
        <v>533526</v>
      </c>
    </row>
    <row r="110" spans="3:23">
      <c r="C110" s="65" t="s">
        <v>83</v>
      </c>
      <c r="J110" s="149"/>
      <c r="K110" s="149"/>
      <c r="L110" s="149"/>
      <c r="M110" s="149"/>
      <c r="T110" s="65">
        <v>9539504</v>
      </c>
      <c r="U110" s="65">
        <v>8501680</v>
      </c>
      <c r="V110" s="65">
        <v>7601354</v>
      </c>
      <c r="W110" s="65">
        <v>5823719</v>
      </c>
    </row>
    <row r="111" spans="3:23">
      <c r="C111" s="65" t="s">
        <v>73</v>
      </c>
      <c r="J111" s="149"/>
      <c r="K111" s="149"/>
      <c r="L111" s="149"/>
      <c r="M111" s="149"/>
      <c r="V111" s="65" t="e">
        <v>#N/A</v>
      </c>
      <c r="W111" s="65" t="e">
        <v>#N/A</v>
      </c>
    </row>
    <row r="112" spans="3:23">
      <c r="J112" s="149"/>
      <c r="K112" s="149"/>
      <c r="L112" s="149"/>
      <c r="M112" s="149"/>
    </row>
    <row r="113" spans="3:23">
      <c r="J113" s="149"/>
      <c r="K113" s="149"/>
      <c r="L113" s="149"/>
      <c r="M113" s="149"/>
    </row>
    <row r="114" spans="3:23">
      <c r="C114" s="65" t="s">
        <v>128</v>
      </c>
      <c r="F114" s="195">
        <f>F109/F51</f>
        <v>0</v>
      </c>
      <c r="G114" s="195">
        <f>G109/G51</f>
        <v>0.17450664872218727</v>
      </c>
      <c r="H114" s="195">
        <f t="shared" ref="H114:M114" si="13">H109/H51</f>
        <v>0.16151091942793921</v>
      </c>
      <c r="I114" s="195">
        <f t="shared" si="13"/>
        <v>0.158676665490212</v>
      </c>
      <c r="J114" s="195" t="e">
        <f t="shared" si="13"/>
        <v>#DIV/0!</v>
      </c>
      <c r="K114" s="195" t="e">
        <f t="shared" si="13"/>
        <v>#DIV/0!</v>
      </c>
      <c r="L114" s="195" t="e">
        <f t="shared" si="13"/>
        <v>#DIV/0!</v>
      </c>
      <c r="M114" s="195" t="e">
        <f t="shared" si="13"/>
        <v>#DIV/0!</v>
      </c>
      <c r="T114" s="65">
        <v>5063</v>
      </c>
      <c r="U114" s="65">
        <v>5063</v>
      </c>
      <c r="V114" s="65">
        <v>5063</v>
      </c>
      <c r="W114" s="65">
        <v>5063</v>
      </c>
    </row>
    <row r="115" spans="3:23">
      <c r="C115" s="65" t="s">
        <v>129</v>
      </c>
      <c r="F115" s="112"/>
      <c r="I115" s="113">
        <v>0.10100000000000001</v>
      </c>
      <c r="J115" s="113">
        <v>0.10100000000000001</v>
      </c>
      <c r="K115" s="113">
        <v>0.10100000000000001</v>
      </c>
      <c r="L115" s="113">
        <v>0.10100000000000001</v>
      </c>
      <c r="M115" s="113">
        <v>0.10100000000000001</v>
      </c>
    </row>
    <row r="116" spans="3:23">
      <c r="C116" s="65" t="s">
        <v>134</v>
      </c>
      <c r="I116" s="194">
        <f>I114-I115</f>
        <v>5.7676665490211998E-2</v>
      </c>
      <c r="J116" s="194" t="e">
        <f>J114-J115</f>
        <v>#DIV/0!</v>
      </c>
      <c r="K116" s="194" t="e">
        <f>K114-K115</f>
        <v>#DIV/0!</v>
      </c>
      <c r="L116" s="194" t="e">
        <f>L114-L115</f>
        <v>#DIV/0!</v>
      </c>
      <c r="M116" s="194" t="e">
        <f>M114-M115</f>
        <v>#DIV/0!</v>
      </c>
    </row>
    <row r="117" spans="3:23">
      <c r="C117" s="65" t="s">
        <v>135</v>
      </c>
      <c r="I117" s="173">
        <f>I118*I116</f>
        <v>55.399186999999998</v>
      </c>
      <c r="J117" s="173" t="e">
        <f>J118*J116</f>
        <v>#DIV/0!</v>
      </c>
      <c r="K117" s="173" t="e">
        <f>K118*K116</f>
        <v>#DIV/0!</v>
      </c>
      <c r="L117" s="173" t="e">
        <f>L118*L116</f>
        <v>#DIV/0!</v>
      </c>
      <c r="M117" s="173" t="e">
        <f>M118*M116</f>
        <v>#DIV/0!</v>
      </c>
    </row>
    <row r="118" spans="3:23">
      <c r="C118" s="65" t="s">
        <v>132</v>
      </c>
      <c r="H118" s="191"/>
      <c r="I118" s="144">
        <v>960.51300000000003</v>
      </c>
      <c r="J118" s="200">
        <f>I118+I49</f>
        <v>1631.8610000000001</v>
      </c>
      <c r="K118" s="200">
        <f>J118+J49</f>
        <v>1631.8610000000001</v>
      </c>
      <c r="L118" s="200">
        <f>K118+K49</f>
        <v>1631.8610000000001</v>
      </c>
      <c r="M118" s="200">
        <f>L118+L49</f>
        <v>1631.8610000000001</v>
      </c>
    </row>
    <row r="119" spans="3:23">
      <c r="H119" s="191"/>
      <c r="I119" s="192"/>
    </row>
    <row r="120" spans="3:23">
      <c r="C120" s="65" t="s">
        <v>133</v>
      </c>
      <c r="H120" s="191"/>
      <c r="I120" s="193">
        <v>0.12740000000000001</v>
      </c>
      <c r="J120" s="193">
        <v>0.12740000000000001</v>
      </c>
      <c r="K120" s="193">
        <v>0.12740000000000001</v>
      </c>
      <c r="L120" s="193">
        <v>0.12740000000000001</v>
      </c>
      <c r="M120" s="193">
        <v>0.12740000000000001</v>
      </c>
    </row>
    <row r="121" spans="3:23">
      <c r="C121" s="65" t="s">
        <v>136</v>
      </c>
      <c r="I121" s="103">
        <f>I117/(1+I120)^I124</f>
        <v>55.399186999999998</v>
      </c>
      <c r="J121" s="103" t="e">
        <f>J117/(1+J120)^J124</f>
        <v>#DIV/0!</v>
      </c>
      <c r="K121" s="103" t="e">
        <f>K117/(1+K120)^K124</f>
        <v>#DIV/0!</v>
      </c>
      <c r="L121" s="103" t="e">
        <f>L117/(1+L120)^L124</f>
        <v>#DIV/0!</v>
      </c>
      <c r="M121" s="103" t="e">
        <f ca="1">M117/(1+M120)^M124</f>
        <v>#DIV/0!</v>
      </c>
    </row>
    <row r="123" spans="3:23">
      <c r="C123" s="65" t="s">
        <v>137</v>
      </c>
      <c r="H123" s="201"/>
      <c r="I123" s="201">
        <v>63605338</v>
      </c>
      <c r="J123" s="201">
        <v>63605338</v>
      </c>
      <c r="K123" s="201">
        <v>63605338</v>
      </c>
      <c r="L123" s="201">
        <v>63605338</v>
      </c>
      <c r="M123" s="201">
        <v>63605338</v>
      </c>
    </row>
    <row r="124" spans="3:23">
      <c r="C124" s="65" t="s">
        <v>138</v>
      </c>
      <c r="M124" s="200">
        <f ca="1">(M118+M121)/(0.001*L123)</f>
        <v>0</v>
      </c>
    </row>
  </sheetData>
  <autoFilter ref="V3:W15" xr:uid="{5E0F939A-F820-4764-A24F-F447237B83E7}">
    <sortState xmlns:xlrd2="http://schemas.microsoft.com/office/spreadsheetml/2017/richdata2" ref="V4:W16">
      <sortCondition descending="1" ref="V3:V15"/>
    </sortState>
  </autoFilter>
  <sortState xmlns:xlrd2="http://schemas.microsoft.com/office/spreadsheetml/2017/richdata2" ref="H118:I118">
    <sortCondition descending="1" ref="H117"/>
  </sortState>
  <dataValidations disablePrompts="1" count="1">
    <dataValidation type="list" allowBlank="1" showInputMessage="1" showErrorMessage="1" sqref="D9:D11" xr:uid="{17C4B963-F14B-4A56-A8B6-36B2FE50A2C1}">
      <formula1>$C$32:$C$35</formula1>
    </dataValidation>
  </dataValidations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DA314-E9E4-4A3B-8250-31BAEDC8B513}">
  <sheetPr>
    <pageSetUpPr autoPageBreaks="0"/>
  </sheetPr>
  <dimension ref="B2:AC161"/>
  <sheetViews>
    <sheetView showGridLines="0" topLeftCell="A28" zoomScaleNormal="100" workbookViewId="0">
      <selection activeCell="N14" sqref="E14:N14"/>
    </sheetView>
  </sheetViews>
  <sheetFormatPr defaultColWidth="8.6640625" defaultRowHeight="14.4" outlineLevelRow="1" outlineLevelCol="1"/>
  <cols>
    <col min="1" max="1" width="2.6640625" style="1" customWidth="1"/>
    <col min="2" max="2" width="2.6640625" style="128" customWidth="1"/>
    <col min="3" max="3" width="40.6640625" style="2" customWidth="1"/>
    <col min="4" max="4" width="11.5546875" style="2" customWidth="1"/>
    <col min="5" max="9" width="14" style="2" customWidth="1" outlineLevel="1"/>
    <col min="10" max="14" width="11.5546875" style="2" customWidth="1"/>
    <col min="15" max="16" width="2.6640625" style="1" customWidth="1"/>
    <col min="17" max="19" width="8.6640625" style="1"/>
    <col min="20" max="20" width="17.33203125" style="1" customWidth="1"/>
    <col min="21" max="16384" width="8.6640625" style="1"/>
  </cols>
  <sheetData>
    <row r="2" spans="2:20">
      <c r="B2" s="127" t="str">
        <f>Company_Name&amp;" - Loan Portfolio Projections - "&amp;Scenario&amp;" Case"</f>
        <v>AXOS Bank - Loan Portfolio Projections - Downside Case</v>
      </c>
    </row>
    <row r="3" spans="2:20">
      <c r="B3" s="128" t="s">
        <v>67</v>
      </c>
      <c r="E3" s="46"/>
      <c r="F3" s="46"/>
      <c r="G3" s="46"/>
      <c r="H3" s="46"/>
      <c r="I3" s="46"/>
      <c r="J3" s="46"/>
      <c r="K3" s="46"/>
      <c r="L3" s="46"/>
      <c r="M3" s="46"/>
      <c r="N3" s="46"/>
    </row>
    <row r="5" spans="2:20">
      <c r="B5" s="45" t="s">
        <v>56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</row>
    <row r="6" spans="2:20" outlineLevel="1">
      <c r="C6" s="32"/>
      <c r="D6" s="33"/>
      <c r="E6" s="32"/>
      <c r="F6" s="32"/>
      <c r="G6" s="32"/>
      <c r="H6" s="32"/>
      <c r="I6" s="32"/>
      <c r="J6" s="32"/>
      <c r="K6" s="32"/>
      <c r="L6" s="32"/>
      <c r="M6" s="32"/>
      <c r="N6" s="32"/>
    </row>
    <row r="7" spans="2:20" outlineLevel="1">
      <c r="C7" s="32" t="s">
        <v>55</v>
      </c>
      <c r="D7" s="44" t="s">
        <v>66</v>
      </c>
      <c r="E7" s="32"/>
      <c r="F7" s="32"/>
      <c r="G7" s="32"/>
      <c r="H7" s="32"/>
      <c r="I7" s="32"/>
      <c r="J7" s="32"/>
      <c r="K7" s="32"/>
      <c r="L7" s="32"/>
      <c r="M7" s="32"/>
      <c r="N7" s="32"/>
    </row>
    <row r="8" spans="2:20" outlineLevel="1">
      <c r="C8" s="32" t="s">
        <v>54</v>
      </c>
      <c r="D8" s="43">
        <v>43465</v>
      </c>
      <c r="E8" s="32"/>
      <c r="F8" s="32"/>
      <c r="G8" s="32"/>
      <c r="H8" s="32"/>
      <c r="I8" s="32"/>
      <c r="J8" s="32"/>
      <c r="K8" s="32"/>
      <c r="L8" s="32"/>
      <c r="M8" s="32"/>
      <c r="N8" s="32"/>
    </row>
    <row r="9" spans="2:20" outlineLevel="1">
      <c r="C9" s="42" t="s">
        <v>53</v>
      </c>
      <c r="D9" s="41">
        <v>1000</v>
      </c>
      <c r="E9" s="8"/>
      <c r="F9" s="8"/>
      <c r="G9" s="8"/>
      <c r="H9" s="8"/>
      <c r="I9" s="8"/>
      <c r="J9" s="32"/>
      <c r="K9" s="32"/>
      <c r="L9" s="32"/>
      <c r="M9" s="32"/>
      <c r="N9" s="32"/>
    </row>
    <row r="10" spans="2:20" outlineLevel="1">
      <c r="C10" s="8"/>
      <c r="D10" s="32"/>
      <c r="E10" s="8"/>
      <c r="F10" s="8"/>
      <c r="G10" s="8"/>
      <c r="H10" s="8"/>
      <c r="I10" s="8"/>
      <c r="J10" s="32"/>
      <c r="K10" s="32"/>
      <c r="L10" s="32"/>
      <c r="M10" s="32"/>
      <c r="N10" s="32"/>
    </row>
    <row r="11" spans="2:20" outlineLevel="1">
      <c r="C11" s="42" t="s">
        <v>52</v>
      </c>
      <c r="D11" t="str">
        <f>Controls!A2</f>
        <v>Downside</v>
      </c>
      <c r="E11" s="8"/>
      <c r="F11" s="8"/>
      <c r="G11" s="8"/>
      <c r="H11" s="8"/>
      <c r="I11" s="8"/>
      <c r="J11" s="32"/>
      <c r="K11" s="32"/>
      <c r="L11" s="32"/>
      <c r="M11" s="32"/>
      <c r="N11" s="32"/>
    </row>
    <row r="12" spans="2:20">
      <c r="E12" s="131">
        <f>SUM(E16:E23)</f>
        <v>0</v>
      </c>
      <c r="F12" s="131"/>
      <c r="G12" s="131"/>
      <c r="H12" s="131"/>
      <c r="I12" s="131"/>
    </row>
    <row r="13" spans="2:20">
      <c r="B13" s="40"/>
      <c r="C13" s="40"/>
      <c r="D13" s="39"/>
      <c r="E13" s="37" t="s">
        <v>103</v>
      </c>
      <c r="F13" s="37"/>
      <c r="G13" s="37"/>
      <c r="H13" s="37"/>
      <c r="I13" s="218"/>
      <c r="J13" s="38" t="s">
        <v>51</v>
      </c>
      <c r="K13" s="37"/>
      <c r="L13" s="37"/>
      <c r="M13" s="37"/>
      <c r="N13" s="37"/>
    </row>
    <row r="14" spans="2:20">
      <c r="B14" s="36" t="s">
        <v>50</v>
      </c>
      <c r="C14" s="289"/>
      <c r="D14" s="290" t="s">
        <v>49</v>
      </c>
      <c r="E14" s="291">
        <f>EOMONTH(F14,-12)</f>
        <v>42004</v>
      </c>
      <c r="F14" s="291">
        <f>EOMONTH(G14,-12)</f>
        <v>42369</v>
      </c>
      <c r="G14" s="291">
        <f>EOMONTH(H14,-12)</f>
        <v>42735</v>
      </c>
      <c r="H14" s="291">
        <f>EOMONTH(I14,-12)</f>
        <v>43100</v>
      </c>
      <c r="I14" s="292">
        <f>Hist_Year</f>
        <v>43465</v>
      </c>
      <c r="J14" s="291">
        <f>EOMONTH(I14,12)</f>
        <v>43830</v>
      </c>
      <c r="K14" s="291">
        <f>EOMONTH(J14,12)</f>
        <v>44196</v>
      </c>
      <c r="L14" s="291">
        <f>EOMONTH(K14,12)</f>
        <v>44561</v>
      </c>
      <c r="M14" s="291">
        <f>EOMONTH(L14,12)</f>
        <v>44926</v>
      </c>
      <c r="N14" s="291">
        <f>EOMONTH(M14,12)</f>
        <v>45291</v>
      </c>
    </row>
    <row r="15" spans="2:20" s="3" customFormat="1" outlineLevel="1">
      <c r="B15" s="128"/>
      <c r="C15" s="294" t="s">
        <v>48</v>
      </c>
      <c r="D15" s="295"/>
      <c r="E15" s="296"/>
      <c r="F15" s="296"/>
      <c r="G15" s="296"/>
      <c r="H15" s="296"/>
      <c r="I15" s="296"/>
      <c r="J15" s="297"/>
      <c r="K15" s="297"/>
      <c r="L15" s="297"/>
      <c r="M15" s="297"/>
      <c r="N15" s="297"/>
      <c r="O15" s="1"/>
    </row>
    <row r="16" spans="2:20" outlineLevel="1">
      <c r="C16" s="47" t="s">
        <v>59</v>
      </c>
      <c r="D16" s="10" t="s">
        <v>90</v>
      </c>
      <c r="E16" s="293"/>
      <c r="F16" s="293"/>
      <c r="G16" s="293"/>
      <c r="H16" s="293"/>
      <c r="I16" s="124">
        <v>4198941</v>
      </c>
      <c r="J16" s="59">
        <f>+J36*J55*Units</f>
        <v>0</v>
      </c>
      <c r="K16" s="59">
        <f>+K36*K55*Units</f>
        <v>0</v>
      </c>
      <c r="L16" s="59">
        <f>+L36*L55*Units</f>
        <v>0</v>
      </c>
      <c r="M16" s="59">
        <f>+M36*M55*Units</f>
        <v>0</v>
      </c>
      <c r="N16" s="59">
        <f>+N36*N55*Units</f>
        <v>0</v>
      </c>
      <c r="Q16" s="126" t="s">
        <v>97</v>
      </c>
      <c r="R16" s="32"/>
      <c r="S16" s="129"/>
      <c r="T16" s="129"/>
    </row>
    <row r="17" spans="2:20" outlineLevel="1">
      <c r="C17" s="48" t="s">
        <v>60</v>
      </c>
      <c r="D17" s="10" t="s">
        <v>90</v>
      </c>
      <c r="E17" s="287"/>
      <c r="F17" s="287"/>
      <c r="G17" s="287"/>
      <c r="H17" s="287"/>
      <c r="I17" s="124">
        <v>1800919</v>
      </c>
      <c r="J17" s="59">
        <f>+J37*J60*Units</f>
        <v>0</v>
      </c>
      <c r="K17" s="59">
        <f>+K37*K60*Units</f>
        <v>0</v>
      </c>
      <c r="L17" s="59">
        <f>+L37*L60*Units</f>
        <v>0</v>
      </c>
      <c r="M17" s="59">
        <f>+M37*M60*Units</f>
        <v>0</v>
      </c>
      <c r="N17" s="59">
        <f>+N37*N60*Units</f>
        <v>0</v>
      </c>
      <c r="Q17" s="128"/>
      <c r="R17" s="130" t="s">
        <v>98</v>
      </c>
      <c r="S17" s="32"/>
      <c r="T17" s="124">
        <v>4198941</v>
      </c>
    </row>
    <row r="18" spans="2:20" outlineLevel="1">
      <c r="C18" s="49" t="s">
        <v>61</v>
      </c>
      <c r="D18" s="10" t="s">
        <v>90</v>
      </c>
      <c r="E18" s="287"/>
      <c r="F18" s="287"/>
      <c r="G18" s="287"/>
      <c r="H18" s="287"/>
      <c r="I18" s="124">
        <v>220379</v>
      </c>
      <c r="J18" s="59">
        <f>+J38*J65*Units</f>
        <v>0</v>
      </c>
      <c r="K18" s="59">
        <f>+K38*K65*Units</f>
        <v>0</v>
      </c>
      <c r="L18" s="59">
        <f>+L38*L65*Units</f>
        <v>0</v>
      </c>
      <c r="M18" s="59">
        <f>+M38*M65*Units</f>
        <v>0</v>
      </c>
      <c r="N18" s="59">
        <f>+N38*N65*Units</f>
        <v>0</v>
      </c>
      <c r="Q18" s="128"/>
      <c r="R18" s="130" t="s">
        <v>99</v>
      </c>
      <c r="S18" s="32"/>
      <c r="T18" s="124">
        <v>-20368</v>
      </c>
    </row>
    <row r="19" spans="2:20" outlineLevel="1">
      <c r="C19" s="49" t="s">
        <v>62</v>
      </c>
      <c r="D19" s="10" t="s">
        <v>90</v>
      </c>
      <c r="E19" s="287"/>
      <c r="F19" s="287"/>
      <c r="G19" s="287"/>
      <c r="H19" s="287"/>
      <c r="I19" s="124">
        <v>213522</v>
      </c>
      <c r="J19" s="59">
        <f>J39*J70/Units</f>
        <v>0</v>
      </c>
      <c r="K19" s="59">
        <f>K39*K70/Units</f>
        <v>0</v>
      </c>
      <c r="L19" s="59">
        <f>L39*L70/Units</f>
        <v>0</v>
      </c>
      <c r="M19" s="59">
        <f>M39*M70/Units</f>
        <v>0</v>
      </c>
      <c r="N19" s="59">
        <f>N39*N70/Units</f>
        <v>0</v>
      </c>
      <c r="Q19" s="128"/>
      <c r="R19" s="130" t="s">
        <v>100</v>
      </c>
      <c r="S19" s="32"/>
      <c r="T19" s="124">
        <v>9187</v>
      </c>
    </row>
    <row r="20" spans="2:20" outlineLevel="1">
      <c r="C20" s="49" t="s">
        <v>63</v>
      </c>
      <c r="D20" s="10" t="s">
        <v>90</v>
      </c>
      <c r="E20" s="287"/>
      <c r="F20" s="287"/>
      <c r="G20" s="287"/>
      <c r="H20" s="287"/>
      <c r="I20" s="124">
        <v>169885</v>
      </c>
      <c r="J20" s="59">
        <f>J40*J75/Units</f>
        <v>0</v>
      </c>
      <c r="K20" s="59">
        <f>K40*K75/Units</f>
        <v>0</v>
      </c>
      <c r="L20" s="59">
        <f>L40*L75/Units</f>
        <v>0</v>
      </c>
      <c r="M20" s="59">
        <f>M40*M75/Units</f>
        <v>0</v>
      </c>
      <c r="N20" s="59">
        <f>N40*N75/Units</f>
        <v>0</v>
      </c>
      <c r="Q20" s="126" t="s">
        <v>101</v>
      </c>
      <c r="R20" s="128"/>
      <c r="S20" s="32"/>
      <c r="T20" s="129"/>
    </row>
    <row r="21" spans="2:20" outlineLevel="1">
      <c r="C21" s="49" t="s">
        <v>105</v>
      </c>
      <c r="D21" s="10" t="s">
        <v>90</v>
      </c>
      <c r="E21" s="287"/>
      <c r="F21" s="287"/>
      <c r="G21" s="287"/>
      <c r="H21" s="287"/>
      <c r="I21" s="124">
        <v>412085</v>
      </c>
      <c r="J21" s="59">
        <f>J41*J80/Units</f>
        <v>0</v>
      </c>
      <c r="K21" s="59">
        <f>K41*K80/Units</f>
        <v>0</v>
      </c>
      <c r="L21" s="59">
        <f>L41*L80/Units</f>
        <v>0</v>
      </c>
      <c r="M21" s="59">
        <f>M41*M80/Units</f>
        <v>0</v>
      </c>
      <c r="N21" s="59">
        <f>N41*N80/Units</f>
        <v>0</v>
      </c>
      <c r="Q21" s="128"/>
      <c r="R21" s="130" t="s">
        <v>99</v>
      </c>
      <c r="S21" s="32"/>
      <c r="T21" s="124">
        <v>-14</v>
      </c>
    </row>
    <row r="22" spans="2:20" outlineLevel="1">
      <c r="C22" s="49" t="s">
        <v>65</v>
      </c>
      <c r="D22" s="10" t="s">
        <v>90</v>
      </c>
      <c r="E22" s="288"/>
      <c r="F22" s="288"/>
      <c r="G22" s="288"/>
      <c r="H22" s="288"/>
      <c r="I22" s="156">
        <v>14</v>
      </c>
      <c r="J22" s="1">
        <f>I22*(1+J33)</f>
        <v>14.069999999999999</v>
      </c>
      <c r="K22" s="1">
        <f t="shared" ref="K22:N22" si="0">J22*(1+K33)</f>
        <v>13.858949999999998</v>
      </c>
      <c r="L22" s="1">
        <f t="shared" si="0"/>
        <v>13.498617299999998</v>
      </c>
      <c r="M22" s="1">
        <f t="shared" si="0"/>
        <v>13.633603472999997</v>
      </c>
      <c r="N22" s="1">
        <f t="shared" si="0"/>
        <v>13.906275542459998</v>
      </c>
      <c r="Q22" s="128"/>
      <c r="R22" s="130" t="s">
        <v>100</v>
      </c>
      <c r="S22" s="32"/>
      <c r="T22" s="124">
        <v>48</v>
      </c>
    </row>
    <row r="23" spans="2:20" outlineLevel="1">
      <c r="C23" s="47" t="s">
        <v>104</v>
      </c>
      <c r="D23" s="10" t="s">
        <v>90</v>
      </c>
      <c r="E23" s="287"/>
      <c r="F23" s="287"/>
      <c r="G23" s="287"/>
      <c r="H23" s="287"/>
      <c r="I23" s="225">
        <v>1481051</v>
      </c>
      <c r="J23" s="59">
        <f>J42*J85</f>
        <v>0</v>
      </c>
      <c r="K23" s="59">
        <f t="shared" ref="K23:N23" si="1">K42*K85</f>
        <v>0</v>
      </c>
      <c r="L23" s="59">
        <f t="shared" si="1"/>
        <v>0</v>
      </c>
      <c r="M23" s="59">
        <f t="shared" si="1"/>
        <v>0</v>
      </c>
      <c r="N23" s="59">
        <f t="shared" si="1"/>
        <v>0</v>
      </c>
      <c r="Q23" s="126" t="s">
        <v>102</v>
      </c>
      <c r="R23" s="128"/>
      <c r="S23" s="32"/>
      <c r="T23" s="129"/>
    </row>
    <row r="24" spans="2:20" outlineLevel="1">
      <c r="C24" s="24" t="s">
        <v>47</v>
      </c>
      <c r="D24" s="50" t="s">
        <v>58</v>
      </c>
      <c r="E24" s="286">
        <f>IFERROR(SUM(E16:E23)*0.001,"N/A")</f>
        <v>0</v>
      </c>
      <c r="F24" s="286">
        <f t="shared" ref="F24:N24" si="2">IFERROR(SUM(F16:F23)*0.001,"N/A")</f>
        <v>0</v>
      </c>
      <c r="G24" s="286">
        <f t="shared" si="2"/>
        <v>0</v>
      </c>
      <c r="H24" s="286">
        <f t="shared" si="2"/>
        <v>0</v>
      </c>
      <c r="I24" s="226">
        <f t="shared" si="2"/>
        <v>8496.7960000000003</v>
      </c>
      <c r="J24" s="226">
        <f t="shared" si="2"/>
        <v>1.4069999999999999E-2</v>
      </c>
      <c r="K24" s="226">
        <f t="shared" si="2"/>
        <v>1.3858949999999998E-2</v>
      </c>
      <c r="L24" s="226">
        <f t="shared" si="2"/>
        <v>1.3498617299999998E-2</v>
      </c>
      <c r="M24" s="226">
        <f t="shared" si="2"/>
        <v>1.3633603472999998E-2</v>
      </c>
      <c r="N24" s="226">
        <f t="shared" si="2"/>
        <v>1.3906275542459998E-2</v>
      </c>
      <c r="Q24" s="128"/>
      <c r="R24" s="130" t="s">
        <v>98</v>
      </c>
      <c r="S24" s="32"/>
      <c r="T24" s="124">
        <v>412085</v>
      </c>
    </row>
    <row r="25" spans="2:20" s="2" customFormat="1" outlineLevel="1">
      <c r="B25" s="128"/>
      <c r="C25" s="34" t="s">
        <v>46</v>
      </c>
      <c r="D25" s="10" t="s">
        <v>38</v>
      </c>
      <c r="E25" s="61"/>
      <c r="F25" s="61" t="str">
        <f>IFERROR(F24/E24,"N/A")</f>
        <v>N/A</v>
      </c>
      <c r="G25" s="61" t="str">
        <f t="shared" ref="G25:N25" si="3">IFERROR(G24/F24,"N/A")</f>
        <v>N/A</v>
      </c>
      <c r="H25" s="61" t="str">
        <f t="shared" si="3"/>
        <v>N/A</v>
      </c>
      <c r="I25" s="61" t="str">
        <f t="shared" si="3"/>
        <v>N/A</v>
      </c>
      <c r="J25" s="61">
        <f t="shared" si="3"/>
        <v>1.6559183014397426E-6</v>
      </c>
      <c r="K25" s="61">
        <f t="shared" si="3"/>
        <v>0.98499999999999999</v>
      </c>
      <c r="L25" s="61">
        <f t="shared" si="3"/>
        <v>0.97399999999999998</v>
      </c>
      <c r="M25" s="61">
        <f t="shared" si="3"/>
        <v>1.01</v>
      </c>
      <c r="N25" s="61">
        <f t="shared" si="3"/>
        <v>1.02</v>
      </c>
      <c r="O25" s="1"/>
      <c r="Q25" s="128"/>
      <c r="R25" s="130" t="s">
        <v>99</v>
      </c>
      <c r="S25" s="32"/>
      <c r="T25" s="124">
        <v>-2080</v>
      </c>
    </row>
    <row r="26" spans="2:20" s="2" customFormat="1" outlineLevel="1">
      <c r="B26" s="128"/>
      <c r="C26" s="32"/>
      <c r="D26" s="33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1"/>
      <c r="Q26" s="128"/>
      <c r="R26" s="130" t="s">
        <v>100</v>
      </c>
      <c r="S26" s="32"/>
      <c r="T26" s="124">
        <v>-706</v>
      </c>
    </row>
    <row r="27" spans="2:20" outlineLevel="1">
      <c r="C27" s="31" t="s">
        <v>57</v>
      </c>
      <c r="D27" s="10" t="s">
        <v>58</v>
      </c>
      <c r="E27" s="220"/>
      <c r="F27" s="220"/>
      <c r="G27" s="220"/>
      <c r="H27" s="220"/>
      <c r="I27" s="150">
        <v>20658.204000000002</v>
      </c>
      <c r="J27" s="62">
        <f>+I27*(1+J33)</f>
        <v>20761.495019999998</v>
      </c>
      <c r="K27" s="62">
        <f>+J27*(1+K33)</f>
        <v>20450.072594699999</v>
      </c>
      <c r="L27" s="62">
        <f>+K27*(1+L33)</f>
        <v>19918.370707237798</v>
      </c>
      <c r="M27" s="62">
        <f>+L27*(1+M33)</f>
        <v>20117.554414310176</v>
      </c>
      <c r="N27" s="62">
        <f>+M27*(1+N33)</f>
        <v>20519.905502596379</v>
      </c>
      <c r="Q27" s="126" t="s">
        <v>60</v>
      </c>
      <c r="R27" s="128"/>
      <c r="S27" s="32"/>
      <c r="T27" s="129"/>
    </row>
    <row r="28" spans="2:20" outlineLevel="1">
      <c r="C28" s="31"/>
      <c r="D28" s="10"/>
      <c r="E28" s="25"/>
      <c r="F28" s="25"/>
      <c r="G28" s="25"/>
      <c r="H28" s="25"/>
      <c r="I28" s="25"/>
      <c r="J28" s="30"/>
      <c r="K28" s="30"/>
      <c r="L28" s="30"/>
      <c r="M28" s="30"/>
      <c r="N28" s="30"/>
      <c r="Q28" s="128"/>
      <c r="R28" s="130" t="s">
        <v>98</v>
      </c>
      <c r="S28" s="32"/>
      <c r="T28" s="124">
        <v>1800919</v>
      </c>
    </row>
    <row r="29" spans="2:20" outlineLevel="1">
      <c r="C29" s="22" t="s">
        <v>89</v>
      </c>
      <c r="D29" s="21"/>
      <c r="E29" s="20"/>
      <c r="F29" s="20"/>
      <c r="G29" s="20"/>
      <c r="H29" s="20"/>
      <c r="I29" s="20"/>
      <c r="J29" s="221"/>
      <c r="K29" s="221"/>
      <c r="L29" s="221"/>
      <c r="M29" s="221"/>
      <c r="N29" s="221"/>
      <c r="Q29" s="128"/>
      <c r="R29" s="130" t="s">
        <v>99</v>
      </c>
      <c r="S29" s="32"/>
      <c r="T29" s="124">
        <v>-5010</v>
      </c>
    </row>
    <row r="30" spans="2:20" outlineLevel="1">
      <c r="C30" s="16" t="s">
        <v>45</v>
      </c>
      <c r="D30" s="10" t="s">
        <v>38</v>
      </c>
      <c r="E30" s="204"/>
      <c r="F30" s="204"/>
      <c r="G30" s="204"/>
      <c r="H30" s="204"/>
      <c r="I30" s="204"/>
      <c r="J30" s="282">
        <v>2.5000000000000001E-2</v>
      </c>
      <c r="K30" s="282">
        <v>2.5000000000000001E-2</v>
      </c>
      <c r="L30" s="282">
        <v>0.02</v>
      </c>
      <c r="M30" s="282">
        <v>0.02</v>
      </c>
      <c r="N30" s="282">
        <v>0.02</v>
      </c>
      <c r="Q30" s="128"/>
      <c r="R30" s="130" t="s">
        <v>100</v>
      </c>
      <c r="S30" s="32"/>
      <c r="T30" s="124">
        <v>5063</v>
      </c>
    </row>
    <row r="31" spans="2:20" outlineLevel="1">
      <c r="C31" s="29" t="s">
        <v>44</v>
      </c>
      <c r="D31" s="10" t="s">
        <v>38</v>
      </c>
      <c r="E31" s="23"/>
      <c r="F31" s="23"/>
      <c r="G31" s="23"/>
      <c r="H31" s="23"/>
      <c r="I31" s="23"/>
      <c r="J31" s="282">
        <v>0.03</v>
      </c>
      <c r="K31" s="282">
        <v>3.5000000000000003E-2</v>
      </c>
      <c r="L31" s="282">
        <v>3.5000000000000003E-2</v>
      </c>
      <c r="M31" s="282">
        <v>0.03</v>
      </c>
      <c r="N31" s="282">
        <v>0.03</v>
      </c>
      <c r="Q31" s="126" t="s">
        <v>61</v>
      </c>
      <c r="R31" s="128"/>
      <c r="S31" s="32"/>
      <c r="T31" s="129"/>
    </row>
    <row r="32" spans="2:20" outlineLevel="1">
      <c r="C32" s="28" t="s">
        <v>43</v>
      </c>
      <c r="D32" s="26" t="s">
        <v>38</v>
      </c>
      <c r="E32" s="27"/>
      <c r="F32" s="27"/>
      <c r="G32" s="27"/>
      <c r="H32" s="27"/>
      <c r="I32" s="27"/>
      <c r="J32" s="282">
        <v>5.0000000000000001E-3</v>
      </c>
      <c r="K32" s="282">
        <v>-1.4999999999999999E-2</v>
      </c>
      <c r="L32" s="282">
        <v>-2.5999999999999999E-2</v>
      </c>
      <c r="M32" s="282">
        <v>0.01</v>
      </c>
      <c r="N32" s="282">
        <v>0.02</v>
      </c>
      <c r="Q32" s="128"/>
      <c r="R32" s="130" t="s">
        <v>98</v>
      </c>
      <c r="S32" s="32"/>
      <c r="T32" s="124">
        <v>220379</v>
      </c>
    </row>
    <row r="33" spans="3:20" outlineLevel="1">
      <c r="C33" s="8" t="s">
        <v>42</v>
      </c>
      <c r="D33" s="10" t="s">
        <v>38</v>
      </c>
      <c r="E33" s="6"/>
      <c r="F33" s="6"/>
      <c r="G33" s="6"/>
      <c r="H33" s="6"/>
      <c r="I33" s="6">
        <v>2.7E-2</v>
      </c>
      <c r="J33" s="4">
        <f>INDEX(J30:J32,MATCH(Scenario,$C30:$C32,0))</f>
        <v>5.0000000000000001E-3</v>
      </c>
      <c r="K33" s="4">
        <f>INDEX(K30:K32,MATCH(Scenario,$C30:$C32,0))</f>
        <v>-1.4999999999999999E-2</v>
      </c>
      <c r="L33" s="4">
        <f>INDEX(L30:L32,MATCH(Scenario,$C30:$C32,0))</f>
        <v>-2.5999999999999999E-2</v>
      </c>
      <c r="M33" s="4">
        <f>INDEX(M30:M32,MATCH(Scenario,$C30:$C32,0))</f>
        <v>0.01</v>
      </c>
      <c r="N33" s="4">
        <f>INDEX(N30:N32,MATCH(Scenario,$C30:$C32,0))</f>
        <v>0.02</v>
      </c>
      <c r="Q33" s="128"/>
      <c r="R33" s="130" t="s">
        <v>99</v>
      </c>
      <c r="S33" s="32"/>
      <c r="T33" s="124">
        <v>-849</v>
      </c>
    </row>
    <row r="34" spans="3:20" outlineLevel="1">
      <c r="C34" s="8"/>
      <c r="D34" s="7"/>
      <c r="E34" s="6"/>
      <c r="F34" s="6"/>
      <c r="G34" s="6"/>
      <c r="H34" s="6"/>
      <c r="I34" s="6"/>
      <c r="J34" s="4"/>
      <c r="K34" s="4"/>
      <c r="L34" s="4"/>
      <c r="M34" s="4"/>
      <c r="N34" s="4"/>
      <c r="Q34" s="128"/>
      <c r="R34" s="130" t="s">
        <v>100</v>
      </c>
      <c r="S34" s="32"/>
      <c r="T34" s="124">
        <v>836</v>
      </c>
    </row>
    <row r="35" spans="3:20" outlineLevel="1">
      <c r="C35" s="22" t="s">
        <v>41</v>
      </c>
      <c r="D35" s="21"/>
      <c r="E35" s="219"/>
      <c r="F35" s="219"/>
      <c r="G35" s="219"/>
      <c r="H35" s="219"/>
      <c r="I35" s="219"/>
      <c r="J35" s="19"/>
      <c r="K35" s="19"/>
      <c r="L35" s="19"/>
      <c r="M35" s="19"/>
      <c r="N35" s="19"/>
      <c r="Q35" s="126" t="s">
        <v>62</v>
      </c>
      <c r="R35" s="126"/>
      <c r="S35" s="32"/>
      <c r="T35" s="129"/>
    </row>
    <row r="36" spans="3:20" outlineLevel="1">
      <c r="C36" s="16" t="str">
        <f>+C16</f>
        <v>Single family real estate secured</v>
      </c>
      <c r="D36" s="10" t="s">
        <v>58</v>
      </c>
      <c r="E36" s="284"/>
      <c r="F36" s="284"/>
      <c r="G36" s="284"/>
      <c r="H36" s="284"/>
      <c r="I36" s="284"/>
      <c r="J36" s="58">
        <f>+J46*J$27</f>
        <v>0</v>
      </c>
      <c r="K36" s="58">
        <f>+K46*K$27</f>
        <v>0</v>
      </c>
      <c r="L36" s="58">
        <f>+L46*L$27</f>
        <v>0</v>
      </c>
      <c r="M36" s="58">
        <f>+M46*M$27</f>
        <v>0</v>
      </c>
      <c r="N36" s="58">
        <f>+N46*N$27</f>
        <v>0</v>
      </c>
      <c r="Q36" s="128"/>
      <c r="R36" s="130" t="s">
        <v>98</v>
      </c>
      <c r="S36" s="32"/>
      <c r="T36" s="124">
        <v>213522</v>
      </c>
    </row>
    <row r="37" spans="3:20" outlineLevel="1">
      <c r="C37" s="16" t="str">
        <f t="shared" ref="C37:C41" si="4">+C17</f>
        <v>Multifamily real estate secured</v>
      </c>
      <c r="D37" s="10" t="s">
        <v>58</v>
      </c>
      <c r="E37" s="285"/>
      <c r="F37" s="285"/>
      <c r="G37" s="285"/>
      <c r="H37" s="285"/>
      <c r="I37" s="284"/>
      <c r="J37" s="58">
        <f>+J47*J$27</f>
        <v>0</v>
      </c>
      <c r="K37" s="58">
        <f>+K47*K$27</f>
        <v>0</v>
      </c>
      <c r="L37" s="58">
        <f>+L47*L$27</f>
        <v>0</v>
      </c>
      <c r="M37" s="58">
        <f>+M47*M$27</f>
        <v>0</v>
      </c>
      <c r="N37" s="58">
        <f>+N47*N$27</f>
        <v>0</v>
      </c>
      <c r="Q37" s="128"/>
      <c r="R37" s="130" t="s">
        <v>99</v>
      </c>
      <c r="S37" s="32"/>
      <c r="T37" s="124">
        <v>-3178</v>
      </c>
    </row>
    <row r="38" spans="3:20" outlineLevel="1">
      <c r="C38" s="16" t="str">
        <f t="shared" si="4"/>
        <v>Commercial real estate secured</v>
      </c>
      <c r="D38" s="10" t="s">
        <v>58</v>
      </c>
      <c r="E38" s="285"/>
      <c r="F38" s="285"/>
      <c r="G38" s="285"/>
      <c r="H38" s="285"/>
      <c r="I38" s="284"/>
      <c r="J38" s="58">
        <f>+J48*J$27</f>
        <v>0</v>
      </c>
      <c r="K38" s="58">
        <f>+K48*K$27</f>
        <v>0</v>
      </c>
      <c r="L38" s="58">
        <f>+L48*L$27</f>
        <v>0</v>
      </c>
      <c r="M38" s="58">
        <f>+M48*M$27</f>
        <v>0</v>
      </c>
      <c r="N38" s="58">
        <f>+N48*N$27</f>
        <v>0</v>
      </c>
      <c r="Q38" s="128"/>
      <c r="R38" s="130" t="s">
        <v>100</v>
      </c>
      <c r="S38" s="32"/>
      <c r="T38" s="124">
        <v>2065</v>
      </c>
    </row>
    <row r="39" spans="3:20" outlineLevel="1">
      <c r="C39" s="16" t="str">
        <f t="shared" si="4"/>
        <v>Auto and RV secured</v>
      </c>
      <c r="D39" s="10" t="s">
        <v>58</v>
      </c>
      <c r="E39" s="285"/>
      <c r="F39" s="285"/>
      <c r="G39" s="285"/>
      <c r="H39" s="285"/>
      <c r="I39" s="284"/>
      <c r="J39" s="58">
        <f>+J49*J$27</f>
        <v>0</v>
      </c>
      <c r="K39" s="58">
        <f>+K49*K$27</f>
        <v>0</v>
      </c>
      <c r="L39" s="58">
        <f>+L49*L$27</f>
        <v>0</v>
      </c>
      <c r="M39" s="58">
        <f>+M49*M$27</f>
        <v>0</v>
      </c>
      <c r="N39" s="58">
        <f>+N49*N$27</f>
        <v>0</v>
      </c>
      <c r="Q39" s="126" t="s">
        <v>63</v>
      </c>
      <c r="R39" s="128"/>
      <c r="S39" s="32"/>
      <c r="T39" s="129"/>
    </row>
    <row r="40" spans="3:20" outlineLevel="1">
      <c r="C40" s="16" t="str">
        <f t="shared" si="4"/>
        <v>Factoring</v>
      </c>
      <c r="D40" s="10" t="s">
        <v>58</v>
      </c>
      <c r="E40" s="285"/>
      <c r="F40" s="285"/>
      <c r="G40" s="285"/>
      <c r="H40" s="285"/>
      <c r="I40" s="284"/>
      <c r="J40" s="58">
        <f>+J50*J$27</f>
        <v>0</v>
      </c>
      <c r="K40" s="58">
        <f>+K50*K$27</f>
        <v>0</v>
      </c>
      <c r="L40" s="58">
        <f>+L50*L$27</f>
        <v>0</v>
      </c>
      <c r="M40" s="58">
        <f>+M50*M$27</f>
        <v>0</v>
      </c>
      <c r="N40" s="58">
        <f>+N50*N$27</f>
        <v>0</v>
      </c>
      <c r="Q40" s="128"/>
      <c r="R40" s="130" t="s">
        <v>98</v>
      </c>
      <c r="S40" s="32"/>
      <c r="T40" s="124">
        <v>169885</v>
      </c>
    </row>
    <row r="41" spans="3:20" outlineLevel="1">
      <c r="C41" s="16" t="str">
        <f t="shared" si="4"/>
        <v xml:space="preserve">Warehouse </v>
      </c>
      <c r="D41" s="10" t="s">
        <v>58</v>
      </c>
      <c r="E41" s="285"/>
      <c r="F41" s="285"/>
      <c r="G41" s="285"/>
      <c r="H41" s="285"/>
      <c r="I41" s="284"/>
      <c r="J41" s="58">
        <f>+J51*J$27</f>
        <v>0</v>
      </c>
      <c r="K41" s="58">
        <f>+K51*K$27</f>
        <v>0</v>
      </c>
      <c r="L41" s="58">
        <f>+L51*L$27</f>
        <v>0</v>
      </c>
      <c r="M41" s="58">
        <f>+M51*M$27</f>
        <v>0</v>
      </c>
      <c r="N41" s="58">
        <f>+N51*N$27</f>
        <v>0</v>
      </c>
      <c r="Q41" s="128"/>
      <c r="R41" s="130"/>
      <c r="S41" s="32"/>
      <c r="T41" s="124"/>
    </row>
    <row r="42" spans="3:20" outlineLevel="1">
      <c r="C42" s="16" t="str">
        <f>+C23</f>
        <v>C&amp;I</v>
      </c>
      <c r="D42" s="10" t="s">
        <v>58</v>
      </c>
      <c r="E42" s="285"/>
      <c r="F42" s="285"/>
      <c r="G42" s="285"/>
      <c r="H42" s="285"/>
      <c r="I42" s="284"/>
      <c r="J42" s="58">
        <f>+J53*J$27</f>
        <v>0</v>
      </c>
      <c r="K42" s="58">
        <f>+K53*K$27</f>
        <v>0</v>
      </c>
      <c r="L42" s="58">
        <f>+L53*L$27</f>
        <v>0</v>
      </c>
      <c r="M42" s="58">
        <f>+M53*M$27</f>
        <v>0</v>
      </c>
      <c r="N42" s="58">
        <f>+N53*N$27</f>
        <v>0</v>
      </c>
      <c r="Q42" s="128"/>
      <c r="R42" s="130" t="s">
        <v>99</v>
      </c>
      <c r="S42" s="32"/>
      <c r="T42" s="124">
        <v>-445</v>
      </c>
    </row>
    <row r="43" spans="3:20" outlineLevel="1">
      <c r="C43" s="24" t="s">
        <v>40</v>
      </c>
      <c r="D43" s="50" t="s">
        <v>58</v>
      </c>
      <c r="E43" s="283">
        <f>SUM(E36:E42)</f>
        <v>0</v>
      </c>
      <c r="F43" s="283">
        <f>SUM(F36:F42)</f>
        <v>0</v>
      </c>
      <c r="G43" s="283">
        <f>SUM(G36:G42)</f>
        <v>0</v>
      </c>
      <c r="H43" s="283">
        <f>SUM(H36:H42)</f>
        <v>0</v>
      </c>
      <c r="I43" s="283">
        <f>SUM(I36:I42)</f>
        <v>0</v>
      </c>
      <c r="J43" s="60">
        <f>SUM(J36:J42)</f>
        <v>0</v>
      </c>
      <c r="K43" s="60">
        <f>SUM(K36:K42)</f>
        <v>0</v>
      </c>
      <c r="L43" s="60">
        <f>SUM(L36:L42)</f>
        <v>0</v>
      </c>
      <c r="M43" s="60">
        <f>SUM(M36:M42)</f>
        <v>0</v>
      </c>
      <c r="N43" s="60">
        <f>SUM(N36:N42)</f>
        <v>0</v>
      </c>
      <c r="Q43" s="128"/>
      <c r="R43" s="130" t="s">
        <v>100</v>
      </c>
      <c r="S43" s="32"/>
      <c r="T43" s="124">
        <v>-48039</v>
      </c>
    </row>
    <row r="44" spans="3:20" outlineLevel="1">
      <c r="C44" s="8"/>
      <c r="D44" s="7"/>
      <c r="E44" s="5"/>
      <c r="F44" s="5"/>
      <c r="G44" s="5"/>
      <c r="H44" s="5"/>
      <c r="I44" s="5"/>
      <c r="J44" s="4"/>
      <c r="K44" s="4"/>
      <c r="L44" s="4"/>
      <c r="M44" s="4"/>
      <c r="N44" s="4"/>
      <c r="Q44" s="126" t="s">
        <v>64</v>
      </c>
      <c r="R44" s="128"/>
      <c r="S44" s="32"/>
      <c r="T44" s="129"/>
    </row>
    <row r="45" spans="3:20" outlineLevel="1">
      <c r="C45" s="22" t="s">
        <v>39</v>
      </c>
      <c r="D45" s="21"/>
      <c r="E45" s="20"/>
      <c r="F45" s="20"/>
      <c r="G45" s="20"/>
      <c r="H45" s="20"/>
      <c r="I45" s="20"/>
      <c r="J45" s="221"/>
      <c r="K45" s="222"/>
      <c r="L45" s="221"/>
      <c r="M45" s="221"/>
      <c r="N45" s="221"/>
      <c r="Q45" s="128"/>
      <c r="R45" s="130" t="s">
        <v>98</v>
      </c>
      <c r="S45" s="32"/>
      <c r="T45" s="124">
        <v>1481051</v>
      </c>
    </row>
    <row r="46" spans="3:20" outlineLevel="1">
      <c r="C46" s="16" t="str">
        <f>+C36</f>
        <v>Single family real estate secured</v>
      </c>
      <c r="D46" s="10" t="s">
        <v>38</v>
      </c>
      <c r="E46" s="227" t="str">
        <f>IFERROR(E36/E$27, "N/A")</f>
        <v>N/A</v>
      </c>
      <c r="F46" s="227" t="str">
        <f>IFERROR(F36/F$27, "N/A")</f>
        <v>N/A</v>
      </c>
      <c r="G46" s="227" t="str">
        <f>IFERROR(G36/G$27, "N/A")</f>
        <v>N/A</v>
      </c>
      <c r="H46" s="227" t="str">
        <f>IFERROR(H36/H$27, "N/A")</f>
        <v>N/A</v>
      </c>
      <c r="I46" s="227">
        <f>IFERROR(I36/I$27, "N/A")</f>
        <v>0</v>
      </c>
      <c r="J46" s="282"/>
      <c r="K46" s="282"/>
      <c r="L46" s="282"/>
      <c r="M46" s="282"/>
      <c r="N46" s="282"/>
      <c r="Q46" s="128"/>
      <c r="R46" s="130" t="s">
        <v>99</v>
      </c>
      <c r="S46" s="32"/>
      <c r="T46" s="124">
        <v>-16238</v>
      </c>
    </row>
    <row r="47" spans="3:20" outlineLevel="1">
      <c r="C47" s="16" t="str">
        <f>+C37</f>
        <v>Multifamily real estate secured</v>
      </c>
      <c r="D47" s="10" t="s">
        <v>38</v>
      </c>
      <c r="E47" s="227" t="str">
        <f>IFERROR(E37/E$27, "N/A")</f>
        <v>N/A</v>
      </c>
      <c r="F47" s="227" t="str">
        <f>IFERROR(F37/F$27, "N/A")</f>
        <v>N/A</v>
      </c>
      <c r="G47" s="227" t="str">
        <f>IFERROR(G37/G$27, "N/A")</f>
        <v>N/A</v>
      </c>
      <c r="H47" s="227" t="str">
        <f>IFERROR(H37/H$27, "N/A")</f>
        <v>N/A</v>
      </c>
      <c r="I47" s="227">
        <f>IFERROR(I37/I$27, "N/A")</f>
        <v>0</v>
      </c>
      <c r="J47" s="282"/>
      <c r="K47" s="282"/>
      <c r="L47" s="282"/>
      <c r="M47" s="282"/>
      <c r="N47" s="282"/>
      <c r="Q47" s="128"/>
      <c r="R47" s="130" t="s">
        <v>100</v>
      </c>
      <c r="S47" s="32"/>
      <c r="T47" s="124">
        <v>-3884</v>
      </c>
    </row>
    <row r="48" spans="3:20" outlineLevel="1">
      <c r="C48" s="16" t="str">
        <f>+C38</f>
        <v>Commercial real estate secured</v>
      </c>
      <c r="D48" s="10" t="s">
        <v>38</v>
      </c>
      <c r="E48" s="227" t="str">
        <f>IFERROR(E38/E$27, "N/A")</f>
        <v>N/A</v>
      </c>
      <c r="F48" s="227" t="str">
        <f>IFERROR(F38/F$27, "N/A")</f>
        <v>N/A</v>
      </c>
      <c r="G48" s="227" t="str">
        <f>IFERROR(G38/G$27, "N/A")</f>
        <v>N/A</v>
      </c>
      <c r="H48" s="227" t="str">
        <f>IFERROR(H38/H$27, "N/A")</f>
        <v>N/A</v>
      </c>
      <c r="I48" s="227">
        <f>IFERROR(I38/I$27, "N/A")</f>
        <v>0</v>
      </c>
      <c r="J48" s="282"/>
      <c r="K48" s="282"/>
      <c r="L48" s="282"/>
      <c r="M48" s="282"/>
      <c r="N48" s="282"/>
      <c r="Q48" s="126" t="s">
        <v>65</v>
      </c>
      <c r="R48" s="128"/>
      <c r="S48" s="32"/>
      <c r="T48" s="129"/>
    </row>
    <row r="49" spans="3:20" outlineLevel="1">
      <c r="C49" s="16" t="str">
        <f>+C39</f>
        <v>Auto and RV secured</v>
      </c>
      <c r="D49" s="10" t="s">
        <v>38</v>
      </c>
      <c r="E49" s="227" t="str">
        <f>IFERROR(E39/E$27, "N/A")</f>
        <v>N/A</v>
      </c>
      <c r="F49" s="227" t="str">
        <f>IFERROR(F39/F$27, "N/A")</f>
        <v>N/A</v>
      </c>
      <c r="G49" s="227" t="str">
        <f>IFERROR(G39/G$27, "N/A")</f>
        <v>N/A</v>
      </c>
      <c r="H49" s="227" t="str">
        <f>IFERROR(H39/H$27, "N/A")</f>
        <v>N/A</v>
      </c>
      <c r="I49" s="227">
        <f>IFERROR(I39/I$27, "N/A")</f>
        <v>0</v>
      </c>
      <c r="J49" s="282"/>
      <c r="K49" s="282"/>
      <c r="L49" s="282"/>
      <c r="M49" s="282"/>
      <c r="N49" s="282"/>
      <c r="Q49" s="128"/>
      <c r="R49" s="130" t="s">
        <v>98</v>
      </c>
      <c r="S49" s="32"/>
      <c r="T49" s="124">
        <v>18598</v>
      </c>
    </row>
    <row r="50" spans="3:20" outlineLevel="1">
      <c r="C50" s="16" t="str">
        <f>+C40</f>
        <v>Factoring</v>
      </c>
      <c r="D50" s="10" t="s">
        <v>38</v>
      </c>
      <c r="E50" s="227" t="str">
        <f>IFERROR(E40/E$27, "N/A")</f>
        <v>N/A</v>
      </c>
      <c r="F50" s="227" t="str">
        <f>IFERROR(F40/F$27, "N/A")</f>
        <v>N/A</v>
      </c>
      <c r="G50" s="227" t="str">
        <f>IFERROR(G40/G$27, "N/A")</f>
        <v>N/A</v>
      </c>
      <c r="H50" s="227" t="str">
        <f>IFERROR(H40/H$27, "N/A")</f>
        <v>N/A</v>
      </c>
      <c r="I50" s="227">
        <f>IFERROR(I40/I$27, "N/A")</f>
        <v>0</v>
      </c>
      <c r="J50" s="282"/>
      <c r="K50" s="282"/>
      <c r="L50" s="282"/>
      <c r="M50" s="282"/>
      <c r="N50" s="282"/>
      <c r="Q50" s="128"/>
      <c r="R50" s="130" t="s">
        <v>99</v>
      </c>
      <c r="S50" s="32"/>
      <c r="T50" s="124">
        <v>-969</v>
      </c>
    </row>
    <row r="51" spans="3:20" outlineLevel="1">
      <c r="C51" s="16" t="str">
        <f>+C41</f>
        <v xml:space="preserve">Warehouse </v>
      </c>
      <c r="D51" s="10" t="s">
        <v>38</v>
      </c>
      <c r="E51" s="227" t="str">
        <f>IFERROR(E41/E$27, "N/A")</f>
        <v>N/A</v>
      </c>
      <c r="F51" s="227" t="str">
        <f>IFERROR(F41/F$27, "N/A")</f>
        <v>N/A</v>
      </c>
      <c r="G51" s="227" t="str">
        <f>IFERROR(G41/G$27, "N/A")</f>
        <v>N/A</v>
      </c>
      <c r="H51" s="227" t="str">
        <f>IFERROR(H41/H$27, "N/A")</f>
        <v>N/A</v>
      </c>
      <c r="I51" s="227">
        <f>IFERROR(I41/I$27, "N/A")</f>
        <v>0</v>
      </c>
      <c r="J51" s="282"/>
      <c r="K51" s="282"/>
      <c r="L51" s="282"/>
      <c r="M51" s="282"/>
      <c r="N51" s="282"/>
      <c r="Q51" s="128"/>
      <c r="R51" s="130"/>
      <c r="S51" s="32"/>
      <c r="T51" s="124"/>
    </row>
    <row r="52" spans="3:20" ht="13.2" customHeight="1" outlineLevel="1">
      <c r="C52" s="16" t="str">
        <f>+C42</f>
        <v>C&amp;I</v>
      </c>
      <c r="D52" s="10"/>
      <c r="E52" s="227" t="str">
        <f>IFERROR(E42/E$27, "N/A")</f>
        <v>N/A</v>
      </c>
      <c r="F52" s="227" t="str">
        <f>IFERROR(F42/F$27, "N/A")</f>
        <v>N/A</v>
      </c>
      <c r="G52" s="227" t="str">
        <f>IFERROR(G42/G$27, "N/A")</f>
        <v>N/A</v>
      </c>
      <c r="H52" s="227" t="str">
        <f>IFERROR(H42/H$27, "N/A")</f>
        <v>N/A</v>
      </c>
      <c r="I52" s="227">
        <f>IFERROR(I42/I$27, "N/A")</f>
        <v>0</v>
      </c>
      <c r="J52" s="281"/>
      <c r="K52" s="281"/>
      <c r="L52" s="281"/>
      <c r="M52" s="281"/>
      <c r="N52" s="281"/>
      <c r="Q52" s="128"/>
      <c r="R52" s="130"/>
      <c r="S52" s="32"/>
      <c r="T52" s="124"/>
    </row>
    <row r="53" spans="3:20" outlineLevel="1">
      <c r="C53" s="47"/>
      <c r="D53" s="10"/>
      <c r="E53" s="5"/>
      <c r="F53" s="5"/>
      <c r="G53" s="5"/>
      <c r="H53" s="5"/>
      <c r="I53" s="5"/>
      <c r="J53" s="4"/>
      <c r="K53" s="4"/>
      <c r="L53" s="4"/>
      <c r="M53" s="4"/>
      <c r="N53" s="4"/>
      <c r="Q53" s="128"/>
      <c r="R53" s="130"/>
      <c r="S53" s="32"/>
      <c r="T53" s="124"/>
    </row>
    <row r="54" spans="3:20" outlineLevel="1">
      <c r="C54" s="22" t="str">
        <f>Company_Name&amp;" - Lending Market Share by Segment:"</f>
        <v>AXOS Bank - Lending Market Share by Segment:</v>
      </c>
      <c r="D54" s="21"/>
      <c r="E54" s="20"/>
      <c r="F54" s="20"/>
      <c r="G54" s="20"/>
      <c r="H54" s="20"/>
      <c r="I54" s="20"/>
      <c r="J54" s="19"/>
      <c r="K54" s="19"/>
      <c r="L54" s="19"/>
      <c r="M54" s="19"/>
      <c r="N54" s="19"/>
    </row>
    <row r="55" spans="3:20" outlineLevel="1">
      <c r="C55" s="16" t="str">
        <f>+$C$16</f>
        <v>Single family real estate secured</v>
      </c>
      <c r="D55" s="10" t="s">
        <v>38</v>
      </c>
      <c r="E55" s="15" t="str">
        <f>IFERROR(E16/(E36*Units),"N/A")</f>
        <v>N/A</v>
      </c>
      <c r="F55" s="15" t="str">
        <f>IFERROR(F16/(F36*Units),"N/A")</f>
        <v>N/A</v>
      </c>
      <c r="G55" s="15" t="str">
        <f>IFERROR(G16/(G36*Units),"N/A")</f>
        <v>N/A</v>
      </c>
      <c r="H55" s="15" t="str">
        <f>IFERROR(H16/(H36*Units),"N/A")</f>
        <v>N/A</v>
      </c>
      <c r="I55" s="15" t="str">
        <f>IFERROR(I16/(I36*Units),"N/A")</f>
        <v>N/A</v>
      </c>
      <c r="J55" s="14">
        <f>INDEX(J56:J58,MATCH(Scenario,$C56:$C58,0))</f>
        <v>0</v>
      </c>
      <c r="K55" s="14">
        <f>INDEX(K56:K58,MATCH(Scenario,$C56:$C58,0))</f>
        <v>0</v>
      </c>
      <c r="L55" s="14">
        <f>INDEX(L56:L58,MATCH(Scenario,$C56:$C58,0))</f>
        <v>0</v>
      </c>
      <c r="M55" s="14">
        <f>INDEX(M56:M58,MATCH(Scenario,$C56:$C58,0))</f>
        <v>0</v>
      </c>
      <c r="N55" s="14">
        <f>INDEX(N56:N58,MATCH(Scenario,$C56:$C58,0))</f>
        <v>0</v>
      </c>
    </row>
    <row r="56" spans="3:20" outlineLevel="1">
      <c r="C56" s="13" t="str">
        <f>+$C$30</f>
        <v>Base</v>
      </c>
      <c r="D56" s="10" t="s">
        <v>38</v>
      </c>
      <c r="E56" s="5"/>
      <c r="F56" s="5"/>
      <c r="G56" s="5"/>
      <c r="H56" s="5"/>
      <c r="I56" s="5"/>
      <c r="J56" s="12"/>
      <c r="K56" s="12"/>
      <c r="L56" s="12"/>
      <c r="M56" s="12"/>
      <c r="N56" s="12"/>
    </row>
    <row r="57" spans="3:20" outlineLevel="1">
      <c r="C57" s="11" t="str">
        <f>+$C$31</f>
        <v>Upside</v>
      </c>
      <c r="D57" s="10" t="s">
        <v>38</v>
      </c>
      <c r="E57" s="5"/>
      <c r="F57" s="5"/>
      <c r="G57" s="5"/>
      <c r="H57" s="5"/>
      <c r="I57" s="5"/>
      <c r="J57" s="12"/>
      <c r="K57" s="12"/>
      <c r="L57" s="12"/>
      <c r="M57" s="12"/>
      <c r="N57" s="12"/>
    </row>
    <row r="58" spans="3:20" outlineLevel="1">
      <c r="C58" s="11" t="str">
        <f>+$C$32</f>
        <v>Downside</v>
      </c>
      <c r="D58" s="10" t="s">
        <v>38</v>
      </c>
      <c r="E58" s="5"/>
      <c r="F58" s="5"/>
      <c r="G58" s="5"/>
      <c r="H58" s="5"/>
      <c r="I58" s="5"/>
      <c r="J58" s="9"/>
      <c r="K58" s="9"/>
      <c r="L58" s="9"/>
      <c r="M58" s="9"/>
      <c r="N58" s="9"/>
    </row>
    <row r="59" spans="3:20" outlineLevel="1">
      <c r="C59" s="18"/>
      <c r="D59" s="10"/>
      <c r="E59" s="5"/>
      <c r="F59" s="5"/>
      <c r="G59" s="5"/>
      <c r="H59" s="5"/>
      <c r="I59" s="5"/>
      <c r="J59" s="17"/>
      <c r="K59" s="17"/>
      <c r="L59" s="17"/>
      <c r="M59" s="17"/>
      <c r="N59" s="17"/>
    </row>
    <row r="60" spans="3:20" outlineLevel="1">
      <c r="C60" s="16" t="str">
        <f>+$C$17</f>
        <v>Multifamily real estate secured</v>
      </c>
      <c r="D60" s="10" t="s">
        <v>38</v>
      </c>
      <c r="E60" s="15" t="str">
        <f>IFERROR(E17/(E37*Units),"N/A")</f>
        <v>N/A</v>
      </c>
      <c r="F60" s="15" t="str">
        <f>IFERROR(F17/(F37*Units),"N/A")</f>
        <v>N/A</v>
      </c>
      <c r="G60" s="15" t="str">
        <f>IFERROR(G17/(G37*Units),"N/A")</f>
        <v>N/A</v>
      </c>
      <c r="H60" s="15" t="str">
        <f>IFERROR(H17/(H37*Units),"N/A")</f>
        <v>N/A</v>
      </c>
      <c r="I60" s="15" t="str">
        <f>IFERROR(I17/(I37*Units),"N/A")</f>
        <v>N/A</v>
      </c>
      <c r="J60" s="14">
        <f>INDEX(J61:J63,MATCH(Scenario,$C61:$C63,0))</f>
        <v>0</v>
      </c>
      <c r="K60" s="14">
        <f>INDEX(K61:K63,MATCH(Scenario,$C61:$C63,0))</f>
        <v>0</v>
      </c>
      <c r="L60" s="14">
        <f>INDEX(L61:L63,MATCH(Scenario,$C61:$C63,0))</f>
        <v>0</v>
      </c>
      <c r="M60" s="14">
        <f>INDEX(M61:M63,MATCH(Scenario,$C61:$C63,0))</f>
        <v>0</v>
      </c>
      <c r="N60" s="14">
        <f>INDEX(N61:N63,MATCH(Scenario,$C61:$C63,0))</f>
        <v>0</v>
      </c>
    </row>
    <row r="61" spans="3:20" outlineLevel="1">
      <c r="C61" s="13" t="str">
        <f>+$C$30</f>
        <v>Base</v>
      </c>
      <c r="D61" s="10" t="s">
        <v>38</v>
      </c>
      <c r="E61" s="5"/>
      <c r="F61" s="5"/>
      <c r="G61" s="5"/>
      <c r="H61" s="5"/>
      <c r="I61" s="5"/>
      <c r="J61" s="12"/>
      <c r="K61" s="12"/>
      <c r="L61" s="12"/>
      <c r="M61" s="12"/>
      <c r="N61" s="12"/>
    </row>
    <row r="62" spans="3:20" outlineLevel="1">
      <c r="C62" s="11" t="str">
        <f>+$C$31</f>
        <v>Upside</v>
      </c>
      <c r="D62" s="10" t="s">
        <v>38</v>
      </c>
      <c r="E62" s="5"/>
      <c r="F62" s="5"/>
      <c r="G62" s="5"/>
      <c r="H62" s="5"/>
      <c r="I62" s="5"/>
      <c r="J62" s="12"/>
      <c r="K62" s="12"/>
      <c r="L62" s="12"/>
      <c r="M62" s="12"/>
      <c r="N62" s="12"/>
    </row>
    <row r="63" spans="3:20" outlineLevel="1">
      <c r="C63" s="11" t="str">
        <f>+$C$32</f>
        <v>Downside</v>
      </c>
      <c r="D63" s="10" t="s">
        <v>38</v>
      </c>
      <c r="E63" s="5"/>
      <c r="F63" s="5"/>
      <c r="G63" s="5"/>
      <c r="H63" s="5"/>
      <c r="I63" s="5"/>
      <c r="J63" s="9"/>
      <c r="K63" s="9"/>
      <c r="L63" s="9"/>
      <c r="M63" s="9"/>
      <c r="N63" s="9"/>
    </row>
    <row r="64" spans="3:20" outlineLevel="1">
      <c r="C64" s="18"/>
      <c r="D64" s="10"/>
      <c r="E64" s="5"/>
      <c r="F64" s="5"/>
      <c r="G64" s="5"/>
      <c r="H64" s="5"/>
      <c r="I64" s="5"/>
      <c r="J64" s="17"/>
      <c r="K64" s="17"/>
      <c r="L64" s="17"/>
      <c r="M64" s="17"/>
      <c r="N64" s="17"/>
    </row>
    <row r="65" spans="3:29" outlineLevel="1">
      <c r="C65" s="16" t="str">
        <f>+$C$18</f>
        <v>Commercial real estate secured</v>
      </c>
      <c r="D65" s="10" t="s">
        <v>38</v>
      </c>
      <c r="E65" s="15" t="str">
        <f>IFERROR(E18/(E38*Units),"N/A")</f>
        <v>N/A</v>
      </c>
      <c r="F65" s="15" t="str">
        <f>IFERROR(F18/(F38*Units),"N/A")</f>
        <v>N/A</v>
      </c>
      <c r="G65" s="15" t="str">
        <f>IFERROR(G18/(G38*Units),"N/A")</f>
        <v>N/A</v>
      </c>
      <c r="H65" s="15" t="str">
        <f>IFERROR(H18/(H38*Units),"N/A")</f>
        <v>N/A</v>
      </c>
      <c r="I65" s="15" t="str">
        <f>IFERROR(I18/(I38*Units),"N/A")</f>
        <v>N/A</v>
      </c>
      <c r="J65" s="14">
        <f>INDEX(J66:J68,MATCH(Scenario,$C66:$C68,0))</f>
        <v>0</v>
      </c>
      <c r="K65" s="14">
        <f>INDEX(K66:K68,MATCH(Scenario,$C66:$C68,0))</f>
        <v>0</v>
      </c>
      <c r="L65" s="14">
        <f>INDEX(L66:L68,MATCH(Scenario,$C66:$C68,0))</f>
        <v>0</v>
      </c>
      <c r="M65" s="14">
        <f>INDEX(M66:M68,MATCH(Scenario,$C66:$C68,0))</f>
        <v>0</v>
      </c>
      <c r="N65" s="14">
        <f>INDEX(N66:N68,MATCH(Scenario,$C66:$C68,0))</f>
        <v>0</v>
      </c>
    </row>
    <row r="66" spans="3:29" outlineLevel="1">
      <c r="C66" s="13" t="str">
        <f>+$C$30</f>
        <v>Base</v>
      </c>
      <c r="D66" s="10" t="s">
        <v>38</v>
      </c>
      <c r="E66" s="5"/>
      <c r="F66" s="5"/>
      <c r="G66" s="5"/>
      <c r="H66" s="5"/>
      <c r="I66" s="5"/>
      <c r="J66" s="12"/>
      <c r="K66" s="12"/>
      <c r="L66" s="12"/>
      <c r="M66" s="12"/>
      <c r="N66" s="12"/>
    </row>
    <row r="67" spans="3:29" outlineLevel="1">
      <c r="C67" s="11" t="str">
        <f>+$C$31</f>
        <v>Upside</v>
      </c>
      <c r="D67" s="10" t="s">
        <v>38</v>
      </c>
      <c r="E67" s="5"/>
      <c r="F67" s="5"/>
      <c r="G67" s="5"/>
      <c r="H67" s="5"/>
      <c r="I67" s="5"/>
      <c r="J67" s="12"/>
      <c r="K67" s="12"/>
      <c r="L67" s="12"/>
      <c r="M67" s="12"/>
      <c r="N67" s="12"/>
    </row>
    <row r="68" spans="3:29" outlineLevel="1">
      <c r="C68" s="11" t="str">
        <f>+$C$32</f>
        <v>Downside</v>
      </c>
      <c r="D68" s="10" t="s">
        <v>38</v>
      </c>
      <c r="E68" s="5"/>
      <c r="F68" s="5"/>
      <c r="G68" s="5"/>
      <c r="H68" s="5"/>
      <c r="I68" s="5"/>
      <c r="J68" s="9"/>
      <c r="K68" s="9"/>
      <c r="L68" s="9"/>
      <c r="M68" s="9"/>
      <c r="N68" s="9"/>
    </row>
    <row r="69" spans="3:29" outlineLevel="1">
      <c r="C69" s="18"/>
      <c r="D69" s="10"/>
      <c r="E69" s="5"/>
      <c r="F69" s="5"/>
      <c r="G69" s="5"/>
      <c r="H69" s="5"/>
      <c r="I69" s="5"/>
      <c r="J69" s="17"/>
      <c r="K69" s="17"/>
      <c r="L69" s="17"/>
      <c r="M69" s="17"/>
      <c r="N69" s="17"/>
    </row>
    <row r="70" spans="3:29" outlineLevel="1">
      <c r="C70" s="16" t="str">
        <f>+$C$19</f>
        <v>Auto and RV secured</v>
      </c>
      <c r="D70" s="10" t="s">
        <v>38</v>
      </c>
      <c r="E70" s="228" t="str">
        <f>IFERROR(E19/(E39*Units),"N/A")</f>
        <v>N/A</v>
      </c>
      <c r="F70" s="228" t="str">
        <f>IFERROR(F21/(F41*Units),"N/A")</f>
        <v>N/A</v>
      </c>
      <c r="G70" s="228" t="str">
        <f>IFERROR(G21/(G41*Units),"N/A")</f>
        <v>N/A</v>
      </c>
      <c r="H70" s="228" t="str">
        <f>IFERROR(H21/(H41*Units),"N/A")</f>
        <v>N/A</v>
      </c>
      <c r="I70" s="228" t="str">
        <f>IFERROR(I21/(I41*Units),"N/A")</f>
        <v>N/A</v>
      </c>
      <c r="J70" s="14">
        <f>INDEX(J71:J73,MATCH(Scenario,$C71:$C73,0))</f>
        <v>0</v>
      </c>
      <c r="K70" s="14">
        <f>INDEX(K71:K73,MATCH(Scenario,$C71:$C73,0))</f>
        <v>0</v>
      </c>
      <c r="L70" s="14">
        <f>INDEX(L71:L73,MATCH(Scenario,$C71:$C73,0))</f>
        <v>0</v>
      </c>
      <c r="M70" s="14">
        <f>INDEX(M71:M73,MATCH(Scenario,$C71:$C73,0))</f>
        <v>0</v>
      </c>
      <c r="N70" s="14">
        <f>INDEX(N71:N73,MATCH(Scenario,$C71:$C73,0))</f>
        <v>0</v>
      </c>
    </row>
    <row r="71" spans="3:29" outlineLevel="1">
      <c r="C71" s="13" t="str">
        <f>+$C$30</f>
        <v>Base</v>
      </c>
      <c r="D71" s="10" t="s">
        <v>38</v>
      </c>
      <c r="E71" s="5"/>
      <c r="F71" s="5"/>
      <c r="G71" s="5"/>
      <c r="H71" s="5"/>
      <c r="I71" s="5"/>
      <c r="J71" s="12"/>
      <c r="K71" s="12"/>
      <c r="L71" s="12"/>
      <c r="M71" s="12"/>
      <c r="N71" s="12"/>
    </row>
    <row r="72" spans="3:29" outlineLevel="1">
      <c r="C72" s="11" t="str">
        <f>+$C$31</f>
        <v>Upside</v>
      </c>
      <c r="D72" s="10" t="s">
        <v>38</v>
      </c>
      <c r="E72" s="5"/>
      <c r="F72" s="5"/>
      <c r="G72" s="5"/>
      <c r="H72" s="5"/>
      <c r="I72" s="5"/>
      <c r="J72" s="12"/>
      <c r="K72" s="12"/>
      <c r="L72" s="12"/>
      <c r="M72" s="12"/>
      <c r="N72" s="12"/>
    </row>
    <row r="73" spans="3:29" outlineLevel="1">
      <c r="C73" s="11" t="str">
        <f>+$C$32</f>
        <v>Downside</v>
      </c>
      <c r="D73" s="10" t="s">
        <v>38</v>
      </c>
      <c r="E73" s="5"/>
      <c r="F73" s="5"/>
      <c r="G73" s="5"/>
      <c r="H73" s="5"/>
      <c r="I73" s="5"/>
      <c r="J73" s="9"/>
      <c r="K73" s="9"/>
      <c r="L73" s="9"/>
      <c r="M73" s="9"/>
      <c r="N73" s="9"/>
    </row>
    <row r="74" spans="3:29" outlineLevel="1">
      <c r="C74" s="18"/>
      <c r="D74" s="10"/>
      <c r="E74" s="5"/>
      <c r="F74" s="5"/>
      <c r="G74" s="5"/>
      <c r="H74" s="5"/>
      <c r="I74" s="5"/>
      <c r="J74" s="17"/>
      <c r="K74" s="17"/>
      <c r="L74" s="17"/>
      <c r="M74" s="17"/>
      <c r="N74" s="17"/>
    </row>
    <row r="75" spans="3:29" outlineLevel="1">
      <c r="C75" s="16" t="s">
        <v>63</v>
      </c>
      <c r="D75" s="10" t="s">
        <v>38</v>
      </c>
      <c r="E75" s="228" t="str">
        <f>IFERROR(E20/(E40*Units),"N/A")</f>
        <v>N/A</v>
      </c>
      <c r="F75" s="228" t="str">
        <f>IFERROR(F23/(F42*Units),"N/A")</f>
        <v>N/A</v>
      </c>
      <c r="G75" s="228" t="str">
        <f>IFERROR(G23/(G42*Units),"N/A")</f>
        <v>N/A</v>
      </c>
      <c r="H75" s="228" t="str">
        <f>IFERROR(H23/(H42*Units),"N/A")</f>
        <v>N/A</v>
      </c>
      <c r="I75" s="228" t="str">
        <f>IFERROR(I23/(I42*Units),"N/A")</f>
        <v>N/A</v>
      </c>
      <c r="J75" s="14">
        <f>INDEX(J76:J78,MATCH(Scenario,$C76:$C78,0))</f>
        <v>0</v>
      </c>
      <c r="K75" s="14">
        <f>INDEX(K76:K78,MATCH(Scenario,$C76:$C78,0))</f>
        <v>0</v>
      </c>
      <c r="L75" s="14">
        <f>INDEX(L76:L78,MATCH(Scenario,$C76:$C78,0))</f>
        <v>0</v>
      </c>
      <c r="M75" s="14">
        <f>INDEX(M76:M78,MATCH(Scenario,$C76:$C78,0))</f>
        <v>0</v>
      </c>
      <c r="N75" s="14">
        <f>INDEX(N76:N78,MATCH(Scenario,$C76:$C78,0))</f>
        <v>0</v>
      </c>
    </row>
    <row r="76" spans="3:29" outlineLevel="1">
      <c r="C76" s="13" t="str">
        <f>+$C$30</f>
        <v>Base</v>
      </c>
      <c r="D76" s="10" t="s">
        <v>38</v>
      </c>
      <c r="E76" s="5"/>
      <c r="F76" s="5"/>
      <c r="G76" s="5"/>
      <c r="H76" s="5"/>
      <c r="I76" s="5"/>
      <c r="J76" s="12"/>
      <c r="K76" s="12"/>
      <c r="L76" s="12"/>
      <c r="M76" s="12"/>
      <c r="N76" s="12"/>
    </row>
    <row r="77" spans="3:29" outlineLevel="1">
      <c r="C77" s="11" t="str">
        <f>+$C$31</f>
        <v>Upside</v>
      </c>
      <c r="D77" s="10" t="s">
        <v>38</v>
      </c>
      <c r="E77" s="5"/>
      <c r="F77" s="5"/>
      <c r="G77" s="5"/>
      <c r="H77" s="5"/>
      <c r="I77" s="5"/>
      <c r="J77" s="12"/>
      <c r="K77" s="12"/>
      <c r="L77" s="12"/>
      <c r="M77" s="12"/>
      <c r="N77" s="12"/>
    </row>
    <row r="78" spans="3:29" outlineLevel="1">
      <c r="C78" s="11" t="str">
        <f>+$C$32</f>
        <v>Downside</v>
      </c>
      <c r="D78" s="10" t="s">
        <v>38</v>
      </c>
      <c r="E78" s="5"/>
      <c r="F78" s="5"/>
      <c r="G78" s="5"/>
      <c r="H78" s="5"/>
      <c r="I78" s="5"/>
      <c r="J78" s="9"/>
      <c r="K78" s="9"/>
      <c r="L78" s="9"/>
      <c r="M78" s="9"/>
      <c r="N78" s="9"/>
    </row>
    <row r="79" spans="3:29" outlineLevel="1">
      <c r="C79" s="8"/>
      <c r="D79" s="7"/>
      <c r="E79" s="5"/>
      <c r="F79" s="5"/>
      <c r="G79" s="5"/>
      <c r="H79" s="5"/>
      <c r="I79" s="5"/>
      <c r="J79" s="4"/>
      <c r="K79" s="4"/>
      <c r="L79" s="4"/>
      <c r="M79" s="4"/>
      <c r="N79" s="4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3:29" outlineLevel="1">
      <c r="C80" s="49" t="s">
        <v>105</v>
      </c>
      <c r="D80" s="10" t="s">
        <v>38</v>
      </c>
      <c r="E80" s="15" t="str">
        <f>IFERROR(E21/(E41*Units),"N/A")</f>
        <v>N/A</v>
      </c>
      <c r="F80" s="15" t="str">
        <f>IFERROR(F21/(F41*Units),"N/A")</f>
        <v>N/A</v>
      </c>
      <c r="G80" s="15" t="str">
        <f>IFERROR(G21/(G41*Units),"N/A")</f>
        <v>N/A</v>
      </c>
      <c r="H80" s="15" t="str">
        <f>IFERROR(H21/(H41*Units),"N/A")</f>
        <v>N/A</v>
      </c>
      <c r="I80" s="15" t="str">
        <f>IFERROR(I21/(I41*Units),"N/A")</f>
        <v>N/A</v>
      </c>
      <c r="J80" s="14">
        <f>INDEX(J81:J83,MATCH(Scenario,$C81:$C83,0))</f>
        <v>0</v>
      </c>
      <c r="K80" s="14">
        <f>INDEX(K81:K83,MATCH(Scenario,$C81:$C83,0))</f>
        <v>0</v>
      </c>
      <c r="L80" s="14">
        <f>INDEX(L81:L83,MATCH(Scenario,$C81:$C83,0))</f>
        <v>0</v>
      </c>
      <c r="M80" s="14">
        <f>INDEX(M81:M83,MATCH(Scenario,$C81:$C83,0))</f>
        <v>0</v>
      </c>
      <c r="N80" s="14">
        <f>INDEX(N81:N83,MATCH(Scenario,$C81:$C83,0))</f>
        <v>0</v>
      </c>
    </row>
    <row r="81" spans="2:15" outlineLevel="1">
      <c r="C81" s="13" t="str">
        <f>+$C$30</f>
        <v>Base</v>
      </c>
      <c r="D81" s="10" t="s">
        <v>38</v>
      </c>
      <c r="E81" s="5"/>
      <c r="F81" s="5"/>
      <c r="G81" s="5"/>
      <c r="H81" s="5"/>
      <c r="I81" s="5"/>
      <c r="J81" s="12"/>
      <c r="K81" s="12"/>
      <c r="L81" s="12"/>
      <c r="M81" s="12"/>
      <c r="N81" s="12"/>
    </row>
    <row r="82" spans="2:15" outlineLevel="1">
      <c r="C82" s="11" t="str">
        <f>+$C$31</f>
        <v>Upside</v>
      </c>
      <c r="D82" s="10" t="s">
        <v>38</v>
      </c>
      <c r="E82" s="5"/>
      <c r="F82" s="5"/>
      <c r="G82" s="5"/>
      <c r="H82" s="5"/>
      <c r="I82" s="5"/>
      <c r="J82" s="12"/>
      <c r="K82" s="12"/>
      <c r="L82" s="12"/>
      <c r="M82" s="12"/>
      <c r="N82" s="12"/>
    </row>
    <row r="83" spans="2:15" outlineLevel="1">
      <c r="C83" s="11" t="str">
        <f>+$C$32</f>
        <v>Downside</v>
      </c>
      <c r="D83" s="10" t="s">
        <v>38</v>
      </c>
      <c r="E83" s="5"/>
      <c r="F83" s="5"/>
      <c r="G83" s="5"/>
      <c r="H83" s="5"/>
      <c r="I83" s="5"/>
      <c r="J83" s="9"/>
      <c r="K83" s="9"/>
      <c r="L83" s="9"/>
      <c r="M83" s="9"/>
      <c r="N83" s="9"/>
    </row>
    <row r="84" spans="2:15" outlineLevel="1">
      <c r="C84" s="11"/>
      <c r="D84" s="10"/>
      <c r="E84" s="5"/>
      <c r="F84" s="5"/>
      <c r="G84" s="5"/>
      <c r="H84" s="5"/>
      <c r="I84" s="5"/>
      <c r="J84" s="157"/>
      <c r="K84" s="157"/>
      <c r="L84" s="157"/>
      <c r="M84" s="157"/>
      <c r="N84" s="157"/>
    </row>
    <row r="85" spans="2:15" outlineLevel="1">
      <c r="C85" s="49" t="s">
        <v>104</v>
      </c>
      <c r="D85" s="10" t="s">
        <v>38</v>
      </c>
      <c r="E85" s="228" t="str">
        <f>IFERROR(E22/(E42*Units),"N/A")</f>
        <v>N/A</v>
      </c>
      <c r="F85" s="228" t="str">
        <f>IFERROR(F22/(F42*Units),"N/A")</f>
        <v>N/A</v>
      </c>
      <c r="G85" s="228" t="str">
        <f>IFERROR(G22/(G42*Units),"N/A")</f>
        <v>N/A</v>
      </c>
      <c r="H85" s="228" t="str">
        <f>IFERROR(H22/(H42*Units),"N/A")</f>
        <v>N/A</v>
      </c>
      <c r="I85" s="228" t="str">
        <f>IFERROR(I22/(I42*Units),"N/A")</f>
        <v>N/A</v>
      </c>
      <c r="J85" s="14">
        <f>INDEX(J86:J88,MATCH(Scenario,$C86:$C88,0))</f>
        <v>0</v>
      </c>
      <c r="K85" s="14">
        <f>INDEX(K86:K88,MATCH(Scenario,$C86:$C88,0))</f>
        <v>0</v>
      </c>
      <c r="L85" s="14">
        <f>INDEX(L86:L88,MATCH(Scenario,$C86:$C88,0))</f>
        <v>0</v>
      </c>
      <c r="M85" s="14">
        <f>INDEX(M86:M88,MATCH(Scenario,$C86:$C88,0))</f>
        <v>0</v>
      </c>
      <c r="N85" s="14">
        <f>INDEX(N86:N88,MATCH(Scenario,$C86:$C88,0))</f>
        <v>0</v>
      </c>
    </row>
    <row r="86" spans="2:15" outlineLevel="1">
      <c r="C86" s="13" t="str">
        <f>+$C$30</f>
        <v>Base</v>
      </c>
      <c r="D86" s="10" t="s">
        <v>38</v>
      </c>
      <c r="E86" s="5"/>
      <c r="F86" s="5"/>
      <c r="G86" s="5"/>
      <c r="H86" s="5"/>
      <c r="I86" s="5"/>
      <c r="J86" s="12"/>
      <c r="K86" s="12"/>
      <c r="L86" s="12"/>
      <c r="M86" s="12"/>
      <c r="N86" s="12"/>
    </row>
    <row r="87" spans="2:15" outlineLevel="1">
      <c r="C87" s="11" t="str">
        <f>+$C$31</f>
        <v>Upside</v>
      </c>
      <c r="D87" s="10" t="s">
        <v>38</v>
      </c>
      <c r="E87" s="5"/>
      <c r="F87" s="5"/>
      <c r="G87" s="5"/>
      <c r="H87" s="5"/>
      <c r="I87" s="5"/>
      <c r="J87" s="12"/>
      <c r="K87" s="12"/>
      <c r="L87" s="12"/>
      <c r="M87" s="12"/>
      <c r="N87" s="12"/>
    </row>
    <row r="88" spans="2:15">
      <c r="C88" s="11" t="str">
        <f>+$C$32</f>
        <v>Downside</v>
      </c>
      <c r="D88" s="10" t="s">
        <v>38</v>
      </c>
      <c r="E88" s="5"/>
      <c r="F88" s="5"/>
      <c r="G88" s="5"/>
      <c r="H88" s="5"/>
      <c r="I88" s="5"/>
      <c r="J88" s="9"/>
      <c r="K88" s="9"/>
      <c r="L88" s="9"/>
      <c r="M88" s="9"/>
      <c r="N88" s="9"/>
    </row>
    <row r="90" spans="2:15">
      <c r="B90" s="40"/>
      <c r="C90" s="40"/>
      <c r="D90" s="39"/>
      <c r="E90" s="37" t="s">
        <v>103</v>
      </c>
      <c r="F90" s="37"/>
      <c r="G90" s="37"/>
      <c r="H90" s="37"/>
      <c r="I90" s="218"/>
      <c r="J90" s="38" t="s">
        <v>51</v>
      </c>
      <c r="K90" s="37"/>
      <c r="L90" s="37"/>
      <c r="M90" s="37"/>
      <c r="N90" s="37"/>
      <c r="O90" s="236"/>
    </row>
    <row r="91" spans="2:15">
      <c r="B91" s="36" t="s">
        <v>147</v>
      </c>
      <c r="C91" s="36"/>
      <c r="D91" s="223" t="s">
        <v>49</v>
      </c>
      <c r="E91" s="35">
        <f>EOMONTH(F91,-12)</f>
        <v>42004</v>
      </c>
      <c r="F91" s="35">
        <f>EOMONTH(G91,-12)</f>
        <v>42369</v>
      </c>
      <c r="G91" s="35">
        <f>EOMONTH(H91,-12)</f>
        <v>42735</v>
      </c>
      <c r="H91" s="35">
        <f>EOMONTH(I91,-12)</f>
        <v>43100</v>
      </c>
      <c r="I91" s="224">
        <f>Hist_Year</f>
        <v>43465</v>
      </c>
      <c r="J91" s="35">
        <f>EOMONTH(I91,12)</f>
        <v>43830</v>
      </c>
      <c r="K91" s="35">
        <f>EOMONTH(J91,12)</f>
        <v>44196</v>
      </c>
      <c r="L91" s="35">
        <f>EOMONTH(K91,12)</f>
        <v>44561</v>
      </c>
      <c r="M91" s="35">
        <f>EOMONTH(L91,12)</f>
        <v>44926</v>
      </c>
      <c r="N91" s="35">
        <f>EOMONTH(M91,12)</f>
        <v>45291</v>
      </c>
      <c r="O91" s="236"/>
    </row>
    <row r="92" spans="2:15">
      <c r="C92" s="232" t="s">
        <v>148</v>
      </c>
      <c r="D92" s="232"/>
      <c r="E92" s="233"/>
      <c r="F92" s="231"/>
      <c r="G92" s="231"/>
      <c r="H92" s="231"/>
      <c r="I92" s="231"/>
      <c r="J92" s="231"/>
      <c r="K92" s="234"/>
      <c r="L92" s="234"/>
      <c r="M92" s="234"/>
      <c r="N92" s="234"/>
      <c r="O92" s="237"/>
    </row>
    <row r="93" spans="2:15">
      <c r="C93" s="16" t="str">
        <f>+C16</f>
        <v>Single family real estate secured</v>
      </c>
      <c r="D93" s="2" t="s">
        <v>90</v>
      </c>
      <c r="E93" s="230"/>
      <c r="F93" s="230"/>
      <c r="G93" s="230"/>
      <c r="H93" s="230"/>
      <c r="I93" s="230"/>
      <c r="J93" s="258">
        <f>J115*AVERAGE(I16:J16)</f>
        <v>0</v>
      </c>
      <c r="K93" s="258">
        <f>K115*AVERAGE(J16:K16)</f>
        <v>0</v>
      </c>
      <c r="L93" s="258">
        <f>L115*AVERAGE(K16:L16)</f>
        <v>0</v>
      </c>
      <c r="M93" s="258">
        <f>M115*AVERAGE(L16:M16)</f>
        <v>0</v>
      </c>
      <c r="N93" s="258">
        <f>N115*AVERAGE(M16:N16)</f>
        <v>0</v>
      </c>
      <c r="O93" s="236"/>
    </row>
    <row r="94" spans="2:15">
      <c r="C94" s="16" t="str">
        <f>+C17</f>
        <v>Multifamily real estate secured</v>
      </c>
      <c r="D94" s="2" t="s">
        <v>90</v>
      </c>
      <c r="E94" s="229"/>
      <c r="F94" s="229"/>
      <c r="G94" s="229"/>
      <c r="H94" s="229"/>
      <c r="I94" s="229"/>
      <c r="J94" s="258">
        <f>J116*AVERAGE(I17:J17)</f>
        <v>0</v>
      </c>
      <c r="K94" s="258">
        <f>K116*AVERAGE(J17:K17)</f>
        <v>0</v>
      </c>
      <c r="L94" s="258">
        <f>L116*AVERAGE(K17:L17)</f>
        <v>0</v>
      </c>
      <c r="M94" s="258">
        <f>M116*AVERAGE(L17:M17)</f>
        <v>0</v>
      </c>
      <c r="N94" s="258">
        <f>N116*AVERAGE(M17:N17)</f>
        <v>0</v>
      </c>
    </row>
    <row r="95" spans="2:15">
      <c r="C95" s="16" t="str">
        <f>+C18</f>
        <v>Commercial real estate secured</v>
      </c>
      <c r="D95" s="2" t="s">
        <v>90</v>
      </c>
      <c r="E95" s="229"/>
      <c r="F95" s="229"/>
      <c r="G95" s="229"/>
      <c r="H95" s="229"/>
      <c r="I95" s="229"/>
      <c r="J95" s="258">
        <f>J117*AVERAGE(I18:J18)</f>
        <v>0</v>
      </c>
      <c r="K95" s="258">
        <f>K117*AVERAGE(J18:K18)</f>
        <v>0</v>
      </c>
      <c r="L95" s="258">
        <f>L117*AVERAGE(K18:L18)</f>
        <v>0</v>
      </c>
      <c r="M95" s="258">
        <f>M117*AVERAGE(L18:M18)</f>
        <v>0</v>
      </c>
      <c r="N95" s="258">
        <f>N117*AVERAGE(M18:N18)</f>
        <v>0</v>
      </c>
    </row>
    <row r="96" spans="2:15">
      <c r="C96" s="16" t="str">
        <f>+C19</f>
        <v>Auto and RV secured</v>
      </c>
      <c r="D96" s="2" t="s">
        <v>90</v>
      </c>
      <c r="E96" s="229"/>
      <c r="F96" s="229"/>
      <c r="G96" s="229"/>
      <c r="H96" s="229"/>
      <c r="I96" s="229"/>
      <c r="J96" s="258">
        <f>J118*AVERAGE(I19:J19)</f>
        <v>0</v>
      </c>
      <c r="K96" s="258">
        <f>K118*AVERAGE(J19:K19)</f>
        <v>0</v>
      </c>
      <c r="L96" s="258">
        <f>L118*AVERAGE(K19:L19)</f>
        <v>0</v>
      </c>
      <c r="M96" s="258">
        <f>M118*AVERAGE(L19:M19)</f>
        <v>0</v>
      </c>
      <c r="N96" s="258">
        <f>N118*AVERAGE(M19:N19)</f>
        <v>0</v>
      </c>
    </row>
    <row r="97" spans="2:15">
      <c r="C97" s="16" t="str">
        <f>+C20</f>
        <v>Factoring</v>
      </c>
      <c r="D97" s="2" t="s">
        <v>90</v>
      </c>
      <c r="E97" s="229"/>
      <c r="F97" s="229"/>
      <c r="G97" s="229"/>
      <c r="H97" s="229"/>
      <c r="I97" s="229"/>
      <c r="J97" s="258">
        <f>J119*AVERAGE(I20:J20)</f>
        <v>0</v>
      </c>
      <c r="K97" s="258">
        <f>K119*AVERAGE(J20:K20)</f>
        <v>0</v>
      </c>
      <c r="L97" s="258">
        <f>L119*AVERAGE(K20:L20)</f>
        <v>0</v>
      </c>
      <c r="M97" s="258">
        <f>M119*AVERAGE(L20:M20)</f>
        <v>0</v>
      </c>
      <c r="N97" s="258">
        <f>N119*AVERAGE(M20:N20)</f>
        <v>0</v>
      </c>
    </row>
    <row r="98" spans="2:15">
      <c r="C98" s="16" t="str">
        <f>+C21</f>
        <v xml:space="preserve">Warehouse </v>
      </c>
      <c r="D98" s="2" t="s">
        <v>90</v>
      </c>
      <c r="E98" s="229"/>
      <c r="F98" s="229"/>
      <c r="G98" s="229"/>
      <c r="H98" s="229"/>
      <c r="I98" s="229"/>
      <c r="J98" s="258">
        <f>J120*AVERAGE(I21:J21)</f>
        <v>0</v>
      </c>
      <c r="K98" s="258">
        <f>K120*AVERAGE(J21:K21)</f>
        <v>0</v>
      </c>
      <c r="L98" s="258">
        <f>L120*AVERAGE(K21:L21)</f>
        <v>0</v>
      </c>
      <c r="M98" s="258">
        <f>M120*AVERAGE(L21:M21)</f>
        <v>0</v>
      </c>
      <c r="N98" s="258">
        <f>N120*AVERAGE(M21:N21)</f>
        <v>0</v>
      </c>
    </row>
    <row r="99" spans="2:15">
      <c r="C99" s="16" t="str">
        <f>C22</f>
        <v>Other</v>
      </c>
      <c r="D99" s="2" t="s">
        <v>90</v>
      </c>
      <c r="E99" s="264"/>
      <c r="F99" s="264"/>
      <c r="G99" s="264"/>
      <c r="H99" s="264"/>
      <c r="I99" s="264"/>
      <c r="J99" s="258">
        <f>($I$99/$I$22)*I99</f>
        <v>0</v>
      </c>
      <c r="K99" s="258">
        <f t="shared" ref="K99:O99" si="5">($I$99/$I$22)*J99</f>
        <v>0</v>
      </c>
      <c r="L99" s="258">
        <f t="shared" si="5"/>
        <v>0</v>
      </c>
      <c r="M99" s="258">
        <f t="shared" si="5"/>
        <v>0</v>
      </c>
      <c r="N99" s="258">
        <f t="shared" si="5"/>
        <v>0</v>
      </c>
      <c r="O99" s="258">
        <f t="shared" si="5"/>
        <v>0</v>
      </c>
    </row>
    <row r="100" spans="2:15">
      <c r="C100" s="266" t="s">
        <v>166</v>
      </c>
      <c r="D100" s="242" t="s">
        <v>90</v>
      </c>
      <c r="E100" s="265">
        <f>SUM(E93:E99)</f>
        <v>0</v>
      </c>
      <c r="F100" s="265">
        <f t="shared" ref="F100:I100" si="6">SUM(F93:F99)</f>
        <v>0</v>
      </c>
      <c r="G100" s="265">
        <f t="shared" si="6"/>
        <v>0</v>
      </c>
      <c r="H100" s="265">
        <f t="shared" si="6"/>
        <v>0</v>
      </c>
      <c r="I100" s="265">
        <f t="shared" si="6"/>
        <v>0</v>
      </c>
      <c r="J100" s="265">
        <f t="shared" ref="J100" si="7">SUM(J93:J99)</f>
        <v>0</v>
      </c>
      <c r="K100" s="265">
        <f t="shared" ref="K100" si="8">SUM(K93:K99)</f>
        <v>0</v>
      </c>
      <c r="L100" s="265">
        <f t="shared" ref="L100" si="9">SUM(L93:L99)</f>
        <v>0</v>
      </c>
      <c r="M100" s="265">
        <f t="shared" ref="M100" si="10">SUM(M93:M99)</f>
        <v>0</v>
      </c>
      <c r="N100" s="265">
        <f t="shared" ref="N100" si="11">SUM(N93:N99)</f>
        <v>0</v>
      </c>
    </row>
    <row r="101" spans="2:15">
      <c r="J101" s="258"/>
      <c r="K101" s="258"/>
      <c r="L101" s="258"/>
      <c r="M101" s="258"/>
      <c r="N101" s="258"/>
    </row>
    <row r="102" spans="2:15">
      <c r="C102" s="22" t="s">
        <v>149</v>
      </c>
      <c r="D102" s="238"/>
      <c r="E102" s="238"/>
      <c r="F102" s="238"/>
      <c r="G102" s="238"/>
      <c r="H102" s="238"/>
      <c r="I102" s="238"/>
      <c r="J102" s="259"/>
      <c r="K102" s="259"/>
      <c r="L102" s="259"/>
      <c r="M102" s="259"/>
      <c r="N102" s="259"/>
    </row>
    <row r="103" spans="2:15">
      <c r="C103" s="240" t="s">
        <v>152</v>
      </c>
      <c r="D103" s="2" t="s">
        <v>90</v>
      </c>
      <c r="E103" s="263"/>
      <c r="F103" s="263"/>
      <c r="G103" s="263"/>
      <c r="H103" s="263"/>
      <c r="I103" s="263"/>
      <c r="J103" s="258">
        <f>I107</f>
        <v>0</v>
      </c>
      <c r="K103" s="258">
        <f t="shared" ref="K103:N103" si="12">J107</f>
        <v>0</v>
      </c>
      <c r="L103" s="258">
        <f t="shared" si="12"/>
        <v>0</v>
      </c>
      <c r="M103" s="258">
        <f t="shared" si="12"/>
        <v>0</v>
      </c>
      <c r="N103" s="258">
        <f t="shared" si="12"/>
        <v>0</v>
      </c>
    </row>
    <row r="104" spans="2:15">
      <c r="C104" s="2" t="s">
        <v>150</v>
      </c>
      <c r="D104" s="2" t="s">
        <v>90</v>
      </c>
      <c r="E104" s="261"/>
      <c r="F104" s="261"/>
      <c r="G104" s="261"/>
      <c r="H104" s="261"/>
      <c r="I104" s="261"/>
      <c r="J104" s="258">
        <f>J100</f>
        <v>0</v>
      </c>
      <c r="K104" s="258">
        <f t="shared" ref="K104:N104" si="13">K100</f>
        <v>0</v>
      </c>
      <c r="L104" s="258">
        <f t="shared" si="13"/>
        <v>0</v>
      </c>
      <c r="M104" s="258">
        <f t="shared" si="13"/>
        <v>0</v>
      </c>
      <c r="N104" s="258">
        <f t="shared" si="13"/>
        <v>0</v>
      </c>
    </row>
    <row r="105" spans="2:15">
      <c r="C105" s="3" t="s">
        <v>168</v>
      </c>
      <c r="D105" s="2" t="s">
        <v>90</v>
      </c>
      <c r="E105" s="261"/>
      <c r="F105" s="261"/>
      <c r="G105" s="261"/>
      <c r="H105" s="261"/>
      <c r="I105" s="261"/>
      <c r="J105" s="258">
        <f>J109*J24</f>
        <v>0</v>
      </c>
      <c r="K105" s="258">
        <f>K109*K24</f>
        <v>0</v>
      </c>
      <c r="L105" s="258">
        <f>L109*L24</f>
        <v>0</v>
      </c>
      <c r="M105" s="258">
        <f>M109*M24</f>
        <v>0</v>
      </c>
      <c r="N105" s="258">
        <f>N109*N24</f>
        <v>0</v>
      </c>
    </row>
    <row r="106" spans="2:15">
      <c r="C106" s="3" t="s">
        <v>151</v>
      </c>
      <c r="D106" s="2" t="s">
        <v>90</v>
      </c>
      <c r="E106" s="262"/>
      <c r="F106" s="262"/>
      <c r="G106" s="262"/>
      <c r="H106" s="262"/>
      <c r="I106" s="262"/>
      <c r="J106" s="258"/>
      <c r="K106" s="258"/>
      <c r="L106" s="258"/>
      <c r="M106" s="258"/>
      <c r="N106" s="258"/>
    </row>
    <row r="107" spans="2:15">
      <c r="C107" s="241" t="s">
        <v>153</v>
      </c>
      <c r="D107" s="242" t="s">
        <v>160</v>
      </c>
      <c r="E107" s="260">
        <f>(E103+E104-E105+E106)*0.001</f>
        <v>0</v>
      </c>
      <c r="F107" s="260">
        <f t="shared" ref="F107:N107" si="14">(F103+F104-F105+F106)*0.001</f>
        <v>0</v>
      </c>
      <c r="G107" s="260">
        <f t="shared" si="14"/>
        <v>0</v>
      </c>
      <c r="H107" s="260">
        <f t="shared" si="14"/>
        <v>0</v>
      </c>
      <c r="I107" s="260">
        <f t="shared" si="14"/>
        <v>0</v>
      </c>
      <c r="J107" s="260">
        <f t="shared" si="14"/>
        <v>0</v>
      </c>
      <c r="K107" s="260">
        <f t="shared" si="14"/>
        <v>0</v>
      </c>
      <c r="L107" s="260">
        <f t="shared" si="14"/>
        <v>0</v>
      </c>
      <c r="M107" s="260">
        <f t="shared" si="14"/>
        <v>0</v>
      </c>
      <c r="N107" s="260">
        <f t="shared" si="14"/>
        <v>0</v>
      </c>
    </row>
    <row r="108" spans="2:15">
      <c r="C108" s="239"/>
      <c r="E108" s="258"/>
      <c r="F108" s="258"/>
      <c r="G108" s="258"/>
      <c r="H108" s="258"/>
      <c r="I108" s="258"/>
      <c r="J108" s="258"/>
      <c r="K108" s="258"/>
      <c r="L108" s="258"/>
      <c r="M108" s="258"/>
      <c r="N108" s="258"/>
    </row>
    <row r="109" spans="2:15">
      <c r="B109" s="246"/>
      <c r="C109" s="3" t="s">
        <v>169</v>
      </c>
      <c r="D109" s="2" t="s">
        <v>38</v>
      </c>
      <c r="J109" s="258">
        <f>INDEX(J110:J112,MATCH(Scenario,$C$110:$C$112,0))</f>
        <v>0</v>
      </c>
      <c r="K109" s="258">
        <f>INDEX(K110:K112,MATCH(Scenario,$C$110:$C$112,0))</f>
        <v>0</v>
      </c>
      <c r="L109" s="258">
        <f>INDEX(L110:L112,MATCH(Scenario,$C$110:$C$112,0))</f>
        <v>0</v>
      </c>
      <c r="M109" s="258">
        <f>INDEX(M110:M112,MATCH(Scenario,$C$110:$C$112,0))</f>
        <v>0</v>
      </c>
      <c r="N109" s="258">
        <f>INDEX(N110:N112,MATCH(Scenario,$C$110:$C$112,0))</f>
        <v>0</v>
      </c>
    </row>
    <row r="110" spans="2:15">
      <c r="C110" s="3" t="s">
        <v>45</v>
      </c>
      <c r="D110" s="2" t="s">
        <v>38</v>
      </c>
      <c r="J110" s="261"/>
      <c r="K110" s="261"/>
      <c r="L110" s="261"/>
      <c r="M110" s="261"/>
      <c r="N110" s="261"/>
    </row>
    <row r="111" spans="2:15">
      <c r="C111" s="3" t="s">
        <v>44</v>
      </c>
      <c r="D111" s="2" t="s">
        <v>38</v>
      </c>
      <c r="J111" s="261"/>
      <c r="K111" s="261"/>
      <c r="L111" s="261"/>
      <c r="M111" s="261"/>
      <c r="N111" s="261"/>
    </row>
    <row r="112" spans="2:15">
      <c r="C112" s="3" t="s">
        <v>43</v>
      </c>
      <c r="D112" s="2" t="s">
        <v>38</v>
      </c>
      <c r="J112" s="261"/>
      <c r="K112" s="261"/>
      <c r="L112" s="261"/>
      <c r="M112" s="261"/>
      <c r="N112" s="261"/>
    </row>
    <row r="113" spans="3:14">
      <c r="J113" s="258"/>
      <c r="K113" s="258"/>
      <c r="L113" s="258"/>
      <c r="M113" s="258"/>
      <c r="N113" s="258"/>
    </row>
    <row r="114" spans="3:14">
      <c r="C114" s="22" t="s">
        <v>154</v>
      </c>
      <c r="D114" s="243"/>
      <c r="E114" s="244"/>
      <c r="F114" s="244"/>
      <c r="G114" s="244"/>
      <c r="H114" s="244"/>
      <c r="I114" s="244"/>
      <c r="J114" s="245"/>
      <c r="K114" s="245"/>
      <c r="L114" s="245"/>
      <c r="M114" s="245"/>
      <c r="N114" s="245"/>
    </row>
    <row r="115" spans="3:14">
      <c r="C115" s="16" t="str">
        <f>+$C$16</f>
        <v>Single family real estate secured</v>
      </c>
      <c r="D115" s="10" t="s">
        <v>38</v>
      </c>
      <c r="E115" s="15"/>
      <c r="F115" s="15"/>
      <c r="G115" s="15"/>
      <c r="H115" s="15"/>
      <c r="I115" s="15"/>
      <c r="J115" s="14">
        <f>INDEX(J116:J118,MATCH(Scenario,$C116:$C118,0))</f>
        <v>0</v>
      </c>
      <c r="K115" s="14">
        <f>INDEX(K116:K118,MATCH(Scenario,$C116:$C118,0))</f>
        <v>0</v>
      </c>
      <c r="L115" s="14">
        <f>INDEX(L116:L118,MATCH(Scenario,$C116:$C118,0))</f>
        <v>0</v>
      </c>
      <c r="M115" s="14">
        <f>INDEX(M116:M118,MATCH(Scenario,$C116:$C118,0))</f>
        <v>0</v>
      </c>
      <c r="N115" s="14">
        <f>INDEX(N116:N118,MATCH(Scenario,$C116:$C118,0))</f>
        <v>0</v>
      </c>
    </row>
    <row r="116" spans="3:14">
      <c r="C116" s="13" t="str">
        <f>+$C$30</f>
        <v>Base</v>
      </c>
      <c r="D116" s="10" t="s">
        <v>38</v>
      </c>
      <c r="E116" s="5"/>
      <c r="F116" s="5"/>
      <c r="G116" s="5"/>
      <c r="H116" s="5"/>
      <c r="I116" s="5"/>
      <c r="J116" s="12"/>
      <c r="K116" s="12"/>
      <c r="L116" s="12"/>
      <c r="M116" s="12"/>
      <c r="N116" s="12"/>
    </row>
    <row r="117" spans="3:14">
      <c r="C117" s="11" t="str">
        <f>+$C$31</f>
        <v>Upside</v>
      </c>
      <c r="D117" s="10" t="s">
        <v>38</v>
      </c>
      <c r="E117" s="5"/>
      <c r="F117" s="5"/>
      <c r="G117" s="5"/>
      <c r="H117" s="5"/>
      <c r="I117" s="5"/>
      <c r="J117" s="12"/>
      <c r="K117" s="12"/>
      <c r="L117" s="12"/>
      <c r="M117" s="12"/>
      <c r="N117" s="12"/>
    </row>
    <row r="118" spans="3:14">
      <c r="C118" s="11" t="str">
        <f>+$C$32</f>
        <v>Downside</v>
      </c>
      <c r="D118" s="10" t="s">
        <v>38</v>
      </c>
      <c r="E118" s="5"/>
      <c r="F118" s="5"/>
      <c r="G118" s="5"/>
      <c r="H118" s="5"/>
      <c r="I118" s="5"/>
      <c r="J118" s="9"/>
      <c r="K118" s="9"/>
      <c r="L118" s="9"/>
      <c r="M118" s="9"/>
      <c r="N118" s="9"/>
    </row>
    <row r="119" spans="3:14">
      <c r="C119" s="18"/>
      <c r="D119" s="10"/>
      <c r="E119" s="5"/>
      <c r="F119" s="5"/>
      <c r="G119" s="5"/>
      <c r="H119" s="5"/>
      <c r="I119" s="5"/>
      <c r="J119" s="17"/>
      <c r="K119" s="17"/>
      <c r="L119" s="17"/>
      <c r="M119" s="17"/>
      <c r="N119" s="17"/>
    </row>
    <row r="120" spans="3:14">
      <c r="C120" s="16" t="str">
        <f>+$C$17</f>
        <v>Multifamily real estate secured</v>
      </c>
      <c r="D120" s="10" t="s">
        <v>38</v>
      </c>
      <c r="E120" s="15"/>
      <c r="F120" s="15"/>
      <c r="G120" s="15"/>
      <c r="H120" s="15"/>
      <c r="I120" s="15"/>
      <c r="J120" s="14">
        <f>INDEX(J121:J123,MATCH(Scenario,$C121:$C123,0))</f>
        <v>0</v>
      </c>
      <c r="K120" s="14">
        <f>INDEX(K121:K123,MATCH(Scenario,$C121:$C123,0))</f>
        <v>0</v>
      </c>
      <c r="L120" s="14">
        <f>INDEX(L121:L123,MATCH(Scenario,$C121:$C123,0))</f>
        <v>0</v>
      </c>
      <c r="M120" s="14">
        <f>INDEX(M121:M123,MATCH(Scenario,$C121:$C123,0))</f>
        <v>0</v>
      </c>
      <c r="N120" s="14">
        <f>INDEX(N121:N123,MATCH(Scenario,$C121:$C123,0))</f>
        <v>0</v>
      </c>
    </row>
    <row r="121" spans="3:14">
      <c r="C121" s="13" t="str">
        <f>+$C$30</f>
        <v>Base</v>
      </c>
      <c r="D121" s="10" t="s">
        <v>38</v>
      </c>
      <c r="E121" s="5"/>
      <c r="F121" s="5"/>
      <c r="G121" s="5"/>
      <c r="H121" s="5"/>
      <c r="I121" s="5"/>
      <c r="J121" s="12"/>
      <c r="K121" s="12"/>
      <c r="L121" s="12"/>
      <c r="M121" s="12"/>
      <c r="N121" s="12"/>
    </row>
    <row r="122" spans="3:14">
      <c r="C122" s="11" t="str">
        <f>+$C$31</f>
        <v>Upside</v>
      </c>
      <c r="D122" s="10" t="s">
        <v>38</v>
      </c>
      <c r="E122" s="5"/>
      <c r="F122" s="5"/>
      <c r="G122" s="5"/>
      <c r="H122" s="5"/>
      <c r="I122" s="5"/>
      <c r="J122" s="12"/>
      <c r="K122" s="12"/>
      <c r="L122" s="12"/>
      <c r="M122" s="12"/>
      <c r="N122" s="12"/>
    </row>
    <row r="123" spans="3:14">
      <c r="C123" s="11" t="str">
        <f>+$C$32</f>
        <v>Downside</v>
      </c>
      <c r="D123" s="10" t="s">
        <v>38</v>
      </c>
      <c r="E123" s="5"/>
      <c r="F123" s="5"/>
      <c r="G123" s="5"/>
      <c r="H123" s="5"/>
      <c r="I123" s="5"/>
      <c r="J123" s="9"/>
      <c r="K123" s="9"/>
      <c r="L123" s="9"/>
      <c r="M123" s="9"/>
      <c r="N123" s="9"/>
    </row>
    <row r="124" spans="3:14">
      <c r="C124" s="18"/>
      <c r="D124" s="10"/>
      <c r="E124" s="5"/>
      <c r="F124" s="5"/>
      <c r="G124" s="5"/>
      <c r="H124" s="5"/>
      <c r="I124" s="5"/>
      <c r="J124" s="17"/>
      <c r="K124" s="17"/>
      <c r="L124" s="17"/>
      <c r="M124" s="17"/>
      <c r="N124" s="17"/>
    </row>
    <row r="125" spans="3:14">
      <c r="C125" s="16" t="str">
        <f>+$C$18</f>
        <v>Commercial real estate secured</v>
      </c>
      <c r="D125" s="10" t="s">
        <v>38</v>
      </c>
      <c r="E125" s="15"/>
      <c r="F125" s="15"/>
      <c r="G125" s="15"/>
      <c r="H125" s="15"/>
      <c r="I125" s="15"/>
      <c r="J125" s="14">
        <f>INDEX(J126:J128,MATCH(Scenario,$C126:$C128,0))</f>
        <v>0</v>
      </c>
      <c r="K125" s="14">
        <f>INDEX(K126:K128,MATCH(Scenario,$C126:$C128,0))</f>
        <v>0</v>
      </c>
      <c r="L125" s="14">
        <f>INDEX(L126:L128,MATCH(Scenario,$C126:$C128,0))</f>
        <v>0</v>
      </c>
      <c r="M125" s="14">
        <f>INDEX(M126:M128,MATCH(Scenario,$C126:$C128,0))</f>
        <v>0</v>
      </c>
      <c r="N125" s="14">
        <f>INDEX(N126:N128,MATCH(Scenario,$C126:$C128,0))</f>
        <v>0</v>
      </c>
    </row>
    <row r="126" spans="3:14">
      <c r="C126" s="13" t="str">
        <f>+$C$30</f>
        <v>Base</v>
      </c>
      <c r="D126" s="10" t="s">
        <v>38</v>
      </c>
      <c r="E126" s="5"/>
      <c r="F126" s="5"/>
      <c r="G126" s="5"/>
      <c r="H126" s="5"/>
      <c r="I126" s="5"/>
      <c r="J126" s="12"/>
      <c r="K126" s="12"/>
      <c r="L126" s="12"/>
      <c r="M126" s="12"/>
      <c r="N126" s="12"/>
    </row>
    <row r="127" spans="3:14">
      <c r="C127" s="11" t="str">
        <f>+$C$31</f>
        <v>Upside</v>
      </c>
      <c r="D127" s="10" t="s">
        <v>38</v>
      </c>
      <c r="E127" s="5"/>
      <c r="F127" s="5"/>
      <c r="G127" s="5"/>
      <c r="H127" s="5"/>
      <c r="I127" s="5"/>
      <c r="J127" s="12"/>
      <c r="K127" s="12"/>
      <c r="L127" s="12"/>
      <c r="M127" s="12"/>
      <c r="N127" s="12"/>
    </row>
    <row r="128" spans="3:14">
      <c r="C128" s="11" t="str">
        <f>+$C$32</f>
        <v>Downside</v>
      </c>
      <c r="D128" s="10" t="s">
        <v>38</v>
      </c>
      <c r="E128" s="5"/>
      <c r="F128" s="5"/>
      <c r="G128" s="5"/>
      <c r="H128" s="5"/>
      <c r="I128" s="5"/>
      <c r="J128" s="9"/>
      <c r="K128" s="9"/>
      <c r="L128" s="9"/>
      <c r="M128" s="9"/>
      <c r="N128" s="9"/>
    </row>
    <row r="129" spans="3:14">
      <c r="C129" s="18"/>
      <c r="D129" s="10"/>
      <c r="E129" s="5"/>
      <c r="F129" s="5"/>
      <c r="G129" s="5"/>
      <c r="H129" s="5"/>
      <c r="I129" s="5"/>
      <c r="J129" s="17"/>
      <c r="K129" s="17"/>
      <c r="L129" s="17"/>
      <c r="M129" s="17"/>
      <c r="N129" s="17"/>
    </row>
    <row r="130" spans="3:14">
      <c r="C130" s="16" t="str">
        <f>+$C$19</f>
        <v>Auto and RV secured</v>
      </c>
      <c r="D130" s="10" t="s">
        <v>38</v>
      </c>
      <c r="E130" s="228"/>
      <c r="F130" s="228"/>
      <c r="G130" s="228"/>
      <c r="H130" s="228"/>
      <c r="I130" s="228"/>
      <c r="J130" s="14">
        <f>INDEX(J131:J133,MATCH(Scenario,$C131:$C133,0))</f>
        <v>0</v>
      </c>
      <c r="K130" s="14">
        <f>INDEX(K131:K133,MATCH(Scenario,$C131:$C133,0))</f>
        <v>0</v>
      </c>
      <c r="L130" s="14">
        <f>INDEX(L131:L133,MATCH(Scenario,$C131:$C133,0))</f>
        <v>0</v>
      </c>
      <c r="M130" s="14">
        <f>INDEX(M131:M133,MATCH(Scenario,$C131:$C133,0))</f>
        <v>0</v>
      </c>
      <c r="N130" s="14">
        <f>INDEX(N131:N133,MATCH(Scenario,$C131:$C133,0))</f>
        <v>0</v>
      </c>
    </row>
    <row r="131" spans="3:14">
      <c r="C131" s="13" t="str">
        <f>+$C$30</f>
        <v>Base</v>
      </c>
      <c r="D131" s="10" t="s">
        <v>38</v>
      </c>
      <c r="E131" s="5"/>
      <c r="F131" s="5"/>
      <c r="G131" s="5"/>
      <c r="H131" s="5"/>
      <c r="I131" s="5"/>
      <c r="J131" s="12"/>
      <c r="K131" s="12"/>
      <c r="L131" s="12"/>
      <c r="M131" s="12"/>
      <c r="N131" s="12"/>
    </row>
    <row r="132" spans="3:14">
      <c r="C132" s="11" t="str">
        <f>+$C$31</f>
        <v>Upside</v>
      </c>
      <c r="D132" s="10" t="s">
        <v>38</v>
      </c>
      <c r="E132" s="5"/>
      <c r="F132" s="5"/>
      <c r="G132" s="5"/>
      <c r="H132" s="5"/>
      <c r="I132" s="5"/>
      <c r="J132" s="12"/>
      <c r="K132" s="12"/>
      <c r="L132" s="12"/>
      <c r="M132" s="12"/>
      <c r="N132" s="12"/>
    </row>
    <row r="133" spans="3:14">
      <c r="C133" s="11" t="str">
        <f>+$C$32</f>
        <v>Downside</v>
      </c>
      <c r="D133" s="10" t="s">
        <v>38</v>
      </c>
      <c r="E133" s="5"/>
      <c r="F133" s="5"/>
      <c r="G133" s="5"/>
      <c r="H133" s="5"/>
      <c r="I133" s="5"/>
      <c r="J133" s="9"/>
      <c r="K133" s="9"/>
      <c r="L133" s="9"/>
      <c r="M133" s="9"/>
      <c r="N133" s="9"/>
    </row>
    <row r="134" spans="3:14">
      <c r="C134" s="18"/>
      <c r="D134" s="10"/>
      <c r="E134" s="5"/>
      <c r="F134" s="5"/>
      <c r="G134" s="5"/>
      <c r="H134" s="5"/>
      <c r="I134" s="5"/>
      <c r="J134" s="17"/>
      <c r="K134" s="17"/>
      <c r="L134" s="17"/>
      <c r="M134" s="17"/>
      <c r="N134" s="17"/>
    </row>
    <row r="135" spans="3:14">
      <c r="C135" s="16" t="s">
        <v>63</v>
      </c>
      <c r="D135" s="10" t="s">
        <v>38</v>
      </c>
      <c r="E135" s="228"/>
      <c r="F135" s="228"/>
      <c r="G135" s="228"/>
      <c r="H135" s="228"/>
      <c r="I135" s="228"/>
      <c r="J135" s="14">
        <f>INDEX(J136:J138,MATCH(Scenario,$C136:$C138,0))</f>
        <v>0</v>
      </c>
      <c r="K135" s="14">
        <f>INDEX(K136:K138,MATCH(Scenario,$C136:$C138,0))</f>
        <v>0</v>
      </c>
      <c r="L135" s="14">
        <f>INDEX(L136:L138,MATCH(Scenario,$C136:$C138,0))</f>
        <v>0</v>
      </c>
      <c r="M135" s="14">
        <f>INDEX(M136:M138,MATCH(Scenario,$C136:$C138,0))</f>
        <v>0</v>
      </c>
      <c r="N135" s="14">
        <f>INDEX(N136:N138,MATCH(Scenario,$C136:$C138,0))</f>
        <v>0</v>
      </c>
    </row>
    <row r="136" spans="3:14">
      <c r="C136" s="13" t="str">
        <f>+$C$30</f>
        <v>Base</v>
      </c>
      <c r="D136" s="10" t="s">
        <v>38</v>
      </c>
      <c r="E136" s="5"/>
      <c r="F136" s="5"/>
      <c r="G136" s="5"/>
      <c r="H136" s="5"/>
      <c r="I136" s="5"/>
      <c r="J136" s="12"/>
      <c r="K136" s="12"/>
      <c r="L136" s="12"/>
      <c r="M136" s="12"/>
      <c r="N136" s="12"/>
    </row>
    <row r="137" spans="3:14">
      <c r="C137" s="11" t="str">
        <f>+$C$31</f>
        <v>Upside</v>
      </c>
      <c r="D137" s="10" t="s">
        <v>38</v>
      </c>
      <c r="E137" s="5"/>
      <c r="F137" s="5"/>
      <c r="G137" s="5"/>
      <c r="H137" s="5"/>
      <c r="I137" s="5"/>
      <c r="J137" s="12"/>
      <c r="K137" s="12"/>
      <c r="L137" s="12"/>
      <c r="M137" s="12"/>
      <c r="N137" s="12"/>
    </row>
    <row r="138" spans="3:14">
      <c r="C138" s="11" t="str">
        <f>+$C$32</f>
        <v>Downside</v>
      </c>
      <c r="D138" s="10" t="s">
        <v>38</v>
      </c>
      <c r="E138" s="5"/>
      <c r="F138" s="5"/>
      <c r="G138" s="5"/>
      <c r="H138" s="5"/>
      <c r="I138" s="5"/>
      <c r="J138" s="9"/>
      <c r="K138" s="9"/>
      <c r="L138" s="9"/>
      <c r="M138" s="9"/>
      <c r="N138" s="9"/>
    </row>
    <row r="139" spans="3:14">
      <c r="C139" s="8"/>
      <c r="D139" s="7"/>
      <c r="E139" s="5"/>
      <c r="F139" s="5"/>
      <c r="G139" s="5"/>
      <c r="H139" s="5"/>
      <c r="I139" s="5"/>
      <c r="J139" s="4"/>
      <c r="K139" s="4"/>
      <c r="L139" s="4"/>
      <c r="M139" s="4"/>
      <c r="N139" s="4"/>
    </row>
    <row r="140" spans="3:14">
      <c r="C140" s="49" t="s">
        <v>105</v>
      </c>
      <c r="D140" s="10" t="s">
        <v>38</v>
      </c>
      <c r="E140" s="15"/>
      <c r="F140" s="15"/>
      <c r="G140" s="15"/>
      <c r="H140" s="15"/>
      <c r="I140" s="15"/>
      <c r="J140" s="14">
        <f>INDEX(J141:J143,MATCH(Scenario,$C141:$C143,0))</f>
        <v>0</v>
      </c>
      <c r="K140" s="14">
        <f>INDEX(K141:K143,MATCH(Scenario,$C141:$C143,0))</f>
        <v>0</v>
      </c>
      <c r="L140" s="14">
        <f>INDEX(L141:L143,MATCH(Scenario,$C141:$C143,0))</f>
        <v>0</v>
      </c>
      <c r="M140" s="14">
        <f>INDEX(M141:M143,MATCH(Scenario,$C141:$C143,0))</f>
        <v>0</v>
      </c>
      <c r="N140" s="14">
        <f>INDEX(N141:N143,MATCH(Scenario,$C141:$C143,0))</f>
        <v>0</v>
      </c>
    </row>
    <row r="141" spans="3:14">
      <c r="C141" s="13" t="str">
        <f>+$C$30</f>
        <v>Base</v>
      </c>
      <c r="D141" s="10" t="s">
        <v>38</v>
      </c>
      <c r="E141" s="5"/>
      <c r="F141" s="5"/>
      <c r="G141" s="5"/>
      <c r="H141" s="5"/>
      <c r="I141" s="5"/>
      <c r="J141" s="12"/>
      <c r="K141" s="12"/>
      <c r="L141" s="12"/>
      <c r="M141" s="12"/>
      <c r="N141" s="12"/>
    </row>
    <row r="142" spans="3:14">
      <c r="C142" s="11" t="str">
        <f>+$C$31</f>
        <v>Upside</v>
      </c>
      <c r="D142" s="10" t="s">
        <v>38</v>
      </c>
      <c r="E142" s="5"/>
      <c r="F142" s="5"/>
      <c r="G142" s="5"/>
      <c r="H142" s="5"/>
      <c r="I142" s="5"/>
      <c r="J142" s="12"/>
      <c r="K142" s="12"/>
      <c r="L142" s="12"/>
      <c r="M142" s="12"/>
      <c r="N142" s="12"/>
    </row>
    <row r="143" spans="3:14">
      <c r="C143" s="11" t="str">
        <f>+$C$32</f>
        <v>Downside</v>
      </c>
      <c r="D143" s="10" t="s">
        <v>38</v>
      </c>
      <c r="E143" s="5"/>
      <c r="F143" s="5"/>
      <c r="G143" s="5"/>
      <c r="H143" s="5"/>
      <c r="I143" s="5"/>
      <c r="J143" s="9"/>
      <c r="K143" s="9"/>
      <c r="L143" s="9"/>
      <c r="M143" s="9"/>
      <c r="N143" s="9"/>
    </row>
    <row r="144" spans="3:14">
      <c r="C144" s="11"/>
      <c r="D144" s="10"/>
      <c r="E144" s="5"/>
      <c r="F144" s="5"/>
      <c r="G144" s="5"/>
      <c r="H144" s="5"/>
      <c r="I144" s="5"/>
      <c r="J144" s="157"/>
      <c r="K144" s="157"/>
      <c r="L144" s="157"/>
      <c r="M144" s="157"/>
      <c r="N144" s="157"/>
    </row>
    <row r="145" spans="3:14">
      <c r="C145" s="49" t="s">
        <v>104</v>
      </c>
      <c r="D145" s="10" t="s">
        <v>38</v>
      </c>
      <c r="E145" s="228"/>
      <c r="F145" s="228"/>
      <c r="G145" s="228"/>
      <c r="H145" s="228"/>
      <c r="I145" s="228"/>
      <c r="J145" s="14">
        <f>INDEX(J146:J148,MATCH(Scenario,$C146:$C148,0))</f>
        <v>0</v>
      </c>
      <c r="K145" s="14">
        <f>INDEX(K146:K148,MATCH(Scenario,$C146:$C148,0))</f>
        <v>0</v>
      </c>
      <c r="L145" s="14">
        <f>INDEX(L146:L148,MATCH(Scenario,$C146:$C148,0))</f>
        <v>0</v>
      </c>
      <c r="M145" s="14">
        <f>INDEX(M146:M148,MATCH(Scenario,$C146:$C148,0))</f>
        <v>0</v>
      </c>
      <c r="N145" s="14">
        <f>INDEX(N146:N148,MATCH(Scenario,$C146:$C148,0))</f>
        <v>0</v>
      </c>
    </row>
    <row r="146" spans="3:14">
      <c r="C146" s="13" t="str">
        <f>+$C$30</f>
        <v>Base</v>
      </c>
      <c r="D146" s="10" t="s">
        <v>38</v>
      </c>
      <c r="E146" s="5"/>
      <c r="F146" s="5"/>
      <c r="G146" s="5"/>
      <c r="H146" s="5"/>
      <c r="I146" s="5"/>
      <c r="J146" s="12"/>
      <c r="K146" s="12"/>
      <c r="L146" s="12"/>
      <c r="M146" s="12"/>
      <c r="N146" s="12"/>
    </row>
    <row r="147" spans="3:14">
      <c r="C147" s="11" t="str">
        <f>+$C$31</f>
        <v>Upside</v>
      </c>
      <c r="D147" s="10" t="s">
        <v>38</v>
      </c>
      <c r="E147" s="5"/>
      <c r="F147" s="5"/>
      <c r="G147" s="5"/>
      <c r="H147" s="5"/>
      <c r="I147" s="5"/>
      <c r="J147" s="12"/>
      <c r="K147" s="12"/>
      <c r="L147" s="12"/>
      <c r="M147" s="12"/>
      <c r="N147" s="12"/>
    </row>
    <row r="148" spans="3:14">
      <c r="C148" s="11" t="str">
        <f>+$C$32</f>
        <v>Downside</v>
      </c>
      <c r="D148" s="10" t="s">
        <v>38</v>
      </c>
      <c r="E148" s="5"/>
      <c r="F148" s="5"/>
      <c r="G148" s="5"/>
      <c r="H148" s="5"/>
      <c r="I148" s="5"/>
      <c r="J148" s="9"/>
      <c r="K148" s="9"/>
      <c r="L148" s="9"/>
      <c r="M148" s="9"/>
      <c r="N148" s="9"/>
    </row>
    <row r="150" spans="3:14">
      <c r="C150" s="246" t="s">
        <v>155</v>
      </c>
      <c r="D150" s="10" t="s">
        <v>160</v>
      </c>
      <c r="E150" s="247">
        <f>E24</f>
        <v>0</v>
      </c>
      <c r="F150" s="247">
        <f>F24</f>
        <v>0</v>
      </c>
      <c r="G150" s="247">
        <f>G24</f>
        <v>0</v>
      </c>
      <c r="H150" s="247">
        <f>H24</f>
        <v>0</v>
      </c>
      <c r="I150" s="247">
        <f>I24</f>
        <v>8496.7960000000003</v>
      </c>
      <c r="J150" s="247">
        <f>J24</f>
        <v>1.4069999999999999E-2</v>
      </c>
      <c r="K150" s="247">
        <f>K24</f>
        <v>1.3858949999999998E-2</v>
      </c>
      <c r="L150" s="247">
        <f>L24</f>
        <v>1.3498617299999998E-2</v>
      </c>
      <c r="M150" s="247">
        <f>M24</f>
        <v>1.3633603472999998E-2</v>
      </c>
      <c r="N150" s="247">
        <f>N24</f>
        <v>1.3906275542459998E-2</v>
      </c>
    </row>
    <row r="151" spans="3:14">
      <c r="C151" s="31" t="s">
        <v>156</v>
      </c>
      <c r="D151" s="10" t="s">
        <v>160</v>
      </c>
      <c r="E151" s="248">
        <f>E150-E107</f>
        <v>0</v>
      </c>
      <c r="F151" s="248">
        <f t="shared" ref="F151:N151" si="15">F150-F107</f>
        <v>0</v>
      </c>
      <c r="G151" s="248">
        <f t="shared" si="15"/>
        <v>0</v>
      </c>
      <c r="H151" s="248">
        <f t="shared" si="15"/>
        <v>0</v>
      </c>
      <c r="I151" s="248">
        <f t="shared" si="15"/>
        <v>8496.7960000000003</v>
      </c>
      <c r="J151" s="248">
        <f t="shared" si="15"/>
        <v>1.4069999999999999E-2</v>
      </c>
      <c r="K151" s="248">
        <f t="shared" si="15"/>
        <v>1.3858949999999998E-2</v>
      </c>
      <c r="L151" s="248">
        <f t="shared" si="15"/>
        <v>1.3498617299999998E-2</v>
      </c>
      <c r="M151" s="248">
        <f t="shared" si="15"/>
        <v>1.3633603472999998E-2</v>
      </c>
      <c r="N151" s="248">
        <f t="shared" si="15"/>
        <v>1.3906275542459998E-2</v>
      </c>
    </row>
    <row r="152" spans="3:14">
      <c r="C152" s="42" t="s">
        <v>157</v>
      </c>
      <c r="D152" s="10" t="s">
        <v>160</v>
      </c>
      <c r="E152" s="249"/>
      <c r="F152" s="249">
        <f>AVERAGE(E151,F151)</f>
        <v>0</v>
      </c>
      <c r="G152" s="249">
        <f t="shared" ref="G152:N152" si="16">AVERAGE(F151,G151)</f>
        <v>0</v>
      </c>
      <c r="H152" s="249">
        <f t="shared" si="16"/>
        <v>0</v>
      </c>
      <c r="I152" s="249">
        <f t="shared" si="16"/>
        <v>4248.3980000000001</v>
      </c>
      <c r="J152" s="249">
        <f t="shared" si="16"/>
        <v>4248.4050349999998</v>
      </c>
      <c r="K152" s="249">
        <f t="shared" si="16"/>
        <v>1.3964474999999999E-2</v>
      </c>
      <c r="L152" s="249">
        <f t="shared" si="16"/>
        <v>1.3678783649999998E-2</v>
      </c>
      <c r="M152" s="249">
        <f t="shared" si="16"/>
        <v>1.3566110386499998E-2</v>
      </c>
      <c r="N152" s="249">
        <f t="shared" si="16"/>
        <v>1.3769939507729999E-2</v>
      </c>
    </row>
    <row r="153" spans="3:14">
      <c r="C153" s="250"/>
      <c r="D153" s="33"/>
      <c r="E153" s="251"/>
      <c r="F153" s="32"/>
      <c r="G153" s="252"/>
      <c r="H153" s="32"/>
      <c r="I153" s="32"/>
      <c r="J153" s="32"/>
      <c r="K153" s="32"/>
      <c r="L153" s="32"/>
      <c r="M153" s="32"/>
      <c r="N153" s="32"/>
    </row>
    <row r="154" spans="3:14">
      <c r="C154" s="246" t="s">
        <v>158</v>
      </c>
      <c r="D154" s="10" t="s">
        <v>160</v>
      </c>
      <c r="E154" s="267"/>
      <c r="F154" s="267"/>
      <c r="G154" s="267"/>
      <c r="H154" s="267"/>
      <c r="I154" s="268"/>
      <c r="J154" s="249">
        <f>J155*J107</f>
        <v>0</v>
      </c>
      <c r="K154" s="249">
        <f>K155*K107</f>
        <v>0</v>
      </c>
      <c r="L154" s="249">
        <f>L155*L107</f>
        <v>0</v>
      </c>
      <c r="M154" s="249">
        <f>M155*M107</f>
        <v>0</v>
      </c>
      <c r="N154" s="249">
        <f>N155*N107</f>
        <v>0</v>
      </c>
    </row>
    <row r="155" spans="3:14">
      <c r="C155" s="29" t="s">
        <v>159</v>
      </c>
      <c r="D155" s="10" t="s">
        <v>38</v>
      </c>
      <c r="E155" s="228" t="e">
        <f t="shared" ref="E155:H155" si="17">E107/E154</f>
        <v>#DIV/0!</v>
      </c>
      <c r="F155" s="228" t="e">
        <f t="shared" si="17"/>
        <v>#DIV/0!</v>
      </c>
      <c r="G155" s="228" t="e">
        <f t="shared" si="17"/>
        <v>#DIV/0!</v>
      </c>
      <c r="H155" s="228" t="e">
        <f t="shared" si="17"/>
        <v>#DIV/0!</v>
      </c>
      <c r="I155" s="228" t="e">
        <f>I107/I154</f>
        <v>#DIV/0!</v>
      </c>
      <c r="J155" s="253"/>
      <c r="K155" s="253"/>
      <c r="L155" s="253"/>
      <c r="M155" s="253"/>
      <c r="N155" s="253"/>
    </row>
    <row r="157" spans="3:14">
      <c r="C157" s="22" t="s">
        <v>161</v>
      </c>
      <c r="D157" s="243"/>
      <c r="E157" s="244"/>
      <c r="F157" s="245"/>
      <c r="G157" s="245"/>
      <c r="H157" s="245"/>
      <c r="I157" s="245"/>
      <c r="J157" s="245"/>
      <c r="K157" s="245"/>
      <c r="L157" s="245"/>
      <c r="M157" s="245"/>
      <c r="N157" s="245"/>
    </row>
    <row r="158" spans="3:14">
      <c r="C158" s="29" t="s">
        <v>162</v>
      </c>
      <c r="D158" s="10" t="s">
        <v>38</v>
      </c>
      <c r="E158" s="254" t="str">
        <f>IFERROR(-E24/E152,"N/A")</f>
        <v>N/A</v>
      </c>
      <c r="F158" s="254" t="str">
        <f>IFERROR(-F24/F152,"N/A")</f>
        <v>N/A</v>
      </c>
      <c r="G158" s="254" t="str">
        <f>IFERROR(-G24/G152,"N/A")</f>
        <v>N/A</v>
      </c>
      <c r="H158" s="254" t="str">
        <f>IFERROR(-H24/H152,"N/A")</f>
        <v>N/A</v>
      </c>
      <c r="I158" s="254">
        <f>IFERROR(-I24/I152,"N/A")</f>
        <v>-2</v>
      </c>
      <c r="J158" s="254">
        <f>IFERROR(-J24/J152,"N/A")</f>
        <v>-3.3118311187577246E-6</v>
      </c>
      <c r="K158" s="254">
        <f>IFERROR(-K24/K152,"N/A")</f>
        <v>-0.99244332493702769</v>
      </c>
      <c r="L158" s="254">
        <f>IFERROR(-L24/L152,"N/A")</f>
        <v>-0.98682877406281655</v>
      </c>
      <c r="M158" s="254">
        <f>IFERROR(-M24/M152,"N/A")</f>
        <v>-1.0049751243781095</v>
      </c>
      <c r="N158" s="254">
        <f>IFERROR(-N24/N152,"N/A")</f>
        <v>-1.0099009900990099</v>
      </c>
    </row>
    <row r="159" spans="3:14">
      <c r="C159" s="29" t="s">
        <v>163</v>
      </c>
      <c r="D159" s="10" t="s">
        <v>38</v>
      </c>
      <c r="E159" s="254" t="str">
        <f>IFERROR(-E105/E107,"N/A")</f>
        <v>N/A</v>
      </c>
      <c r="F159" s="254" t="str">
        <f t="shared" ref="F159:N159" si="18">IFERROR(-F114/F117,"N/A")</f>
        <v>N/A</v>
      </c>
      <c r="G159" s="254" t="str">
        <f t="shared" si="18"/>
        <v>N/A</v>
      </c>
      <c r="H159" s="254" t="str">
        <f t="shared" si="18"/>
        <v>N/A</v>
      </c>
      <c r="I159" s="255" t="str">
        <f t="shared" si="18"/>
        <v>N/A</v>
      </c>
      <c r="J159" s="254" t="str">
        <f t="shared" si="18"/>
        <v>N/A</v>
      </c>
      <c r="K159" s="254" t="str">
        <f t="shared" si="18"/>
        <v>N/A</v>
      </c>
      <c r="L159" s="254" t="str">
        <f t="shared" si="18"/>
        <v>N/A</v>
      </c>
      <c r="M159" s="254" t="str">
        <f t="shared" si="18"/>
        <v>N/A</v>
      </c>
      <c r="N159" s="254" t="str">
        <f t="shared" si="18"/>
        <v>N/A</v>
      </c>
    </row>
    <row r="160" spans="3:14">
      <c r="C160" s="29" t="s">
        <v>164</v>
      </c>
      <c r="D160" s="10" t="s">
        <v>38</v>
      </c>
      <c r="E160" s="254" t="str">
        <f>IFERROR(E107/E151,"N/A")</f>
        <v>N/A</v>
      </c>
      <c r="F160" s="254" t="str">
        <f t="shared" ref="F160:N160" si="19">IFERROR(F107/F151,"N/A")</f>
        <v>N/A</v>
      </c>
      <c r="G160" s="254" t="str">
        <f t="shared" si="19"/>
        <v>N/A</v>
      </c>
      <c r="H160" s="254" t="str">
        <f t="shared" si="19"/>
        <v>N/A</v>
      </c>
      <c r="I160" s="254">
        <f t="shared" si="19"/>
        <v>0</v>
      </c>
      <c r="J160" s="254">
        <f t="shared" si="19"/>
        <v>0</v>
      </c>
      <c r="K160" s="254">
        <f t="shared" si="19"/>
        <v>0</v>
      </c>
      <c r="L160" s="254">
        <f t="shared" si="19"/>
        <v>0</v>
      </c>
      <c r="M160" s="254">
        <f t="shared" si="19"/>
        <v>0</v>
      </c>
      <c r="N160" s="254">
        <f t="shared" si="19"/>
        <v>0</v>
      </c>
    </row>
    <row r="161" spans="3:14">
      <c r="C161" s="29" t="s">
        <v>165</v>
      </c>
      <c r="D161" s="10" t="s">
        <v>38</v>
      </c>
      <c r="E161" s="256" t="str">
        <f t="shared" ref="E161:N161" si="20">IFERROR(+E154/E151,"N/A")</f>
        <v>N/A</v>
      </c>
      <c r="F161" s="256" t="str">
        <f t="shared" si="20"/>
        <v>N/A</v>
      </c>
      <c r="G161" s="256" t="str">
        <f t="shared" si="20"/>
        <v>N/A</v>
      </c>
      <c r="H161" s="256" t="str">
        <f t="shared" si="20"/>
        <v>N/A</v>
      </c>
      <c r="I161" s="257">
        <f t="shared" si="20"/>
        <v>0</v>
      </c>
      <c r="J161" s="256">
        <f t="shared" si="20"/>
        <v>0</v>
      </c>
      <c r="K161" s="256">
        <f t="shared" si="20"/>
        <v>0</v>
      </c>
      <c r="L161" s="256">
        <f t="shared" si="20"/>
        <v>0</v>
      </c>
      <c r="M161" s="256">
        <f t="shared" si="20"/>
        <v>0</v>
      </c>
      <c r="N161" s="256">
        <f t="shared" si="20"/>
        <v>0</v>
      </c>
    </row>
  </sheetData>
  <pageMargins left="0.7" right="0.7" top="0.75" bottom="0.75" header="0.3" footer="0.3"/>
  <pageSetup paperSize="9" scale="4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B96E-080A-4DF9-897D-11BD7B116A60}">
  <dimension ref="B1:AE49"/>
  <sheetViews>
    <sheetView tabSelected="1" zoomScale="115" zoomScaleNormal="115" workbookViewId="0">
      <selection activeCell="I12" sqref="I12"/>
    </sheetView>
  </sheetViews>
  <sheetFormatPr defaultRowHeight="14.4"/>
  <cols>
    <col min="1" max="1" width="1.77734375" style="235" customWidth="1"/>
    <col min="2" max="2" width="2" style="235" customWidth="1"/>
    <col min="3" max="3" width="39.109375" style="235" customWidth="1"/>
    <col min="4" max="16384" width="8.88671875" style="235"/>
  </cols>
  <sheetData>
    <row r="1" spans="2:31">
      <c r="B1" s="36"/>
      <c r="C1" s="36"/>
      <c r="D1" s="306" t="str">
        <f>+[2]Loans!$D$6</f>
        <v>Units:</v>
      </c>
      <c r="E1" s="291">
        <f>EOMONTH(F1,-12)</f>
        <v>42004</v>
      </c>
      <c r="F1" s="291">
        <f>EOMONTH(G1,-12)</f>
        <v>42369</v>
      </c>
      <c r="G1" s="291">
        <f>EOMONTH(H1,-12)</f>
        <v>42735</v>
      </c>
      <c r="H1" s="291">
        <f>EOMONTH(I1,-12)</f>
        <v>43100</v>
      </c>
      <c r="I1" s="292">
        <f>Hist_Year</f>
        <v>43465</v>
      </c>
      <c r="J1" s="291">
        <f>EOMONTH(I1,12)</f>
        <v>43830</v>
      </c>
      <c r="K1" s="291">
        <f>EOMONTH(J1,12)</f>
        <v>44196</v>
      </c>
      <c r="L1" s="291">
        <f>EOMONTH(K1,12)</f>
        <v>44561</v>
      </c>
      <c r="M1" s="291">
        <f>EOMONTH(L1,12)</f>
        <v>44926</v>
      </c>
      <c r="N1" s="291">
        <f>EOMONTH(M1,12)</f>
        <v>45291</v>
      </c>
    </row>
    <row r="2" spans="2:31">
      <c r="C2" s="308" t="s">
        <v>186</v>
      </c>
    </row>
    <row r="3" spans="2:31">
      <c r="C3" s="235" t="s">
        <v>187</v>
      </c>
    </row>
    <row r="4" spans="2:31">
      <c r="C4" s="235" t="s">
        <v>188</v>
      </c>
    </row>
    <row r="5" spans="2:31">
      <c r="C5" s="308" t="s">
        <v>189</v>
      </c>
    </row>
    <row r="6" spans="2:31">
      <c r="C6" s="308"/>
    </row>
    <row r="7" spans="2:31">
      <c r="C7" s="55" t="s">
        <v>185</v>
      </c>
      <c r="D7" s="203" t="s">
        <v>38</v>
      </c>
      <c r="E7" s="311"/>
      <c r="F7" s="311"/>
      <c r="G7" s="311"/>
      <c r="H7" s="311"/>
      <c r="I7" s="311"/>
      <c r="J7" s="310" t="e">
        <f>INDEX(J8:J10,MATCH(Controls!A2,$D8:$D10,0))</f>
        <v>#N/A</v>
      </c>
      <c r="K7" s="310" t="e">
        <f>INDEX(K8:K10,MATCH(Controls!B2,$D8:$D10,0))</f>
        <v>#N/A</v>
      </c>
      <c r="L7" s="310" t="e">
        <f>INDEX(L8:L10,MATCH(Controls!C2,$D8:$D10,0))</f>
        <v>#N/A</v>
      </c>
      <c r="M7" s="310" t="e">
        <f>INDEX(M8:M10,MATCH(Controls!D2,$D8:$D10,0))</f>
        <v>#N/A</v>
      </c>
      <c r="N7" s="310" t="e">
        <f>INDEX(N8:N10,MATCH(Controls!E2,$D8:$D10,0))</f>
        <v>#N/A</v>
      </c>
    </row>
    <row r="8" spans="2:31">
      <c r="C8" s="206" t="str">
        <f>+[2]Loans!$C$19</f>
        <v>Base</v>
      </c>
      <c r="D8" s="203" t="s">
        <v>38</v>
      </c>
      <c r="E8" s="205"/>
      <c r="F8" s="205"/>
      <c r="G8" s="205"/>
      <c r="H8" s="205"/>
      <c r="I8" s="205"/>
      <c r="J8" s="309">
        <v>3.5000000000000001E-3</v>
      </c>
      <c r="K8" s="309">
        <v>6.4999999999999997E-3</v>
      </c>
      <c r="L8" s="309">
        <v>8.5000000000000006E-3</v>
      </c>
      <c r="M8" s="309">
        <v>1.0500000000000001E-2</v>
      </c>
      <c r="N8" s="309">
        <v>1.35E-2</v>
      </c>
    </row>
    <row r="9" spans="2:31">
      <c r="C9" s="206" t="str">
        <f>+[2]Loans!$C$20</f>
        <v>Upside</v>
      </c>
      <c r="D9" s="203" t="s">
        <v>38</v>
      </c>
      <c r="E9" s="205"/>
      <c r="F9" s="205"/>
      <c r="G9" s="205"/>
      <c r="H9" s="205"/>
      <c r="I9" s="205"/>
      <c r="J9" s="12">
        <v>5.0000000000000001E-3</v>
      </c>
      <c r="K9" s="12">
        <v>8.5000000000000006E-3</v>
      </c>
      <c r="L9" s="12">
        <v>1.0500000000000001E-2</v>
      </c>
      <c r="M9" s="12">
        <v>1.2500000000000001E-2</v>
      </c>
      <c r="N9" s="12">
        <v>1.55E-2</v>
      </c>
    </row>
    <row r="10" spans="2:31">
      <c r="C10" s="206" t="str">
        <f>+[2]Loans!$C$21</f>
        <v>Downside</v>
      </c>
      <c r="D10" s="203" t="s">
        <v>38</v>
      </c>
      <c r="E10" s="205"/>
      <c r="F10" s="205"/>
      <c r="G10" s="205"/>
      <c r="H10" s="205"/>
      <c r="I10" s="205"/>
      <c r="J10" s="9">
        <v>3.0000000000000001E-3</v>
      </c>
      <c r="K10" s="9">
        <v>4.4999999999999997E-3</v>
      </c>
      <c r="L10" s="9">
        <v>6.4999999999999997E-3</v>
      </c>
      <c r="M10" s="9">
        <v>8.5000000000000006E-3</v>
      </c>
      <c r="N10" s="9">
        <v>1.0500000000000001E-2</v>
      </c>
    </row>
    <row r="11" spans="2:31">
      <c r="C11" s="206"/>
      <c r="D11" s="203"/>
      <c r="E11" s="205"/>
      <c r="F11" s="205"/>
      <c r="G11" s="205"/>
      <c r="H11" s="205"/>
      <c r="I11" s="205"/>
      <c r="J11" s="157"/>
      <c r="K11" s="157"/>
      <c r="L11" s="157"/>
      <c r="M11" s="157"/>
      <c r="N11" s="157"/>
    </row>
    <row r="13" spans="2:31" s="1" customFormat="1">
      <c r="B13" s="40"/>
      <c r="C13" s="40"/>
      <c r="D13" s="39"/>
      <c r="E13" s="37" t="str">
        <f>+[2]Loans!$E$65</f>
        <v>Historical</v>
      </c>
      <c r="F13" s="37"/>
      <c r="G13" s="37"/>
      <c r="H13" s="37"/>
      <c r="I13" s="37"/>
      <c r="J13" s="38" t="str">
        <f>+[2]Loans!$J$65</f>
        <v>Projected</v>
      </c>
      <c r="K13" s="37"/>
      <c r="L13" s="37"/>
      <c r="M13" s="37"/>
      <c r="N13" s="37"/>
      <c r="O13" s="5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52"/>
      <c r="AD13" s="52"/>
      <c r="AE13" s="52"/>
    </row>
    <row r="14" spans="2:31" s="1" customFormat="1">
      <c r="B14" s="36" t="s">
        <v>184</v>
      </c>
      <c r="C14" s="36"/>
      <c r="D14" s="306" t="str">
        <f>+[2]Loans!$D$6</f>
        <v>Units:</v>
      </c>
      <c r="E14" s="291">
        <f>EOMONTH(F14,-12)</f>
        <v>42004</v>
      </c>
      <c r="F14" s="291">
        <f>EOMONTH(G14,-12)</f>
        <v>42369</v>
      </c>
      <c r="G14" s="291">
        <f>EOMONTH(H14,-12)</f>
        <v>42735</v>
      </c>
      <c r="H14" s="291">
        <f>EOMONTH(I14,-12)</f>
        <v>43100</v>
      </c>
      <c r="I14" s="292">
        <f>Hist_Year</f>
        <v>43465</v>
      </c>
      <c r="J14" s="291">
        <f>EOMONTH(I14,12)</f>
        <v>43830</v>
      </c>
      <c r="K14" s="291">
        <f>EOMONTH(J14,12)</f>
        <v>44196</v>
      </c>
      <c r="L14" s="291">
        <f>EOMONTH(K14,12)</f>
        <v>44561</v>
      </c>
      <c r="M14" s="291">
        <f>EOMONTH(L14,12)</f>
        <v>44926</v>
      </c>
      <c r="N14" s="291">
        <f>EOMONTH(M14,12)</f>
        <v>45291</v>
      </c>
      <c r="O14" s="52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202"/>
      <c r="AB14" s="202"/>
      <c r="AC14" s="52"/>
      <c r="AD14" s="52"/>
      <c r="AE14" s="52"/>
    </row>
    <row r="15" spans="2:31">
      <c r="B15" s="305" t="s">
        <v>170</v>
      </c>
      <c r="C15" s="305"/>
      <c r="D15" s="305"/>
      <c r="E15" s="307"/>
      <c r="F15" s="307"/>
      <c r="G15" s="307"/>
      <c r="H15" s="307"/>
      <c r="I15" s="307"/>
      <c r="J15" s="305"/>
      <c r="K15" s="305"/>
      <c r="L15" s="305"/>
      <c r="M15" s="305"/>
      <c r="N15" s="305"/>
    </row>
    <row r="16" spans="2:31">
      <c r="C16" s="235" t="s">
        <v>94</v>
      </c>
      <c r="D16" s="235" t="s">
        <v>160</v>
      </c>
      <c r="E16" s="229"/>
      <c r="F16" s="229"/>
      <c r="G16" s="229"/>
      <c r="H16" s="229"/>
      <c r="I16" s="229"/>
    </row>
    <row r="17" spans="3:14">
      <c r="C17" s="235" t="s">
        <v>182</v>
      </c>
      <c r="D17" s="235" t="s">
        <v>160</v>
      </c>
      <c r="E17" s="229"/>
      <c r="F17" s="229"/>
      <c r="G17" s="229"/>
      <c r="H17" s="229"/>
      <c r="I17" s="229"/>
    </row>
    <row r="18" spans="3:14">
      <c r="C18" s="312" t="s">
        <v>183</v>
      </c>
      <c r="D18" s="312" t="s">
        <v>160</v>
      </c>
      <c r="E18" s="313"/>
      <c r="F18" s="313"/>
      <c r="G18" s="313"/>
      <c r="H18" s="313"/>
      <c r="I18" s="313"/>
      <c r="J18" s="312"/>
      <c r="K18" s="312"/>
      <c r="L18" s="312"/>
      <c r="M18" s="312"/>
      <c r="N18" s="312"/>
    </row>
    <row r="19" spans="3:14">
      <c r="C19" s="314" t="s">
        <v>171</v>
      </c>
      <c r="D19" s="315" t="s">
        <v>160</v>
      </c>
      <c r="E19" s="316"/>
      <c r="F19" s="316"/>
      <c r="G19" s="316"/>
      <c r="H19" s="316"/>
      <c r="I19" s="316"/>
      <c r="J19" s="315"/>
      <c r="K19" s="315"/>
      <c r="L19" s="315"/>
      <c r="M19" s="315"/>
      <c r="N19" s="315"/>
    </row>
    <row r="20" spans="3:14">
      <c r="C20" s="308" t="s">
        <v>172</v>
      </c>
      <c r="D20" s="235" t="s">
        <v>160</v>
      </c>
      <c r="E20" s="230"/>
      <c r="F20" s="230"/>
      <c r="G20" s="230"/>
      <c r="H20" s="230"/>
      <c r="I20" s="230"/>
    </row>
    <row r="22" spans="3:14">
      <c r="C22" s="235" t="s">
        <v>173</v>
      </c>
      <c r="H22" s="236"/>
    </row>
    <row r="23" spans="3:14">
      <c r="C23" s="235" t="s">
        <v>94</v>
      </c>
      <c r="D23" s="235" t="s">
        <v>160</v>
      </c>
      <c r="E23" s="229"/>
      <c r="F23" s="229"/>
      <c r="G23" s="229"/>
      <c r="H23" s="229"/>
      <c r="I23" s="229"/>
    </row>
    <row r="24" spans="3:14">
      <c r="C24" s="235" t="s">
        <v>182</v>
      </c>
      <c r="D24" s="235" t="s">
        <v>160</v>
      </c>
      <c r="E24" s="229"/>
      <c r="F24" s="229"/>
      <c r="G24" s="229"/>
      <c r="H24" s="229"/>
      <c r="I24" s="229"/>
    </row>
    <row r="25" spans="3:14">
      <c r="C25" s="235" t="s">
        <v>183</v>
      </c>
      <c r="D25" s="235" t="s">
        <v>160</v>
      </c>
      <c r="E25" s="229"/>
      <c r="F25" s="229"/>
      <c r="G25" s="229"/>
      <c r="H25" s="229"/>
      <c r="I25" s="229"/>
    </row>
    <row r="26" spans="3:14">
      <c r="C26" s="235" t="s">
        <v>174</v>
      </c>
      <c r="D26" s="235" t="s">
        <v>160</v>
      </c>
      <c r="E26" s="229"/>
      <c r="F26" s="229"/>
      <c r="G26" s="229"/>
      <c r="H26" s="229"/>
      <c r="I26" s="229"/>
    </row>
    <row r="27" spans="3:14">
      <c r="C27" s="235" t="s">
        <v>171</v>
      </c>
      <c r="D27" s="235" t="s">
        <v>160</v>
      </c>
      <c r="E27" s="229"/>
      <c r="F27" s="229"/>
      <c r="G27" s="229"/>
      <c r="H27" s="229"/>
      <c r="I27" s="229"/>
    </row>
    <row r="29" spans="3:14">
      <c r="C29" s="235" t="s">
        <v>175</v>
      </c>
    </row>
    <row r="30" spans="3:14">
      <c r="C30" s="235" t="s">
        <v>176</v>
      </c>
      <c r="D30" s="235" t="s">
        <v>160</v>
      </c>
      <c r="E30" s="229"/>
      <c r="F30" s="229"/>
      <c r="G30" s="229"/>
      <c r="H30" s="229"/>
      <c r="I30" s="229"/>
    </row>
    <row r="31" spans="3:14">
      <c r="C31" s="235" t="s">
        <v>177</v>
      </c>
      <c r="D31" s="235" t="s">
        <v>160</v>
      </c>
      <c r="E31" s="229"/>
      <c r="F31" s="229"/>
      <c r="G31" s="229"/>
      <c r="H31" s="229"/>
      <c r="I31" s="229"/>
    </row>
    <row r="32" spans="3:14">
      <c r="C32" s="235" t="s">
        <v>178</v>
      </c>
    </row>
    <row r="34" spans="3:4">
      <c r="C34" s="235" t="s">
        <v>179</v>
      </c>
      <c r="D34" s="235" t="s">
        <v>38</v>
      </c>
    </row>
    <row r="35" spans="3:4">
      <c r="C35" s="235" t="s">
        <v>180</v>
      </c>
      <c r="D35" s="235" t="s">
        <v>38</v>
      </c>
    </row>
    <row r="37" spans="3:4">
      <c r="C37" s="308" t="s">
        <v>181</v>
      </c>
    </row>
    <row r="38" spans="3:4">
      <c r="C38" s="235" t="s">
        <v>176</v>
      </c>
      <c r="D38" s="235" t="s">
        <v>38</v>
      </c>
    </row>
    <row r="39" spans="3:4">
      <c r="C39" s="235" t="s">
        <v>177</v>
      </c>
      <c r="D39" s="235" t="s">
        <v>38</v>
      </c>
    </row>
    <row r="40" spans="3:4">
      <c r="C40" s="235" t="s">
        <v>182</v>
      </c>
      <c r="D40" s="235" t="s">
        <v>38</v>
      </c>
    </row>
    <row r="41" spans="3:4">
      <c r="C41" s="235" t="s">
        <v>183</v>
      </c>
      <c r="D41" s="235" t="s">
        <v>38</v>
      </c>
    </row>
    <row r="42" spans="3:4">
      <c r="C42" s="235" t="s">
        <v>171</v>
      </c>
      <c r="D42" s="235" t="s">
        <v>38</v>
      </c>
    </row>
    <row r="44" spans="3:4">
      <c r="C44" s="308" t="s">
        <v>190</v>
      </c>
    </row>
    <row r="45" spans="3:4">
      <c r="C45" s="235" t="s">
        <v>176</v>
      </c>
      <c r="D45" s="235" t="s">
        <v>38</v>
      </c>
    </row>
    <row r="46" spans="3:4">
      <c r="C46" s="235" t="s">
        <v>177</v>
      </c>
      <c r="D46" s="235" t="s">
        <v>38</v>
      </c>
    </row>
    <row r="47" spans="3:4">
      <c r="C47" s="235" t="s">
        <v>182</v>
      </c>
      <c r="D47" s="235" t="s">
        <v>38</v>
      </c>
    </row>
    <row r="48" spans="3:4">
      <c r="C48" s="235" t="s">
        <v>183</v>
      </c>
      <c r="D48" s="235" t="s">
        <v>38</v>
      </c>
    </row>
    <row r="49" spans="3:4">
      <c r="C49" s="235" t="s">
        <v>171</v>
      </c>
      <c r="D49" s="235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Controls</vt:lpstr>
      <vt:lpstr>Financial Statements</vt:lpstr>
      <vt:lpstr>Loans</vt:lpstr>
      <vt:lpstr>Deposits</vt:lpstr>
      <vt:lpstr>Company_Name</vt:lpstr>
      <vt:lpstr>Hist_Year</vt:lpstr>
      <vt:lpstr>Loans!Print_Area</vt:lpstr>
      <vt:lpstr>Scenario</vt:lpstr>
      <vt:lpstr>Tax_Rate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2018-12-28T01:47:28Z</dcterms:created>
  <dcterms:modified xsi:type="dcterms:W3CDTF">2019-01-07T07:32:23Z</dcterms:modified>
</cp:coreProperties>
</file>