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15" documentId="11_A5F3D09E2341A33BAEDFEFC467417A4A342D59A7" xr6:coauthVersionLast="47" xr6:coauthVersionMax="47" xr10:uidLastSave="{E8DC67C2-0261-453C-9352-D80AAB77140C}"/>
  <bookViews>
    <workbookView xWindow="-98" yWindow="-98" windowWidth="28996" windowHeight="15675" tabRatio="717" xr2:uid="{00000000-000D-0000-FFFF-FFFF00000000}"/>
  </bookViews>
  <sheets>
    <sheet name="#00201" sheetId="54" r:id="rId1"/>
    <sheet name="#00202" sheetId="55" r:id="rId2"/>
    <sheet name="#00203" sheetId="56" r:id="rId3"/>
    <sheet name="#00204" sheetId="57" r:id="rId4"/>
    <sheet name="#00205" sheetId="58" r:id="rId5"/>
    <sheet name="#00206" sheetId="59" r:id="rId6"/>
    <sheet name="#00207" sheetId="60" r:id="rId7"/>
    <sheet name="#00208" sheetId="61" r:id="rId8"/>
    <sheet name="#00209" sheetId="62" r:id="rId9"/>
    <sheet name="#00210" sheetId="63" r:id="rId10"/>
    <sheet name="#00211" sheetId="64" r:id="rId11"/>
    <sheet name="#00212" sheetId="65" r:id="rId12"/>
    <sheet name="#00213" sheetId="66" r:id="rId13"/>
    <sheet name="#00214" sheetId="67" r:id="rId14"/>
    <sheet name="#00215" sheetId="68" r:id="rId15"/>
    <sheet name="#00216" sheetId="69" r:id="rId16"/>
    <sheet name="#00217" sheetId="70" r:id="rId17"/>
    <sheet name="#00218" sheetId="71" r:id="rId18"/>
    <sheet name="#00219" sheetId="72" r:id="rId19"/>
    <sheet name="#00220" sheetId="73" r:id="rId20"/>
    <sheet name="#00221" sheetId="74" r:id="rId21"/>
    <sheet name="#00222" sheetId="75" r:id="rId22"/>
    <sheet name="#00223" sheetId="76" r:id="rId23"/>
    <sheet name="#00224" sheetId="77" r:id="rId24"/>
    <sheet name="#00225" sheetId="78" r:id="rId25"/>
    <sheet name="#00226" sheetId="79" r:id="rId26"/>
    <sheet name="#00227" sheetId="80" r:id="rId27"/>
    <sheet name="#00228" sheetId="81" r:id="rId28"/>
    <sheet name="#00229" sheetId="82" r:id="rId29"/>
    <sheet name="#00230" sheetId="83" r:id="rId30"/>
    <sheet name="#00231" sheetId="84" r:id="rId31"/>
    <sheet name="#00232" sheetId="85" r:id="rId32"/>
    <sheet name="#00233" sheetId="86" r:id="rId33"/>
    <sheet name="#00234" sheetId="87" r:id="rId34"/>
    <sheet name="#00235" sheetId="88" r:id="rId35"/>
    <sheet name="#00236" sheetId="89" r:id="rId36"/>
    <sheet name="#00237" sheetId="90" r:id="rId37"/>
    <sheet name="#00238" sheetId="91" r:id="rId38"/>
    <sheet name="#00239" sheetId="92" r:id="rId39"/>
    <sheet name="#00240" sheetId="93" r:id="rId40"/>
    <sheet name="#00241" sheetId="94" r:id="rId41"/>
    <sheet name="#00242" sheetId="95" r:id="rId42"/>
    <sheet name="#00243" sheetId="96" r:id="rId43"/>
    <sheet name="#00244" sheetId="97" r:id="rId44"/>
    <sheet name="#00245" sheetId="98" r:id="rId45"/>
    <sheet name="#00246" sheetId="99" r:id="rId46"/>
    <sheet name="#00247" sheetId="100" r:id="rId47"/>
    <sheet name="#00248" sheetId="101" r:id="rId48"/>
    <sheet name="#00249" sheetId="102" r:id="rId49"/>
    <sheet name="#00250" sheetId="103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103" l="1"/>
  <c r="Q16" i="103"/>
  <c r="Q15" i="103"/>
  <c r="Q14" i="103"/>
  <c r="Q13" i="103"/>
  <c r="Q12" i="103"/>
  <c r="Q11" i="103"/>
  <c r="Q10" i="103"/>
  <c r="Q9" i="103"/>
  <c r="O17" i="103"/>
  <c r="O16" i="103"/>
  <c r="O15" i="103"/>
  <c r="O14" i="103"/>
  <c r="O13" i="103"/>
  <c r="O12" i="103"/>
  <c r="O11" i="103"/>
  <c r="O10" i="103"/>
  <c r="O9" i="103"/>
  <c r="U41" i="103"/>
  <c r="T41" i="103"/>
  <c r="S41" i="103"/>
  <c r="R41" i="103"/>
  <c r="Q41" i="103"/>
  <c r="P41" i="103"/>
  <c r="O41" i="103"/>
  <c r="V41" i="103" s="1"/>
  <c r="W41" i="103" s="1"/>
  <c r="N41" i="103"/>
  <c r="U40" i="103"/>
  <c r="T40" i="103"/>
  <c r="S40" i="103"/>
  <c r="R40" i="103"/>
  <c r="Q40" i="103"/>
  <c r="P40" i="103"/>
  <c r="O40" i="103"/>
  <c r="N40" i="103"/>
  <c r="U39" i="103"/>
  <c r="T39" i="103"/>
  <c r="S39" i="103"/>
  <c r="R39" i="103"/>
  <c r="Q39" i="103"/>
  <c r="P39" i="103"/>
  <c r="O39" i="103"/>
  <c r="V39" i="103" s="1"/>
  <c r="W39" i="103" s="1"/>
  <c r="N39" i="103"/>
  <c r="U38" i="103"/>
  <c r="T38" i="103"/>
  <c r="S38" i="103"/>
  <c r="R38" i="103"/>
  <c r="Q38" i="103"/>
  <c r="P38" i="103"/>
  <c r="O38" i="103"/>
  <c r="V38" i="103" s="1"/>
  <c r="N38" i="103"/>
  <c r="U37" i="103"/>
  <c r="T37" i="103"/>
  <c r="S37" i="103"/>
  <c r="R37" i="103"/>
  <c r="Q37" i="103"/>
  <c r="P37" i="103"/>
  <c r="O37" i="103"/>
  <c r="V37" i="103" s="1"/>
  <c r="W37" i="103" s="1"/>
  <c r="N37" i="103"/>
  <c r="U36" i="103"/>
  <c r="T36" i="103"/>
  <c r="S36" i="103"/>
  <c r="R36" i="103"/>
  <c r="Q36" i="103"/>
  <c r="P36" i="103"/>
  <c r="O36" i="103"/>
  <c r="N36" i="103"/>
  <c r="U35" i="103"/>
  <c r="T35" i="103"/>
  <c r="S35" i="103"/>
  <c r="R35" i="103"/>
  <c r="Q35" i="103"/>
  <c r="P35" i="103"/>
  <c r="O35" i="103"/>
  <c r="V35" i="103" s="1"/>
  <c r="W35" i="103" s="1"/>
  <c r="N35" i="103"/>
  <c r="U34" i="103"/>
  <c r="T34" i="103"/>
  <c r="S34" i="103"/>
  <c r="R34" i="103"/>
  <c r="Q34" i="103"/>
  <c r="P34" i="103"/>
  <c r="O34" i="103"/>
  <c r="N34" i="103"/>
  <c r="U33" i="103"/>
  <c r="T33" i="103"/>
  <c r="S33" i="103"/>
  <c r="R33" i="103"/>
  <c r="Q33" i="103"/>
  <c r="P33" i="103"/>
  <c r="O33" i="103"/>
  <c r="V33" i="103" s="1"/>
  <c r="W33" i="103" s="1"/>
  <c r="N33" i="103"/>
  <c r="Q17" i="102"/>
  <c r="Q16" i="102"/>
  <c r="Q15" i="102"/>
  <c r="Q14" i="102"/>
  <c r="Q13" i="102"/>
  <c r="Q12" i="102"/>
  <c r="Q11" i="102"/>
  <c r="Q10" i="102"/>
  <c r="Q9" i="102"/>
  <c r="O17" i="102"/>
  <c r="O16" i="102"/>
  <c r="O15" i="102"/>
  <c r="O14" i="102"/>
  <c r="O13" i="102"/>
  <c r="O12" i="102"/>
  <c r="O11" i="102"/>
  <c r="O10" i="102"/>
  <c r="O9" i="102"/>
  <c r="V34" i="103" l="1"/>
  <c r="W38" i="103"/>
  <c r="V36" i="103"/>
  <c r="W36" i="103" s="1"/>
  <c r="V40" i="103"/>
  <c r="W40" i="103"/>
  <c r="W34" i="103"/>
  <c r="N9" i="102"/>
  <c r="P9" i="102"/>
  <c r="R9" i="102"/>
  <c r="S9" i="102"/>
  <c r="T9" i="102"/>
  <c r="U9" i="102"/>
  <c r="N10" i="102"/>
  <c r="P10" i="102"/>
  <c r="R10" i="102"/>
  <c r="S10" i="102"/>
  <c r="T10" i="102"/>
  <c r="U10" i="102"/>
  <c r="N11" i="102"/>
  <c r="P11" i="102"/>
  <c r="R11" i="102"/>
  <c r="S11" i="102"/>
  <c r="T11" i="102"/>
  <c r="U11" i="102"/>
  <c r="N12" i="102"/>
  <c r="P12" i="102"/>
  <c r="R12" i="102"/>
  <c r="S12" i="102"/>
  <c r="T12" i="102"/>
  <c r="U12" i="102"/>
  <c r="N13" i="102"/>
  <c r="P13" i="102"/>
  <c r="R13" i="102"/>
  <c r="S13" i="102"/>
  <c r="T13" i="102"/>
  <c r="U13" i="102"/>
  <c r="N14" i="102"/>
  <c r="P14" i="102"/>
  <c r="R14" i="102"/>
  <c r="S14" i="102"/>
  <c r="T14" i="102"/>
  <c r="U14" i="102"/>
  <c r="N15" i="102"/>
  <c r="P15" i="102"/>
  <c r="R15" i="102"/>
  <c r="S15" i="102"/>
  <c r="T15" i="102"/>
  <c r="U15" i="102"/>
  <c r="N16" i="102"/>
  <c r="P16" i="102"/>
  <c r="R16" i="102"/>
  <c r="S16" i="102"/>
  <c r="T16" i="102"/>
  <c r="U16" i="102"/>
  <c r="N17" i="102"/>
  <c r="P17" i="102"/>
  <c r="R17" i="102"/>
  <c r="S17" i="102"/>
  <c r="T17" i="102"/>
  <c r="U17" i="102"/>
  <c r="N33" i="102"/>
  <c r="O33" i="102"/>
  <c r="P33" i="102"/>
  <c r="Q33" i="102"/>
  <c r="R33" i="102"/>
  <c r="S33" i="102"/>
  <c r="T33" i="102"/>
  <c r="U33" i="102"/>
  <c r="N34" i="102"/>
  <c r="O34" i="102"/>
  <c r="V34" i="102" s="1"/>
  <c r="W34" i="102" s="1"/>
  <c r="P34" i="102"/>
  <c r="Q34" i="102"/>
  <c r="R34" i="102"/>
  <c r="S34" i="102"/>
  <c r="T34" i="102"/>
  <c r="U34" i="102"/>
  <c r="N35" i="102"/>
  <c r="O35" i="102"/>
  <c r="P35" i="102"/>
  <c r="Q35" i="102"/>
  <c r="R35" i="102"/>
  <c r="S35" i="102"/>
  <c r="T35" i="102"/>
  <c r="U35" i="102"/>
  <c r="N36" i="102"/>
  <c r="O36" i="102"/>
  <c r="V36" i="102" s="1"/>
  <c r="W36" i="102" s="1"/>
  <c r="P36" i="102"/>
  <c r="Q36" i="102"/>
  <c r="R36" i="102"/>
  <c r="S36" i="102"/>
  <c r="T36" i="102"/>
  <c r="U36" i="102"/>
  <c r="N37" i="102"/>
  <c r="O37" i="102"/>
  <c r="P37" i="102"/>
  <c r="Q37" i="102"/>
  <c r="R37" i="102"/>
  <c r="S37" i="102"/>
  <c r="T37" i="102"/>
  <c r="U37" i="102"/>
  <c r="N38" i="102"/>
  <c r="O38" i="102"/>
  <c r="V38" i="102" s="1"/>
  <c r="W38" i="102" s="1"/>
  <c r="P38" i="102"/>
  <c r="Q38" i="102"/>
  <c r="R38" i="102"/>
  <c r="S38" i="102"/>
  <c r="T38" i="102"/>
  <c r="U38" i="102"/>
  <c r="N39" i="102"/>
  <c r="O39" i="102"/>
  <c r="P39" i="102"/>
  <c r="Q39" i="102"/>
  <c r="R39" i="102"/>
  <c r="S39" i="102"/>
  <c r="T39" i="102"/>
  <c r="U39" i="102"/>
  <c r="N40" i="102"/>
  <c r="O40" i="102"/>
  <c r="V40" i="102" s="1"/>
  <c r="W40" i="102" s="1"/>
  <c r="P40" i="102"/>
  <c r="Q40" i="102"/>
  <c r="R40" i="102"/>
  <c r="S40" i="102"/>
  <c r="T40" i="102"/>
  <c r="U40" i="102"/>
  <c r="N41" i="102"/>
  <c r="O41" i="102"/>
  <c r="P41" i="102"/>
  <c r="Q41" i="102"/>
  <c r="R41" i="102"/>
  <c r="S41" i="102"/>
  <c r="T41" i="102"/>
  <c r="U41" i="102"/>
  <c r="U39" i="101"/>
  <c r="T39" i="101"/>
  <c r="S39" i="101"/>
  <c r="R39" i="101"/>
  <c r="Q39" i="101"/>
  <c r="P39" i="101"/>
  <c r="O39" i="101"/>
  <c r="N39" i="101"/>
  <c r="U38" i="101"/>
  <c r="T38" i="101"/>
  <c r="S38" i="101"/>
  <c r="R38" i="101"/>
  <c r="Q38" i="101"/>
  <c r="P38" i="101"/>
  <c r="O38" i="101"/>
  <c r="V38" i="101" s="1"/>
  <c r="N38" i="101"/>
  <c r="U37" i="101"/>
  <c r="T37" i="101"/>
  <c r="S37" i="101"/>
  <c r="R37" i="101"/>
  <c r="Q37" i="101"/>
  <c r="P37" i="101"/>
  <c r="O37" i="101"/>
  <c r="N37" i="101"/>
  <c r="V36" i="101"/>
  <c r="U36" i="101"/>
  <c r="W36" i="101" s="1"/>
  <c r="T36" i="101"/>
  <c r="S36" i="101"/>
  <c r="R36" i="101"/>
  <c r="Q36" i="101"/>
  <c r="P36" i="101"/>
  <c r="O36" i="101"/>
  <c r="N36" i="101"/>
  <c r="U35" i="101"/>
  <c r="T35" i="101"/>
  <c r="S35" i="101"/>
  <c r="R35" i="101"/>
  <c r="Q35" i="101"/>
  <c r="P35" i="101"/>
  <c r="O35" i="101"/>
  <c r="V35" i="101" s="1"/>
  <c r="N35" i="101"/>
  <c r="V34" i="101"/>
  <c r="U34" i="101"/>
  <c r="T34" i="101"/>
  <c r="S34" i="101"/>
  <c r="R34" i="101"/>
  <c r="Q34" i="101"/>
  <c r="P34" i="101"/>
  <c r="O34" i="101"/>
  <c r="N34" i="101"/>
  <c r="U33" i="101"/>
  <c r="T33" i="101"/>
  <c r="S33" i="101"/>
  <c r="R33" i="101"/>
  <c r="Q33" i="101"/>
  <c r="P33" i="101"/>
  <c r="O33" i="101"/>
  <c r="V33" i="101" s="1"/>
  <c r="W33" i="101" s="1"/>
  <c r="N33" i="101"/>
  <c r="Q13" i="100"/>
  <c r="Q12" i="100"/>
  <c r="Q11" i="100"/>
  <c r="Q10" i="100"/>
  <c r="Q9" i="100"/>
  <c r="Q28" i="98"/>
  <c r="Q27" i="98"/>
  <c r="Q26" i="98"/>
  <c r="Q25" i="98"/>
  <c r="Q24" i="98"/>
  <c r="Q23" i="98"/>
  <c r="Q22" i="98"/>
  <c r="Q21" i="98"/>
  <c r="Q20" i="98"/>
  <c r="Q19" i="98"/>
  <c r="Q18" i="98"/>
  <c r="Q17" i="98"/>
  <c r="Q16" i="98"/>
  <c r="Q15" i="98"/>
  <c r="Q14" i="98"/>
  <c r="Q13" i="98"/>
  <c r="Q12" i="98"/>
  <c r="Q11" i="98"/>
  <c r="Q10" i="98"/>
  <c r="Q9" i="98"/>
  <c r="O27" i="98"/>
  <c r="O26" i="98"/>
  <c r="O25" i="98"/>
  <c r="O24" i="98"/>
  <c r="O23" i="98"/>
  <c r="O22" i="98"/>
  <c r="O21" i="98"/>
  <c r="O20" i="98"/>
  <c r="O19" i="98"/>
  <c r="O18" i="98"/>
  <c r="O17" i="98"/>
  <c r="O16" i="98"/>
  <c r="O15" i="98"/>
  <c r="O14" i="98"/>
  <c r="O13" i="98"/>
  <c r="O12" i="98"/>
  <c r="O11" i="98"/>
  <c r="O10" i="98"/>
  <c r="O9" i="98"/>
  <c r="O18" i="97"/>
  <c r="O17" i="97"/>
  <c r="O16" i="97"/>
  <c r="O15" i="97"/>
  <c r="O14" i="97"/>
  <c r="O13" i="97"/>
  <c r="O12" i="97"/>
  <c r="O11" i="97"/>
  <c r="O10" i="97"/>
  <c r="O9" i="97"/>
  <c r="Q31" i="94"/>
  <c r="Q30" i="94"/>
  <c r="Q29" i="94"/>
  <c r="Q28" i="94"/>
  <c r="Q27" i="94"/>
  <c r="Q26" i="94"/>
  <c r="Q25" i="94"/>
  <c r="Q24" i="94"/>
  <c r="Q23" i="94"/>
  <c r="Q22" i="94"/>
  <c r="Q21" i="94"/>
  <c r="Q20" i="94"/>
  <c r="Q19" i="94"/>
  <c r="Q18" i="94"/>
  <c r="Q17" i="94"/>
  <c r="Q16" i="94"/>
  <c r="Q15" i="94"/>
  <c r="Q14" i="94"/>
  <c r="Q13" i="94"/>
  <c r="Q12" i="94"/>
  <c r="Q11" i="94"/>
  <c r="Q10" i="94"/>
  <c r="Q9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19" i="94"/>
  <c r="O18" i="94"/>
  <c r="O17" i="94"/>
  <c r="O16" i="94"/>
  <c r="O15" i="94"/>
  <c r="O14" i="94"/>
  <c r="O13" i="94"/>
  <c r="O12" i="94"/>
  <c r="O11" i="94"/>
  <c r="O10" i="94"/>
  <c r="O9" i="94"/>
  <c r="Q20" i="93"/>
  <c r="Q19" i="93"/>
  <c r="Q18" i="93"/>
  <c r="Q17" i="93"/>
  <c r="Q16" i="93"/>
  <c r="Q15" i="93"/>
  <c r="Q14" i="93"/>
  <c r="Q13" i="93"/>
  <c r="Q12" i="93"/>
  <c r="Q11" i="93"/>
  <c r="Q10" i="93"/>
  <c r="Q9" i="93"/>
  <c r="O20" i="93"/>
  <c r="O19" i="93"/>
  <c r="O18" i="93"/>
  <c r="O17" i="93"/>
  <c r="O16" i="93"/>
  <c r="O15" i="93"/>
  <c r="O14" i="93"/>
  <c r="O13" i="93"/>
  <c r="O12" i="93"/>
  <c r="O11" i="93"/>
  <c r="O10" i="93"/>
  <c r="O9" i="93"/>
  <c r="Q14" i="91"/>
  <c r="Q13" i="91"/>
  <c r="Q12" i="91"/>
  <c r="Q11" i="91"/>
  <c r="Q10" i="91"/>
  <c r="Q9" i="91"/>
  <c r="Q20" i="84"/>
  <c r="Q19" i="84"/>
  <c r="Q18" i="84"/>
  <c r="Q17" i="84"/>
  <c r="Q16" i="84"/>
  <c r="Q15" i="84"/>
  <c r="Q14" i="84"/>
  <c r="Q13" i="84"/>
  <c r="Q12" i="84"/>
  <c r="Q11" i="84"/>
  <c r="Q10" i="84"/>
  <c r="Q9" i="84"/>
  <c r="Q29" i="83"/>
  <c r="Q28" i="83"/>
  <c r="Q27" i="83"/>
  <c r="Q26" i="83"/>
  <c r="Q25" i="83"/>
  <c r="Q24" i="83"/>
  <c r="Q23" i="83"/>
  <c r="Q22" i="83"/>
  <c r="Q21" i="83"/>
  <c r="Q20" i="83"/>
  <c r="Q19" i="83"/>
  <c r="Q18" i="83"/>
  <c r="Q17" i="83"/>
  <c r="Q16" i="83"/>
  <c r="Q15" i="83"/>
  <c r="Q14" i="83"/>
  <c r="Q13" i="83"/>
  <c r="Q12" i="83"/>
  <c r="Q11" i="83"/>
  <c r="Q10" i="83"/>
  <c r="O29" i="83"/>
  <c r="O28" i="83"/>
  <c r="O27" i="83"/>
  <c r="O26" i="83"/>
  <c r="O25" i="83"/>
  <c r="O24" i="83"/>
  <c r="O23" i="83"/>
  <c r="O22" i="83"/>
  <c r="O21" i="83"/>
  <c r="O20" i="83"/>
  <c r="O19" i="83"/>
  <c r="O18" i="83"/>
  <c r="O17" i="83"/>
  <c r="O16" i="83"/>
  <c r="O15" i="83"/>
  <c r="O14" i="83"/>
  <c r="O13" i="83"/>
  <c r="O12" i="83"/>
  <c r="O11" i="83"/>
  <c r="O10" i="83"/>
  <c r="S26" i="82"/>
  <c r="S25" i="82"/>
  <c r="S24" i="82"/>
  <c r="S23" i="82"/>
  <c r="S22" i="82"/>
  <c r="S21" i="82"/>
  <c r="S20" i="82"/>
  <c r="S19" i="82"/>
  <c r="S18" i="82"/>
  <c r="S17" i="82"/>
  <c r="S16" i="82"/>
  <c r="S15" i="82"/>
  <c r="S14" i="82"/>
  <c r="S13" i="82"/>
  <c r="S12" i="82"/>
  <c r="S11" i="82"/>
  <c r="S10" i="82"/>
  <c r="Q26" i="82"/>
  <c r="Q25" i="82"/>
  <c r="Q24" i="82"/>
  <c r="Q23" i="82"/>
  <c r="Q22" i="82"/>
  <c r="Q21" i="82"/>
  <c r="Q20" i="82"/>
  <c r="Q19" i="82"/>
  <c r="Q18" i="82"/>
  <c r="Q17" i="82"/>
  <c r="Q16" i="82"/>
  <c r="Q15" i="82"/>
  <c r="Q14" i="82"/>
  <c r="Q13" i="82"/>
  <c r="Q12" i="82"/>
  <c r="Q11" i="82"/>
  <c r="Q10" i="82"/>
  <c r="O26" i="82"/>
  <c r="O25" i="82"/>
  <c r="O24" i="82"/>
  <c r="O23" i="82"/>
  <c r="O22" i="82"/>
  <c r="O21" i="82"/>
  <c r="O20" i="82"/>
  <c r="O19" i="82"/>
  <c r="O18" i="82"/>
  <c r="O17" i="82"/>
  <c r="O16" i="82"/>
  <c r="O15" i="82"/>
  <c r="O14" i="82"/>
  <c r="O13" i="82"/>
  <c r="O12" i="82"/>
  <c r="O11" i="82"/>
  <c r="O10" i="82"/>
  <c r="O9" i="82"/>
  <c r="S17" i="81"/>
  <c r="S16" i="81"/>
  <c r="S15" i="81"/>
  <c r="S14" i="81"/>
  <c r="S13" i="81"/>
  <c r="S12" i="81"/>
  <c r="S11" i="81"/>
  <c r="S10" i="81"/>
  <c r="Q20" i="81"/>
  <c r="Q19" i="81"/>
  <c r="Q18" i="81"/>
  <c r="Q17" i="81"/>
  <c r="Q16" i="81"/>
  <c r="Q15" i="81"/>
  <c r="Q14" i="81"/>
  <c r="Q13" i="81"/>
  <c r="Q12" i="81"/>
  <c r="Q11" i="81"/>
  <c r="Q10" i="81"/>
  <c r="O20" i="81"/>
  <c r="O19" i="81"/>
  <c r="O18" i="81"/>
  <c r="O17" i="81"/>
  <c r="O16" i="81"/>
  <c r="O15" i="81"/>
  <c r="O14" i="81"/>
  <c r="O13" i="81"/>
  <c r="O12" i="81"/>
  <c r="O11" i="81"/>
  <c r="O10" i="81"/>
  <c r="S17" i="80"/>
  <c r="S16" i="80"/>
  <c r="S15" i="80"/>
  <c r="S14" i="80"/>
  <c r="S13" i="80"/>
  <c r="S12" i="80"/>
  <c r="S11" i="80"/>
  <c r="S10" i="80"/>
  <c r="S9" i="80"/>
  <c r="Q20" i="80"/>
  <c r="Q19" i="80"/>
  <c r="Q18" i="80"/>
  <c r="Q17" i="80"/>
  <c r="Q16" i="80"/>
  <c r="Q15" i="80"/>
  <c r="Q14" i="80"/>
  <c r="Q13" i="80"/>
  <c r="Q12" i="80"/>
  <c r="Q11" i="80"/>
  <c r="Q10" i="80"/>
  <c r="O20" i="80"/>
  <c r="O19" i="80"/>
  <c r="O18" i="80"/>
  <c r="O17" i="80"/>
  <c r="O16" i="80"/>
  <c r="O15" i="80"/>
  <c r="O14" i="80"/>
  <c r="O13" i="80"/>
  <c r="O12" i="80"/>
  <c r="O11" i="80"/>
  <c r="O10" i="80"/>
  <c r="O9" i="80"/>
  <c r="S32" i="79"/>
  <c r="S31" i="79"/>
  <c r="S30" i="79"/>
  <c r="S29" i="79"/>
  <c r="S28" i="79"/>
  <c r="S27" i="79"/>
  <c r="S26" i="79"/>
  <c r="Q37" i="79"/>
  <c r="Q36" i="79"/>
  <c r="Q35" i="79"/>
  <c r="Q34" i="79"/>
  <c r="Q33" i="79"/>
  <c r="Q32" i="79"/>
  <c r="Q31" i="79"/>
  <c r="Q30" i="79"/>
  <c r="Q29" i="79"/>
  <c r="Q28" i="79"/>
  <c r="Q27" i="79"/>
  <c r="Q26" i="79"/>
  <c r="O37" i="79"/>
  <c r="O36" i="79"/>
  <c r="O35" i="79"/>
  <c r="O34" i="79"/>
  <c r="O33" i="79"/>
  <c r="O32" i="79"/>
  <c r="O31" i="79"/>
  <c r="O30" i="79"/>
  <c r="O29" i="79"/>
  <c r="O28" i="79"/>
  <c r="O27" i="79"/>
  <c r="O26" i="79"/>
  <c r="S13" i="79"/>
  <c r="S12" i="79"/>
  <c r="S11" i="79"/>
  <c r="S10" i="79"/>
  <c r="S9" i="79"/>
  <c r="Q20" i="79"/>
  <c r="Q19" i="79"/>
  <c r="Q18" i="79"/>
  <c r="Q17" i="79"/>
  <c r="Q16" i="79"/>
  <c r="Q15" i="79"/>
  <c r="Q14" i="79"/>
  <c r="Q13" i="79"/>
  <c r="Q12" i="79"/>
  <c r="Q11" i="79"/>
  <c r="Q10" i="79"/>
  <c r="Q9" i="79"/>
  <c r="O20" i="79"/>
  <c r="O19" i="79"/>
  <c r="O18" i="79"/>
  <c r="O17" i="79"/>
  <c r="O16" i="79"/>
  <c r="O15" i="79"/>
  <c r="O14" i="79"/>
  <c r="O13" i="79"/>
  <c r="O12" i="79"/>
  <c r="O11" i="79"/>
  <c r="O10" i="79"/>
  <c r="O9" i="79"/>
  <c r="S15" i="78"/>
  <c r="S14" i="78"/>
  <c r="S13" i="78"/>
  <c r="S12" i="78"/>
  <c r="S11" i="78"/>
  <c r="S10" i="78"/>
  <c r="S9" i="78"/>
  <c r="Q20" i="78"/>
  <c r="Q19" i="78"/>
  <c r="Q18" i="78"/>
  <c r="Q17" i="78"/>
  <c r="Q16" i="78"/>
  <c r="Q15" i="78"/>
  <c r="Q14" i="78"/>
  <c r="Q13" i="78"/>
  <c r="Q12" i="78"/>
  <c r="Q11" i="78"/>
  <c r="Q10" i="78"/>
  <c r="Q9" i="78"/>
  <c r="O20" i="78"/>
  <c r="O19" i="78"/>
  <c r="O18" i="78"/>
  <c r="O17" i="78"/>
  <c r="O16" i="78"/>
  <c r="O15" i="78"/>
  <c r="O14" i="78"/>
  <c r="O13" i="78"/>
  <c r="O12" i="78"/>
  <c r="O11" i="78"/>
  <c r="O10" i="78"/>
  <c r="O9" i="78"/>
  <c r="Q29" i="77"/>
  <c r="Q28" i="77"/>
  <c r="Q27" i="77"/>
  <c r="Q26" i="77"/>
  <c r="Q25" i="77"/>
  <c r="Q24" i="77"/>
  <c r="Q23" i="77"/>
  <c r="Q22" i="77"/>
  <c r="Q21" i="77"/>
  <c r="Q20" i="77"/>
  <c r="Q19" i="77"/>
  <c r="Q18" i="77"/>
  <c r="Q17" i="77"/>
  <c r="Q16" i="77"/>
  <c r="Q15" i="77"/>
  <c r="Q14" i="77"/>
  <c r="Q13" i="77"/>
  <c r="Q12" i="77"/>
  <c r="Q11" i="77"/>
  <c r="Q10" i="77"/>
  <c r="Q9" i="77"/>
  <c r="O29" i="77"/>
  <c r="O28" i="77"/>
  <c r="O27" i="77"/>
  <c r="O26" i="77"/>
  <c r="O25" i="77"/>
  <c r="O24" i="77"/>
  <c r="O23" i="77"/>
  <c r="O22" i="77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Q20" i="76"/>
  <c r="Q19" i="76"/>
  <c r="Q18" i="76"/>
  <c r="Q17" i="76"/>
  <c r="Q16" i="76"/>
  <c r="Q15" i="76"/>
  <c r="Q14" i="76"/>
  <c r="Q13" i="76"/>
  <c r="Q12" i="76"/>
  <c r="Q11" i="76"/>
  <c r="Q10" i="76"/>
  <c r="Q9" i="76"/>
  <c r="Q18" i="75"/>
  <c r="Q17" i="75"/>
  <c r="Q16" i="75"/>
  <c r="Q15" i="75"/>
  <c r="Q14" i="75"/>
  <c r="Q13" i="75"/>
  <c r="Q12" i="75"/>
  <c r="Q11" i="75"/>
  <c r="Q10" i="75"/>
  <c r="Q9" i="75"/>
  <c r="O19" i="75"/>
  <c r="O18" i="75"/>
  <c r="O17" i="75"/>
  <c r="O16" i="75"/>
  <c r="O15" i="75"/>
  <c r="O14" i="75"/>
  <c r="O13" i="75"/>
  <c r="O12" i="75"/>
  <c r="O11" i="75"/>
  <c r="O10" i="75"/>
  <c r="O9" i="75"/>
  <c r="Q20" i="74"/>
  <c r="Q19" i="74"/>
  <c r="Q18" i="74"/>
  <c r="Q17" i="74"/>
  <c r="Q16" i="74"/>
  <c r="Q15" i="74"/>
  <c r="Q14" i="74"/>
  <c r="Q13" i="74"/>
  <c r="Q12" i="74"/>
  <c r="Q11" i="74"/>
  <c r="Q10" i="74"/>
  <c r="Q9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S17" i="73"/>
  <c r="S16" i="73"/>
  <c r="S15" i="73"/>
  <c r="S14" i="73"/>
  <c r="S13" i="73"/>
  <c r="S12" i="73"/>
  <c r="S11" i="73"/>
  <c r="S10" i="73"/>
  <c r="S9" i="73"/>
  <c r="Q17" i="73"/>
  <c r="Q16" i="73"/>
  <c r="Q15" i="73"/>
  <c r="Q14" i="73"/>
  <c r="Q13" i="73"/>
  <c r="Q12" i="73"/>
  <c r="Q11" i="73"/>
  <c r="Q10" i="73"/>
  <c r="Q9" i="73"/>
  <c r="O17" i="73"/>
  <c r="O16" i="73"/>
  <c r="O15" i="73"/>
  <c r="O14" i="73"/>
  <c r="O13" i="73"/>
  <c r="O12" i="73"/>
  <c r="O11" i="73"/>
  <c r="O10" i="73"/>
  <c r="Q19" i="72"/>
  <c r="Q18" i="72"/>
  <c r="Q17" i="72"/>
  <c r="Q16" i="72"/>
  <c r="Q15" i="72"/>
  <c r="Q14" i="72"/>
  <c r="Q13" i="72"/>
  <c r="Q12" i="72"/>
  <c r="Q11" i="72"/>
  <c r="Q10" i="72"/>
  <c r="Q9" i="72"/>
  <c r="O19" i="72"/>
  <c r="O18" i="72"/>
  <c r="O17" i="72"/>
  <c r="O16" i="72"/>
  <c r="O15" i="72"/>
  <c r="O14" i="72"/>
  <c r="O13" i="72"/>
  <c r="O12" i="72"/>
  <c r="O11" i="72"/>
  <c r="O10" i="72"/>
  <c r="O9" i="72"/>
  <c r="T19" i="72"/>
  <c r="T18" i="72"/>
  <c r="T17" i="72"/>
  <c r="T16" i="72"/>
  <c r="T15" i="72"/>
  <c r="T14" i="72"/>
  <c r="T13" i="72"/>
  <c r="T12" i="72"/>
  <c r="T11" i="72"/>
  <c r="T10" i="72"/>
  <c r="R19" i="72"/>
  <c r="R18" i="72"/>
  <c r="R17" i="72"/>
  <c r="R16" i="72"/>
  <c r="R15" i="72"/>
  <c r="R14" i="72"/>
  <c r="R13" i="72"/>
  <c r="R12" i="72"/>
  <c r="R11" i="72"/>
  <c r="R10" i="72"/>
  <c r="P19" i="72"/>
  <c r="P18" i="72"/>
  <c r="P17" i="72"/>
  <c r="P16" i="72"/>
  <c r="P15" i="72"/>
  <c r="P14" i="72"/>
  <c r="P13" i="72"/>
  <c r="P12" i="72"/>
  <c r="P11" i="72"/>
  <c r="P10" i="72"/>
  <c r="N19" i="72"/>
  <c r="N18" i="72"/>
  <c r="N17" i="72"/>
  <c r="N16" i="72"/>
  <c r="N15" i="72"/>
  <c r="N14" i="72"/>
  <c r="N13" i="72"/>
  <c r="N12" i="72"/>
  <c r="N11" i="72"/>
  <c r="N10" i="72"/>
  <c r="Q26" i="71"/>
  <c r="Q25" i="71"/>
  <c r="Q24" i="71"/>
  <c r="Q23" i="71"/>
  <c r="Q22" i="71"/>
  <c r="Q21" i="71"/>
  <c r="Q20" i="71"/>
  <c r="Q19" i="71"/>
  <c r="Q18" i="71"/>
  <c r="Q17" i="71"/>
  <c r="Q16" i="71"/>
  <c r="Q15" i="71"/>
  <c r="Q14" i="71"/>
  <c r="Q13" i="71"/>
  <c r="Q12" i="71"/>
  <c r="Q11" i="71"/>
  <c r="Q10" i="71"/>
  <c r="Q9" i="71"/>
  <c r="O26" i="71"/>
  <c r="O25" i="71"/>
  <c r="O24" i="71"/>
  <c r="O23" i="71"/>
  <c r="O22" i="71"/>
  <c r="O21" i="71"/>
  <c r="O20" i="71"/>
  <c r="O19" i="71"/>
  <c r="O18" i="71"/>
  <c r="O17" i="71"/>
  <c r="O16" i="71"/>
  <c r="O15" i="71"/>
  <c r="O14" i="71"/>
  <c r="O13" i="71"/>
  <c r="O12" i="71"/>
  <c r="O11" i="71"/>
  <c r="O10" i="71"/>
  <c r="O9" i="71"/>
  <c r="Q29" i="70"/>
  <c r="Q28" i="70"/>
  <c r="Q27" i="70"/>
  <c r="Q26" i="70"/>
  <c r="Q25" i="70"/>
  <c r="Q24" i="70"/>
  <c r="Q23" i="70"/>
  <c r="Q22" i="70"/>
  <c r="Q21" i="70"/>
  <c r="Q20" i="70"/>
  <c r="Q19" i="70"/>
  <c r="Q18" i="70"/>
  <c r="Q17" i="70"/>
  <c r="Q16" i="70"/>
  <c r="Q15" i="70"/>
  <c r="Q14" i="70"/>
  <c r="Q13" i="70"/>
  <c r="Q12" i="70"/>
  <c r="Q11" i="70"/>
  <c r="Q10" i="70"/>
  <c r="Q9" i="70"/>
  <c r="Q50" i="69"/>
  <c r="Q49" i="69"/>
  <c r="Q48" i="69"/>
  <c r="Q47" i="69"/>
  <c r="Q46" i="69"/>
  <c r="Q45" i="69"/>
  <c r="Q44" i="69"/>
  <c r="Q43" i="69"/>
  <c r="Q42" i="69"/>
  <c r="Q41" i="69"/>
  <c r="Q40" i="69"/>
  <c r="Q39" i="69"/>
  <c r="Q38" i="69"/>
  <c r="Q37" i="69"/>
  <c r="Q36" i="69"/>
  <c r="Q35" i="69"/>
  <c r="Q34" i="69"/>
  <c r="Q33" i="69"/>
  <c r="Q32" i="69"/>
  <c r="Q31" i="69"/>
  <c r="Q30" i="69"/>
  <c r="Q29" i="69"/>
  <c r="Q28" i="69"/>
  <c r="Q27" i="69"/>
  <c r="Q26" i="69"/>
  <c r="Q25" i="69"/>
  <c r="Q24" i="69"/>
  <c r="Q23" i="69"/>
  <c r="Q22" i="69"/>
  <c r="Q21" i="69"/>
  <c r="Q20" i="69"/>
  <c r="Q19" i="69"/>
  <c r="Q18" i="69"/>
  <c r="Q17" i="69"/>
  <c r="Q16" i="69"/>
  <c r="Q15" i="69"/>
  <c r="Q14" i="69"/>
  <c r="Q13" i="69"/>
  <c r="Q12" i="69"/>
  <c r="Q11" i="69"/>
  <c r="Q10" i="69"/>
  <c r="Q9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O10" i="69"/>
  <c r="O9" i="69"/>
  <c r="Q16" i="68"/>
  <c r="Q15" i="68"/>
  <c r="Q14" i="68"/>
  <c r="Q13" i="68"/>
  <c r="Q12" i="68"/>
  <c r="Q11" i="68"/>
  <c r="Q10" i="68"/>
  <c r="Q9" i="68"/>
  <c r="O16" i="68"/>
  <c r="O15" i="68"/>
  <c r="O14" i="68"/>
  <c r="O13" i="68"/>
  <c r="O12" i="68"/>
  <c r="O11" i="68"/>
  <c r="O10" i="68"/>
  <c r="O9" i="68"/>
  <c r="Q25" i="67"/>
  <c r="Q24" i="67"/>
  <c r="Q23" i="67"/>
  <c r="Q22" i="67"/>
  <c r="Q21" i="67"/>
  <c r="Q20" i="67"/>
  <c r="Q19" i="67"/>
  <c r="Q18" i="67"/>
  <c r="Q17" i="67"/>
  <c r="Q16" i="67"/>
  <c r="Q15" i="67"/>
  <c r="Q14" i="67"/>
  <c r="Q13" i="67"/>
  <c r="Q12" i="67"/>
  <c r="Q11" i="67"/>
  <c r="Q10" i="67"/>
  <c r="Q9" i="67"/>
  <c r="O25" i="67"/>
  <c r="O24" i="67"/>
  <c r="O23" i="67"/>
  <c r="O22" i="67"/>
  <c r="O21" i="67"/>
  <c r="O20" i="67"/>
  <c r="O19" i="67"/>
  <c r="O18" i="67"/>
  <c r="O17" i="67"/>
  <c r="O16" i="67"/>
  <c r="O15" i="67"/>
  <c r="O14" i="67"/>
  <c r="O13" i="67"/>
  <c r="O12" i="67"/>
  <c r="O11" i="67"/>
  <c r="O10" i="67"/>
  <c r="O9" i="67"/>
  <c r="Q19" i="66"/>
  <c r="Q18" i="66"/>
  <c r="Q17" i="66"/>
  <c r="Q16" i="66"/>
  <c r="Q15" i="66"/>
  <c r="Q14" i="66"/>
  <c r="Q13" i="66"/>
  <c r="Q12" i="66"/>
  <c r="Q11" i="66"/>
  <c r="Q10" i="66"/>
  <c r="Q9" i="66"/>
  <c r="O19" i="66"/>
  <c r="O18" i="66"/>
  <c r="O17" i="66"/>
  <c r="O16" i="66"/>
  <c r="O15" i="66"/>
  <c r="O14" i="66"/>
  <c r="O13" i="66"/>
  <c r="O12" i="66"/>
  <c r="O11" i="66"/>
  <c r="O10" i="66"/>
  <c r="O9" i="66"/>
  <c r="Q29" i="65"/>
  <c r="Q28" i="65"/>
  <c r="Q27" i="65"/>
  <c r="Q26" i="65"/>
  <c r="Q25" i="65"/>
  <c r="Q24" i="65"/>
  <c r="Q23" i="65"/>
  <c r="Q22" i="65"/>
  <c r="Q21" i="65"/>
  <c r="Q20" i="65"/>
  <c r="Q19" i="65"/>
  <c r="Q18" i="65"/>
  <c r="Q17" i="65"/>
  <c r="Q16" i="65"/>
  <c r="Q15" i="65"/>
  <c r="Q14" i="65"/>
  <c r="Q13" i="65"/>
  <c r="Q12" i="65"/>
  <c r="Q11" i="65"/>
  <c r="Q10" i="65"/>
  <c r="Q9" i="65"/>
  <c r="O29" i="65"/>
  <c r="O28" i="65"/>
  <c r="O27" i="65"/>
  <c r="O26" i="65"/>
  <c r="O25" i="65"/>
  <c r="O24" i="65"/>
  <c r="O23" i="65"/>
  <c r="O22" i="65"/>
  <c r="O21" i="65"/>
  <c r="O20" i="65"/>
  <c r="O19" i="65"/>
  <c r="O18" i="65"/>
  <c r="O17" i="65"/>
  <c r="O16" i="65"/>
  <c r="O15" i="65"/>
  <c r="O14" i="65"/>
  <c r="O13" i="65"/>
  <c r="O12" i="65"/>
  <c r="O11" i="65"/>
  <c r="O10" i="65"/>
  <c r="O9" i="65"/>
  <c r="Q17" i="64"/>
  <c r="Q16" i="64"/>
  <c r="Q15" i="64"/>
  <c r="Q14" i="64"/>
  <c r="Q13" i="64"/>
  <c r="Q12" i="64"/>
  <c r="Q11" i="64"/>
  <c r="Q10" i="64"/>
  <c r="Q9" i="64"/>
  <c r="O17" i="64"/>
  <c r="O16" i="64"/>
  <c r="O15" i="64"/>
  <c r="O14" i="64"/>
  <c r="O13" i="64"/>
  <c r="O12" i="64"/>
  <c r="O11" i="64"/>
  <c r="O10" i="64"/>
  <c r="O9" i="64"/>
  <c r="Q31" i="63"/>
  <c r="Q30" i="63"/>
  <c r="Q29" i="63"/>
  <c r="Q28" i="63"/>
  <c r="Q27" i="63"/>
  <c r="Q26" i="63"/>
  <c r="Q25" i="63"/>
  <c r="Q24" i="63"/>
  <c r="Q23" i="63"/>
  <c r="Q22" i="63"/>
  <c r="Q21" i="63"/>
  <c r="Q20" i="63"/>
  <c r="Q19" i="63"/>
  <c r="Q18" i="63"/>
  <c r="Q17" i="63"/>
  <c r="Q16" i="63"/>
  <c r="Q15" i="63"/>
  <c r="Q14" i="63"/>
  <c r="Q13" i="63"/>
  <c r="Q12" i="63"/>
  <c r="Q11" i="63"/>
  <c r="Q10" i="63"/>
  <c r="Q9" i="63"/>
  <c r="O31" i="63"/>
  <c r="O30" i="63"/>
  <c r="O29" i="63"/>
  <c r="O28" i="63"/>
  <c r="O27" i="63"/>
  <c r="O26" i="63"/>
  <c r="O25" i="63"/>
  <c r="O24" i="63"/>
  <c r="O23" i="63"/>
  <c r="O22" i="63"/>
  <c r="O21" i="63"/>
  <c r="O20" i="63"/>
  <c r="O19" i="63"/>
  <c r="O18" i="63"/>
  <c r="O17" i="63"/>
  <c r="O16" i="63"/>
  <c r="O15" i="63"/>
  <c r="O14" i="63"/>
  <c r="O13" i="63"/>
  <c r="O12" i="63"/>
  <c r="O11" i="63"/>
  <c r="O10" i="63"/>
  <c r="O9" i="63"/>
  <c r="Q14" i="62"/>
  <c r="Q13" i="62"/>
  <c r="Q12" i="62"/>
  <c r="Q11" i="62"/>
  <c r="Q10" i="62"/>
  <c r="Q9" i="62"/>
  <c r="O14" i="62"/>
  <c r="O13" i="62"/>
  <c r="O12" i="62"/>
  <c r="O11" i="62"/>
  <c r="O10" i="62"/>
  <c r="O9" i="62"/>
  <c r="Q20" i="61"/>
  <c r="Q19" i="61"/>
  <c r="Q18" i="61"/>
  <c r="Q17" i="61"/>
  <c r="Q16" i="61"/>
  <c r="Q15" i="61"/>
  <c r="Q14" i="61"/>
  <c r="Q13" i="61"/>
  <c r="Q12" i="61"/>
  <c r="Q11" i="61"/>
  <c r="Q10" i="61"/>
  <c r="Q9" i="61"/>
  <c r="O20" i="61"/>
  <c r="O19" i="61"/>
  <c r="O18" i="61"/>
  <c r="O17" i="61"/>
  <c r="O16" i="61"/>
  <c r="O15" i="61"/>
  <c r="O14" i="61"/>
  <c r="O13" i="61"/>
  <c r="O12" i="61"/>
  <c r="O11" i="61"/>
  <c r="O10" i="61"/>
  <c r="O9" i="61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9" i="60"/>
  <c r="Q14" i="59"/>
  <c r="Q13" i="59"/>
  <c r="Q12" i="59"/>
  <c r="Q11" i="59"/>
  <c r="Q10" i="59"/>
  <c r="Q9" i="59"/>
  <c r="O14" i="59"/>
  <c r="O13" i="59"/>
  <c r="O12" i="59"/>
  <c r="O11" i="59"/>
  <c r="O10" i="59"/>
  <c r="O9" i="59"/>
  <c r="S23" i="58"/>
  <c r="S22" i="58"/>
  <c r="S21" i="58"/>
  <c r="S20" i="58"/>
  <c r="S19" i="58"/>
  <c r="S18" i="58"/>
  <c r="S17" i="58"/>
  <c r="S16" i="58"/>
  <c r="S15" i="58"/>
  <c r="S14" i="58"/>
  <c r="S13" i="58"/>
  <c r="S12" i="58"/>
  <c r="S11" i="58"/>
  <c r="S10" i="58"/>
  <c r="S9" i="58"/>
  <c r="Q19" i="58"/>
  <c r="Q18" i="58"/>
  <c r="Q17" i="58"/>
  <c r="Q16" i="58"/>
  <c r="Q15" i="58"/>
  <c r="Q14" i="58"/>
  <c r="Q13" i="58"/>
  <c r="Q12" i="58"/>
  <c r="Q11" i="58"/>
  <c r="Q10" i="58"/>
  <c r="Q9" i="58"/>
  <c r="O20" i="58"/>
  <c r="O19" i="58"/>
  <c r="O18" i="58"/>
  <c r="O17" i="58"/>
  <c r="O16" i="58"/>
  <c r="O15" i="58"/>
  <c r="O14" i="58"/>
  <c r="O13" i="58"/>
  <c r="O12" i="58"/>
  <c r="O11" i="58"/>
  <c r="O10" i="58"/>
  <c r="O9" i="58"/>
  <c r="Q17" i="57"/>
  <c r="Q16" i="57"/>
  <c r="Q15" i="57"/>
  <c r="Q14" i="57"/>
  <c r="Q13" i="57"/>
  <c r="Q12" i="57"/>
  <c r="Q11" i="57"/>
  <c r="Q10" i="57"/>
  <c r="Q9" i="57"/>
  <c r="O17" i="57"/>
  <c r="O16" i="57"/>
  <c r="O15" i="57"/>
  <c r="O14" i="57"/>
  <c r="O13" i="57"/>
  <c r="O12" i="57"/>
  <c r="O11" i="57"/>
  <c r="O10" i="57"/>
  <c r="O9" i="57"/>
  <c r="T17" i="57"/>
  <c r="T16" i="57"/>
  <c r="T15" i="57"/>
  <c r="T14" i="57"/>
  <c r="T13" i="57"/>
  <c r="T12" i="57"/>
  <c r="T11" i="57"/>
  <c r="T10" i="57"/>
  <c r="T9" i="57"/>
  <c r="R18" i="57"/>
  <c r="R17" i="57"/>
  <c r="R16" i="57"/>
  <c r="R15" i="57"/>
  <c r="R14" i="57"/>
  <c r="R13" i="57"/>
  <c r="R12" i="57"/>
  <c r="R11" i="57"/>
  <c r="R10" i="57"/>
  <c r="R9" i="57"/>
  <c r="P17" i="57"/>
  <c r="P16" i="57"/>
  <c r="P15" i="57"/>
  <c r="P14" i="57"/>
  <c r="P13" i="57"/>
  <c r="P12" i="57"/>
  <c r="P11" i="57"/>
  <c r="P10" i="57"/>
  <c r="P9" i="57"/>
  <c r="N17" i="57"/>
  <c r="N16" i="57"/>
  <c r="N15" i="57"/>
  <c r="N14" i="57"/>
  <c r="N13" i="57"/>
  <c r="N12" i="57"/>
  <c r="N11" i="57"/>
  <c r="N10" i="57"/>
  <c r="N9" i="57"/>
  <c r="Q14" i="56"/>
  <c r="Q13" i="56"/>
  <c r="Q12" i="56"/>
  <c r="Q11" i="56"/>
  <c r="Q10" i="56"/>
  <c r="Q9" i="56"/>
  <c r="O14" i="56"/>
  <c r="O13" i="56"/>
  <c r="O12" i="56"/>
  <c r="O11" i="56"/>
  <c r="O10" i="56"/>
  <c r="O9" i="56"/>
  <c r="Q17" i="55"/>
  <c r="Q16" i="55"/>
  <c r="Q15" i="55"/>
  <c r="Q14" i="55"/>
  <c r="Q13" i="55"/>
  <c r="Q12" i="55"/>
  <c r="Q11" i="55"/>
  <c r="Q10" i="55"/>
  <c r="Q9" i="55"/>
  <c r="O17" i="55"/>
  <c r="O16" i="55"/>
  <c r="O15" i="55"/>
  <c r="O14" i="55"/>
  <c r="O13" i="55"/>
  <c r="O12" i="55"/>
  <c r="O11" i="55"/>
  <c r="O10" i="55"/>
  <c r="O9" i="55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T23" i="54"/>
  <c r="T22" i="54"/>
  <c r="T21" i="54"/>
  <c r="T20" i="54"/>
  <c r="T19" i="54"/>
  <c r="T18" i="54"/>
  <c r="T17" i="54"/>
  <c r="T16" i="54"/>
  <c r="T15" i="54"/>
  <c r="T14" i="54"/>
  <c r="T13" i="54"/>
  <c r="T12" i="54"/>
  <c r="T11" i="54"/>
  <c r="T10" i="54"/>
  <c r="T9" i="54"/>
  <c r="R21" i="54"/>
  <c r="R20" i="54"/>
  <c r="R19" i="54"/>
  <c r="R18" i="54"/>
  <c r="R17" i="54"/>
  <c r="R16" i="54"/>
  <c r="R15" i="54"/>
  <c r="R14" i="54"/>
  <c r="R13" i="54"/>
  <c r="R12" i="54"/>
  <c r="R11" i="54"/>
  <c r="R10" i="54"/>
  <c r="R9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N21" i="54"/>
  <c r="N20" i="54"/>
  <c r="N19" i="54"/>
  <c r="N18" i="54"/>
  <c r="N17" i="54"/>
  <c r="N16" i="54"/>
  <c r="N15" i="54"/>
  <c r="N14" i="54"/>
  <c r="N13" i="54"/>
  <c r="N12" i="54"/>
  <c r="N11" i="54"/>
  <c r="N10" i="54"/>
  <c r="N9" i="54"/>
  <c r="T13" i="100"/>
  <c r="T12" i="100"/>
  <c r="T11" i="100"/>
  <c r="T10" i="100"/>
  <c r="T9" i="100"/>
  <c r="R13" i="100"/>
  <c r="R12" i="100"/>
  <c r="R11" i="100"/>
  <c r="R10" i="100"/>
  <c r="R9" i="100"/>
  <c r="P13" i="100"/>
  <c r="P12" i="100"/>
  <c r="P11" i="100"/>
  <c r="P10" i="100"/>
  <c r="P9" i="100"/>
  <c r="N13" i="100"/>
  <c r="N12" i="100"/>
  <c r="N11" i="100"/>
  <c r="N10" i="100"/>
  <c r="N9" i="100"/>
  <c r="U28" i="100"/>
  <c r="T28" i="100"/>
  <c r="S28" i="100"/>
  <c r="R28" i="100"/>
  <c r="Q28" i="100"/>
  <c r="P28" i="100"/>
  <c r="O28" i="100"/>
  <c r="V28" i="100" s="1"/>
  <c r="N28" i="100"/>
  <c r="U27" i="100"/>
  <c r="T27" i="100"/>
  <c r="S27" i="100"/>
  <c r="R27" i="100"/>
  <c r="Q27" i="100"/>
  <c r="P27" i="100"/>
  <c r="O27" i="100"/>
  <c r="V27" i="100" s="1"/>
  <c r="W27" i="100" s="1"/>
  <c r="N27" i="100"/>
  <c r="U26" i="100"/>
  <c r="T26" i="100"/>
  <c r="S26" i="100"/>
  <c r="R26" i="100"/>
  <c r="Q26" i="100"/>
  <c r="V26" i="100" s="1"/>
  <c r="P26" i="100"/>
  <c r="O26" i="100"/>
  <c r="N26" i="100"/>
  <c r="U25" i="100"/>
  <c r="T25" i="100"/>
  <c r="S25" i="100"/>
  <c r="R25" i="100"/>
  <c r="Q25" i="100"/>
  <c r="P25" i="100"/>
  <c r="O25" i="100"/>
  <c r="V25" i="100" s="1"/>
  <c r="W25" i="100" s="1"/>
  <c r="N25" i="100"/>
  <c r="U24" i="100"/>
  <c r="T24" i="100"/>
  <c r="S24" i="100"/>
  <c r="R24" i="100"/>
  <c r="Q24" i="100"/>
  <c r="P24" i="100"/>
  <c r="O24" i="100"/>
  <c r="N24" i="100"/>
  <c r="Q19" i="99"/>
  <c r="Q18" i="99"/>
  <c r="Q17" i="99"/>
  <c r="Q16" i="99"/>
  <c r="Q15" i="99"/>
  <c r="Q14" i="99"/>
  <c r="Q13" i="99"/>
  <c r="Q12" i="99"/>
  <c r="Q11" i="99"/>
  <c r="Q10" i="99"/>
  <c r="Q9" i="99"/>
  <c r="O19" i="99"/>
  <c r="O18" i="99"/>
  <c r="O17" i="99"/>
  <c r="O16" i="99"/>
  <c r="O15" i="99"/>
  <c r="O14" i="99"/>
  <c r="O13" i="99"/>
  <c r="O12" i="99"/>
  <c r="O11" i="99"/>
  <c r="O10" i="99"/>
  <c r="O9" i="99"/>
  <c r="W38" i="101" l="1"/>
  <c r="W35" i="101"/>
  <c r="W24" i="100"/>
  <c r="V37" i="101"/>
  <c r="W37" i="101" s="1"/>
  <c r="W41" i="102"/>
  <c r="W37" i="102"/>
  <c r="V39" i="101"/>
  <c r="W39" i="101" s="1"/>
  <c r="V24" i="100"/>
  <c r="W34" i="101"/>
  <c r="V41" i="102"/>
  <c r="V39" i="102"/>
  <c r="W39" i="102" s="1"/>
  <c r="V37" i="102"/>
  <c r="V35" i="102"/>
  <c r="W35" i="102" s="1"/>
  <c r="V33" i="102"/>
  <c r="W33" i="102" s="1"/>
  <c r="V17" i="102"/>
  <c r="W17" i="102" s="1"/>
  <c r="V16" i="102"/>
  <c r="W16" i="102" s="1"/>
  <c r="V15" i="102"/>
  <c r="W15" i="102" s="1"/>
  <c r="V14" i="102"/>
  <c r="W14" i="102" s="1"/>
  <c r="V13" i="102"/>
  <c r="W13" i="102" s="1"/>
  <c r="V12" i="102"/>
  <c r="W12" i="102" s="1"/>
  <c r="V11" i="102"/>
  <c r="W11" i="102" s="1"/>
  <c r="V10" i="102"/>
  <c r="W10" i="102" s="1"/>
  <c r="V9" i="102"/>
  <c r="W9" i="102" s="1"/>
  <c r="W26" i="100"/>
  <c r="W28" i="100"/>
  <c r="U38" i="99"/>
  <c r="T38" i="99"/>
  <c r="S38" i="99"/>
  <c r="R38" i="99"/>
  <c r="Q38" i="99"/>
  <c r="P38" i="99"/>
  <c r="O38" i="99"/>
  <c r="N38" i="99"/>
  <c r="U37" i="99"/>
  <c r="T37" i="99"/>
  <c r="S37" i="99"/>
  <c r="V37" i="99" s="1"/>
  <c r="W37" i="99" s="1"/>
  <c r="R37" i="99"/>
  <c r="Q37" i="99"/>
  <c r="P37" i="99"/>
  <c r="O37" i="99"/>
  <c r="N37" i="99"/>
  <c r="U36" i="99"/>
  <c r="T36" i="99"/>
  <c r="S36" i="99"/>
  <c r="R36" i="99"/>
  <c r="Q36" i="99"/>
  <c r="P36" i="99"/>
  <c r="O36" i="99"/>
  <c r="N36" i="99"/>
  <c r="U35" i="99"/>
  <c r="T35" i="99"/>
  <c r="S35" i="99"/>
  <c r="R35" i="99"/>
  <c r="Q35" i="99"/>
  <c r="P35" i="99"/>
  <c r="O35" i="99"/>
  <c r="V35" i="99" s="1"/>
  <c r="W35" i="99" s="1"/>
  <c r="N35" i="99"/>
  <c r="U34" i="99"/>
  <c r="T34" i="99"/>
  <c r="S34" i="99"/>
  <c r="R34" i="99"/>
  <c r="Q34" i="99"/>
  <c r="P34" i="99"/>
  <c r="O34" i="99"/>
  <c r="N34" i="99"/>
  <c r="V33" i="99"/>
  <c r="U33" i="99"/>
  <c r="T33" i="99"/>
  <c r="S33" i="99"/>
  <c r="R33" i="99"/>
  <c r="Q33" i="99"/>
  <c r="P33" i="99"/>
  <c r="O33" i="99"/>
  <c r="N33" i="99"/>
  <c r="U32" i="99"/>
  <c r="T32" i="99"/>
  <c r="S32" i="99"/>
  <c r="R32" i="99"/>
  <c r="Q32" i="99"/>
  <c r="P32" i="99"/>
  <c r="O32" i="99"/>
  <c r="N32" i="99"/>
  <c r="U31" i="99"/>
  <c r="T31" i="99"/>
  <c r="S31" i="99"/>
  <c r="R31" i="99"/>
  <c r="Q31" i="99"/>
  <c r="P31" i="99"/>
  <c r="O31" i="99"/>
  <c r="N31" i="99"/>
  <c r="U30" i="99"/>
  <c r="T30" i="99"/>
  <c r="S30" i="99"/>
  <c r="R30" i="99"/>
  <c r="Q30" i="99"/>
  <c r="P30" i="99"/>
  <c r="O30" i="99"/>
  <c r="N30" i="99"/>
  <c r="V29" i="99"/>
  <c r="W29" i="99" s="1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V28" i="99" s="1"/>
  <c r="N28" i="99"/>
  <c r="P28" i="98"/>
  <c r="P27" i="98"/>
  <c r="S53" i="98"/>
  <c r="R53" i="98"/>
  <c r="S52" i="98"/>
  <c r="R52" i="98"/>
  <c r="S51" i="98"/>
  <c r="R51" i="98"/>
  <c r="S50" i="98"/>
  <c r="R50" i="98"/>
  <c r="S49" i="98"/>
  <c r="R49" i="98"/>
  <c r="S48" i="98"/>
  <c r="R48" i="98"/>
  <c r="S47" i="98"/>
  <c r="R47" i="98"/>
  <c r="S46" i="98"/>
  <c r="R46" i="98"/>
  <c r="U33" i="98"/>
  <c r="T33" i="98"/>
  <c r="U32" i="98"/>
  <c r="T32" i="98"/>
  <c r="V32" i="98" s="1"/>
  <c r="U31" i="98"/>
  <c r="T31" i="98"/>
  <c r="U30" i="98"/>
  <c r="T30" i="98"/>
  <c r="S9" i="98"/>
  <c r="S16" i="98"/>
  <c r="V33" i="98" s="1"/>
  <c r="R16" i="98"/>
  <c r="S15" i="98"/>
  <c r="V30" i="98" s="1"/>
  <c r="R15" i="98"/>
  <c r="S14" i="98"/>
  <c r="R14" i="98"/>
  <c r="S13" i="98"/>
  <c r="R13" i="98"/>
  <c r="S12" i="98"/>
  <c r="R12" i="98"/>
  <c r="S11" i="98"/>
  <c r="R11" i="98"/>
  <c r="S10" i="98"/>
  <c r="R10" i="98"/>
  <c r="R9" i="98"/>
  <c r="V30" i="99" l="1"/>
  <c r="W30" i="99" s="1"/>
  <c r="V31" i="99"/>
  <c r="W31" i="99" s="1"/>
  <c r="V32" i="99"/>
  <c r="W32" i="99"/>
  <c r="V31" i="98"/>
  <c r="V38" i="99"/>
  <c r="W38" i="99" s="1"/>
  <c r="V34" i="99"/>
  <c r="W34" i="99" s="1"/>
  <c r="V36" i="99"/>
  <c r="W36" i="99" s="1"/>
  <c r="W33" i="99"/>
  <c r="W28" i="99"/>
  <c r="U66" i="98" l="1"/>
  <c r="T66" i="98"/>
  <c r="U65" i="98"/>
  <c r="T65" i="98"/>
  <c r="V65" i="98" s="1"/>
  <c r="U64" i="98"/>
  <c r="T64" i="98"/>
  <c r="O64" i="98"/>
  <c r="V66" i="98" s="1"/>
  <c r="N64" i="98"/>
  <c r="U63" i="98"/>
  <c r="T63" i="98"/>
  <c r="Q63" i="98"/>
  <c r="P63" i="98"/>
  <c r="O63" i="98"/>
  <c r="V63" i="98" s="1"/>
  <c r="W63" i="98" s="1"/>
  <c r="N63" i="98"/>
  <c r="V62" i="98"/>
  <c r="W62" i="98" s="1"/>
  <c r="U62" i="98"/>
  <c r="T62" i="98"/>
  <c r="Q62" i="98"/>
  <c r="P62" i="98"/>
  <c r="O62" i="98"/>
  <c r="N62" i="98"/>
  <c r="V61" i="98"/>
  <c r="U61" i="98"/>
  <c r="T61" i="98"/>
  <c r="Q61" i="98"/>
  <c r="P61" i="98"/>
  <c r="O61" i="98"/>
  <c r="N61" i="98"/>
  <c r="U60" i="98"/>
  <c r="T60" i="98"/>
  <c r="V60" i="98" s="1"/>
  <c r="W60" i="98" s="1"/>
  <c r="Q60" i="98"/>
  <c r="P60" i="98"/>
  <c r="O60" i="98"/>
  <c r="N60" i="98"/>
  <c r="U59" i="98"/>
  <c r="T59" i="98"/>
  <c r="Q59" i="98"/>
  <c r="V59" i="98" s="1"/>
  <c r="W59" i="98" s="1"/>
  <c r="P59" i="98"/>
  <c r="O59" i="98"/>
  <c r="N59" i="98"/>
  <c r="U58" i="98"/>
  <c r="T58" i="98"/>
  <c r="Q58" i="98"/>
  <c r="V58" i="98" s="1"/>
  <c r="W58" i="98" s="1"/>
  <c r="P58" i="98"/>
  <c r="O58" i="98"/>
  <c r="N58" i="98"/>
  <c r="U57" i="98"/>
  <c r="T57" i="98"/>
  <c r="Q57" i="98"/>
  <c r="P57" i="98"/>
  <c r="O57" i="98"/>
  <c r="V57" i="98" s="1"/>
  <c r="W57" i="98" s="1"/>
  <c r="N57" i="98"/>
  <c r="U56" i="98"/>
  <c r="T56" i="98"/>
  <c r="Q56" i="98"/>
  <c r="P56" i="98"/>
  <c r="O56" i="98"/>
  <c r="V56" i="98" s="1"/>
  <c r="W56" i="98" s="1"/>
  <c r="N56" i="98"/>
  <c r="U55" i="98"/>
  <c r="T55" i="98"/>
  <c r="Q55" i="98"/>
  <c r="P55" i="98"/>
  <c r="O55" i="98"/>
  <c r="V55" i="98" s="1"/>
  <c r="W55" i="98" s="1"/>
  <c r="N55" i="98"/>
  <c r="V54" i="98"/>
  <c r="W54" i="98" s="1"/>
  <c r="U54" i="98"/>
  <c r="T54" i="98"/>
  <c r="Q54" i="98"/>
  <c r="P54" i="98"/>
  <c r="O54" i="98"/>
  <c r="N54" i="98"/>
  <c r="V53" i="98"/>
  <c r="U53" i="98"/>
  <c r="T53" i="98"/>
  <c r="Q53" i="98"/>
  <c r="P53" i="98"/>
  <c r="O53" i="98"/>
  <c r="N53" i="98"/>
  <c r="U52" i="98"/>
  <c r="T52" i="98"/>
  <c r="V52" i="98" s="1"/>
  <c r="W52" i="98" s="1"/>
  <c r="Q52" i="98"/>
  <c r="P52" i="98"/>
  <c r="O52" i="98"/>
  <c r="N52" i="98"/>
  <c r="U51" i="98"/>
  <c r="T51" i="98"/>
  <c r="Q51" i="98"/>
  <c r="V51" i="98" s="1"/>
  <c r="W51" i="98" s="1"/>
  <c r="P51" i="98"/>
  <c r="O51" i="98"/>
  <c r="N51" i="98"/>
  <c r="U50" i="98"/>
  <c r="T50" i="98"/>
  <c r="Q50" i="98"/>
  <c r="V50" i="98" s="1"/>
  <c r="W50" i="98" s="1"/>
  <c r="P50" i="98"/>
  <c r="O50" i="98"/>
  <c r="N50" i="98"/>
  <c r="U49" i="98"/>
  <c r="T49" i="98"/>
  <c r="Q49" i="98"/>
  <c r="P49" i="98"/>
  <c r="O49" i="98"/>
  <c r="V49" i="98" s="1"/>
  <c r="W49" i="98" s="1"/>
  <c r="N49" i="98"/>
  <c r="U48" i="98"/>
  <c r="T48" i="98"/>
  <c r="Q48" i="98"/>
  <c r="P48" i="98"/>
  <c r="O48" i="98"/>
  <c r="V48" i="98" s="1"/>
  <c r="W48" i="98" s="1"/>
  <c r="N48" i="98"/>
  <c r="U47" i="98"/>
  <c r="T47" i="98"/>
  <c r="Q47" i="98"/>
  <c r="P47" i="98"/>
  <c r="O47" i="98"/>
  <c r="V47" i="98" s="1"/>
  <c r="W47" i="98" s="1"/>
  <c r="N47" i="98"/>
  <c r="V46" i="98"/>
  <c r="W46" i="98" s="1"/>
  <c r="U46" i="98"/>
  <c r="T46" i="98"/>
  <c r="Q46" i="98"/>
  <c r="P46" i="98"/>
  <c r="O46" i="98"/>
  <c r="N46" i="98"/>
  <c r="W61" i="98" l="1"/>
  <c r="V64" i="98"/>
  <c r="W53" i="98"/>
  <c r="W65" i="98"/>
  <c r="W64" i="98"/>
  <c r="W66" i="98"/>
  <c r="Q18" i="97"/>
  <c r="Q17" i="97"/>
  <c r="Q16" i="97"/>
  <c r="Q15" i="97"/>
  <c r="Q14" i="97"/>
  <c r="Q13" i="97"/>
  <c r="Q12" i="97"/>
  <c r="Q11" i="97"/>
  <c r="Q10" i="97"/>
  <c r="Q9" i="97"/>
  <c r="U17" i="97"/>
  <c r="T17" i="97"/>
  <c r="Q38" i="97"/>
  <c r="P38" i="97"/>
  <c r="O38" i="97"/>
  <c r="N38" i="97"/>
  <c r="U37" i="97"/>
  <c r="T37" i="97"/>
  <c r="S37" i="97"/>
  <c r="R37" i="97"/>
  <c r="Q37" i="97"/>
  <c r="P37" i="97"/>
  <c r="O37" i="97"/>
  <c r="N37" i="97"/>
  <c r="U36" i="97"/>
  <c r="T36" i="97"/>
  <c r="S36" i="97"/>
  <c r="R36" i="97"/>
  <c r="Q36" i="97"/>
  <c r="P36" i="97"/>
  <c r="O36" i="97"/>
  <c r="N36" i="97"/>
  <c r="U35" i="97"/>
  <c r="T35" i="97"/>
  <c r="S35" i="97"/>
  <c r="R35" i="97"/>
  <c r="Q35" i="97"/>
  <c r="P35" i="97"/>
  <c r="O35" i="97"/>
  <c r="N35" i="97"/>
  <c r="U34" i="97"/>
  <c r="T34" i="97"/>
  <c r="S34" i="97"/>
  <c r="R34" i="97"/>
  <c r="Q34" i="97"/>
  <c r="P34" i="97"/>
  <c r="O34" i="97"/>
  <c r="N34" i="97"/>
  <c r="U33" i="97"/>
  <c r="T33" i="97"/>
  <c r="S33" i="97"/>
  <c r="R33" i="97"/>
  <c r="Q33" i="97"/>
  <c r="P33" i="97"/>
  <c r="O33" i="97"/>
  <c r="N33" i="97"/>
  <c r="U32" i="97"/>
  <c r="T32" i="97"/>
  <c r="S32" i="97"/>
  <c r="R32" i="97"/>
  <c r="Q32" i="97"/>
  <c r="P32" i="97"/>
  <c r="O32" i="97"/>
  <c r="N32" i="97"/>
  <c r="U31" i="97"/>
  <c r="T31" i="97"/>
  <c r="S31" i="97"/>
  <c r="R31" i="97"/>
  <c r="Q31" i="97"/>
  <c r="P31" i="97"/>
  <c r="O31" i="97"/>
  <c r="N31" i="97"/>
  <c r="U30" i="97"/>
  <c r="T30" i="97"/>
  <c r="S30" i="97"/>
  <c r="R30" i="97"/>
  <c r="Q30" i="97"/>
  <c r="P30" i="97"/>
  <c r="O30" i="97"/>
  <c r="N30" i="97"/>
  <c r="U29" i="97"/>
  <c r="T29" i="97"/>
  <c r="S29" i="97"/>
  <c r="R29" i="97"/>
  <c r="Q29" i="97"/>
  <c r="P29" i="97"/>
  <c r="O29" i="97"/>
  <c r="N29" i="97"/>
  <c r="U24" i="96"/>
  <c r="Q20" i="96"/>
  <c r="Q19" i="96"/>
  <c r="Q18" i="96"/>
  <c r="Q17" i="96"/>
  <c r="Q16" i="96"/>
  <c r="Q15" i="96"/>
  <c r="Q14" i="96"/>
  <c r="Q13" i="96"/>
  <c r="Q12" i="96"/>
  <c r="Q11" i="96"/>
  <c r="Q10" i="96"/>
  <c r="Q9" i="96"/>
  <c r="O21" i="96"/>
  <c r="O20" i="96"/>
  <c r="O19" i="96"/>
  <c r="O18" i="96"/>
  <c r="O17" i="96"/>
  <c r="O16" i="96"/>
  <c r="O15" i="96"/>
  <c r="O14" i="96"/>
  <c r="O13" i="96"/>
  <c r="O12" i="96"/>
  <c r="O11" i="96"/>
  <c r="O10" i="96"/>
  <c r="O9" i="96"/>
  <c r="Q29" i="95"/>
  <c r="Q28" i="95"/>
  <c r="Q27" i="95"/>
  <c r="Q26" i="95"/>
  <c r="Q25" i="95"/>
  <c r="Q24" i="95"/>
  <c r="Q23" i="95"/>
  <c r="Q22" i="95"/>
  <c r="Q21" i="95"/>
  <c r="Q20" i="95"/>
  <c r="Q19" i="95"/>
  <c r="Q18" i="95"/>
  <c r="Q17" i="95"/>
  <c r="Q16" i="95"/>
  <c r="Q15" i="95"/>
  <c r="Q14" i="95"/>
  <c r="Q13" i="95"/>
  <c r="Q12" i="95"/>
  <c r="Q11" i="95"/>
  <c r="Q10" i="95"/>
  <c r="Q9" i="95"/>
  <c r="O29" i="95"/>
  <c r="O28" i="95"/>
  <c r="O27" i="95"/>
  <c r="O26" i="95"/>
  <c r="O25" i="95"/>
  <c r="O24" i="95"/>
  <c r="O23" i="95"/>
  <c r="O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N29" i="95"/>
  <c r="N28" i="95"/>
  <c r="N27" i="95"/>
  <c r="U63" i="95"/>
  <c r="T63" i="95"/>
  <c r="S63" i="95"/>
  <c r="R63" i="95"/>
  <c r="Q63" i="95"/>
  <c r="V63" i="95" s="1"/>
  <c r="P63" i="95"/>
  <c r="U62" i="95"/>
  <c r="T62" i="95"/>
  <c r="S62" i="95"/>
  <c r="R62" i="95"/>
  <c r="Q62" i="95"/>
  <c r="V62" i="95" s="1"/>
  <c r="W62" i="95" s="1"/>
  <c r="P62" i="95"/>
  <c r="U61" i="95"/>
  <c r="T61" i="95"/>
  <c r="S61" i="95"/>
  <c r="R61" i="95"/>
  <c r="Q61" i="95"/>
  <c r="V61" i="95" s="1"/>
  <c r="P61" i="95"/>
  <c r="U60" i="95"/>
  <c r="T60" i="95"/>
  <c r="S60" i="95"/>
  <c r="R60" i="95"/>
  <c r="Q60" i="95"/>
  <c r="P60" i="95"/>
  <c r="O60" i="95"/>
  <c r="N60" i="95"/>
  <c r="U59" i="95"/>
  <c r="T59" i="95"/>
  <c r="S59" i="95"/>
  <c r="R59" i="95"/>
  <c r="Q59" i="95"/>
  <c r="P59" i="95"/>
  <c r="O59" i="95"/>
  <c r="V59" i="95" s="1"/>
  <c r="N59" i="95"/>
  <c r="U58" i="95"/>
  <c r="T58" i="95"/>
  <c r="S58" i="95"/>
  <c r="R58" i="95"/>
  <c r="Q58" i="95"/>
  <c r="P58" i="95"/>
  <c r="O58" i="95"/>
  <c r="N58" i="95"/>
  <c r="V57" i="95"/>
  <c r="U57" i="95"/>
  <c r="W57" i="95" s="1"/>
  <c r="T57" i="95"/>
  <c r="S57" i="95"/>
  <c r="R57" i="95"/>
  <c r="Q57" i="95"/>
  <c r="P57" i="95"/>
  <c r="O57" i="95"/>
  <c r="N57" i="95"/>
  <c r="U56" i="95"/>
  <c r="T56" i="95"/>
  <c r="S56" i="95"/>
  <c r="R56" i="95"/>
  <c r="Q56" i="95"/>
  <c r="P56" i="95"/>
  <c r="O56" i="95"/>
  <c r="V56" i="95" s="1"/>
  <c r="N56" i="95"/>
  <c r="V55" i="95"/>
  <c r="U55" i="95"/>
  <c r="T55" i="95"/>
  <c r="S55" i="95"/>
  <c r="R55" i="95"/>
  <c r="Q55" i="95"/>
  <c r="P55" i="95"/>
  <c r="O55" i="95"/>
  <c r="N55" i="95"/>
  <c r="U54" i="95"/>
  <c r="T54" i="95"/>
  <c r="S54" i="95"/>
  <c r="R54" i="95"/>
  <c r="Q54" i="95"/>
  <c r="P54" i="95"/>
  <c r="O54" i="95"/>
  <c r="N54" i="95"/>
  <c r="U53" i="95"/>
  <c r="T53" i="95"/>
  <c r="S53" i="95"/>
  <c r="R53" i="95"/>
  <c r="Q53" i="95"/>
  <c r="P53" i="95"/>
  <c r="O53" i="95"/>
  <c r="V53" i="95" s="1"/>
  <c r="N53" i="95"/>
  <c r="U52" i="95"/>
  <c r="T52" i="95"/>
  <c r="S52" i="95"/>
  <c r="R52" i="95"/>
  <c r="Q52" i="95"/>
  <c r="P52" i="95"/>
  <c r="O52" i="95"/>
  <c r="V52" i="95" s="1"/>
  <c r="W52" i="95" s="1"/>
  <c r="N52" i="95"/>
  <c r="U51" i="95"/>
  <c r="T51" i="95"/>
  <c r="S51" i="95"/>
  <c r="R51" i="95"/>
  <c r="Q51" i="95"/>
  <c r="P51" i="95"/>
  <c r="O51" i="95"/>
  <c r="V51" i="95" s="1"/>
  <c r="N51" i="95"/>
  <c r="U50" i="95"/>
  <c r="T50" i="95"/>
  <c r="S50" i="95"/>
  <c r="R50" i="95"/>
  <c r="Q50" i="95"/>
  <c r="P50" i="95"/>
  <c r="O50" i="95"/>
  <c r="N50" i="95"/>
  <c r="U49" i="95"/>
  <c r="T49" i="95"/>
  <c r="S49" i="95"/>
  <c r="R49" i="95"/>
  <c r="Q49" i="95"/>
  <c r="P49" i="95"/>
  <c r="O49" i="95"/>
  <c r="V49" i="95" s="1"/>
  <c r="N49" i="95"/>
  <c r="U48" i="95"/>
  <c r="T48" i="95"/>
  <c r="S48" i="95"/>
  <c r="R48" i="95"/>
  <c r="Q48" i="95"/>
  <c r="P48" i="95"/>
  <c r="O48" i="95"/>
  <c r="N48" i="95"/>
  <c r="U47" i="95"/>
  <c r="T47" i="95"/>
  <c r="S47" i="95"/>
  <c r="V47" i="95" s="1"/>
  <c r="R47" i="95"/>
  <c r="Q47" i="95"/>
  <c r="P47" i="95"/>
  <c r="O47" i="95"/>
  <c r="N47" i="95"/>
  <c r="U46" i="95"/>
  <c r="T46" i="95"/>
  <c r="S46" i="95"/>
  <c r="R46" i="95"/>
  <c r="Q46" i="95"/>
  <c r="P46" i="95"/>
  <c r="O46" i="95"/>
  <c r="N46" i="95"/>
  <c r="U45" i="95"/>
  <c r="T45" i="95"/>
  <c r="S45" i="95"/>
  <c r="V45" i="95" s="1"/>
  <c r="R45" i="95"/>
  <c r="Q45" i="95"/>
  <c r="P45" i="95"/>
  <c r="O45" i="95"/>
  <c r="N45" i="95"/>
  <c r="U44" i="95"/>
  <c r="T44" i="95"/>
  <c r="S44" i="95"/>
  <c r="R44" i="95"/>
  <c r="Q44" i="95"/>
  <c r="P44" i="95"/>
  <c r="O44" i="95"/>
  <c r="N44" i="95"/>
  <c r="U43" i="95"/>
  <c r="T43" i="95"/>
  <c r="S43" i="95"/>
  <c r="R43" i="95"/>
  <c r="Q43" i="95"/>
  <c r="P43" i="95"/>
  <c r="O43" i="95"/>
  <c r="V43" i="95" s="1"/>
  <c r="N43" i="95"/>
  <c r="V54" i="95" l="1"/>
  <c r="W54" i="95" s="1"/>
  <c r="W59" i="95"/>
  <c r="W43" i="95"/>
  <c r="W45" i="95"/>
  <c r="W56" i="95"/>
  <c r="W47" i="95"/>
  <c r="V58" i="95"/>
  <c r="W58" i="95" s="1"/>
  <c r="W49" i="95"/>
  <c r="V60" i="95"/>
  <c r="W60" i="95" s="1"/>
  <c r="W61" i="95"/>
  <c r="V44" i="95"/>
  <c r="W44" i="95" s="1"/>
  <c r="V46" i="95"/>
  <c r="W46" i="95" s="1"/>
  <c r="W51" i="95"/>
  <c r="V48" i="95"/>
  <c r="W48" i="95" s="1"/>
  <c r="W53" i="95"/>
  <c r="V50" i="95"/>
  <c r="W50" i="95" s="1"/>
  <c r="W55" i="95"/>
  <c r="V29" i="97"/>
  <c r="W29" i="97" s="1"/>
  <c r="V30" i="97"/>
  <c r="V31" i="97"/>
  <c r="W31" i="97" s="1"/>
  <c r="V32" i="97"/>
  <c r="W32" i="97" s="1"/>
  <c r="V33" i="97"/>
  <c r="W33" i="97" s="1"/>
  <c r="V34" i="97"/>
  <c r="W34" i="97" s="1"/>
  <c r="V35" i="97"/>
  <c r="W35" i="97" s="1"/>
  <c r="V36" i="97"/>
  <c r="W36" i="97" s="1"/>
  <c r="V37" i="97"/>
  <c r="W37" i="97" s="1"/>
  <c r="W30" i="97"/>
  <c r="W63" i="95"/>
  <c r="U31" i="94"/>
  <c r="T31" i="94"/>
  <c r="S31" i="94"/>
  <c r="V31" i="94" s="1"/>
  <c r="R31" i="94"/>
  <c r="Q69" i="94"/>
  <c r="P69" i="94"/>
  <c r="O69" i="94"/>
  <c r="N69" i="94"/>
  <c r="U68" i="94"/>
  <c r="T68" i="94"/>
  <c r="S68" i="94"/>
  <c r="R68" i="94"/>
  <c r="Q68" i="94"/>
  <c r="P68" i="94"/>
  <c r="O68" i="94"/>
  <c r="V68" i="94" s="1"/>
  <c r="W68" i="94" s="1"/>
  <c r="N68" i="94"/>
  <c r="U67" i="94"/>
  <c r="T67" i="94"/>
  <c r="S67" i="94"/>
  <c r="R67" i="94"/>
  <c r="Q67" i="94"/>
  <c r="P67" i="94"/>
  <c r="O67" i="94"/>
  <c r="V67" i="94" s="1"/>
  <c r="N67" i="94"/>
  <c r="U66" i="94"/>
  <c r="T66" i="94"/>
  <c r="S66" i="94"/>
  <c r="R66" i="94"/>
  <c r="Q66" i="94"/>
  <c r="P66" i="94"/>
  <c r="O66" i="94"/>
  <c r="V66" i="94" s="1"/>
  <c r="W66" i="94" s="1"/>
  <c r="N66" i="94"/>
  <c r="U65" i="94"/>
  <c r="T65" i="94"/>
  <c r="S65" i="94"/>
  <c r="R65" i="94"/>
  <c r="Q65" i="94"/>
  <c r="P65" i="94"/>
  <c r="O65" i="94"/>
  <c r="V65" i="94" s="1"/>
  <c r="N65" i="94"/>
  <c r="U64" i="94"/>
  <c r="T64" i="94"/>
  <c r="S64" i="94"/>
  <c r="R64" i="94"/>
  <c r="Q64" i="94"/>
  <c r="P64" i="94"/>
  <c r="O64" i="94"/>
  <c r="V64" i="94" s="1"/>
  <c r="W64" i="94" s="1"/>
  <c r="N64" i="94"/>
  <c r="U63" i="94"/>
  <c r="T63" i="94"/>
  <c r="S63" i="94"/>
  <c r="R63" i="94"/>
  <c r="Q63" i="94"/>
  <c r="P63" i="94"/>
  <c r="O63" i="94"/>
  <c r="V63" i="94" s="1"/>
  <c r="N63" i="94"/>
  <c r="U62" i="94"/>
  <c r="T62" i="94"/>
  <c r="S62" i="94"/>
  <c r="R62" i="94"/>
  <c r="Q62" i="94"/>
  <c r="P62" i="94"/>
  <c r="O62" i="94"/>
  <c r="V62" i="94" s="1"/>
  <c r="W62" i="94" s="1"/>
  <c r="N62" i="94"/>
  <c r="U61" i="94"/>
  <c r="T61" i="94"/>
  <c r="S61" i="94"/>
  <c r="R61" i="94"/>
  <c r="Q61" i="94"/>
  <c r="P61" i="94"/>
  <c r="O61" i="94"/>
  <c r="V61" i="94" s="1"/>
  <c r="N61" i="94"/>
  <c r="U60" i="94"/>
  <c r="T60" i="94"/>
  <c r="S60" i="94"/>
  <c r="R60" i="94"/>
  <c r="Q60" i="94"/>
  <c r="P60" i="94"/>
  <c r="O60" i="94"/>
  <c r="V60" i="94" s="1"/>
  <c r="W60" i="94" s="1"/>
  <c r="N60" i="94"/>
  <c r="U59" i="94"/>
  <c r="T59" i="94"/>
  <c r="S59" i="94"/>
  <c r="R59" i="94"/>
  <c r="Q59" i="94"/>
  <c r="P59" i="94"/>
  <c r="O59" i="94"/>
  <c r="V59" i="94" s="1"/>
  <c r="N59" i="94"/>
  <c r="U58" i="94"/>
  <c r="T58" i="94"/>
  <c r="S58" i="94"/>
  <c r="R58" i="94"/>
  <c r="Q58" i="94"/>
  <c r="P58" i="94"/>
  <c r="O58" i="94"/>
  <c r="V58" i="94" s="1"/>
  <c r="W58" i="94" s="1"/>
  <c r="N58" i="94"/>
  <c r="U57" i="94"/>
  <c r="T57" i="94"/>
  <c r="S57" i="94"/>
  <c r="R57" i="94"/>
  <c r="Q57" i="94"/>
  <c r="P57" i="94"/>
  <c r="O57" i="94"/>
  <c r="V57" i="94" s="1"/>
  <c r="N57" i="94"/>
  <c r="U56" i="94"/>
  <c r="T56" i="94"/>
  <c r="S56" i="94"/>
  <c r="R56" i="94"/>
  <c r="Q56" i="94"/>
  <c r="P56" i="94"/>
  <c r="O56" i="94"/>
  <c r="V56" i="94" s="1"/>
  <c r="W56" i="94" s="1"/>
  <c r="N56" i="94"/>
  <c r="U55" i="94"/>
  <c r="T55" i="94"/>
  <c r="S55" i="94"/>
  <c r="R55" i="94"/>
  <c r="Q55" i="94"/>
  <c r="P55" i="94"/>
  <c r="O55" i="94"/>
  <c r="V55" i="94" s="1"/>
  <c r="N55" i="94"/>
  <c r="U54" i="94"/>
  <c r="T54" i="94"/>
  <c r="S54" i="94"/>
  <c r="R54" i="94"/>
  <c r="Q54" i="94"/>
  <c r="P54" i="94"/>
  <c r="O54" i="94"/>
  <c r="V54" i="94" s="1"/>
  <c r="W54" i="94" s="1"/>
  <c r="N54" i="94"/>
  <c r="U53" i="94"/>
  <c r="T53" i="94"/>
  <c r="S53" i="94"/>
  <c r="R53" i="94"/>
  <c r="Q53" i="94"/>
  <c r="P53" i="94"/>
  <c r="O53" i="94"/>
  <c r="V53" i="94" s="1"/>
  <c r="N53" i="94"/>
  <c r="U52" i="94"/>
  <c r="T52" i="94"/>
  <c r="S52" i="94"/>
  <c r="R52" i="94"/>
  <c r="Q52" i="94"/>
  <c r="P52" i="94"/>
  <c r="O52" i="94"/>
  <c r="V52" i="94" s="1"/>
  <c r="W52" i="94" s="1"/>
  <c r="N52" i="94"/>
  <c r="U51" i="94"/>
  <c r="T51" i="94"/>
  <c r="S51" i="94"/>
  <c r="R51" i="94"/>
  <c r="Q51" i="94"/>
  <c r="P51" i="94"/>
  <c r="O51" i="94"/>
  <c r="V51" i="94" s="1"/>
  <c r="N51" i="94"/>
  <c r="U50" i="94"/>
  <c r="T50" i="94"/>
  <c r="S50" i="94"/>
  <c r="R50" i="94"/>
  <c r="Q50" i="94"/>
  <c r="P50" i="94"/>
  <c r="O50" i="94"/>
  <c r="V50" i="94" s="1"/>
  <c r="W50" i="94" s="1"/>
  <c r="N50" i="94"/>
  <c r="U49" i="94"/>
  <c r="T49" i="94"/>
  <c r="S49" i="94"/>
  <c r="R49" i="94"/>
  <c r="Q49" i="94"/>
  <c r="P49" i="94"/>
  <c r="O49" i="94"/>
  <c r="V49" i="94" s="1"/>
  <c r="N49" i="94"/>
  <c r="U48" i="94"/>
  <c r="T48" i="94"/>
  <c r="S48" i="94"/>
  <c r="R48" i="94"/>
  <c r="Q48" i="94"/>
  <c r="P48" i="94"/>
  <c r="O48" i="94"/>
  <c r="V48" i="94" s="1"/>
  <c r="W48" i="94" s="1"/>
  <c r="N48" i="94"/>
  <c r="U47" i="94"/>
  <c r="T47" i="94"/>
  <c r="S47" i="94"/>
  <c r="R47" i="94"/>
  <c r="Q47" i="94"/>
  <c r="P47" i="94"/>
  <c r="O47" i="94"/>
  <c r="V47" i="94" s="1"/>
  <c r="N47" i="94"/>
  <c r="V45" i="92"/>
  <c r="Q47" i="92"/>
  <c r="Q46" i="92"/>
  <c r="Q45" i="92"/>
  <c r="Q44" i="92"/>
  <c r="Q43" i="92"/>
  <c r="Q42" i="92"/>
  <c r="Q41" i="92"/>
  <c r="Q40" i="92"/>
  <c r="V40" i="92" s="1"/>
  <c r="Q39" i="92"/>
  <c r="Q38" i="92"/>
  <c r="Q37" i="92"/>
  <c r="Q36" i="92"/>
  <c r="Q35" i="92"/>
  <c r="Q34" i="92"/>
  <c r="Q33" i="92"/>
  <c r="Q32" i="92"/>
  <c r="Q31" i="92"/>
  <c r="Q30" i="92"/>
  <c r="Q29" i="92"/>
  <c r="Q28" i="92"/>
  <c r="Q27" i="92"/>
  <c r="Q26" i="92"/>
  <c r="Q25" i="92"/>
  <c r="Q24" i="92"/>
  <c r="Q23" i="92"/>
  <c r="Q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S49" i="92"/>
  <c r="R49" i="92"/>
  <c r="O49" i="92"/>
  <c r="V47" i="92" s="1"/>
  <c r="N49" i="92"/>
  <c r="S48" i="92"/>
  <c r="R48" i="92"/>
  <c r="O48" i="92"/>
  <c r="V46" i="92" s="1"/>
  <c r="N48" i="92"/>
  <c r="U47" i="92"/>
  <c r="T47" i="92"/>
  <c r="S47" i="92"/>
  <c r="R47" i="92"/>
  <c r="P47" i="92"/>
  <c r="O47" i="92"/>
  <c r="N47" i="92"/>
  <c r="U46" i="92"/>
  <c r="T46" i="92"/>
  <c r="S46" i="92"/>
  <c r="R46" i="92"/>
  <c r="P46" i="92"/>
  <c r="O46" i="92"/>
  <c r="N46" i="92"/>
  <c r="U45" i="92"/>
  <c r="T45" i="92"/>
  <c r="S45" i="92"/>
  <c r="R45" i="92"/>
  <c r="P45" i="92"/>
  <c r="O45" i="92"/>
  <c r="V43" i="92" s="1"/>
  <c r="W43" i="92" s="1"/>
  <c r="N45" i="92"/>
  <c r="U44" i="92"/>
  <c r="T44" i="92"/>
  <c r="S44" i="92"/>
  <c r="R44" i="92"/>
  <c r="P44" i="92"/>
  <c r="O44" i="92"/>
  <c r="V42" i="92" s="1"/>
  <c r="W42" i="92" s="1"/>
  <c r="N44" i="92"/>
  <c r="U43" i="92"/>
  <c r="T43" i="92"/>
  <c r="S43" i="92"/>
  <c r="R43" i="92"/>
  <c r="P43" i="92"/>
  <c r="O43" i="92"/>
  <c r="V41" i="92" s="1"/>
  <c r="W41" i="92" s="1"/>
  <c r="N43" i="92"/>
  <c r="U42" i="92"/>
  <c r="T42" i="92"/>
  <c r="S42" i="92"/>
  <c r="R42" i="92"/>
  <c r="P42" i="92"/>
  <c r="O42" i="92"/>
  <c r="N42" i="92"/>
  <c r="U41" i="92"/>
  <c r="T41" i="92"/>
  <c r="S41" i="92"/>
  <c r="R41" i="92"/>
  <c r="P41" i="92"/>
  <c r="O41" i="92"/>
  <c r="V39" i="92" s="1"/>
  <c r="N41" i="92"/>
  <c r="U40" i="92"/>
  <c r="T40" i="92"/>
  <c r="S40" i="92"/>
  <c r="R40" i="92"/>
  <c r="P40" i="92"/>
  <c r="O40" i="92"/>
  <c r="N40" i="92"/>
  <c r="U39" i="92"/>
  <c r="T39" i="92"/>
  <c r="S39" i="92"/>
  <c r="R39" i="92"/>
  <c r="P39" i="92"/>
  <c r="O39" i="92"/>
  <c r="V38" i="92" s="1"/>
  <c r="N39" i="92"/>
  <c r="U38" i="92"/>
  <c r="T38" i="92"/>
  <c r="S38" i="92"/>
  <c r="R38" i="92"/>
  <c r="P38" i="92"/>
  <c r="O38" i="92"/>
  <c r="N38" i="92"/>
  <c r="U37" i="92"/>
  <c r="T37" i="92"/>
  <c r="V37" i="92" s="1"/>
  <c r="S37" i="92"/>
  <c r="R37" i="92"/>
  <c r="P37" i="92"/>
  <c r="O37" i="92"/>
  <c r="N37" i="92"/>
  <c r="U36" i="92"/>
  <c r="T36" i="92"/>
  <c r="S36" i="92"/>
  <c r="V36" i="92" s="1"/>
  <c r="W36" i="92" s="1"/>
  <c r="R36" i="92"/>
  <c r="P36" i="92"/>
  <c r="O36" i="92"/>
  <c r="N36" i="92"/>
  <c r="U35" i="92"/>
  <c r="T35" i="92"/>
  <c r="S35" i="92"/>
  <c r="R35" i="92"/>
  <c r="P35" i="92"/>
  <c r="O35" i="92"/>
  <c r="N35" i="92"/>
  <c r="U34" i="92"/>
  <c r="T34" i="92"/>
  <c r="S34" i="92"/>
  <c r="R34" i="92"/>
  <c r="V34" i="92"/>
  <c r="W34" i="92" s="1"/>
  <c r="P34" i="92"/>
  <c r="O34" i="92"/>
  <c r="N34" i="92"/>
  <c r="U33" i="92"/>
  <c r="T33" i="92"/>
  <c r="S33" i="92"/>
  <c r="R33" i="92"/>
  <c r="V33" i="92"/>
  <c r="W33" i="92" s="1"/>
  <c r="P33" i="92"/>
  <c r="O33" i="92"/>
  <c r="N33" i="92"/>
  <c r="U32" i="92"/>
  <c r="T32" i="92"/>
  <c r="S32" i="92"/>
  <c r="R32" i="92"/>
  <c r="P32" i="92"/>
  <c r="O32" i="92"/>
  <c r="N32" i="92"/>
  <c r="U31" i="92"/>
  <c r="T31" i="92"/>
  <c r="S31" i="92"/>
  <c r="R31" i="92"/>
  <c r="P31" i="92"/>
  <c r="O31" i="92"/>
  <c r="N31" i="92"/>
  <c r="U30" i="92"/>
  <c r="T30" i="92"/>
  <c r="S30" i="92"/>
  <c r="R30" i="92"/>
  <c r="P30" i="92"/>
  <c r="O30" i="92"/>
  <c r="V30" i="92" s="1"/>
  <c r="N30" i="92"/>
  <c r="U29" i="92"/>
  <c r="T29" i="92"/>
  <c r="S29" i="92"/>
  <c r="R29" i="92"/>
  <c r="P29" i="92"/>
  <c r="O29" i="92"/>
  <c r="N29" i="92"/>
  <c r="U28" i="92"/>
  <c r="T28" i="92"/>
  <c r="S28" i="92"/>
  <c r="R28" i="92"/>
  <c r="P28" i="92"/>
  <c r="O28" i="92"/>
  <c r="N28" i="92"/>
  <c r="U27" i="92"/>
  <c r="T27" i="92"/>
  <c r="S27" i="92"/>
  <c r="R27" i="92"/>
  <c r="P27" i="92"/>
  <c r="O27" i="92"/>
  <c r="N27" i="92"/>
  <c r="U26" i="92"/>
  <c r="T26" i="92"/>
  <c r="S26" i="92"/>
  <c r="V26" i="92" s="1"/>
  <c r="W26" i="92" s="1"/>
  <c r="R26" i="92"/>
  <c r="P26" i="92"/>
  <c r="O26" i="92"/>
  <c r="N26" i="92"/>
  <c r="U25" i="92"/>
  <c r="T25" i="92"/>
  <c r="S25" i="92"/>
  <c r="V25" i="92" s="1"/>
  <c r="W25" i="92" s="1"/>
  <c r="R25" i="92"/>
  <c r="P25" i="92"/>
  <c r="O25" i="92"/>
  <c r="N25" i="92"/>
  <c r="U24" i="92"/>
  <c r="T24" i="92"/>
  <c r="S24" i="92"/>
  <c r="R24" i="92"/>
  <c r="P24" i="92"/>
  <c r="O24" i="92"/>
  <c r="N24" i="92"/>
  <c r="U23" i="92"/>
  <c r="T23" i="92"/>
  <c r="S23" i="92"/>
  <c r="R23" i="92"/>
  <c r="P23" i="92"/>
  <c r="O23" i="92"/>
  <c r="N23" i="92"/>
  <c r="U22" i="92"/>
  <c r="T22" i="92"/>
  <c r="S22" i="92"/>
  <c r="R22" i="92"/>
  <c r="P22" i="92"/>
  <c r="O22" i="92"/>
  <c r="N22" i="92"/>
  <c r="U21" i="92"/>
  <c r="T21" i="92"/>
  <c r="S21" i="92"/>
  <c r="R21" i="92"/>
  <c r="P21" i="92"/>
  <c r="O21" i="92"/>
  <c r="N21" i="92"/>
  <c r="U20" i="92"/>
  <c r="T20" i="92"/>
  <c r="S20" i="92"/>
  <c r="R20" i="92"/>
  <c r="P20" i="92"/>
  <c r="O20" i="92"/>
  <c r="N20" i="92"/>
  <c r="U19" i="92"/>
  <c r="T19" i="92"/>
  <c r="S19" i="92"/>
  <c r="R19" i="92"/>
  <c r="P19" i="92"/>
  <c r="O19" i="92"/>
  <c r="N19" i="92"/>
  <c r="U18" i="92"/>
  <c r="T18" i="92"/>
  <c r="S18" i="92"/>
  <c r="R18" i="92"/>
  <c r="P18" i="92"/>
  <c r="O18" i="92"/>
  <c r="N18" i="92"/>
  <c r="U17" i="92"/>
  <c r="T17" i="92"/>
  <c r="S17" i="92"/>
  <c r="R17" i="92"/>
  <c r="P17" i="92"/>
  <c r="O17" i="92"/>
  <c r="N17" i="92"/>
  <c r="U16" i="92"/>
  <c r="T16" i="92"/>
  <c r="S16" i="92"/>
  <c r="R16" i="92"/>
  <c r="P16" i="92"/>
  <c r="O16" i="92"/>
  <c r="N16" i="92"/>
  <c r="U15" i="92"/>
  <c r="T15" i="92"/>
  <c r="S15" i="92"/>
  <c r="R15" i="92"/>
  <c r="P15" i="92"/>
  <c r="O15" i="92"/>
  <c r="N15" i="92"/>
  <c r="U14" i="92"/>
  <c r="T14" i="92"/>
  <c r="S14" i="92"/>
  <c r="R14" i="92"/>
  <c r="P14" i="92"/>
  <c r="O14" i="92"/>
  <c r="N14" i="92"/>
  <c r="U13" i="92"/>
  <c r="T13" i="92"/>
  <c r="S13" i="92"/>
  <c r="R13" i="92"/>
  <c r="P13" i="92"/>
  <c r="O13" i="92"/>
  <c r="N13" i="92"/>
  <c r="U12" i="92"/>
  <c r="T12" i="92"/>
  <c r="S12" i="92"/>
  <c r="R12" i="92"/>
  <c r="P12" i="92"/>
  <c r="O12" i="92"/>
  <c r="N12" i="92"/>
  <c r="U11" i="92"/>
  <c r="T11" i="92"/>
  <c r="S11" i="92"/>
  <c r="R11" i="92"/>
  <c r="P11" i="92"/>
  <c r="O11" i="92"/>
  <c r="N11" i="92"/>
  <c r="U10" i="92"/>
  <c r="T10" i="92"/>
  <c r="S10" i="92"/>
  <c r="R10" i="92"/>
  <c r="P10" i="92"/>
  <c r="O10" i="92"/>
  <c r="N10" i="92"/>
  <c r="O9" i="92"/>
  <c r="V81" i="92"/>
  <c r="U81" i="92"/>
  <c r="T81" i="92"/>
  <c r="U80" i="92"/>
  <c r="T80" i="92"/>
  <c r="S80" i="92"/>
  <c r="R80" i="92"/>
  <c r="Q80" i="92"/>
  <c r="P80" i="92"/>
  <c r="U79" i="92"/>
  <c r="T79" i="92"/>
  <c r="S79" i="92"/>
  <c r="R79" i="92"/>
  <c r="Q79" i="92"/>
  <c r="P79" i="92"/>
  <c r="O79" i="92"/>
  <c r="N79" i="92"/>
  <c r="U78" i="92"/>
  <c r="T78" i="92"/>
  <c r="S78" i="92"/>
  <c r="V79" i="92" s="1"/>
  <c r="R78" i="92"/>
  <c r="Q78" i="92"/>
  <c r="P78" i="92"/>
  <c r="O78" i="92"/>
  <c r="N78" i="92"/>
  <c r="U77" i="92"/>
  <c r="T77" i="92"/>
  <c r="S77" i="92"/>
  <c r="R77" i="92"/>
  <c r="Q77" i="92"/>
  <c r="P77" i="92"/>
  <c r="O77" i="92"/>
  <c r="N77" i="92"/>
  <c r="U76" i="92"/>
  <c r="T76" i="92"/>
  <c r="S76" i="92"/>
  <c r="R76" i="92"/>
  <c r="Q76" i="92"/>
  <c r="P76" i="92"/>
  <c r="O76" i="92"/>
  <c r="N76" i="92"/>
  <c r="U75" i="92"/>
  <c r="T75" i="92"/>
  <c r="S75" i="92"/>
  <c r="R75" i="92"/>
  <c r="Q75" i="92"/>
  <c r="P75" i="92"/>
  <c r="O75" i="92"/>
  <c r="N75" i="92"/>
  <c r="U74" i="92"/>
  <c r="T74" i="92"/>
  <c r="S74" i="92"/>
  <c r="R74" i="92"/>
  <c r="Q74" i="92"/>
  <c r="P74" i="92"/>
  <c r="O74" i="92"/>
  <c r="N74" i="92"/>
  <c r="U73" i="92"/>
  <c r="T73" i="92"/>
  <c r="S73" i="92"/>
  <c r="R73" i="92"/>
  <c r="Q73" i="92"/>
  <c r="P73" i="92"/>
  <c r="O73" i="92"/>
  <c r="N73" i="92"/>
  <c r="U72" i="92"/>
  <c r="T72" i="92"/>
  <c r="S72" i="92"/>
  <c r="R72" i="92"/>
  <c r="Q72" i="92"/>
  <c r="P72" i="92"/>
  <c r="O72" i="92"/>
  <c r="N72" i="92"/>
  <c r="U71" i="92"/>
  <c r="T71" i="92"/>
  <c r="S71" i="92"/>
  <c r="R71" i="92"/>
  <c r="Q71" i="92"/>
  <c r="P71" i="92"/>
  <c r="O71" i="92"/>
  <c r="N71" i="92"/>
  <c r="U70" i="92"/>
  <c r="T70" i="92"/>
  <c r="S70" i="92"/>
  <c r="R70" i="92"/>
  <c r="Q70" i="92"/>
  <c r="P70" i="92"/>
  <c r="O70" i="92"/>
  <c r="N70" i="92"/>
  <c r="U69" i="92"/>
  <c r="T69" i="92"/>
  <c r="S69" i="92"/>
  <c r="R69" i="92"/>
  <c r="Q69" i="92"/>
  <c r="P69" i="92"/>
  <c r="O69" i="92"/>
  <c r="N69" i="92"/>
  <c r="U68" i="92"/>
  <c r="T68" i="92"/>
  <c r="S68" i="92"/>
  <c r="R68" i="92"/>
  <c r="Q68" i="92"/>
  <c r="P68" i="92"/>
  <c r="O68" i="92"/>
  <c r="N68" i="92"/>
  <c r="U67" i="92"/>
  <c r="T67" i="92"/>
  <c r="S67" i="92"/>
  <c r="R67" i="92"/>
  <c r="Q67" i="92"/>
  <c r="P67" i="92"/>
  <c r="O67" i="92"/>
  <c r="N67" i="92"/>
  <c r="V78" i="92" l="1"/>
  <c r="W78" i="92" s="1"/>
  <c r="W30" i="92"/>
  <c r="V29" i="92"/>
  <c r="W29" i="92" s="1"/>
  <c r="V73" i="92"/>
  <c r="V77" i="92"/>
  <c r="W37" i="92"/>
  <c r="W46" i="92"/>
  <c r="V27" i="92"/>
  <c r="W27" i="92" s="1"/>
  <c r="V71" i="92"/>
  <c r="V75" i="92"/>
  <c r="W81" i="92"/>
  <c r="V35" i="92"/>
  <c r="W35" i="92" s="1"/>
  <c r="V68" i="92"/>
  <c r="W68" i="92" s="1"/>
  <c r="V70" i="92"/>
  <c r="W70" i="92" s="1"/>
  <c r="V72" i="92"/>
  <c r="W72" i="92" s="1"/>
  <c r="V74" i="92"/>
  <c r="W74" i="92" s="1"/>
  <c r="V76" i="92"/>
  <c r="W76" i="92" s="1"/>
  <c r="V80" i="92"/>
  <c r="V44" i="92"/>
  <c r="W31" i="94"/>
  <c r="W47" i="94"/>
  <c r="W49" i="94"/>
  <c r="W51" i="94"/>
  <c r="W53" i="94"/>
  <c r="W55" i="94"/>
  <c r="W57" i="94"/>
  <c r="W59" i="94"/>
  <c r="W61" i="94"/>
  <c r="W63" i="94"/>
  <c r="W65" i="94"/>
  <c r="W67" i="94"/>
  <c r="W40" i="92"/>
  <c r="W45" i="92"/>
  <c r="W44" i="92"/>
  <c r="W38" i="92"/>
  <c r="V23" i="92"/>
  <c r="W23" i="92" s="1"/>
  <c r="V31" i="92"/>
  <c r="W31" i="92" s="1"/>
  <c r="W39" i="92"/>
  <c r="W47" i="92"/>
  <c r="V28" i="92"/>
  <c r="W28" i="92" s="1"/>
  <c r="V24" i="92"/>
  <c r="W24" i="92" s="1"/>
  <c r="V32" i="92"/>
  <c r="W32" i="92" s="1"/>
  <c r="V67" i="92"/>
  <c r="V69" i="92"/>
  <c r="W69" i="92" s="1"/>
  <c r="W71" i="92"/>
  <c r="W73" i="92"/>
  <c r="W75" i="92"/>
  <c r="W77" i="92"/>
  <c r="W80" i="92"/>
  <c r="W67" i="92"/>
  <c r="W79" i="92"/>
  <c r="U36" i="91" l="1"/>
  <c r="T36" i="91"/>
  <c r="S36" i="91"/>
  <c r="R36" i="91"/>
  <c r="Q36" i="91"/>
  <c r="P36" i="91"/>
  <c r="O36" i="91"/>
  <c r="V36" i="91" s="1"/>
  <c r="W36" i="91" s="1"/>
  <c r="N36" i="91"/>
  <c r="U35" i="91"/>
  <c r="T35" i="91"/>
  <c r="S35" i="91"/>
  <c r="R35" i="91"/>
  <c r="Q35" i="91"/>
  <c r="P35" i="91"/>
  <c r="O35" i="91"/>
  <c r="N35" i="91"/>
  <c r="U34" i="91"/>
  <c r="T34" i="91"/>
  <c r="S34" i="91"/>
  <c r="R34" i="91"/>
  <c r="Q34" i="91"/>
  <c r="P34" i="91"/>
  <c r="O34" i="91"/>
  <c r="V34" i="91" s="1"/>
  <c r="W34" i="91" s="1"/>
  <c r="N34" i="91"/>
  <c r="U33" i="91"/>
  <c r="T33" i="91"/>
  <c r="S33" i="91"/>
  <c r="R33" i="91"/>
  <c r="Q33" i="91"/>
  <c r="P33" i="91"/>
  <c r="O33" i="91"/>
  <c r="N33" i="91"/>
  <c r="U32" i="91"/>
  <c r="T32" i="91"/>
  <c r="S32" i="91"/>
  <c r="R32" i="91"/>
  <c r="Q32" i="91"/>
  <c r="P32" i="91"/>
  <c r="O32" i="91"/>
  <c r="V32" i="91" s="1"/>
  <c r="W32" i="91" s="1"/>
  <c r="N32" i="91"/>
  <c r="U31" i="91"/>
  <c r="T31" i="91"/>
  <c r="S31" i="91"/>
  <c r="R31" i="91"/>
  <c r="Q31" i="91"/>
  <c r="P31" i="91"/>
  <c r="O31" i="91"/>
  <c r="N31" i="91"/>
  <c r="Q19" i="87"/>
  <c r="Q18" i="87"/>
  <c r="Q17" i="87"/>
  <c r="Q16" i="87"/>
  <c r="Q15" i="87"/>
  <c r="Q14" i="87"/>
  <c r="Q13" i="87"/>
  <c r="Q12" i="87"/>
  <c r="Q11" i="87"/>
  <c r="Q10" i="87"/>
  <c r="Q9" i="87"/>
  <c r="Q29" i="89"/>
  <c r="Q28" i="89"/>
  <c r="Q27" i="89"/>
  <c r="Q26" i="89"/>
  <c r="Q25" i="89"/>
  <c r="Q24" i="89"/>
  <c r="Q23" i="89"/>
  <c r="Q22" i="89"/>
  <c r="Q21" i="89"/>
  <c r="Q20" i="89"/>
  <c r="Q19" i="89"/>
  <c r="Q18" i="89"/>
  <c r="Q17" i="89"/>
  <c r="Q16" i="89"/>
  <c r="Q15" i="89"/>
  <c r="Q14" i="89"/>
  <c r="Q13" i="89"/>
  <c r="Q12" i="89"/>
  <c r="Q11" i="89"/>
  <c r="Q10" i="89"/>
  <c r="Q9" i="89"/>
  <c r="Q18" i="90"/>
  <c r="Q17" i="90"/>
  <c r="Q16" i="90"/>
  <c r="Q15" i="90"/>
  <c r="Q14" i="90"/>
  <c r="Q13" i="90"/>
  <c r="Q12" i="90"/>
  <c r="Q11" i="90"/>
  <c r="Q10" i="90"/>
  <c r="Q9" i="90"/>
  <c r="S37" i="90"/>
  <c r="R37" i="90"/>
  <c r="U36" i="90"/>
  <c r="T36" i="90"/>
  <c r="V36" i="90" s="1"/>
  <c r="W36" i="90" s="1"/>
  <c r="S36" i="90"/>
  <c r="R36" i="90"/>
  <c r="Q36" i="90"/>
  <c r="P36" i="90"/>
  <c r="O36" i="90"/>
  <c r="N36" i="90"/>
  <c r="U35" i="90"/>
  <c r="T35" i="90"/>
  <c r="S35" i="90"/>
  <c r="R35" i="90"/>
  <c r="Q35" i="90"/>
  <c r="P35" i="90"/>
  <c r="O35" i="90"/>
  <c r="N35" i="90"/>
  <c r="U34" i="90"/>
  <c r="T34" i="90"/>
  <c r="S34" i="90"/>
  <c r="R34" i="90"/>
  <c r="Q34" i="90"/>
  <c r="P34" i="90"/>
  <c r="O34" i="90"/>
  <c r="V34" i="90" s="1"/>
  <c r="W34" i="90" s="1"/>
  <c r="N34" i="90"/>
  <c r="U33" i="90"/>
  <c r="W33" i="90" s="1"/>
  <c r="T33" i="90"/>
  <c r="S33" i="90"/>
  <c r="R33" i="90"/>
  <c r="Q33" i="90"/>
  <c r="P33" i="90"/>
  <c r="O33" i="90"/>
  <c r="V33" i="90" s="1"/>
  <c r="N33" i="90"/>
  <c r="V32" i="90"/>
  <c r="U32" i="90"/>
  <c r="T32" i="90"/>
  <c r="S32" i="90"/>
  <c r="R32" i="90"/>
  <c r="Q32" i="90"/>
  <c r="P32" i="90"/>
  <c r="O32" i="90"/>
  <c r="N32" i="90"/>
  <c r="U31" i="90"/>
  <c r="T31" i="90"/>
  <c r="S31" i="90"/>
  <c r="R31" i="90"/>
  <c r="Q31" i="90"/>
  <c r="P31" i="90"/>
  <c r="O31" i="90"/>
  <c r="V31" i="90" s="1"/>
  <c r="N31" i="90"/>
  <c r="U30" i="90"/>
  <c r="T30" i="90"/>
  <c r="S30" i="90"/>
  <c r="R30" i="90"/>
  <c r="Q30" i="90"/>
  <c r="P30" i="90"/>
  <c r="O30" i="90"/>
  <c r="V30" i="90" s="1"/>
  <c r="N30" i="90"/>
  <c r="U29" i="90"/>
  <c r="T29" i="90"/>
  <c r="S29" i="90"/>
  <c r="R29" i="90"/>
  <c r="Q29" i="90"/>
  <c r="P29" i="90"/>
  <c r="O29" i="90"/>
  <c r="V29" i="90" s="1"/>
  <c r="W29" i="90" s="1"/>
  <c r="N29" i="90"/>
  <c r="U28" i="90"/>
  <c r="T28" i="90"/>
  <c r="S28" i="90"/>
  <c r="R28" i="90"/>
  <c r="Q28" i="90"/>
  <c r="P28" i="90"/>
  <c r="O28" i="90"/>
  <c r="V28" i="90" s="1"/>
  <c r="N28" i="90"/>
  <c r="U27" i="90"/>
  <c r="T27" i="90"/>
  <c r="S27" i="90"/>
  <c r="R27" i="90"/>
  <c r="Q27" i="90"/>
  <c r="P27" i="90"/>
  <c r="O27" i="90"/>
  <c r="V27" i="90" s="1"/>
  <c r="W27" i="90" s="1"/>
  <c r="N27" i="90"/>
  <c r="O29" i="89"/>
  <c r="O28" i="89"/>
  <c r="O27" i="89"/>
  <c r="O26" i="89"/>
  <c r="O25" i="89"/>
  <c r="O24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U63" i="89"/>
  <c r="T63" i="89"/>
  <c r="S63" i="89"/>
  <c r="R63" i="89"/>
  <c r="Q63" i="89"/>
  <c r="P63" i="89"/>
  <c r="O63" i="89"/>
  <c r="V63" i="89" s="1"/>
  <c r="N63" i="89"/>
  <c r="U62" i="89"/>
  <c r="T62" i="89"/>
  <c r="S62" i="89"/>
  <c r="R62" i="89"/>
  <c r="Q62" i="89"/>
  <c r="P62" i="89"/>
  <c r="O62" i="89"/>
  <c r="V62" i="89" s="1"/>
  <c r="N62" i="89"/>
  <c r="U61" i="89"/>
  <c r="T61" i="89"/>
  <c r="S61" i="89"/>
  <c r="R61" i="89"/>
  <c r="Q61" i="89"/>
  <c r="P61" i="89"/>
  <c r="O61" i="89"/>
  <c r="V61" i="89" s="1"/>
  <c r="N61" i="89"/>
  <c r="U60" i="89"/>
  <c r="T60" i="89"/>
  <c r="S60" i="89"/>
  <c r="R60" i="89"/>
  <c r="Q60" i="89"/>
  <c r="P60" i="89"/>
  <c r="O60" i="89"/>
  <c r="V60" i="89" s="1"/>
  <c r="N60" i="89"/>
  <c r="U59" i="89"/>
  <c r="T59" i="89"/>
  <c r="S59" i="89"/>
  <c r="R59" i="89"/>
  <c r="Q59" i="89"/>
  <c r="P59" i="89"/>
  <c r="O59" i="89"/>
  <c r="V59" i="89" s="1"/>
  <c r="N59" i="89"/>
  <c r="U58" i="89"/>
  <c r="T58" i="89"/>
  <c r="S58" i="89"/>
  <c r="R58" i="89"/>
  <c r="Q58" i="89"/>
  <c r="P58" i="89"/>
  <c r="O58" i="89"/>
  <c r="V58" i="89" s="1"/>
  <c r="N58" i="89"/>
  <c r="U57" i="89"/>
  <c r="T57" i="89"/>
  <c r="S57" i="89"/>
  <c r="R57" i="89"/>
  <c r="Q57" i="89"/>
  <c r="P57" i="89"/>
  <c r="O57" i="89"/>
  <c r="V57" i="89" s="1"/>
  <c r="N57" i="89"/>
  <c r="U56" i="89"/>
  <c r="T56" i="89"/>
  <c r="S56" i="89"/>
  <c r="R56" i="89"/>
  <c r="Q56" i="89"/>
  <c r="P56" i="89"/>
  <c r="O56" i="89"/>
  <c r="V56" i="89" s="1"/>
  <c r="N56" i="89"/>
  <c r="U55" i="89"/>
  <c r="T55" i="89"/>
  <c r="S55" i="89"/>
  <c r="R55" i="89"/>
  <c r="Q55" i="89"/>
  <c r="P55" i="89"/>
  <c r="O55" i="89"/>
  <c r="V55" i="89" s="1"/>
  <c r="N55" i="89"/>
  <c r="U54" i="89"/>
  <c r="T54" i="89"/>
  <c r="S54" i="89"/>
  <c r="R54" i="89"/>
  <c r="Q54" i="89"/>
  <c r="P54" i="89"/>
  <c r="O54" i="89"/>
  <c r="V54" i="89" s="1"/>
  <c r="N54" i="89"/>
  <c r="U53" i="89"/>
  <c r="T53" i="89"/>
  <c r="S53" i="89"/>
  <c r="R53" i="89"/>
  <c r="Q53" i="89"/>
  <c r="P53" i="89"/>
  <c r="O53" i="89"/>
  <c r="V53" i="89" s="1"/>
  <c r="N53" i="89"/>
  <c r="U52" i="89"/>
  <c r="T52" i="89"/>
  <c r="S52" i="89"/>
  <c r="R52" i="89"/>
  <c r="Q52" i="89"/>
  <c r="P52" i="89"/>
  <c r="O52" i="89"/>
  <c r="V52" i="89" s="1"/>
  <c r="N52" i="89"/>
  <c r="U51" i="89"/>
  <c r="T51" i="89"/>
  <c r="S51" i="89"/>
  <c r="R51" i="89"/>
  <c r="Q51" i="89"/>
  <c r="P51" i="89"/>
  <c r="O51" i="89"/>
  <c r="V51" i="89" s="1"/>
  <c r="N51" i="89"/>
  <c r="U50" i="89"/>
  <c r="T50" i="89"/>
  <c r="S50" i="89"/>
  <c r="R50" i="89"/>
  <c r="Q50" i="89"/>
  <c r="P50" i="89"/>
  <c r="O50" i="89"/>
  <c r="V50" i="89" s="1"/>
  <c r="N50" i="89"/>
  <c r="U49" i="89"/>
  <c r="T49" i="89"/>
  <c r="S49" i="89"/>
  <c r="R49" i="89"/>
  <c r="Q49" i="89"/>
  <c r="P49" i="89"/>
  <c r="O49" i="89"/>
  <c r="V49" i="89" s="1"/>
  <c r="N49" i="89"/>
  <c r="U48" i="89"/>
  <c r="T48" i="89"/>
  <c r="S48" i="89"/>
  <c r="R48" i="89"/>
  <c r="Q48" i="89"/>
  <c r="P48" i="89"/>
  <c r="O48" i="89"/>
  <c r="V48" i="89" s="1"/>
  <c r="N48" i="89"/>
  <c r="U47" i="89"/>
  <c r="T47" i="89"/>
  <c r="S47" i="89"/>
  <c r="R47" i="89"/>
  <c r="Q47" i="89"/>
  <c r="P47" i="89"/>
  <c r="O47" i="89"/>
  <c r="V47" i="89" s="1"/>
  <c r="N47" i="89"/>
  <c r="U46" i="89"/>
  <c r="T46" i="89"/>
  <c r="S46" i="89"/>
  <c r="R46" i="89"/>
  <c r="Q46" i="89"/>
  <c r="P46" i="89"/>
  <c r="O46" i="89"/>
  <c r="V46" i="89" s="1"/>
  <c r="N46" i="89"/>
  <c r="U45" i="89"/>
  <c r="T45" i="89"/>
  <c r="S45" i="89"/>
  <c r="R45" i="89"/>
  <c r="Q45" i="89"/>
  <c r="P45" i="89"/>
  <c r="O45" i="89"/>
  <c r="V45" i="89" s="1"/>
  <c r="N45" i="89"/>
  <c r="U44" i="89"/>
  <c r="T44" i="89"/>
  <c r="S44" i="89"/>
  <c r="R44" i="89"/>
  <c r="Q44" i="89"/>
  <c r="P44" i="89"/>
  <c r="O44" i="89"/>
  <c r="V44" i="89" s="1"/>
  <c r="N44" i="89"/>
  <c r="U43" i="89"/>
  <c r="T43" i="89"/>
  <c r="S43" i="89"/>
  <c r="R43" i="89"/>
  <c r="Q43" i="89"/>
  <c r="P43" i="89"/>
  <c r="O43" i="89"/>
  <c r="V43" i="89" s="1"/>
  <c r="N43" i="89"/>
  <c r="W32" i="90" l="1"/>
  <c r="W45" i="89"/>
  <c r="W61" i="89"/>
  <c r="V31" i="91"/>
  <c r="W31" i="91" s="1"/>
  <c r="V33" i="91"/>
  <c r="W33" i="91" s="1"/>
  <c r="V35" i="91"/>
  <c r="W47" i="89"/>
  <c r="V35" i="90"/>
  <c r="W35" i="90" s="1"/>
  <c r="W51" i="89"/>
  <c r="W57" i="89"/>
  <c r="W55" i="89"/>
  <c r="W28" i="90"/>
  <c r="W43" i="89"/>
  <c r="W49" i="89"/>
  <c r="W53" i="89"/>
  <c r="W59" i="89"/>
  <c r="W30" i="90"/>
  <c r="W35" i="91"/>
  <c r="W31" i="90"/>
  <c r="W44" i="89"/>
  <c r="W46" i="89"/>
  <c r="W48" i="89"/>
  <c r="W50" i="89"/>
  <c r="W52" i="89"/>
  <c r="W54" i="89"/>
  <c r="W56" i="89"/>
  <c r="W58" i="89"/>
  <c r="W60" i="89"/>
  <c r="W62" i="89"/>
  <c r="W63" i="89"/>
  <c r="Q33" i="88"/>
  <c r="Q32" i="88"/>
  <c r="Q31" i="88"/>
  <c r="Q30" i="88"/>
  <c r="Q29" i="88"/>
  <c r="Q28" i="88"/>
  <c r="Q27" i="88"/>
  <c r="Q26" i="88"/>
  <c r="Q25" i="88"/>
  <c r="Q24" i="88"/>
  <c r="Q23" i="88"/>
  <c r="Q22" i="88"/>
  <c r="Q21" i="88"/>
  <c r="Q20" i="88"/>
  <c r="Q19" i="88"/>
  <c r="Q18" i="88"/>
  <c r="Q17" i="88"/>
  <c r="Q16" i="88"/>
  <c r="Q15" i="88"/>
  <c r="Q14" i="88"/>
  <c r="Q13" i="88"/>
  <c r="Q12" i="88"/>
  <c r="Q11" i="88"/>
  <c r="Q10" i="88"/>
  <c r="Q9" i="88"/>
  <c r="P33" i="88"/>
  <c r="P32" i="88"/>
  <c r="P31" i="88"/>
  <c r="P30" i="88"/>
  <c r="P29" i="88"/>
  <c r="V28" i="88"/>
  <c r="W28" i="88" s="1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V29" i="88"/>
  <c r="W29" i="88" s="1"/>
  <c r="U33" i="88"/>
  <c r="T33" i="88"/>
  <c r="U32" i="88"/>
  <c r="T32" i="88"/>
  <c r="U31" i="88"/>
  <c r="T31" i="88"/>
  <c r="U30" i="88"/>
  <c r="T30" i="88"/>
  <c r="U29" i="88"/>
  <c r="T29" i="88"/>
  <c r="U28" i="88"/>
  <c r="T28" i="88"/>
  <c r="U27" i="88"/>
  <c r="T27" i="88"/>
  <c r="U26" i="88"/>
  <c r="T26" i="88"/>
  <c r="U25" i="88"/>
  <c r="T25" i="88"/>
  <c r="U24" i="88"/>
  <c r="T24" i="88"/>
  <c r="U23" i="88"/>
  <c r="T23" i="88"/>
  <c r="U22" i="88"/>
  <c r="T22" i="88"/>
  <c r="U21" i="88"/>
  <c r="T21" i="88"/>
  <c r="U20" i="88"/>
  <c r="T20" i="88"/>
  <c r="U19" i="88"/>
  <c r="T19" i="88"/>
  <c r="U18" i="88"/>
  <c r="T18" i="88"/>
  <c r="U17" i="88"/>
  <c r="T17" i="88"/>
  <c r="U16" i="88"/>
  <c r="T16" i="88"/>
  <c r="U15" i="88"/>
  <c r="T15" i="88"/>
  <c r="U14" i="88"/>
  <c r="T14" i="88"/>
  <c r="U13" i="88"/>
  <c r="T13" i="88"/>
  <c r="U12" i="88"/>
  <c r="T12" i="88"/>
  <c r="U11" i="88"/>
  <c r="T11" i="88"/>
  <c r="U10" i="88"/>
  <c r="T10" i="88"/>
  <c r="U9" i="88"/>
  <c r="T9" i="88"/>
  <c r="S32" i="88"/>
  <c r="R32" i="88"/>
  <c r="S31" i="88"/>
  <c r="R31" i="88"/>
  <c r="S30" i="88"/>
  <c r="R30" i="88"/>
  <c r="S29" i="88"/>
  <c r="R29" i="88"/>
  <c r="S28" i="88"/>
  <c r="R28" i="88"/>
  <c r="S27" i="88"/>
  <c r="R27" i="88"/>
  <c r="S26" i="88"/>
  <c r="R26" i="88"/>
  <c r="S25" i="88"/>
  <c r="R25" i="88"/>
  <c r="S24" i="88"/>
  <c r="R24" i="88"/>
  <c r="S23" i="88"/>
  <c r="V23" i="88" s="1"/>
  <c r="W23" i="88" s="1"/>
  <c r="R23" i="88"/>
  <c r="S22" i="88"/>
  <c r="R22" i="88"/>
  <c r="S21" i="88"/>
  <c r="R21" i="88"/>
  <c r="S20" i="88"/>
  <c r="R20" i="88"/>
  <c r="S19" i="88"/>
  <c r="R19" i="88"/>
  <c r="S18" i="88"/>
  <c r="R18" i="88"/>
  <c r="S17" i="88"/>
  <c r="R17" i="88"/>
  <c r="S16" i="88"/>
  <c r="R16" i="88"/>
  <c r="S15" i="88"/>
  <c r="R15" i="88"/>
  <c r="S14" i="88"/>
  <c r="R14" i="88"/>
  <c r="S13" i="88"/>
  <c r="R13" i="88"/>
  <c r="S12" i="88"/>
  <c r="R12" i="88"/>
  <c r="S11" i="88"/>
  <c r="R11" i="88"/>
  <c r="S10" i="88"/>
  <c r="R10" i="88"/>
  <c r="S9" i="88"/>
  <c r="R9" i="88"/>
  <c r="O29" i="88"/>
  <c r="O28" i="88"/>
  <c r="O27" i="88"/>
  <c r="V27" i="88" s="1"/>
  <c r="W27" i="88" s="1"/>
  <c r="O26" i="88"/>
  <c r="O25" i="88"/>
  <c r="V25" i="88" s="1"/>
  <c r="W25" i="88" s="1"/>
  <c r="O24" i="88"/>
  <c r="V24" i="88" s="1"/>
  <c r="W24" i="88" s="1"/>
  <c r="O23" i="88"/>
  <c r="O22" i="88"/>
  <c r="O21" i="88"/>
  <c r="O20" i="88"/>
  <c r="O19" i="88"/>
  <c r="O18" i="88"/>
  <c r="O17" i="88"/>
  <c r="O16" i="88"/>
  <c r="O15" i="88"/>
  <c r="O14" i="88"/>
  <c r="O13" i="88"/>
  <c r="O12" i="88"/>
  <c r="O11" i="88"/>
  <c r="O10" i="88"/>
  <c r="N29" i="88"/>
  <c r="N28" i="88"/>
  <c r="N27" i="88"/>
  <c r="N26" i="88"/>
  <c r="N25" i="88"/>
  <c r="N24" i="88"/>
  <c r="N23" i="88"/>
  <c r="N22" i="88"/>
  <c r="N21" i="88"/>
  <c r="N20" i="88"/>
  <c r="N19" i="88"/>
  <c r="N18" i="88"/>
  <c r="N17" i="88"/>
  <c r="N16" i="88"/>
  <c r="N15" i="88"/>
  <c r="N14" i="88"/>
  <c r="N13" i="88"/>
  <c r="N12" i="88"/>
  <c r="N11" i="88"/>
  <c r="N10" i="88"/>
  <c r="N9" i="88"/>
  <c r="O9" i="88"/>
  <c r="O56" i="88"/>
  <c r="N56" i="88"/>
  <c r="U55" i="88"/>
  <c r="T55" i="88"/>
  <c r="Q55" i="88"/>
  <c r="P55" i="88"/>
  <c r="O55" i="88"/>
  <c r="N55" i="88"/>
  <c r="U54" i="88"/>
  <c r="T54" i="88"/>
  <c r="Q54" i="88"/>
  <c r="P54" i="88"/>
  <c r="O54" i="88"/>
  <c r="V54" i="88" s="1"/>
  <c r="N54" i="88"/>
  <c r="U53" i="88"/>
  <c r="T53" i="88"/>
  <c r="Q53" i="88"/>
  <c r="P53" i="88"/>
  <c r="O53" i="88"/>
  <c r="N53" i="88"/>
  <c r="U52" i="88"/>
  <c r="T52" i="88"/>
  <c r="Q52" i="88"/>
  <c r="P52" i="88"/>
  <c r="O52" i="88"/>
  <c r="V52" i="88" s="1"/>
  <c r="W52" i="88" s="1"/>
  <c r="N52" i="88"/>
  <c r="U51" i="88"/>
  <c r="T51" i="88"/>
  <c r="Q51" i="88"/>
  <c r="P51" i="88"/>
  <c r="O51" i="88"/>
  <c r="N51" i="88"/>
  <c r="U50" i="88"/>
  <c r="T50" i="88"/>
  <c r="Q50" i="88"/>
  <c r="P50" i="88"/>
  <c r="O50" i="88"/>
  <c r="V50" i="88" s="1"/>
  <c r="N50" i="88"/>
  <c r="U49" i="88"/>
  <c r="T49" i="88"/>
  <c r="Q49" i="88"/>
  <c r="P49" i="88"/>
  <c r="O49" i="88"/>
  <c r="N49" i="88"/>
  <c r="U48" i="88"/>
  <c r="T48" i="88"/>
  <c r="Q48" i="88"/>
  <c r="P48" i="88"/>
  <c r="O48" i="88"/>
  <c r="V48" i="88" s="1"/>
  <c r="W48" i="88" s="1"/>
  <c r="N48" i="88"/>
  <c r="U47" i="88"/>
  <c r="T47" i="88"/>
  <c r="Q47" i="88"/>
  <c r="P47" i="88"/>
  <c r="O47" i="88"/>
  <c r="N47" i="88"/>
  <c r="U46" i="88"/>
  <c r="T46" i="88"/>
  <c r="Q46" i="88"/>
  <c r="P46" i="88"/>
  <c r="O46" i="88"/>
  <c r="V46" i="88" s="1"/>
  <c r="N46" i="88"/>
  <c r="U45" i="88"/>
  <c r="T45" i="88"/>
  <c r="Q45" i="88"/>
  <c r="P45" i="88"/>
  <c r="O45" i="88"/>
  <c r="N45" i="88"/>
  <c r="U44" i="88"/>
  <c r="T44" i="88"/>
  <c r="Q44" i="88"/>
  <c r="P44" i="88"/>
  <c r="O44" i="88"/>
  <c r="V44" i="88" s="1"/>
  <c r="W44" i="88" s="1"/>
  <c r="N44" i="88"/>
  <c r="U43" i="88"/>
  <c r="T43" i="88"/>
  <c r="Q43" i="88"/>
  <c r="P43" i="88"/>
  <c r="O43" i="88"/>
  <c r="N43" i="88"/>
  <c r="O19" i="87"/>
  <c r="O18" i="87"/>
  <c r="O17" i="87"/>
  <c r="O16" i="87"/>
  <c r="O15" i="87"/>
  <c r="O14" i="87"/>
  <c r="O13" i="87"/>
  <c r="O12" i="87"/>
  <c r="O11" i="87"/>
  <c r="O10" i="87"/>
  <c r="O9" i="87"/>
  <c r="N19" i="87"/>
  <c r="N18" i="87"/>
  <c r="N17" i="87"/>
  <c r="N16" i="87"/>
  <c r="N15" i="87"/>
  <c r="N14" i="87"/>
  <c r="N13" i="87"/>
  <c r="N12" i="87"/>
  <c r="N11" i="87"/>
  <c r="N10" i="87"/>
  <c r="N9" i="87"/>
  <c r="U36" i="87"/>
  <c r="T36" i="87"/>
  <c r="S36" i="87"/>
  <c r="R36" i="87"/>
  <c r="Q36" i="87"/>
  <c r="P36" i="87"/>
  <c r="N36" i="87" s="1"/>
  <c r="U35" i="87"/>
  <c r="T35" i="87"/>
  <c r="S35" i="87"/>
  <c r="R35" i="87"/>
  <c r="N35" i="87" s="1"/>
  <c r="Q35" i="87"/>
  <c r="P35" i="87"/>
  <c r="O35" i="87"/>
  <c r="V35" i="87" s="1"/>
  <c r="W35" i="87" s="1"/>
  <c r="U34" i="87"/>
  <c r="T34" i="87"/>
  <c r="S34" i="87"/>
  <c r="R34" i="87"/>
  <c r="Q34" i="87"/>
  <c r="P34" i="87"/>
  <c r="U33" i="87"/>
  <c r="O33" i="87" s="1"/>
  <c r="V33" i="87" s="1"/>
  <c r="W33" i="87" s="1"/>
  <c r="T33" i="87"/>
  <c r="S33" i="87"/>
  <c r="R33" i="87"/>
  <c r="Q33" i="87"/>
  <c r="P33" i="87"/>
  <c r="N33" i="87"/>
  <c r="U32" i="87"/>
  <c r="T32" i="87"/>
  <c r="S32" i="87"/>
  <c r="R32" i="87"/>
  <c r="Q32" i="87"/>
  <c r="P32" i="87"/>
  <c r="N32" i="87" s="1"/>
  <c r="U31" i="87"/>
  <c r="O31" i="87" s="1"/>
  <c r="V31" i="87" s="1"/>
  <c r="W31" i="87" s="1"/>
  <c r="T31" i="87"/>
  <c r="S31" i="87"/>
  <c r="R31" i="87"/>
  <c r="Q31" i="87"/>
  <c r="P31" i="87"/>
  <c r="N31" i="87" s="1"/>
  <c r="U30" i="87"/>
  <c r="T30" i="87"/>
  <c r="S30" i="87"/>
  <c r="R30" i="87"/>
  <c r="Q30" i="87"/>
  <c r="P30" i="87"/>
  <c r="N30" i="87" s="1"/>
  <c r="U29" i="87"/>
  <c r="T29" i="87"/>
  <c r="O29" i="87" s="1"/>
  <c r="V29" i="87" s="1"/>
  <c r="W29" i="87" s="1"/>
  <c r="S29" i="87"/>
  <c r="R29" i="87"/>
  <c r="Q29" i="87"/>
  <c r="P29" i="87"/>
  <c r="U28" i="87"/>
  <c r="T28" i="87"/>
  <c r="S28" i="87"/>
  <c r="R28" i="87"/>
  <c r="Q28" i="87"/>
  <c r="P28" i="87"/>
  <c r="U27" i="87"/>
  <c r="O27" i="87" s="1"/>
  <c r="V27" i="87" s="1"/>
  <c r="W27" i="87" s="1"/>
  <c r="T27" i="87"/>
  <c r="S27" i="87"/>
  <c r="R27" i="87"/>
  <c r="Q27" i="87"/>
  <c r="P27" i="87"/>
  <c r="N27" i="87"/>
  <c r="U26" i="87"/>
  <c r="T26" i="87"/>
  <c r="S26" i="87"/>
  <c r="R26" i="87"/>
  <c r="Q26" i="87"/>
  <c r="P26" i="87"/>
  <c r="U34" i="86"/>
  <c r="T34" i="86"/>
  <c r="S34" i="86"/>
  <c r="R34" i="86"/>
  <c r="Q34" i="86"/>
  <c r="P34" i="86"/>
  <c r="O34" i="86"/>
  <c r="N34" i="86"/>
  <c r="U33" i="86"/>
  <c r="T33" i="86"/>
  <c r="S33" i="86"/>
  <c r="R33" i="86"/>
  <c r="Q33" i="86"/>
  <c r="V33" i="86" s="1"/>
  <c r="W33" i="86" s="1"/>
  <c r="P33" i="86"/>
  <c r="O33" i="86"/>
  <c r="N33" i="86"/>
  <c r="U32" i="86"/>
  <c r="W32" i="86" s="1"/>
  <c r="T32" i="86"/>
  <c r="V32" i="86" s="1"/>
  <c r="S32" i="86"/>
  <c r="R32" i="86"/>
  <c r="Q32" i="86"/>
  <c r="P32" i="86"/>
  <c r="O32" i="86"/>
  <c r="N32" i="86"/>
  <c r="U31" i="86"/>
  <c r="T31" i="86"/>
  <c r="S31" i="86"/>
  <c r="V31" i="86" s="1"/>
  <c r="W31" i="86" s="1"/>
  <c r="R31" i="86"/>
  <c r="Q31" i="86"/>
  <c r="P31" i="86"/>
  <c r="O31" i="86"/>
  <c r="N31" i="86"/>
  <c r="U30" i="86"/>
  <c r="T30" i="86"/>
  <c r="S30" i="86"/>
  <c r="R30" i="86"/>
  <c r="Q30" i="86"/>
  <c r="P30" i="86"/>
  <c r="O30" i="86"/>
  <c r="N30" i="86"/>
  <c r="U29" i="86"/>
  <c r="T29" i="86"/>
  <c r="S29" i="86"/>
  <c r="R29" i="86"/>
  <c r="Q29" i="86"/>
  <c r="P29" i="86"/>
  <c r="O29" i="86"/>
  <c r="V29" i="86" s="1"/>
  <c r="W29" i="86" s="1"/>
  <c r="N29" i="86"/>
  <c r="U28" i="86"/>
  <c r="T28" i="86"/>
  <c r="V28" i="86" s="1"/>
  <c r="S28" i="86"/>
  <c r="R28" i="86"/>
  <c r="Q28" i="86"/>
  <c r="P28" i="86"/>
  <c r="O28" i="86"/>
  <c r="N28" i="86"/>
  <c r="U27" i="86"/>
  <c r="T27" i="86"/>
  <c r="S27" i="86"/>
  <c r="R27" i="86"/>
  <c r="Q27" i="86"/>
  <c r="P27" i="86"/>
  <c r="O27" i="86"/>
  <c r="V27" i="86" s="1"/>
  <c r="W27" i="86" s="1"/>
  <c r="N27" i="86"/>
  <c r="U26" i="86"/>
  <c r="T26" i="86"/>
  <c r="S26" i="86"/>
  <c r="R26" i="86"/>
  <c r="Q26" i="86"/>
  <c r="P26" i="86"/>
  <c r="O26" i="86"/>
  <c r="N26" i="86"/>
  <c r="V25" i="86"/>
  <c r="U25" i="86"/>
  <c r="T25" i="86"/>
  <c r="S25" i="86"/>
  <c r="R25" i="86"/>
  <c r="Q25" i="86"/>
  <c r="P25" i="86"/>
  <c r="O25" i="86"/>
  <c r="N25" i="86"/>
  <c r="U24" i="86"/>
  <c r="T24" i="86"/>
  <c r="S24" i="86"/>
  <c r="R24" i="86"/>
  <c r="Q24" i="86"/>
  <c r="P24" i="86"/>
  <c r="O24" i="86"/>
  <c r="N24" i="86"/>
  <c r="U23" i="86"/>
  <c r="T23" i="86"/>
  <c r="S23" i="86"/>
  <c r="R23" i="86"/>
  <c r="Q23" i="86"/>
  <c r="P23" i="86"/>
  <c r="O23" i="86"/>
  <c r="V23" i="86" s="1"/>
  <c r="N23" i="86"/>
  <c r="U22" i="86"/>
  <c r="T22" i="86"/>
  <c r="S22" i="86"/>
  <c r="R22" i="86"/>
  <c r="Q22" i="86"/>
  <c r="P22" i="86"/>
  <c r="O22" i="86"/>
  <c r="N22" i="86"/>
  <c r="U21" i="86"/>
  <c r="T21" i="86"/>
  <c r="S21" i="86"/>
  <c r="V21" i="86" s="1"/>
  <c r="W21" i="86" s="1"/>
  <c r="R21" i="86"/>
  <c r="Q21" i="86"/>
  <c r="P21" i="86"/>
  <c r="O21" i="86"/>
  <c r="N21" i="86"/>
  <c r="U20" i="86"/>
  <c r="T20" i="86"/>
  <c r="S20" i="86"/>
  <c r="R20" i="86"/>
  <c r="Q20" i="86"/>
  <c r="P20" i="86"/>
  <c r="O20" i="86"/>
  <c r="N20" i="86"/>
  <c r="U19" i="86"/>
  <c r="T19" i="86"/>
  <c r="S19" i="86"/>
  <c r="R19" i="86"/>
  <c r="Q19" i="86"/>
  <c r="P19" i="86"/>
  <c r="O19" i="86"/>
  <c r="V19" i="86" s="1"/>
  <c r="N19" i="86"/>
  <c r="U18" i="86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V17" i="86" s="1"/>
  <c r="W17" i="86" s="1"/>
  <c r="N17" i="86"/>
  <c r="U16" i="86"/>
  <c r="W16" i="86" s="1"/>
  <c r="T16" i="86"/>
  <c r="V16" i="86" s="1"/>
  <c r="S16" i="86"/>
  <c r="R16" i="86"/>
  <c r="Q16" i="86"/>
  <c r="P16" i="86"/>
  <c r="O16" i="86"/>
  <c r="N16" i="86"/>
  <c r="U15" i="86"/>
  <c r="T15" i="86"/>
  <c r="S15" i="86"/>
  <c r="V15" i="86" s="1"/>
  <c r="W15" i="86" s="1"/>
  <c r="R15" i="86"/>
  <c r="Q15" i="86"/>
  <c r="P15" i="86"/>
  <c r="O15" i="86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V13" i="86" s="1"/>
  <c r="W13" i="86" s="1"/>
  <c r="N13" i="86"/>
  <c r="U12" i="86"/>
  <c r="T12" i="86"/>
  <c r="V12" i="86" s="1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V11" i="86" s="1"/>
  <c r="W11" i="86" s="1"/>
  <c r="N11" i="86"/>
  <c r="U10" i="86"/>
  <c r="T10" i="86"/>
  <c r="S10" i="86"/>
  <c r="R10" i="86"/>
  <c r="Q10" i="86"/>
  <c r="P10" i="86"/>
  <c r="O10" i="86"/>
  <c r="N10" i="86"/>
  <c r="Q9" i="86"/>
  <c r="U63" i="86"/>
  <c r="T63" i="86"/>
  <c r="S63" i="86"/>
  <c r="R63" i="86"/>
  <c r="Q63" i="86"/>
  <c r="V63" i="86" s="1"/>
  <c r="P63" i="86"/>
  <c r="O63" i="86"/>
  <c r="N63" i="86"/>
  <c r="U62" i="86"/>
  <c r="T62" i="86"/>
  <c r="S62" i="86"/>
  <c r="R62" i="86"/>
  <c r="Q62" i="86"/>
  <c r="P62" i="86"/>
  <c r="O62" i="86"/>
  <c r="V61" i="86" s="1"/>
  <c r="N62" i="86"/>
  <c r="U61" i="86"/>
  <c r="T61" i="86"/>
  <c r="S61" i="86"/>
  <c r="R61" i="86"/>
  <c r="Q61" i="86"/>
  <c r="P61" i="86"/>
  <c r="O61" i="86"/>
  <c r="V58" i="86" s="1"/>
  <c r="W58" i="86" s="1"/>
  <c r="N61" i="86"/>
  <c r="U60" i="86"/>
  <c r="T60" i="86"/>
  <c r="S60" i="86"/>
  <c r="R60" i="86"/>
  <c r="Q60" i="86"/>
  <c r="P60" i="86"/>
  <c r="O60" i="86"/>
  <c r="N60" i="86"/>
  <c r="U59" i="86"/>
  <c r="T59" i="86"/>
  <c r="S59" i="86"/>
  <c r="V52" i="86" s="1"/>
  <c r="W52" i="86" s="1"/>
  <c r="R59" i="86"/>
  <c r="Q59" i="86"/>
  <c r="P59" i="86"/>
  <c r="O59" i="86"/>
  <c r="N59" i="86"/>
  <c r="U58" i="86"/>
  <c r="T58" i="86"/>
  <c r="S58" i="86"/>
  <c r="R58" i="86"/>
  <c r="Q58" i="86"/>
  <c r="P58" i="86"/>
  <c r="O58" i="86"/>
  <c r="N58" i="86"/>
  <c r="U57" i="86"/>
  <c r="T57" i="86"/>
  <c r="S57" i="86"/>
  <c r="R57" i="86"/>
  <c r="Q57" i="86"/>
  <c r="V50" i="86" s="1"/>
  <c r="W50" i="86" s="1"/>
  <c r="P57" i="86"/>
  <c r="O57" i="86"/>
  <c r="N57" i="86"/>
  <c r="U56" i="86"/>
  <c r="T56" i="86"/>
  <c r="V56" i="86" s="1"/>
  <c r="W56" i="86" s="1"/>
  <c r="S56" i="86"/>
  <c r="R56" i="86"/>
  <c r="Q56" i="86"/>
  <c r="P56" i="86"/>
  <c r="O56" i="86"/>
  <c r="N56" i="86"/>
  <c r="U55" i="86"/>
  <c r="T55" i="86"/>
  <c r="S55" i="86"/>
  <c r="R55" i="86"/>
  <c r="Q55" i="86"/>
  <c r="P55" i="86"/>
  <c r="O55" i="86"/>
  <c r="N55" i="86"/>
  <c r="U54" i="86"/>
  <c r="T54" i="86"/>
  <c r="S54" i="86"/>
  <c r="R54" i="86"/>
  <c r="Q54" i="86"/>
  <c r="P54" i="86"/>
  <c r="O54" i="86"/>
  <c r="N54" i="86"/>
  <c r="U53" i="86"/>
  <c r="T53" i="86"/>
  <c r="S53" i="86"/>
  <c r="R53" i="86"/>
  <c r="Q53" i="86"/>
  <c r="P53" i="86"/>
  <c r="O53" i="86"/>
  <c r="N53" i="86"/>
  <c r="U52" i="86"/>
  <c r="T52" i="86"/>
  <c r="S52" i="86"/>
  <c r="R52" i="86"/>
  <c r="Q52" i="86"/>
  <c r="P52" i="86"/>
  <c r="O52" i="86"/>
  <c r="N52" i="86"/>
  <c r="U51" i="86"/>
  <c r="T51" i="86"/>
  <c r="S51" i="86"/>
  <c r="R51" i="86"/>
  <c r="Q51" i="86"/>
  <c r="P51" i="86"/>
  <c r="O51" i="86"/>
  <c r="N51" i="86"/>
  <c r="U50" i="86"/>
  <c r="T50" i="86"/>
  <c r="S50" i="86"/>
  <c r="R50" i="86"/>
  <c r="Q50" i="86"/>
  <c r="P50" i="86"/>
  <c r="O50" i="86"/>
  <c r="N50" i="86"/>
  <c r="U49" i="86"/>
  <c r="T49" i="86"/>
  <c r="S49" i="86"/>
  <c r="R49" i="86"/>
  <c r="Q49" i="86"/>
  <c r="P49" i="86"/>
  <c r="O49" i="86"/>
  <c r="N49" i="86"/>
  <c r="V48" i="86"/>
  <c r="W48" i="86" s="1"/>
  <c r="U48" i="86"/>
  <c r="T48" i="86"/>
  <c r="S48" i="86"/>
  <c r="R48" i="86"/>
  <c r="Q48" i="86"/>
  <c r="P48" i="86"/>
  <c r="O48" i="86"/>
  <c r="N48" i="86"/>
  <c r="U47" i="86"/>
  <c r="T47" i="86"/>
  <c r="S47" i="86"/>
  <c r="R47" i="86"/>
  <c r="Q47" i="86"/>
  <c r="P47" i="86"/>
  <c r="O47" i="86"/>
  <c r="N47" i="86"/>
  <c r="AF36" i="85"/>
  <c r="Q24" i="85"/>
  <c r="Q23" i="85"/>
  <c r="Q22" i="85"/>
  <c r="Q21" i="85"/>
  <c r="Q20" i="85"/>
  <c r="Q19" i="85"/>
  <c r="Q18" i="85"/>
  <c r="Q17" i="85"/>
  <c r="Q16" i="85"/>
  <c r="Q15" i="85"/>
  <c r="Q14" i="85"/>
  <c r="Q13" i="85"/>
  <c r="Q12" i="85"/>
  <c r="Q11" i="85"/>
  <c r="Q10" i="85"/>
  <c r="Q9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V53" i="86" l="1"/>
  <c r="V14" i="86"/>
  <c r="V30" i="86"/>
  <c r="W30" i="86" s="1"/>
  <c r="N34" i="87"/>
  <c r="V45" i="88"/>
  <c r="W45" i="88" s="1"/>
  <c r="V49" i="88"/>
  <c r="W49" i="88" s="1"/>
  <c r="V53" i="88"/>
  <c r="W53" i="88" s="1"/>
  <c r="V59" i="86"/>
  <c r="N29" i="87"/>
  <c r="V54" i="86"/>
  <c r="W54" i="86" s="1"/>
  <c r="V34" i="86"/>
  <c r="W34" i="86" s="1"/>
  <c r="V47" i="86"/>
  <c r="W57" i="86"/>
  <c r="W19" i="86"/>
  <c r="V20" i="86"/>
  <c r="N28" i="87"/>
  <c r="V49" i="86"/>
  <c r="W49" i="86" s="1"/>
  <c r="W59" i="86"/>
  <c r="V22" i="86"/>
  <c r="W22" i="86" s="1"/>
  <c r="N26" i="87"/>
  <c r="V43" i="88"/>
  <c r="W43" i="88" s="1"/>
  <c r="V47" i="88"/>
  <c r="W47" i="88" s="1"/>
  <c r="V51" i="88"/>
  <c r="W51" i="88" s="1"/>
  <c r="V55" i="88"/>
  <c r="W55" i="88" s="1"/>
  <c r="V51" i="86"/>
  <c r="W51" i="86" s="1"/>
  <c r="V60" i="86"/>
  <c r="W60" i="86" s="1"/>
  <c r="W23" i="86"/>
  <c r="V24" i="86"/>
  <c r="W24" i="86" s="1"/>
  <c r="V18" i="86"/>
  <c r="W18" i="86" s="1"/>
  <c r="V22" i="88"/>
  <c r="W22" i="88" s="1"/>
  <c r="V57" i="86"/>
  <c r="V62" i="86"/>
  <c r="W62" i="86" s="1"/>
  <c r="V10" i="86"/>
  <c r="W25" i="86"/>
  <c r="V26" i="86"/>
  <c r="W46" i="88"/>
  <c r="W50" i="88"/>
  <c r="W54" i="88"/>
  <c r="V26" i="88"/>
  <c r="W26" i="88" s="1"/>
  <c r="O26" i="87"/>
  <c r="V26" i="87" s="1"/>
  <c r="W26" i="87" s="1"/>
  <c r="O28" i="87"/>
  <c r="V28" i="87" s="1"/>
  <c r="W28" i="87" s="1"/>
  <c r="O30" i="87"/>
  <c r="V30" i="87" s="1"/>
  <c r="W30" i="87" s="1"/>
  <c r="O32" i="87"/>
  <c r="V32" i="87" s="1"/>
  <c r="W32" i="87" s="1"/>
  <c r="O34" i="87"/>
  <c r="V34" i="87" s="1"/>
  <c r="W34" i="87" s="1"/>
  <c r="O36" i="87"/>
  <c r="V36" i="87" s="1"/>
  <c r="W36" i="87" s="1"/>
  <c r="W10" i="86"/>
  <c r="W26" i="86"/>
  <c r="W12" i="86"/>
  <c r="W20" i="86"/>
  <c r="W28" i="86"/>
  <c r="W14" i="86"/>
  <c r="W53" i="86"/>
  <c r="W61" i="86"/>
  <c r="W47" i="86"/>
  <c r="W63" i="86"/>
  <c r="V55" i="86"/>
  <c r="W55" i="86" s="1"/>
  <c r="Q51" i="85"/>
  <c r="P51" i="85"/>
  <c r="Q50" i="85"/>
  <c r="P50" i="85"/>
  <c r="Q49" i="85"/>
  <c r="P49" i="85"/>
  <c r="V48" i="85"/>
  <c r="U48" i="85"/>
  <c r="T48" i="85"/>
  <c r="S48" i="85"/>
  <c r="R48" i="85"/>
  <c r="Q48" i="85"/>
  <c r="V47" i="85" s="1"/>
  <c r="W47" i="85" s="1"/>
  <c r="P48" i="85"/>
  <c r="N48" i="85"/>
  <c r="U47" i="85"/>
  <c r="T47" i="85"/>
  <c r="S47" i="85"/>
  <c r="R47" i="85"/>
  <c r="Q47" i="85"/>
  <c r="P47" i="85"/>
  <c r="N47" i="85"/>
  <c r="U46" i="85"/>
  <c r="T46" i="85"/>
  <c r="S46" i="85"/>
  <c r="R46" i="85"/>
  <c r="Q46" i="85"/>
  <c r="P46" i="85"/>
  <c r="N46" i="85"/>
  <c r="U45" i="85"/>
  <c r="T45" i="85"/>
  <c r="V45" i="85" s="1"/>
  <c r="S45" i="85"/>
  <c r="R45" i="85"/>
  <c r="Q45" i="85"/>
  <c r="P45" i="85"/>
  <c r="N45" i="85"/>
  <c r="U44" i="85"/>
  <c r="T44" i="85"/>
  <c r="V44" i="85" s="1"/>
  <c r="S44" i="85"/>
  <c r="R44" i="85"/>
  <c r="Q44" i="85"/>
  <c r="P44" i="85"/>
  <c r="N44" i="85"/>
  <c r="U43" i="85"/>
  <c r="T43" i="85"/>
  <c r="V43" i="85" s="1"/>
  <c r="W43" i="85" s="1"/>
  <c r="S43" i="85"/>
  <c r="R43" i="85"/>
  <c r="Q43" i="85"/>
  <c r="P43" i="85"/>
  <c r="N43" i="85"/>
  <c r="U42" i="85"/>
  <c r="T42" i="85"/>
  <c r="S42" i="85"/>
  <c r="V42" i="85" s="1"/>
  <c r="W42" i="85" s="1"/>
  <c r="R42" i="85"/>
  <c r="Q42" i="85"/>
  <c r="P42" i="85"/>
  <c r="N42" i="85"/>
  <c r="U41" i="85"/>
  <c r="W41" i="85" s="1"/>
  <c r="T41" i="85"/>
  <c r="S41" i="85"/>
  <c r="V41" i="85" s="1"/>
  <c r="R41" i="85"/>
  <c r="Q41" i="85"/>
  <c r="P41" i="85"/>
  <c r="N41" i="85"/>
  <c r="U40" i="85"/>
  <c r="T40" i="85"/>
  <c r="S40" i="85"/>
  <c r="R40" i="85"/>
  <c r="Q40" i="85"/>
  <c r="P40" i="85"/>
  <c r="N40" i="85"/>
  <c r="U39" i="85"/>
  <c r="T39" i="85"/>
  <c r="S39" i="85"/>
  <c r="R39" i="85"/>
  <c r="Q39" i="85"/>
  <c r="V39" i="85" s="1"/>
  <c r="W39" i="85" s="1"/>
  <c r="P39" i="85"/>
  <c r="N39" i="85"/>
  <c r="U38" i="85"/>
  <c r="T38" i="85"/>
  <c r="S38" i="85"/>
  <c r="V38" i="85" s="1"/>
  <c r="W38" i="85" s="1"/>
  <c r="R38" i="85"/>
  <c r="Q38" i="85"/>
  <c r="P38" i="85"/>
  <c r="N38" i="85"/>
  <c r="U37" i="85"/>
  <c r="T37" i="85"/>
  <c r="S37" i="85"/>
  <c r="R37" i="85"/>
  <c r="Q37" i="85"/>
  <c r="V37" i="85" s="1"/>
  <c r="P37" i="85"/>
  <c r="N37" i="85"/>
  <c r="U36" i="85"/>
  <c r="T36" i="85"/>
  <c r="S36" i="85"/>
  <c r="R36" i="85"/>
  <c r="Q36" i="85"/>
  <c r="V36" i="85" s="1"/>
  <c r="P36" i="85"/>
  <c r="N36" i="85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Q9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O9" i="83"/>
  <c r="O54" i="83"/>
  <c r="N54" i="83"/>
  <c r="Q53" i="83"/>
  <c r="P53" i="83"/>
  <c r="O53" i="83"/>
  <c r="N53" i="83"/>
  <c r="Q52" i="83"/>
  <c r="P52" i="83"/>
  <c r="O52" i="83"/>
  <c r="N52" i="83"/>
  <c r="Q51" i="83"/>
  <c r="V45" i="83" s="1"/>
  <c r="W45" i="83" s="1"/>
  <c r="P51" i="83"/>
  <c r="O51" i="83"/>
  <c r="N51" i="83"/>
  <c r="Q50" i="83"/>
  <c r="P50" i="83"/>
  <c r="O50" i="83"/>
  <c r="N50" i="83"/>
  <c r="Q49" i="83"/>
  <c r="P49" i="83"/>
  <c r="O49" i="83"/>
  <c r="N49" i="83"/>
  <c r="Q48" i="83"/>
  <c r="P48" i="83"/>
  <c r="O48" i="83"/>
  <c r="N48" i="83"/>
  <c r="V47" i="83"/>
  <c r="W47" i="83" s="1"/>
  <c r="U47" i="83"/>
  <c r="T47" i="83"/>
  <c r="S47" i="83"/>
  <c r="R47" i="83"/>
  <c r="Q47" i="83"/>
  <c r="P47" i="83"/>
  <c r="O47" i="83"/>
  <c r="N47" i="83"/>
  <c r="U46" i="83"/>
  <c r="T46" i="83"/>
  <c r="S46" i="83"/>
  <c r="R46" i="83"/>
  <c r="Q46" i="83"/>
  <c r="P46" i="83"/>
  <c r="O46" i="83"/>
  <c r="V43" i="83" s="1"/>
  <c r="W43" i="83" s="1"/>
  <c r="N46" i="83"/>
  <c r="U45" i="83"/>
  <c r="T45" i="83"/>
  <c r="S45" i="83"/>
  <c r="R45" i="83"/>
  <c r="Q45" i="83"/>
  <c r="P45" i="83"/>
  <c r="O45" i="83"/>
  <c r="N45" i="83"/>
  <c r="U44" i="83"/>
  <c r="T44" i="83"/>
  <c r="S44" i="83"/>
  <c r="R44" i="83"/>
  <c r="Q44" i="83"/>
  <c r="V41" i="83" s="1"/>
  <c r="W41" i="83" s="1"/>
  <c r="P44" i="83"/>
  <c r="O44" i="83"/>
  <c r="N44" i="83"/>
  <c r="U43" i="83"/>
  <c r="T43" i="83"/>
  <c r="S43" i="83"/>
  <c r="R43" i="83"/>
  <c r="Q43" i="83"/>
  <c r="P43" i="83"/>
  <c r="O43" i="83"/>
  <c r="N43" i="83"/>
  <c r="U42" i="83"/>
  <c r="T42" i="83"/>
  <c r="S42" i="83"/>
  <c r="R42" i="83"/>
  <c r="Q42" i="83"/>
  <c r="P42" i="83"/>
  <c r="O42" i="83"/>
  <c r="N42" i="83"/>
  <c r="U41" i="83"/>
  <c r="T41" i="83"/>
  <c r="S41" i="83"/>
  <c r="R41" i="83"/>
  <c r="Q41" i="83"/>
  <c r="P41" i="83"/>
  <c r="O41" i="83"/>
  <c r="N41" i="83"/>
  <c r="U40" i="83"/>
  <c r="T40" i="83"/>
  <c r="S40" i="83"/>
  <c r="R40" i="83"/>
  <c r="Q40" i="83"/>
  <c r="V39" i="83" s="1"/>
  <c r="W39" i="83" s="1"/>
  <c r="P40" i="83"/>
  <c r="O40" i="83"/>
  <c r="N40" i="83"/>
  <c r="U39" i="83"/>
  <c r="T39" i="83"/>
  <c r="S39" i="83"/>
  <c r="R39" i="83"/>
  <c r="Q39" i="83"/>
  <c r="P39" i="83"/>
  <c r="O39" i="83"/>
  <c r="N39" i="83"/>
  <c r="U38" i="83"/>
  <c r="T38" i="83"/>
  <c r="S38" i="83"/>
  <c r="R38" i="83"/>
  <c r="Q38" i="83"/>
  <c r="P38" i="83"/>
  <c r="O38" i="83"/>
  <c r="N38" i="83"/>
  <c r="U37" i="83"/>
  <c r="T37" i="83"/>
  <c r="S37" i="83"/>
  <c r="V37" i="83" s="1"/>
  <c r="W37" i="83" s="1"/>
  <c r="R37" i="83"/>
  <c r="Q37" i="83"/>
  <c r="P37" i="83"/>
  <c r="O37" i="83"/>
  <c r="N37" i="83"/>
  <c r="V20" i="82"/>
  <c r="W20" i="82" s="1"/>
  <c r="V17" i="82"/>
  <c r="W17" i="82" s="1"/>
  <c r="V12" i="82"/>
  <c r="W12" i="82" s="1"/>
  <c r="N26" i="82"/>
  <c r="N24" i="82"/>
  <c r="N23" i="82"/>
  <c r="N22" i="82"/>
  <c r="N21" i="82"/>
  <c r="N20" i="82"/>
  <c r="N19" i="82"/>
  <c r="N18" i="82"/>
  <c r="N17" i="82"/>
  <c r="N16" i="82"/>
  <c r="N15" i="82"/>
  <c r="N14" i="82"/>
  <c r="N13" i="82"/>
  <c r="N12" i="82"/>
  <c r="N11" i="82"/>
  <c r="N10" i="82"/>
  <c r="N9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Q9" i="82"/>
  <c r="R26" i="82"/>
  <c r="R25" i="82"/>
  <c r="R24" i="82"/>
  <c r="R23" i="82"/>
  <c r="R22" i="82"/>
  <c r="R21" i="82"/>
  <c r="R20" i="82"/>
  <c r="R19" i="82"/>
  <c r="R18" i="82"/>
  <c r="R17" i="82"/>
  <c r="R16" i="82"/>
  <c r="R15" i="82"/>
  <c r="R14" i="82"/>
  <c r="R13" i="82"/>
  <c r="R12" i="82"/>
  <c r="R11" i="82"/>
  <c r="R10" i="82"/>
  <c r="S9" i="82"/>
  <c r="N25" i="82"/>
  <c r="U26" i="82"/>
  <c r="T26" i="82"/>
  <c r="V26" i="82" s="1"/>
  <c r="W26" i="82" s="1"/>
  <c r="U25" i="82"/>
  <c r="T25" i="82"/>
  <c r="V25" i="82" s="1"/>
  <c r="W25" i="82" s="1"/>
  <c r="U24" i="82"/>
  <c r="W24" i="82" s="1"/>
  <c r="T24" i="82"/>
  <c r="V24" i="82" s="1"/>
  <c r="U23" i="82"/>
  <c r="T23" i="82"/>
  <c r="V23" i="82" s="1"/>
  <c r="W23" i="82" s="1"/>
  <c r="U22" i="82"/>
  <c r="T22" i="82"/>
  <c r="V22" i="82" s="1"/>
  <c r="W22" i="82" s="1"/>
  <c r="U21" i="82"/>
  <c r="T21" i="82"/>
  <c r="V21" i="82" s="1"/>
  <c r="W21" i="82" s="1"/>
  <c r="U20" i="82"/>
  <c r="T20" i="82"/>
  <c r="U19" i="82"/>
  <c r="T19" i="82"/>
  <c r="V19" i="82" s="1"/>
  <c r="W19" i="82" s="1"/>
  <c r="U18" i="82"/>
  <c r="T18" i="82"/>
  <c r="V18" i="82" s="1"/>
  <c r="W18" i="82" s="1"/>
  <c r="U17" i="82"/>
  <c r="T17" i="82"/>
  <c r="U16" i="82"/>
  <c r="T16" i="82"/>
  <c r="V16" i="82" s="1"/>
  <c r="W16" i="82" s="1"/>
  <c r="U15" i="82"/>
  <c r="T15" i="82"/>
  <c r="V15" i="82" s="1"/>
  <c r="W15" i="82" s="1"/>
  <c r="U14" i="82"/>
  <c r="T14" i="82"/>
  <c r="V14" i="82" s="1"/>
  <c r="W14" i="82" s="1"/>
  <c r="U13" i="82"/>
  <c r="T13" i="82"/>
  <c r="V13" i="82" s="1"/>
  <c r="W13" i="82" s="1"/>
  <c r="U12" i="82"/>
  <c r="T12" i="82"/>
  <c r="U11" i="82"/>
  <c r="T11" i="82"/>
  <c r="V11" i="82" s="1"/>
  <c r="W11" i="82" s="1"/>
  <c r="U10" i="82"/>
  <c r="T10" i="82"/>
  <c r="V10" i="82" s="1"/>
  <c r="W10" i="82" s="1"/>
  <c r="Q45" i="82"/>
  <c r="P45" i="82"/>
  <c r="U44" i="82"/>
  <c r="T44" i="82"/>
  <c r="V44" i="82" s="1"/>
  <c r="Q44" i="82"/>
  <c r="P44" i="82"/>
  <c r="O44" i="82"/>
  <c r="V38" i="82" s="1"/>
  <c r="W38" i="82" s="1"/>
  <c r="N44" i="82"/>
  <c r="U43" i="82"/>
  <c r="T43" i="82"/>
  <c r="V43" i="82" s="1"/>
  <c r="W43" i="82" s="1"/>
  <c r="Q43" i="82"/>
  <c r="P43" i="82"/>
  <c r="O43" i="82"/>
  <c r="N43" i="82"/>
  <c r="U42" i="82"/>
  <c r="T42" i="82"/>
  <c r="S42" i="82"/>
  <c r="R42" i="82"/>
  <c r="Q42" i="82"/>
  <c r="P42" i="82"/>
  <c r="O42" i="82"/>
  <c r="N42" i="82"/>
  <c r="U41" i="82"/>
  <c r="T41" i="82"/>
  <c r="S41" i="82"/>
  <c r="V41" i="82" s="1"/>
  <c r="R41" i="82"/>
  <c r="Q41" i="82"/>
  <c r="P41" i="82"/>
  <c r="O41" i="82"/>
  <c r="N41" i="82"/>
  <c r="U40" i="82"/>
  <c r="T40" i="82"/>
  <c r="S40" i="82"/>
  <c r="R40" i="82"/>
  <c r="Q40" i="82"/>
  <c r="P40" i="82"/>
  <c r="O40" i="82"/>
  <c r="N40" i="82"/>
  <c r="U39" i="82"/>
  <c r="T39" i="82"/>
  <c r="S39" i="82"/>
  <c r="R39" i="82"/>
  <c r="Q39" i="82"/>
  <c r="P39" i="82"/>
  <c r="O39" i="82"/>
  <c r="N39" i="82"/>
  <c r="U38" i="82"/>
  <c r="T38" i="82"/>
  <c r="S38" i="82"/>
  <c r="R38" i="82"/>
  <c r="Q38" i="82"/>
  <c r="P38" i="82"/>
  <c r="O38" i="82"/>
  <c r="N38" i="82"/>
  <c r="U37" i="82"/>
  <c r="T37" i="82"/>
  <c r="S37" i="82"/>
  <c r="R37" i="82"/>
  <c r="Q37" i="82"/>
  <c r="P37" i="82"/>
  <c r="O37" i="82"/>
  <c r="N37" i="82"/>
  <c r="V36" i="82"/>
  <c r="W36" i="82" s="1"/>
  <c r="U36" i="82"/>
  <c r="T36" i="82"/>
  <c r="S36" i="82"/>
  <c r="R36" i="82"/>
  <c r="Q36" i="82"/>
  <c r="P36" i="82"/>
  <c r="O36" i="82"/>
  <c r="N36" i="82"/>
  <c r="U35" i="82"/>
  <c r="T35" i="82"/>
  <c r="S35" i="82"/>
  <c r="R35" i="82"/>
  <c r="Q35" i="82"/>
  <c r="P35" i="82"/>
  <c r="O35" i="82"/>
  <c r="N35" i="82"/>
  <c r="U34" i="82"/>
  <c r="T34" i="82"/>
  <c r="S34" i="82"/>
  <c r="R34" i="82"/>
  <c r="Q34" i="82"/>
  <c r="P34" i="82"/>
  <c r="O34" i="82"/>
  <c r="N34" i="82"/>
  <c r="U33" i="82"/>
  <c r="T33" i="82"/>
  <c r="S33" i="82"/>
  <c r="R33" i="82"/>
  <c r="Q33" i="82"/>
  <c r="P33" i="82"/>
  <c r="O33" i="82"/>
  <c r="N33" i="82"/>
  <c r="W44" i="85" l="1"/>
  <c r="V42" i="83"/>
  <c r="V33" i="82"/>
  <c r="W33" i="82" s="1"/>
  <c r="V44" i="83"/>
  <c r="V46" i="83"/>
  <c r="W46" i="83" s="1"/>
  <c r="V38" i="83"/>
  <c r="W38" i="83" s="1"/>
  <c r="V42" i="82"/>
  <c r="W42" i="82" s="1"/>
  <c r="V46" i="85"/>
  <c r="W46" i="85" s="1"/>
  <c r="V40" i="82"/>
  <c r="W40" i="82" s="1"/>
  <c r="V40" i="83"/>
  <c r="V40" i="85"/>
  <c r="W40" i="85" s="1"/>
  <c r="W48" i="85"/>
  <c r="W37" i="85"/>
  <c r="W36" i="85"/>
  <c r="W45" i="85"/>
  <c r="W40" i="83"/>
  <c r="W42" i="83"/>
  <c r="W44" i="83"/>
  <c r="W44" i="82"/>
  <c r="W39" i="82"/>
  <c r="W35" i="82"/>
  <c r="V39" i="82"/>
  <c r="V35" i="82"/>
  <c r="V37" i="82"/>
  <c r="W37" i="82" s="1"/>
  <c r="W41" i="82"/>
  <c r="S9" i="81"/>
  <c r="Q9" i="81"/>
  <c r="O9" i="81"/>
  <c r="Q41" i="81"/>
  <c r="P41" i="81"/>
  <c r="O41" i="81"/>
  <c r="N41" i="81"/>
  <c r="Q40" i="81"/>
  <c r="P40" i="81"/>
  <c r="O40" i="81"/>
  <c r="N40" i="81"/>
  <c r="Q39" i="81"/>
  <c r="P39" i="81"/>
  <c r="O39" i="81"/>
  <c r="N39" i="81"/>
  <c r="U38" i="81"/>
  <c r="T38" i="81"/>
  <c r="S38" i="81"/>
  <c r="R38" i="81"/>
  <c r="Q38" i="81"/>
  <c r="P38" i="81"/>
  <c r="O38" i="81"/>
  <c r="N38" i="81"/>
  <c r="V37" i="81"/>
  <c r="U37" i="81"/>
  <c r="T37" i="81"/>
  <c r="S37" i="81"/>
  <c r="R37" i="81"/>
  <c r="Q37" i="81"/>
  <c r="P37" i="81"/>
  <c r="O37" i="81"/>
  <c r="N37" i="81"/>
  <c r="U36" i="81"/>
  <c r="T36" i="81"/>
  <c r="S36" i="81"/>
  <c r="R36" i="81"/>
  <c r="Q36" i="81"/>
  <c r="P36" i="81"/>
  <c r="O36" i="81"/>
  <c r="N36" i="81"/>
  <c r="V35" i="81"/>
  <c r="W35" i="81" s="1"/>
  <c r="U35" i="81"/>
  <c r="T35" i="81"/>
  <c r="S35" i="81"/>
  <c r="R35" i="81"/>
  <c r="Q35" i="81"/>
  <c r="P35" i="81"/>
  <c r="O35" i="81"/>
  <c r="N35" i="81"/>
  <c r="U34" i="81"/>
  <c r="T34" i="81"/>
  <c r="S34" i="81"/>
  <c r="R34" i="81"/>
  <c r="Q34" i="81"/>
  <c r="P34" i="81"/>
  <c r="O34" i="81"/>
  <c r="V31" i="81" s="1"/>
  <c r="W31" i="81" s="1"/>
  <c r="N34" i="81"/>
  <c r="U33" i="81"/>
  <c r="T33" i="81"/>
  <c r="V33" i="81" s="1"/>
  <c r="W33" i="81" s="1"/>
  <c r="S33" i="81"/>
  <c r="R33" i="81"/>
  <c r="Q33" i="81"/>
  <c r="P33" i="81"/>
  <c r="O33" i="81"/>
  <c r="V30" i="81" s="1"/>
  <c r="N33" i="81"/>
  <c r="U32" i="81"/>
  <c r="T32" i="81"/>
  <c r="S32" i="81"/>
  <c r="R32" i="81"/>
  <c r="Q32" i="81"/>
  <c r="P32" i="81"/>
  <c r="O32" i="81"/>
  <c r="N32" i="81"/>
  <c r="U31" i="81"/>
  <c r="T31" i="81"/>
  <c r="S31" i="81"/>
  <c r="R31" i="81"/>
  <c r="Q31" i="81"/>
  <c r="P31" i="81"/>
  <c r="O31" i="81"/>
  <c r="N31" i="81"/>
  <c r="U30" i="81"/>
  <c r="T30" i="81"/>
  <c r="S30" i="81"/>
  <c r="R30" i="81"/>
  <c r="Q30" i="81"/>
  <c r="P30" i="81"/>
  <c r="O30" i="81"/>
  <c r="N30" i="81"/>
  <c r="W30" i="81" l="1"/>
  <c r="V34" i="81"/>
  <c r="W34" i="81" s="1"/>
  <c r="V32" i="81"/>
  <c r="V38" i="81"/>
  <c r="W38" i="81" s="1"/>
  <c r="W37" i="81"/>
  <c r="V36" i="81"/>
  <c r="W32" i="81"/>
  <c r="W36" i="81"/>
  <c r="P20" i="80" l="1"/>
  <c r="P19" i="80"/>
  <c r="P18" i="80"/>
  <c r="P17" i="80"/>
  <c r="P16" i="80"/>
  <c r="P15" i="80"/>
  <c r="P14" i="80"/>
  <c r="P13" i="80"/>
  <c r="P12" i="80"/>
  <c r="P11" i="80"/>
  <c r="P10" i="80"/>
  <c r="Q9" i="80"/>
  <c r="N20" i="80"/>
  <c r="N19" i="80"/>
  <c r="N18" i="80"/>
  <c r="N17" i="80"/>
  <c r="N16" i="80"/>
  <c r="N15" i="80"/>
  <c r="N14" i="80"/>
  <c r="N13" i="80"/>
  <c r="N12" i="80"/>
  <c r="N11" i="80"/>
  <c r="N10" i="80"/>
  <c r="U34" i="80"/>
  <c r="T34" i="80"/>
  <c r="S34" i="80"/>
  <c r="R34" i="80"/>
  <c r="Q34" i="80"/>
  <c r="V34" i="80" s="1"/>
  <c r="P34" i="80"/>
  <c r="O34" i="80"/>
  <c r="N34" i="80"/>
  <c r="U33" i="80"/>
  <c r="T33" i="80"/>
  <c r="S33" i="80"/>
  <c r="R33" i="80"/>
  <c r="Q33" i="80"/>
  <c r="V33" i="80" s="1"/>
  <c r="W33" i="80" s="1"/>
  <c r="P33" i="80"/>
  <c r="O33" i="80"/>
  <c r="N33" i="80"/>
  <c r="U32" i="80"/>
  <c r="T32" i="80"/>
  <c r="S32" i="80"/>
  <c r="R32" i="80"/>
  <c r="Q32" i="80"/>
  <c r="V32" i="80" s="1"/>
  <c r="P32" i="80"/>
  <c r="O32" i="80"/>
  <c r="N32" i="80"/>
  <c r="U31" i="80"/>
  <c r="T31" i="80"/>
  <c r="S31" i="80"/>
  <c r="R31" i="80"/>
  <c r="Q31" i="80"/>
  <c r="P31" i="80"/>
  <c r="O31" i="80"/>
  <c r="V31" i="80" s="1"/>
  <c r="W31" i="80" s="1"/>
  <c r="N31" i="80"/>
  <c r="U30" i="80"/>
  <c r="T30" i="80"/>
  <c r="S30" i="80"/>
  <c r="R30" i="80"/>
  <c r="Q30" i="80"/>
  <c r="P30" i="80"/>
  <c r="O30" i="80"/>
  <c r="N30" i="80"/>
  <c r="U29" i="80"/>
  <c r="T29" i="80"/>
  <c r="S29" i="80"/>
  <c r="V29" i="80" s="1"/>
  <c r="W29" i="80" s="1"/>
  <c r="R29" i="80"/>
  <c r="Q29" i="80"/>
  <c r="P29" i="80"/>
  <c r="O29" i="80"/>
  <c r="N29" i="80"/>
  <c r="U28" i="80"/>
  <c r="T28" i="80"/>
  <c r="S28" i="80"/>
  <c r="R28" i="80"/>
  <c r="Q28" i="80"/>
  <c r="P28" i="80"/>
  <c r="O28" i="80"/>
  <c r="N28" i="80"/>
  <c r="U27" i="80"/>
  <c r="T27" i="80"/>
  <c r="V27" i="80" s="1"/>
  <c r="W27" i="80" s="1"/>
  <c r="S27" i="80"/>
  <c r="R27" i="80"/>
  <c r="Q27" i="80"/>
  <c r="P27" i="80"/>
  <c r="O27" i="80"/>
  <c r="N27" i="80"/>
  <c r="U26" i="80"/>
  <c r="T26" i="80"/>
  <c r="S26" i="80"/>
  <c r="R26" i="80"/>
  <c r="Q26" i="80"/>
  <c r="P26" i="80"/>
  <c r="O26" i="80"/>
  <c r="N26" i="80"/>
  <c r="V15" i="79"/>
  <c r="P20" i="79"/>
  <c r="N20" i="79"/>
  <c r="P19" i="79"/>
  <c r="N19" i="79"/>
  <c r="P18" i="79"/>
  <c r="N18" i="79"/>
  <c r="P17" i="79"/>
  <c r="N17" i="79"/>
  <c r="U16" i="79"/>
  <c r="T16" i="79"/>
  <c r="V16" i="79" s="1"/>
  <c r="W16" i="79" s="1"/>
  <c r="P16" i="79"/>
  <c r="N16" i="79"/>
  <c r="U15" i="79"/>
  <c r="T15" i="79"/>
  <c r="P15" i="79"/>
  <c r="N15" i="79"/>
  <c r="U14" i="79"/>
  <c r="T14" i="79"/>
  <c r="V14" i="79" s="1"/>
  <c r="P14" i="79"/>
  <c r="N14" i="79"/>
  <c r="U13" i="79"/>
  <c r="T13" i="79"/>
  <c r="V13" i="79" s="1"/>
  <c r="R13" i="79"/>
  <c r="P13" i="79"/>
  <c r="N13" i="79"/>
  <c r="U12" i="79"/>
  <c r="T12" i="79"/>
  <c r="V12" i="79" s="1"/>
  <c r="R12" i="79"/>
  <c r="P12" i="79"/>
  <c r="N12" i="79"/>
  <c r="U11" i="79"/>
  <c r="T11" i="79"/>
  <c r="R11" i="79"/>
  <c r="P11" i="79"/>
  <c r="N11" i="79"/>
  <c r="U10" i="79"/>
  <c r="T10" i="79"/>
  <c r="V10" i="79" s="1"/>
  <c r="R10" i="79"/>
  <c r="P10" i="79"/>
  <c r="N10" i="79"/>
  <c r="U9" i="79"/>
  <c r="T9" i="79"/>
  <c r="V9" i="79" s="1"/>
  <c r="R9" i="79"/>
  <c r="P9" i="79"/>
  <c r="N9" i="79"/>
  <c r="N27" i="78"/>
  <c r="O27" i="78"/>
  <c r="V27" i="78" s="1"/>
  <c r="P27" i="78"/>
  <c r="Q27" i="78"/>
  <c r="R27" i="78"/>
  <c r="S27" i="78"/>
  <c r="T27" i="78"/>
  <c r="U27" i="78"/>
  <c r="N28" i="78"/>
  <c r="O28" i="78"/>
  <c r="V28" i="78" s="1"/>
  <c r="W28" i="78" s="1"/>
  <c r="P28" i="78"/>
  <c r="Q28" i="78"/>
  <c r="R28" i="78"/>
  <c r="S28" i="78"/>
  <c r="T28" i="78"/>
  <c r="U28" i="78"/>
  <c r="N29" i="78"/>
  <c r="O29" i="78"/>
  <c r="V29" i="78" s="1"/>
  <c r="P29" i="78"/>
  <c r="Q29" i="78"/>
  <c r="R29" i="78"/>
  <c r="S29" i="78"/>
  <c r="V31" i="78" s="1"/>
  <c r="T29" i="78"/>
  <c r="U29" i="78"/>
  <c r="N30" i="78"/>
  <c r="O30" i="78"/>
  <c r="V30" i="78" s="1"/>
  <c r="P30" i="78"/>
  <c r="Q30" i="78"/>
  <c r="R30" i="78"/>
  <c r="S30" i="78"/>
  <c r="T30" i="78"/>
  <c r="U30" i="78"/>
  <c r="N31" i="78"/>
  <c r="O31" i="78"/>
  <c r="P31" i="78"/>
  <c r="Q31" i="78"/>
  <c r="R31" i="78"/>
  <c r="S31" i="78"/>
  <c r="T31" i="78"/>
  <c r="U31" i="78"/>
  <c r="W31" i="78" s="1"/>
  <c r="N32" i="78"/>
  <c r="O32" i="78"/>
  <c r="V32" i="78" s="1"/>
  <c r="W32" i="78" s="1"/>
  <c r="P32" i="78"/>
  <c r="Q32" i="78"/>
  <c r="R32" i="78"/>
  <c r="S32" i="78"/>
  <c r="T32" i="78"/>
  <c r="U32" i="78"/>
  <c r="N33" i="78"/>
  <c r="O33" i="78"/>
  <c r="V33" i="78" s="1"/>
  <c r="W33" i="78" s="1"/>
  <c r="P33" i="78"/>
  <c r="Q33" i="78"/>
  <c r="T33" i="78"/>
  <c r="U33" i="78"/>
  <c r="P37" i="79"/>
  <c r="P36" i="79"/>
  <c r="P35" i="79"/>
  <c r="P34" i="79"/>
  <c r="P33" i="79"/>
  <c r="P32" i="79"/>
  <c r="P31" i="79"/>
  <c r="P30" i="79"/>
  <c r="P29" i="79"/>
  <c r="P28" i="79"/>
  <c r="P27" i="79"/>
  <c r="N37" i="79"/>
  <c r="N36" i="79"/>
  <c r="N35" i="79"/>
  <c r="N34" i="79"/>
  <c r="N33" i="79"/>
  <c r="U51" i="79"/>
  <c r="T51" i="79"/>
  <c r="Q51" i="79"/>
  <c r="P51" i="79"/>
  <c r="O51" i="79"/>
  <c r="N51" i="79"/>
  <c r="U50" i="79"/>
  <c r="T50" i="79"/>
  <c r="S50" i="79"/>
  <c r="R50" i="79"/>
  <c r="Q50" i="79"/>
  <c r="P50" i="79"/>
  <c r="O50" i="79"/>
  <c r="N50" i="79"/>
  <c r="U49" i="79"/>
  <c r="T49" i="79"/>
  <c r="S49" i="79"/>
  <c r="R49" i="79"/>
  <c r="Q49" i="79"/>
  <c r="P49" i="79"/>
  <c r="O49" i="79"/>
  <c r="N49" i="79"/>
  <c r="U48" i="79"/>
  <c r="T48" i="79"/>
  <c r="S48" i="79"/>
  <c r="R48" i="79"/>
  <c r="Q48" i="79"/>
  <c r="P48" i="79"/>
  <c r="O48" i="79"/>
  <c r="N48" i="79"/>
  <c r="U47" i="79"/>
  <c r="T47" i="79"/>
  <c r="S47" i="79"/>
  <c r="R47" i="79"/>
  <c r="Q47" i="79"/>
  <c r="P47" i="79"/>
  <c r="O47" i="79"/>
  <c r="N47" i="79"/>
  <c r="U46" i="79"/>
  <c r="T46" i="79"/>
  <c r="S46" i="79"/>
  <c r="R46" i="79"/>
  <c r="Q46" i="79"/>
  <c r="P46" i="79"/>
  <c r="O46" i="79"/>
  <c r="N46" i="79"/>
  <c r="U45" i="79"/>
  <c r="T45" i="79"/>
  <c r="S45" i="79"/>
  <c r="R45" i="79"/>
  <c r="Q45" i="79"/>
  <c r="P45" i="79"/>
  <c r="O45" i="79"/>
  <c r="N45" i="79"/>
  <c r="U44" i="79"/>
  <c r="T44" i="79"/>
  <c r="S44" i="79"/>
  <c r="R44" i="79"/>
  <c r="Q44" i="79"/>
  <c r="P44" i="79"/>
  <c r="O44" i="79"/>
  <c r="N44" i="79"/>
  <c r="W30" i="78" l="1"/>
  <c r="W29" i="78"/>
  <c r="W27" i="78"/>
  <c r="V26" i="80"/>
  <c r="V28" i="80"/>
  <c r="W28" i="80" s="1"/>
  <c r="V45" i="79"/>
  <c r="W45" i="79" s="1"/>
  <c r="V30" i="80"/>
  <c r="W30" i="80" s="1"/>
  <c r="W32" i="80"/>
  <c r="W26" i="80"/>
  <c r="W34" i="80"/>
  <c r="V50" i="79"/>
  <c r="W50" i="79" s="1"/>
  <c r="W10" i="79"/>
  <c r="W12" i="79"/>
  <c r="V46" i="79"/>
  <c r="W46" i="79" s="1"/>
  <c r="V47" i="79"/>
  <c r="W47" i="79" s="1"/>
  <c r="W9" i="79"/>
  <c r="V11" i="79"/>
  <c r="W11" i="79" s="1"/>
  <c r="W13" i="79"/>
  <c r="W14" i="79"/>
  <c r="W15" i="79"/>
  <c r="V48" i="79"/>
  <c r="W48" i="79" s="1"/>
  <c r="V44" i="79"/>
  <c r="W44" i="79" s="1"/>
  <c r="V49" i="79"/>
  <c r="W49" i="79" s="1"/>
  <c r="V51" i="79"/>
  <c r="W51" i="79" s="1"/>
  <c r="R15" i="78"/>
  <c r="U38" i="78"/>
  <c r="T38" i="78"/>
  <c r="Q38" i="78"/>
  <c r="P38" i="78"/>
  <c r="O38" i="78"/>
  <c r="N38" i="78"/>
  <c r="U37" i="78"/>
  <c r="T37" i="78"/>
  <c r="Q37" i="78"/>
  <c r="P37" i="78"/>
  <c r="O37" i="78"/>
  <c r="V37" i="78" s="1"/>
  <c r="N37" i="78"/>
  <c r="U36" i="78"/>
  <c r="T36" i="78"/>
  <c r="Q36" i="78"/>
  <c r="P36" i="78"/>
  <c r="O36" i="78"/>
  <c r="V36" i="78" s="1"/>
  <c r="N36" i="78"/>
  <c r="U35" i="78"/>
  <c r="T35" i="78"/>
  <c r="Q35" i="78"/>
  <c r="P35" i="78"/>
  <c r="O35" i="78"/>
  <c r="N35" i="78"/>
  <c r="U34" i="78"/>
  <c r="T34" i="78"/>
  <c r="Q34" i="78"/>
  <c r="P34" i="78"/>
  <c r="O34" i="78"/>
  <c r="N34" i="78"/>
  <c r="U20" i="78"/>
  <c r="U19" i="78"/>
  <c r="U18" i="78"/>
  <c r="U17" i="78"/>
  <c r="U16" i="78"/>
  <c r="U15" i="78"/>
  <c r="U14" i="78"/>
  <c r="U13" i="78"/>
  <c r="U12" i="78"/>
  <c r="U11" i="78"/>
  <c r="U10" i="78"/>
  <c r="U9" i="78"/>
  <c r="V26" i="77"/>
  <c r="W26" i="77" s="1"/>
  <c r="U29" i="77"/>
  <c r="T29" i="77"/>
  <c r="S29" i="77"/>
  <c r="V29" i="77" s="1"/>
  <c r="R29" i="77"/>
  <c r="P29" i="77"/>
  <c r="N29" i="77"/>
  <c r="U28" i="77"/>
  <c r="T28" i="77"/>
  <c r="S28" i="77"/>
  <c r="V28" i="77" s="1"/>
  <c r="R28" i="77"/>
  <c r="P28" i="77"/>
  <c r="N28" i="77"/>
  <c r="U27" i="77"/>
  <c r="T27" i="77"/>
  <c r="S27" i="77"/>
  <c r="V27" i="77" s="1"/>
  <c r="W27" i="77" s="1"/>
  <c r="R27" i="77"/>
  <c r="P27" i="77"/>
  <c r="N27" i="77"/>
  <c r="U26" i="77"/>
  <c r="T26" i="77"/>
  <c r="S26" i="77"/>
  <c r="R26" i="77"/>
  <c r="P26" i="77"/>
  <c r="N26" i="77"/>
  <c r="U25" i="77"/>
  <c r="T25" i="77"/>
  <c r="S25" i="77"/>
  <c r="V25" i="77" s="1"/>
  <c r="R25" i="77"/>
  <c r="P25" i="77"/>
  <c r="N25" i="77"/>
  <c r="U24" i="77"/>
  <c r="T24" i="77"/>
  <c r="S24" i="77"/>
  <c r="V24" i="77" s="1"/>
  <c r="R24" i="77"/>
  <c r="P24" i="77"/>
  <c r="N24" i="77"/>
  <c r="U23" i="77"/>
  <c r="T23" i="77"/>
  <c r="S23" i="77"/>
  <c r="V23" i="77" s="1"/>
  <c r="W23" i="77" s="1"/>
  <c r="R23" i="77"/>
  <c r="P23" i="77"/>
  <c r="N23" i="77"/>
  <c r="U22" i="77"/>
  <c r="T22" i="77"/>
  <c r="S22" i="77"/>
  <c r="R22" i="77"/>
  <c r="V22" i="77"/>
  <c r="W22" i="77" s="1"/>
  <c r="P22" i="77"/>
  <c r="N22" i="77"/>
  <c r="U21" i="77"/>
  <c r="T21" i="77"/>
  <c r="S21" i="77"/>
  <c r="V21" i="77" s="1"/>
  <c r="W21" i="77" s="1"/>
  <c r="R21" i="77"/>
  <c r="P21" i="77"/>
  <c r="N21" i="77"/>
  <c r="U20" i="77"/>
  <c r="T20" i="77"/>
  <c r="S20" i="77"/>
  <c r="R20" i="77"/>
  <c r="P20" i="77"/>
  <c r="N20" i="77"/>
  <c r="U19" i="77"/>
  <c r="T19" i="77"/>
  <c r="S19" i="77"/>
  <c r="R19" i="77"/>
  <c r="P19" i="77"/>
  <c r="N19" i="77"/>
  <c r="U18" i="77"/>
  <c r="T18" i="77"/>
  <c r="S18" i="77"/>
  <c r="V18" i="77" s="1"/>
  <c r="W18" i="77" s="1"/>
  <c r="R18" i="77"/>
  <c r="P18" i="77"/>
  <c r="N18" i="77"/>
  <c r="U17" i="77"/>
  <c r="T17" i="77"/>
  <c r="S17" i="77"/>
  <c r="R17" i="77"/>
  <c r="P17" i="77"/>
  <c r="N17" i="77"/>
  <c r="U16" i="77"/>
  <c r="T16" i="77"/>
  <c r="S16" i="77"/>
  <c r="V16" i="77" s="1"/>
  <c r="R16" i="77"/>
  <c r="P16" i="77"/>
  <c r="N16" i="77"/>
  <c r="U15" i="77"/>
  <c r="T15" i="77"/>
  <c r="S15" i="77"/>
  <c r="V15" i="77" s="1"/>
  <c r="R15" i="77"/>
  <c r="P15" i="77"/>
  <c r="N15" i="77"/>
  <c r="U14" i="77"/>
  <c r="T14" i="77"/>
  <c r="S14" i="77"/>
  <c r="V14" i="77" s="1"/>
  <c r="W14" i="77" s="1"/>
  <c r="R14" i="77"/>
  <c r="P14" i="77"/>
  <c r="N14" i="77"/>
  <c r="U13" i="77"/>
  <c r="T13" i="77"/>
  <c r="S13" i="77"/>
  <c r="V13" i="77" s="1"/>
  <c r="R13" i="77"/>
  <c r="P13" i="77"/>
  <c r="N13" i="77"/>
  <c r="U12" i="77"/>
  <c r="T12" i="77"/>
  <c r="S12" i="77"/>
  <c r="V12" i="77" s="1"/>
  <c r="W12" i="77" s="1"/>
  <c r="R12" i="77"/>
  <c r="P12" i="77"/>
  <c r="N12" i="77"/>
  <c r="U11" i="77"/>
  <c r="T11" i="77"/>
  <c r="S11" i="77"/>
  <c r="R11" i="77"/>
  <c r="P11" i="77"/>
  <c r="N11" i="77"/>
  <c r="U10" i="77"/>
  <c r="T10" i="77"/>
  <c r="S10" i="77"/>
  <c r="V10" i="77" s="1"/>
  <c r="W10" i="77" s="1"/>
  <c r="R10" i="77"/>
  <c r="P10" i="77"/>
  <c r="N10" i="77"/>
  <c r="P9" i="77"/>
  <c r="R9" i="77"/>
  <c r="S9" i="77"/>
  <c r="T9" i="77"/>
  <c r="U9" i="77"/>
  <c r="U47" i="77"/>
  <c r="T47" i="77"/>
  <c r="S47" i="77"/>
  <c r="R47" i="77"/>
  <c r="Q47" i="77"/>
  <c r="P47" i="77"/>
  <c r="O47" i="77"/>
  <c r="N47" i="77"/>
  <c r="U46" i="77"/>
  <c r="T46" i="77"/>
  <c r="S46" i="77"/>
  <c r="R46" i="77"/>
  <c r="Q46" i="77"/>
  <c r="P46" i="77"/>
  <c r="O46" i="77"/>
  <c r="V46" i="77" s="1"/>
  <c r="W46" i="77" s="1"/>
  <c r="N46" i="77"/>
  <c r="U45" i="77"/>
  <c r="T45" i="77"/>
  <c r="S45" i="77"/>
  <c r="R45" i="77"/>
  <c r="Q45" i="77"/>
  <c r="P45" i="77"/>
  <c r="O45" i="77"/>
  <c r="N45" i="77"/>
  <c r="U44" i="77"/>
  <c r="T44" i="77"/>
  <c r="S44" i="77"/>
  <c r="R44" i="77"/>
  <c r="Q44" i="77"/>
  <c r="P44" i="77"/>
  <c r="O44" i="77"/>
  <c r="N44" i="77"/>
  <c r="U43" i="77"/>
  <c r="T43" i="77"/>
  <c r="S43" i="77"/>
  <c r="R43" i="77"/>
  <c r="Q43" i="77"/>
  <c r="P43" i="77"/>
  <c r="O43" i="77"/>
  <c r="N43" i="77"/>
  <c r="U42" i="77"/>
  <c r="T42" i="77"/>
  <c r="S42" i="77"/>
  <c r="R42" i="77"/>
  <c r="Q42" i="77"/>
  <c r="P42" i="77"/>
  <c r="O42" i="77"/>
  <c r="N42" i="77"/>
  <c r="U41" i="77"/>
  <c r="T41" i="77"/>
  <c r="S41" i="77"/>
  <c r="R41" i="77"/>
  <c r="Q41" i="77"/>
  <c r="P41" i="77"/>
  <c r="O41" i="77"/>
  <c r="N41" i="77"/>
  <c r="U40" i="77"/>
  <c r="T40" i="77"/>
  <c r="S40" i="77"/>
  <c r="R40" i="77"/>
  <c r="Q40" i="77"/>
  <c r="V40" i="77" s="1"/>
  <c r="W40" i="77" s="1"/>
  <c r="P40" i="77"/>
  <c r="O40" i="77"/>
  <c r="N40" i="77"/>
  <c r="U39" i="77"/>
  <c r="T39" i="77"/>
  <c r="S39" i="77"/>
  <c r="R39" i="77"/>
  <c r="Q39" i="77"/>
  <c r="P39" i="77"/>
  <c r="O39" i="77"/>
  <c r="N39" i="77"/>
  <c r="U38" i="77"/>
  <c r="T38" i="77"/>
  <c r="S38" i="77"/>
  <c r="R38" i="77"/>
  <c r="Q38" i="77"/>
  <c r="P38" i="77"/>
  <c r="O38" i="77"/>
  <c r="N38" i="77"/>
  <c r="U37" i="77"/>
  <c r="T37" i="77"/>
  <c r="S37" i="77"/>
  <c r="R37" i="77"/>
  <c r="Q37" i="77"/>
  <c r="P37" i="77"/>
  <c r="O37" i="77"/>
  <c r="N37" i="77"/>
  <c r="W13" i="77" l="1"/>
  <c r="V41" i="77"/>
  <c r="W41" i="77" s="1"/>
  <c r="V42" i="77"/>
  <c r="W42" i="77" s="1"/>
  <c r="V44" i="77"/>
  <c r="W44" i="77" s="1"/>
  <c r="V17" i="77"/>
  <c r="W17" i="77" s="1"/>
  <c r="W34" i="78"/>
  <c r="W16" i="77"/>
  <c r="W25" i="77"/>
  <c r="W29" i="77"/>
  <c r="V35" i="78"/>
  <c r="W35" i="78" s="1"/>
  <c r="W37" i="78"/>
  <c r="V11" i="77"/>
  <c r="W11" i="77" s="1"/>
  <c r="V20" i="77"/>
  <c r="W20" i="77" s="1"/>
  <c r="W15" i="77"/>
  <c r="W24" i="77"/>
  <c r="W28" i="77"/>
  <c r="V34" i="78"/>
  <c r="W36" i="78"/>
  <c r="V38" i="78"/>
  <c r="W38" i="78" s="1"/>
  <c r="V37" i="77"/>
  <c r="V19" i="77"/>
  <c r="W19" i="77" s="1"/>
  <c r="V43" i="77"/>
  <c r="V38" i="77"/>
  <c r="W38" i="77" s="1"/>
  <c r="V45" i="77"/>
  <c r="W45" i="77" s="1"/>
  <c r="V39" i="77"/>
  <c r="W39" i="77" s="1"/>
  <c r="V47" i="77"/>
  <c r="W47" i="77" s="1"/>
  <c r="W43" i="77"/>
  <c r="W37" i="77"/>
  <c r="N19" i="75"/>
  <c r="U36" i="75"/>
  <c r="T36" i="75"/>
  <c r="S36" i="75"/>
  <c r="R36" i="75"/>
  <c r="Q36" i="75"/>
  <c r="P36" i="75"/>
  <c r="O36" i="75"/>
  <c r="N36" i="75"/>
  <c r="U35" i="75"/>
  <c r="T35" i="75"/>
  <c r="S35" i="75"/>
  <c r="V35" i="75" s="1"/>
  <c r="W35" i="75" s="1"/>
  <c r="R35" i="75"/>
  <c r="Q35" i="75"/>
  <c r="P35" i="75"/>
  <c r="O35" i="75"/>
  <c r="N35" i="75"/>
  <c r="U34" i="75"/>
  <c r="T34" i="75"/>
  <c r="S34" i="75"/>
  <c r="R34" i="75"/>
  <c r="Q34" i="75"/>
  <c r="P34" i="75"/>
  <c r="O34" i="75"/>
  <c r="N34" i="75"/>
  <c r="U33" i="75"/>
  <c r="T33" i="75"/>
  <c r="S33" i="75"/>
  <c r="R33" i="75"/>
  <c r="Q33" i="75"/>
  <c r="P33" i="75"/>
  <c r="O33" i="75"/>
  <c r="V33" i="75" s="1"/>
  <c r="W33" i="75" s="1"/>
  <c r="N33" i="75"/>
  <c r="U32" i="75"/>
  <c r="T32" i="75"/>
  <c r="S32" i="75"/>
  <c r="R32" i="75"/>
  <c r="Q32" i="75"/>
  <c r="P32" i="75"/>
  <c r="O32" i="75"/>
  <c r="N32" i="75"/>
  <c r="V31" i="75"/>
  <c r="U31" i="75"/>
  <c r="T31" i="75"/>
  <c r="S31" i="75"/>
  <c r="R31" i="75"/>
  <c r="Q31" i="75"/>
  <c r="P31" i="75"/>
  <c r="O31" i="75"/>
  <c r="N31" i="75"/>
  <c r="U30" i="75"/>
  <c r="T30" i="75"/>
  <c r="S30" i="75"/>
  <c r="R30" i="75"/>
  <c r="Q30" i="75"/>
  <c r="P30" i="75"/>
  <c r="O30" i="75"/>
  <c r="N30" i="75"/>
  <c r="V29" i="75"/>
  <c r="W29" i="75" s="1"/>
  <c r="U29" i="75"/>
  <c r="T29" i="75"/>
  <c r="S29" i="75"/>
  <c r="R29" i="75"/>
  <c r="Q29" i="75"/>
  <c r="P29" i="75"/>
  <c r="O29" i="75"/>
  <c r="N29" i="75"/>
  <c r="U28" i="75"/>
  <c r="T28" i="75"/>
  <c r="S28" i="75"/>
  <c r="R28" i="75"/>
  <c r="Q28" i="75"/>
  <c r="P28" i="75"/>
  <c r="O28" i="75"/>
  <c r="N28" i="75"/>
  <c r="U27" i="75"/>
  <c r="T27" i="75"/>
  <c r="S27" i="75"/>
  <c r="R27" i="75"/>
  <c r="Q27" i="75"/>
  <c r="P27" i="75"/>
  <c r="O27" i="75"/>
  <c r="V27" i="75" s="1"/>
  <c r="W27" i="75" s="1"/>
  <c r="N27" i="75"/>
  <c r="V30" i="75" l="1"/>
  <c r="V28" i="75"/>
  <c r="V32" i="75"/>
  <c r="W32" i="75" s="1"/>
  <c r="W31" i="75"/>
  <c r="V34" i="75"/>
  <c r="W34" i="75" s="1"/>
  <c r="V36" i="75"/>
  <c r="W36" i="75" s="1"/>
  <c r="W30" i="75"/>
  <c r="W28" i="75"/>
  <c r="P20" i="74"/>
  <c r="P19" i="74"/>
  <c r="P18" i="74"/>
  <c r="P17" i="74"/>
  <c r="P16" i="74"/>
  <c r="P15" i="74"/>
  <c r="P14" i="74"/>
  <c r="P13" i="74"/>
  <c r="P12" i="74"/>
  <c r="P11" i="74"/>
  <c r="P10" i="74"/>
  <c r="N20" i="74"/>
  <c r="N19" i="74"/>
  <c r="N18" i="74"/>
  <c r="N17" i="74"/>
  <c r="N16" i="74"/>
  <c r="N15" i="74"/>
  <c r="N14" i="74"/>
  <c r="N13" i="74"/>
  <c r="N12" i="74"/>
  <c r="N11" i="74"/>
  <c r="N10" i="74"/>
  <c r="S17" i="74"/>
  <c r="R17" i="74"/>
  <c r="S16" i="74"/>
  <c r="R16" i="74"/>
  <c r="S15" i="74"/>
  <c r="R15" i="74"/>
  <c r="S14" i="74"/>
  <c r="R14" i="74"/>
  <c r="S13" i="74"/>
  <c r="R13" i="74"/>
  <c r="S12" i="74"/>
  <c r="R12" i="74"/>
  <c r="S11" i="74"/>
  <c r="R11" i="74"/>
  <c r="S10" i="74"/>
  <c r="R10" i="74"/>
  <c r="U39" i="74"/>
  <c r="T39" i="74"/>
  <c r="S39" i="74"/>
  <c r="R39" i="74"/>
  <c r="Q39" i="74"/>
  <c r="P39" i="74"/>
  <c r="O39" i="74"/>
  <c r="N39" i="74"/>
  <c r="U38" i="74"/>
  <c r="T38" i="74"/>
  <c r="S38" i="74"/>
  <c r="R38" i="74"/>
  <c r="Q38" i="74"/>
  <c r="P38" i="74"/>
  <c r="O38" i="74"/>
  <c r="N38" i="74"/>
  <c r="U37" i="74"/>
  <c r="T37" i="74"/>
  <c r="S37" i="74"/>
  <c r="R37" i="74"/>
  <c r="Q37" i="74"/>
  <c r="P37" i="74"/>
  <c r="O37" i="74"/>
  <c r="N37" i="74"/>
  <c r="U36" i="74"/>
  <c r="T36" i="74"/>
  <c r="S36" i="74"/>
  <c r="R36" i="74"/>
  <c r="Q36" i="74"/>
  <c r="P36" i="74"/>
  <c r="O36" i="74"/>
  <c r="N36" i="74"/>
  <c r="U35" i="74"/>
  <c r="T35" i="74"/>
  <c r="S35" i="74"/>
  <c r="R35" i="74"/>
  <c r="Q35" i="74"/>
  <c r="P35" i="74"/>
  <c r="O35" i="74"/>
  <c r="N35" i="74"/>
  <c r="U34" i="74"/>
  <c r="T34" i="74"/>
  <c r="S34" i="74"/>
  <c r="R34" i="74"/>
  <c r="Q34" i="74"/>
  <c r="P34" i="74"/>
  <c r="O34" i="74"/>
  <c r="N34" i="74"/>
  <c r="U33" i="74"/>
  <c r="T33" i="74"/>
  <c r="S33" i="74"/>
  <c r="R33" i="74"/>
  <c r="Q33" i="74"/>
  <c r="P33" i="74"/>
  <c r="O33" i="74"/>
  <c r="N33" i="74"/>
  <c r="U32" i="74"/>
  <c r="T32" i="74"/>
  <c r="S32" i="74"/>
  <c r="R32" i="74"/>
  <c r="Q32" i="74"/>
  <c r="V32" i="74" s="1"/>
  <c r="P32" i="74"/>
  <c r="O32" i="74"/>
  <c r="N32" i="74"/>
  <c r="U31" i="74"/>
  <c r="T31" i="74"/>
  <c r="S31" i="74"/>
  <c r="R31" i="74"/>
  <c r="Q31" i="74"/>
  <c r="P31" i="74"/>
  <c r="O31" i="74"/>
  <c r="N31" i="74"/>
  <c r="O9" i="73"/>
  <c r="U32" i="73"/>
  <c r="T32" i="73"/>
  <c r="S32" i="73"/>
  <c r="R32" i="73"/>
  <c r="Q32" i="73"/>
  <c r="P32" i="73"/>
  <c r="O32" i="73"/>
  <c r="V32" i="73" s="1"/>
  <c r="N32" i="73"/>
  <c r="U31" i="73"/>
  <c r="T31" i="73"/>
  <c r="S31" i="73"/>
  <c r="R31" i="73"/>
  <c r="Q31" i="73"/>
  <c r="P31" i="73"/>
  <c r="O31" i="73"/>
  <c r="N31" i="73"/>
  <c r="U30" i="73"/>
  <c r="T30" i="73"/>
  <c r="S30" i="73"/>
  <c r="R30" i="73"/>
  <c r="Q30" i="73"/>
  <c r="P30" i="73"/>
  <c r="O30" i="73"/>
  <c r="N30" i="73"/>
  <c r="U29" i="73"/>
  <c r="T29" i="73"/>
  <c r="S29" i="73"/>
  <c r="R29" i="73"/>
  <c r="Q29" i="73"/>
  <c r="P29" i="73"/>
  <c r="O29" i="73"/>
  <c r="N29" i="73"/>
  <c r="U28" i="73"/>
  <c r="T28" i="73"/>
  <c r="S28" i="73"/>
  <c r="V28" i="73" s="1"/>
  <c r="R28" i="73"/>
  <c r="Q28" i="73"/>
  <c r="P28" i="73"/>
  <c r="O28" i="73"/>
  <c r="N28" i="73"/>
  <c r="U27" i="73"/>
  <c r="T27" i="73"/>
  <c r="S27" i="73"/>
  <c r="R27" i="73"/>
  <c r="Q27" i="73"/>
  <c r="P27" i="73"/>
  <c r="O27" i="73"/>
  <c r="N27" i="73"/>
  <c r="U26" i="73"/>
  <c r="T26" i="73"/>
  <c r="S26" i="73"/>
  <c r="R26" i="73"/>
  <c r="Q26" i="73"/>
  <c r="P26" i="73"/>
  <c r="O26" i="73"/>
  <c r="N26" i="73"/>
  <c r="U25" i="73"/>
  <c r="T25" i="73"/>
  <c r="S25" i="73"/>
  <c r="R25" i="73"/>
  <c r="Q25" i="73"/>
  <c r="P25" i="73"/>
  <c r="O25" i="73"/>
  <c r="N25" i="73"/>
  <c r="U24" i="73"/>
  <c r="T24" i="73"/>
  <c r="S24" i="73"/>
  <c r="R24" i="73"/>
  <c r="Q24" i="73"/>
  <c r="P24" i="73"/>
  <c r="O24" i="73"/>
  <c r="V24" i="73" s="1"/>
  <c r="N24" i="73"/>
  <c r="T9" i="72"/>
  <c r="R9" i="72"/>
  <c r="P9" i="72"/>
  <c r="N9" i="72"/>
  <c r="U66" i="71"/>
  <c r="T66" i="71"/>
  <c r="S66" i="71"/>
  <c r="R66" i="71"/>
  <c r="Q66" i="71"/>
  <c r="P66" i="71"/>
  <c r="O66" i="71"/>
  <c r="N66" i="71"/>
  <c r="U65" i="71"/>
  <c r="T65" i="71"/>
  <c r="S65" i="71"/>
  <c r="V65" i="71" s="1"/>
  <c r="R65" i="71"/>
  <c r="Q65" i="71"/>
  <c r="P65" i="71"/>
  <c r="O65" i="71"/>
  <c r="N65" i="71"/>
  <c r="U64" i="71"/>
  <c r="T64" i="71"/>
  <c r="S64" i="71"/>
  <c r="R64" i="71"/>
  <c r="Q64" i="71"/>
  <c r="P64" i="71"/>
  <c r="O64" i="71"/>
  <c r="N64" i="71"/>
  <c r="U63" i="71"/>
  <c r="T63" i="71"/>
  <c r="S63" i="71"/>
  <c r="R63" i="71"/>
  <c r="Q63" i="71"/>
  <c r="P63" i="71"/>
  <c r="O63" i="71"/>
  <c r="V63" i="71" s="1"/>
  <c r="N63" i="71"/>
  <c r="U62" i="71"/>
  <c r="T62" i="71"/>
  <c r="S62" i="71"/>
  <c r="R62" i="71"/>
  <c r="Q62" i="71"/>
  <c r="P62" i="71"/>
  <c r="O62" i="71"/>
  <c r="N62" i="71"/>
  <c r="V61" i="71"/>
  <c r="U61" i="71"/>
  <c r="W61" i="71" s="1"/>
  <c r="T61" i="71"/>
  <c r="S61" i="71"/>
  <c r="R61" i="71"/>
  <c r="Q61" i="71"/>
  <c r="P61" i="71"/>
  <c r="O61" i="71"/>
  <c r="N61" i="71"/>
  <c r="U60" i="71"/>
  <c r="T60" i="71"/>
  <c r="S60" i="71"/>
  <c r="R60" i="71"/>
  <c r="Q60" i="71"/>
  <c r="P60" i="71"/>
  <c r="O60" i="71"/>
  <c r="V60" i="71" s="1"/>
  <c r="N60" i="71"/>
  <c r="V59" i="71"/>
  <c r="U59" i="71"/>
  <c r="T59" i="71"/>
  <c r="S59" i="71"/>
  <c r="R59" i="71"/>
  <c r="Q59" i="71"/>
  <c r="P59" i="71"/>
  <c r="O59" i="71"/>
  <c r="N59" i="71"/>
  <c r="U58" i="71"/>
  <c r="T58" i="71"/>
  <c r="S58" i="71"/>
  <c r="R58" i="71"/>
  <c r="Q58" i="71"/>
  <c r="P58" i="71"/>
  <c r="O58" i="71"/>
  <c r="N58" i="71"/>
  <c r="U57" i="71"/>
  <c r="T57" i="71"/>
  <c r="S57" i="71"/>
  <c r="R57" i="71"/>
  <c r="Q57" i="71"/>
  <c r="P57" i="71"/>
  <c r="O57" i="71"/>
  <c r="V57" i="71" s="1"/>
  <c r="N57" i="71"/>
  <c r="U56" i="71"/>
  <c r="T56" i="71"/>
  <c r="S56" i="71"/>
  <c r="R56" i="71"/>
  <c r="Q56" i="71"/>
  <c r="P56" i="71"/>
  <c r="O56" i="71"/>
  <c r="V56" i="71" s="1"/>
  <c r="W56" i="71" s="1"/>
  <c r="N56" i="71"/>
  <c r="U55" i="71"/>
  <c r="T55" i="71"/>
  <c r="S55" i="71"/>
  <c r="R55" i="71"/>
  <c r="Q55" i="71"/>
  <c r="V55" i="71" s="1"/>
  <c r="P55" i="71"/>
  <c r="O55" i="71"/>
  <c r="N55" i="71"/>
  <c r="U54" i="71"/>
  <c r="T54" i="71"/>
  <c r="S54" i="71"/>
  <c r="R54" i="71"/>
  <c r="Q54" i="71"/>
  <c r="P54" i="71"/>
  <c r="O54" i="71"/>
  <c r="N54" i="71"/>
  <c r="U53" i="71"/>
  <c r="T53" i="71"/>
  <c r="S53" i="71"/>
  <c r="R53" i="71"/>
  <c r="Q53" i="71"/>
  <c r="V53" i="71" s="1"/>
  <c r="P53" i="71"/>
  <c r="O53" i="71"/>
  <c r="N53" i="71"/>
  <c r="U52" i="71"/>
  <c r="T52" i="71"/>
  <c r="S52" i="71"/>
  <c r="R52" i="71"/>
  <c r="Q52" i="71"/>
  <c r="P52" i="71"/>
  <c r="O52" i="71"/>
  <c r="N52" i="71"/>
  <c r="U51" i="71"/>
  <c r="T51" i="71"/>
  <c r="S51" i="71"/>
  <c r="R51" i="71"/>
  <c r="Q51" i="71"/>
  <c r="P51" i="71"/>
  <c r="O51" i="71"/>
  <c r="V51" i="71" s="1"/>
  <c r="N51" i="71"/>
  <c r="U50" i="71"/>
  <c r="T50" i="71"/>
  <c r="S50" i="71"/>
  <c r="R50" i="71"/>
  <c r="Q50" i="71"/>
  <c r="P50" i="71"/>
  <c r="O50" i="71"/>
  <c r="N50" i="71"/>
  <c r="U49" i="71"/>
  <c r="T49" i="71"/>
  <c r="S49" i="71"/>
  <c r="V49" i="71" s="1"/>
  <c r="R49" i="71"/>
  <c r="Q49" i="71"/>
  <c r="P49" i="71"/>
  <c r="O49" i="71"/>
  <c r="N49" i="71"/>
  <c r="N29" i="70"/>
  <c r="N28" i="70"/>
  <c r="N27" i="70"/>
  <c r="N26" i="70"/>
  <c r="N25" i="70"/>
  <c r="N24" i="70"/>
  <c r="N23" i="70"/>
  <c r="N22" i="70"/>
  <c r="N21" i="70"/>
  <c r="N20" i="70"/>
  <c r="N19" i="70"/>
  <c r="N18" i="70"/>
  <c r="N17" i="70"/>
  <c r="N16" i="70"/>
  <c r="N15" i="70"/>
  <c r="N14" i="70"/>
  <c r="N13" i="70"/>
  <c r="N12" i="70"/>
  <c r="N11" i="70"/>
  <c r="N10" i="70"/>
  <c r="N9" i="70"/>
  <c r="U29" i="70"/>
  <c r="T29" i="70"/>
  <c r="S29" i="70"/>
  <c r="R29" i="70"/>
  <c r="P29" i="70"/>
  <c r="O29" i="70"/>
  <c r="U28" i="70"/>
  <c r="T28" i="70"/>
  <c r="S28" i="70"/>
  <c r="R28" i="70"/>
  <c r="P28" i="70"/>
  <c r="O28" i="70"/>
  <c r="U27" i="70"/>
  <c r="T27" i="70"/>
  <c r="S27" i="70"/>
  <c r="R27" i="70"/>
  <c r="P27" i="70"/>
  <c r="O27" i="70"/>
  <c r="U26" i="70"/>
  <c r="T26" i="70"/>
  <c r="S26" i="70"/>
  <c r="R26" i="70"/>
  <c r="P26" i="70"/>
  <c r="O26" i="70"/>
  <c r="U25" i="70"/>
  <c r="T25" i="70"/>
  <c r="S25" i="70"/>
  <c r="R25" i="70"/>
  <c r="P25" i="70"/>
  <c r="O25" i="70"/>
  <c r="U24" i="70"/>
  <c r="T24" i="70"/>
  <c r="S24" i="70"/>
  <c r="R24" i="70"/>
  <c r="P24" i="70"/>
  <c r="O24" i="70"/>
  <c r="U57" i="70"/>
  <c r="T57" i="70"/>
  <c r="Q57" i="70"/>
  <c r="P57" i="70"/>
  <c r="U56" i="70"/>
  <c r="T56" i="70"/>
  <c r="Q56" i="70"/>
  <c r="P56" i="70"/>
  <c r="U55" i="70"/>
  <c r="T55" i="70"/>
  <c r="S55" i="70"/>
  <c r="R55" i="70"/>
  <c r="Q55" i="70"/>
  <c r="P55" i="70"/>
  <c r="O55" i="70"/>
  <c r="N55" i="70"/>
  <c r="U54" i="70"/>
  <c r="T54" i="70"/>
  <c r="S54" i="70"/>
  <c r="R54" i="70"/>
  <c r="Q54" i="70"/>
  <c r="P54" i="70"/>
  <c r="O54" i="70"/>
  <c r="N54" i="70"/>
  <c r="U53" i="70"/>
  <c r="T53" i="70"/>
  <c r="S53" i="70"/>
  <c r="R53" i="70"/>
  <c r="Q53" i="70"/>
  <c r="P53" i="70"/>
  <c r="O53" i="70"/>
  <c r="V56" i="70" s="1"/>
  <c r="N53" i="70"/>
  <c r="U52" i="70"/>
  <c r="T52" i="70"/>
  <c r="S52" i="70"/>
  <c r="R52" i="70"/>
  <c r="Q52" i="70"/>
  <c r="P52" i="70"/>
  <c r="O52" i="70"/>
  <c r="N52" i="70"/>
  <c r="U51" i="70"/>
  <c r="T51" i="70"/>
  <c r="S51" i="70"/>
  <c r="R51" i="70"/>
  <c r="Q51" i="70"/>
  <c r="P51" i="70"/>
  <c r="O51" i="70"/>
  <c r="N51" i="70"/>
  <c r="U50" i="70"/>
  <c r="T50" i="70"/>
  <c r="S50" i="70"/>
  <c r="R50" i="70"/>
  <c r="Q50" i="70"/>
  <c r="P50" i="70"/>
  <c r="O50" i="70"/>
  <c r="N50" i="70"/>
  <c r="U49" i="70"/>
  <c r="T49" i="70"/>
  <c r="S49" i="70"/>
  <c r="R49" i="70"/>
  <c r="Q49" i="70"/>
  <c r="P49" i="70"/>
  <c r="O49" i="70"/>
  <c r="N49" i="70"/>
  <c r="U48" i="70"/>
  <c r="T48" i="70"/>
  <c r="S48" i="70"/>
  <c r="R48" i="70"/>
  <c r="Q48" i="70"/>
  <c r="P48" i="70"/>
  <c r="O48" i="70"/>
  <c r="N48" i="70"/>
  <c r="U47" i="70"/>
  <c r="T47" i="70"/>
  <c r="S47" i="70"/>
  <c r="R47" i="70"/>
  <c r="Q47" i="70"/>
  <c r="P47" i="70"/>
  <c r="O47" i="70"/>
  <c r="N47" i="70"/>
  <c r="U46" i="70"/>
  <c r="T46" i="70"/>
  <c r="S46" i="70"/>
  <c r="R46" i="70"/>
  <c r="Q46" i="70"/>
  <c r="P46" i="70"/>
  <c r="O46" i="70"/>
  <c r="N46" i="70"/>
  <c r="U45" i="70"/>
  <c r="T45" i="70"/>
  <c r="S45" i="70"/>
  <c r="R45" i="70"/>
  <c r="Q45" i="70"/>
  <c r="P45" i="70"/>
  <c r="O45" i="70"/>
  <c r="N45" i="70"/>
  <c r="U44" i="70"/>
  <c r="T44" i="70"/>
  <c r="S44" i="70"/>
  <c r="R44" i="70"/>
  <c r="Q44" i="70"/>
  <c r="P44" i="70"/>
  <c r="O44" i="70"/>
  <c r="N44" i="70"/>
  <c r="U43" i="70"/>
  <c r="T43" i="70"/>
  <c r="S43" i="70"/>
  <c r="R43" i="70"/>
  <c r="Q43" i="70"/>
  <c r="P43" i="70"/>
  <c r="O43" i="70"/>
  <c r="N43" i="70"/>
  <c r="U42" i="70"/>
  <c r="T42" i="70"/>
  <c r="S42" i="70"/>
  <c r="R42" i="70"/>
  <c r="Q42" i="70"/>
  <c r="P42" i="70"/>
  <c r="O42" i="70"/>
  <c r="N42" i="70"/>
  <c r="U41" i="70"/>
  <c r="T41" i="70"/>
  <c r="S41" i="70"/>
  <c r="R41" i="70"/>
  <c r="Q41" i="70"/>
  <c r="P41" i="70"/>
  <c r="O41" i="70"/>
  <c r="N41" i="70"/>
  <c r="U48" i="69"/>
  <c r="T48" i="69"/>
  <c r="U47" i="69"/>
  <c r="T47" i="69"/>
  <c r="U46" i="69"/>
  <c r="T46" i="69"/>
  <c r="U45" i="69"/>
  <c r="T45" i="69"/>
  <c r="U44" i="69"/>
  <c r="T44" i="69"/>
  <c r="U43" i="69"/>
  <c r="T43" i="69"/>
  <c r="U42" i="69"/>
  <c r="T42" i="69"/>
  <c r="U41" i="69"/>
  <c r="T41" i="69"/>
  <c r="U40" i="69"/>
  <c r="T40" i="69"/>
  <c r="U39" i="69"/>
  <c r="T39" i="69"/>
  <c r="U38" i="69"/>
  <c r="T38" i="69"/>
  <c r="U37" i="69"/>
  <c r="T37" i="69"/>
  <c r="U36" i="69"/>
  <c r="T36" i="69"/>
  <c r="U35" i="69"/>
  <c r="T35" i="69"/>
  <c r="U34" i="69"/>
  <c r="T34" i="69"/>
  <c r="U33" i="69"/>
  <c r="T33" i="69"/>
  <c r="U32" i="69"/>
  <c r="T32" i="69"/>
  <c r="U31" i="69"/>
  <c r="T31" i="69"/>
  <c r="U30" i="69"/>
  <c r="T30" i="69"/>
  <c r="U29" i="69"/>
  <c r="T29" i="69"/>
  <c r="U28" i="69"/>
  <c r="T28" i="69"/>
  <c r="U27" i="69"/>
  <c r="T27" i="69"/>
  <c r="U26" i="69"/>
  <c r="T26" i="69"/>
  <c r="U25" i="69"/>
  <c r="T25" i="69"/>
  <c r="U24" i="69"/>
  <c r="T24" i="69"/>
  <c r="U23" i="69"/>
  <c r="T23" i="69"/>
  <c r="U22" i="69"/>
  <c r="T22" i="69"/>
  <c r="U21" i="69"/>
  <c r="T21" i="69"/>
  <c r="U20" i="69"/>
  <c r="T20" i="69"/>
  <c r="U19" i="69"/>
  <c r="T19" i="69"/>
  <c r="U18" i="69"/>
  <c r="T18" i="69"/>
  <c r="U17" i="69"/>
  <c r="T17" i="69"/>
  <c r="U16" i="69"/>
  <c r="T16" i="69"/>
  <c r="U15" i="69"/>
  <c r="T15" i="69"/>
  <c r="U14" i="69"/>
  <c r="T14" i="69"/>
  <c r="U13" i="69"/>
  <c r="T13" i="69"/>
  <c r="U12" i="69"/>
  <c r="T12" i="69"/>
  <c r="U11" i="69"/>
  <c r="T11" i="69"/>
  <c r="U10" i="69"/>
  <c r="T10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N56" i="69"/>
  <c r="N55" i="69"/>
  <c r="N54" i="69"/>
  <c r="N53" i="69"/>
  <c r="N52" i="69"/>
  <c r="N51" i="69"/>
  <c r="N50" i="69"/>
  <c r="N49" i="69"/>
  <c r="N48" i="69"/>
  <c r="N47" i="69"/>
  <c r="N46" i="69"/>
  <c r="N45" i="69"/>
  <c r="N44" i="69"/>
  <c r="N43" i="69"/>
  <c r="N42" i="69"/>
  <c r="N41" i="69"/>
  <c r="N40" i="69"/>
  <c r="N39" i="69"/>
  <c r="N38" i="69"/>
  <c r="N37" i="69"/>
  <c r="N36" i="69"/>
  <c r="N35" i="69"/>
  <c r="N34" i="69"/>
  <c r="N33" i="69"/>
  <c r="N32" i="69"/>
  <c r="N31" i="69"/>
  <c r="N30" i="69"/>
  <c r="N29" i="69"/>
  <c r="N28" i="69"/>
  <c r="N27" i="69"/>
  <c r="N26" i="69"/>
  <c r="N25" i="69"/>
  <c r="N24" i="69"/>
  <c r="N23" i="69"/>
  <c r="N22" i="69"/>
  <c r="N21" i="69"/>
  <c r="N20" i="69"/>
  <c r="N19" i="69"/>
  <c r="N18" i="69"/>
  <c r="N17" i="69"/>
  <c r="N16" i="69"/>
  <c r="N15" i="69"/>
  <c r="N14" i="69"/>
  <c r="N13" i="69"/>
  <c r="N12" i="69"/>
  <c r="N11" i="69"/>
  <c r="N10" i="69"/>
  <c r="U80" i="69"/>
  <c r="T80" i="69"/>
  <c r="U79" i="69"/>
  <c r="T79" i="69"/>
  <c r="U78" i="69"/>
  <c r="T78" i="69"/>
  <c r="Q78" i="69"/>
  <c r="P78" i="69"/>
  <c r="U77" i="69"/>
  <c r="T77" i="69"/>
  <c r="Q77" i="69"/>
  <c r="P77" i="69"/>
  <c r="U76" i="69"/>
  <c r="T76" i="69"/>
  <c r="Q76" i="69"/>
  <c r="P76" i="69"/>
  <c r="U75" i="69"/>
  <c r="T75" i="69"/>
  <c r="Q75" i="69"/>
  <c r="P75" i="69"/>
  <c r="U74" i="69"/>
  <c r="T74" i="69"/>
  <c r="Q74" i="69"/>
  <c r="P74" i="69"/>
  <c r="O74" i="69"/>
  <c r="N74" i="69"/>
  <c r="U73" i="69"/>
  <c r="T73" i="69"/>
  <c r="S73" i="69"/>
  <c r="R73" i="69"/>
  <c r="Q73" i="69"/>
  <c r="P73" i="69"/>
  <c r="O73" i="69"/>
  <c r="N73" i="69"/>
  <c r="U72" i="69"/>
  <c r="T72" i="69"/>
  <c r="S72" i="69"/>
  <c r="R72" i="69"/>
  <c r="Q72" i="69"/>
  <c r="P72" i="69"/>
  <c r="O72" i="69"/>
  <c r="N72" i="69"/>
  <c r="U71" i="69"/>
  <c r="T71" i="69"/>
  <c r="S71" i="69"/>
  <c r="R71" i="69"/>
  <c r="Q71" i="69"/>
  <c r="P71" i="69"/>
  <c r="O71" i="69"/>
  <c r="N71" i="69"/>
  <c r="U70" i="69"/>
  <c r="T70" i="69"/>
  <c r="S70" i="69"/>
  <c r="R70" i="69"/>
  <c r="Q70" i="69"/>
  <c r="P70" i="69"/>
  <c r="O70" i="69"/>
  <c r="N70" i="69"/>
  <c r="U69" i="69"/>
  <c r="T69" i="69"/>
  <c r="S69" i="69"/>
  <c r="R69" i="69"/>
  <c r="Q69" i="69"/>
  <c r="P69" i="69"/>
  <c r="O69" i="69"/>
  <c r="N69" i="69"/>
  <c r="U68" i="69"/>
  <c r="T68" i="69"/>
  <c r="S68" i="69"/>
  <c r="R68" i="69"/>
  <c r="Q68" i="69"/>
  <c r="P68" i="69"/>
  <c r="O68" i="69"/>
  <c r="N68" i="69"/>
  <c r="U67" i="69"/>
  <c r="T67" i="69"/>
  <c r="S67" i="69"/>
  <c r="R67" i="69"/>
  <c r="Q67" i="69"/>
  <c r="P67" i="69"/>
  <c r="O67" i="69"/>
  <c r="N67" i="69"/>
  <c r="U66" i="69"/>
  <c r="T66" i="69"/>
  <c r="S66" i="69"/>
  <c r="R66" i="69"/>
  <c r="Q66" i="69"/>
  <c r="P66" i="69"/>
  <c r="O66" i="69"/>
  <c r="N66" i="69"/>
  <c r="U65" i="69"/>
  <c r="T65" i="69"/>
  <c r="S65" i="69"/>
  <c r="R65" i="69"/>
  <c r="Q65" i="69"/>
  <c r="P65" i="69"/>
  <c r="O65" i="69"/>
  <c r="N65" i="69"/>
  <c r="U64" i="69"/>
  <c r="T64" i="69"/>
  <c r="S64" i="69"/>
  <c r="R64" i="69"/>
  <c r="Q64" i="69"/>
  <c r="P64" i="69"/>
  <c r="O64" i="69"/>
  <c r="N64" i="69"/>
  <c r="U63" i="69"/>
  <c r="T63" i="69"/>
  <c r="S63" i="69"/>
  <c r="R63" i="69"/>
  <c r="Q63" i="69"/>
  <c r="P63" i="69"/>
  <c r="O63" i="69"/>
  <c r="N63" i="69"/>
  <c r="W46" i="70" l="1"/>
  <c r="W48" i="70"/>
  <c r="V58" i="71"/>
  <c r="W58" i="71" s="1"/>
  <c r="W63" i="71"/>
  <c r="V34" i="74"/>
  <c r="V36" i="74"/>
  <c r="W36" i="74" s="1"/>
  <c r="W49" i="71"/>
  <c r="W60" i="71"/>
  <c r="W65" i="71"/>
  <c r="V44" i="70"/>
  <c r="W44" i="70" s="1"/>
  <c r="V47" i="70"/>
  <c r="W47" i="70" s="1"/>
  <c r="V51" i="70"/>
  <c r="W51" i="70" s="1"/>
  <c r="V55" i="70"/>
  <c r="W55" i="70" s="1"/>
  <c r="V62" i="71"/>
  <c r="W62" i="71" s="1"/>
  <c r="V77" i="69"/>
  <c r="W77" i="69" s="1"/>
  <c r="W53" i="71"/>
  <c r="V64" i="71"/>
  <c r="W64" i="71" s="1"/>
  <c r="V25" i="73"/>
  <c r="V26" i="73"/>
  <c r="V27" i="73"/>
  <c r="V46" i="70"/>
  <c r="V42" i="70"/>
  <c r="V49" i="70"/>
  <c r="W49" i="70" s="1"/>
  <c r="V53" i="70"/>
  <c r="W53" i="70" s="1"/>
  <c r="W56" i="70"/>
  <c r="V50" i="71"/>
  <c r="W50" i="71" s="1"/>
  <c r="W55" i="71"/>
  <c r="V66" i="71"/>
  <c r="W66" i="71" s="1"/>
  <c r="V29" i="73"/>
  <c r="V30" i="73"/>
  <c r="V31" i="73"/>
  <c r="W51" i="71"/>
  <c r="V79" i="69"/>
  <c r="V52" i="71"/>
  <c r="W52" i="71" s="1"/>
  <c r="W57" i="71"/>
  <c r="V31" i="74"/>
  <c r="W31" i="74" s="1"/>
  <c r="V41" i="70"/>
  <c r="W41" i="70" s="1"/>
  <c r="V45" i="70"/>
  <c r="W45" i="70" s="1"/>
  <c r="V48" i="70"/>
  <c r="V57" i="70"/>
  <c r="W57" i="70" s="1"/>
  <c r="V43" i="70"/>
  <c r="W43" i="70" s="1"/>
  <c r="V50" i="70"/>
  <c r="W50" i="70" s="1"/>
  <c r="V52" i="70"/>
  <c r="W52" i="70" s="1"/>
  <c r="V54" i="70"/>
  <c r="W54" i="70" s="1"/>
  <c r="V54" i="71"/>
  <c r="W54" i="71" s="1"/>
  <c r="W59" i="71"/>
  <c r="V37" i="74"/>
  <c r="W37" i="74" s="1"/>
  <c r="V38" i="74"/>
  <c r="W38" i="74" s="1"/>
  <c r="V39" i="74"/>
  <c r="W39" i="74" s="1"/>
  <c r="W34" i="74"/>
  <c r="V33" i="74"/>
  <c r="W33" i="74" s="1"/>
  <c r="W32" i="74"/>
  <c r="V35" i="74"/>
  <c r="W35" i="74" s="1"/>
  <c r="V24" i="70"/>
  <c r="W24" i="70" s="1"/>
  <c r="V26" i="70"/>
  <c r="W26" i="70" s="1"/>
  <c r="V25" i="70"/>
  <c r="W25" i="70" s="1"/>
  <c r="V29" i="70"/>
  <c r="W29" i="70" s="1"/>
  <c r="V27" i="70"/>
  <c r="W27" i="70" s="1"/>
  <c r="V28" i="70"/>
  <c r="W28" i="70" s="1"/>
  <c r="W42" i="70"/>
  <c r="V65" i="69"/>
  <c r="W65" i="69" s="1"/>
  <c r="V64" i="69"/>
  <c r="W64" i="69" s="1"/>
  <c r="V67" i="69"/>
  <c r="V68" i="69"/>
  <c r="W68" i="69" s="1"/>
  <c r="V69" i="69"/>
  <c r="W69" i="69" s="1"/>
  <c r="V71" i="69"/>
  <c r="V73" i="69"/>
  <c r="W73" i="69" s="1"/>
  <c r="V74" i="69"/>
  <c r="W74" i="69" s="1"/>
  <c r="V76" i="69"/>
  <c r="W80" i="69"/>
  <c r="V63" i="69"/>
  <c r="W63" i="69" s="1"/>
  <c r="V66" i="69"/>
  <c r="W66" i="69" s="1"/>
  <c r="V80" i="69"/>
  <c r="W79" i="69"/>
  <c r="W76" i="69"/>
  <c r="W67" i="69"/>
  <c r="W71" i="69"/>
  <c r="V70" i="69"/>
  <c r="W70" i="69" s="1"/>
  <c r="V72" i="69"/>
  <c r="W72" i="69" s="1"/>
  <c r="V75" i="69"/>
  <c r="W75" i="69" s="1"/>
  <c r="V78" i="69"/>
  <c r="W78" i="69" s="1"/>
  <c r="U38" i="61" l="1"/>
  <c r="T38" i="61"/>
  <c r="S38" i="61"/>
  <c r="R38" i="61"/>
  <c r="Q38" i="61"/>
  <c r="P38" i="61"/>
  <c r="O38" i="61"/>
  <c r="V38" i="61" s="1"/>
  <c r="W38" i="61" s="1"/>
  <c r="N38" i="61"/>
  <c r="U37" i="61"/>
  <c r="T37" i="61"/>
  <c r="S37" i="61"/>
  <c r="R37" i="61"/>
  <c r="Q37" i="61"/>
  <c r="V37" i="61" s="1"/>
  <c r="P37" i="61"/>
  <c r="O37" i="61"/>
  <c r="N37" i="61"/>
  <c r="V36" i="61"/>
  <c r="U36" i="61"/>
  <c r="T36" i="61"/>
  <c r="S36" i="61"/>
  <c r="R36" i="61"/>
  <c r="Q36" i="61"/>
  <c r="P36" i="61"/>
  <c r="O36" i="61"/>
  <c r="N36" i="61"/>
  <c r="U35" i="61"/>
  <c r="T35" i="61"/>
  <c r="S35" i="61"/>
  <c r="R35" i="61"/>
  <c r="Q35" i="61"/>
  <c r="P35" i="61"/>
  <c r="O35" i="61"/>
  <c r="N35" i="61"/>
  <c r="U34" i="61"/>
  <c r="T34" i="61"/>
  <c r="S34" i="61"/>
  <c r="V34" i="61" s="1"/>
  <c r="W34" i="61" s="1"/>
  <c r="R34" i="61"/>
  <c r="Q34" i="61"/>
  <c r="P34" i="61"/>
  <c r="O34" i="61"/>
  <c r="N34" i="61"/>
  <c r="U33" i="61"/>
  <c r="T33" i="61"/>
  <c r="S33" i="61"/>
  <c r="R33" i="61"/>
  <c r="Q33" i="61"/>
  <c r="P33" i="61"/>
  <c r="O33" i="61"/>
  <c r="N33" i="61"/>
  <c r="U32" i="61"/>
  <c r="T32" i="61"/>
  <c r="S32" i="61"/>
  <c r="R32" i="61"/>
  <c r="Q32" i="61"/>
  <c r="P32" i="61"/>
  <c r="O32" i="61"/>
  <c r="V32" i="61" s="1"/>
  <c r="W32" i="61" s="1"/>
  <c r="N32" i="61"/>
  <c r="U31" i="61"/>
  <c r="T31" i="61"/>
  <c r="S31" i="61"/>
  <c r="R31" i="61"/>
  <c r="Q31" i="61"/>
  <c r="P31" i="61"/>
  <c r="O31" i="61"/>
  <c r="N31" i="61"/>
  <c r="U30" i="61"/>
  <c r="T30" i="61"/>
  <c r="S30" i="61"/>
  <c r="R30" i="61"/>
  <c r="Q30" i="61"/>
  <c r="P30" i="61"/>
  <c r="O30" i="61"/>
  <c r="V30" i="61" s="1"/>
  <c r="W30" i="61" s="1"/>
  <c r="N30" i="61"/>
  <c r="U29" i="61"/>
  <c r="T29" i="61"/>
  <c r="S29" i="61"/>
  <c r="R29" i="61"/>
  <c r="Q29" i="61"/>
  <c r="P29" i="61"/>
  <c r="O29" i="61"/>
  <c r="N29" i="61"/>
  <c r="V28" i="61"/>
  <c r="W28" i="61" s="1"/>
  <c r="U28" i="61"/>
  <c r="T28" i="61"/>
  <c r="S28" i="61"/>
  <c r="R28" i="61"/>
  <c r="Q28" i="61"/>
  <c r="P28" i="61"/>
  <c r="O28" i="61"/>
  <c r="N28" i="61"/>
  <c r="U27" i="61"/>
  <c r="T27" i="61"/>
  <c r="S27" i="61"/>
  <c r="R27" i="61"/>
  <c r="Q27" i="61"/>
  <c r="V27" i="61" s="1"/>
  <c r="P27" i="61"/>
  <c r="O27" i="61"/>
  <c r="N27" i="61"/>
  <c r="J14" i="59"/>
  <c r="J13" i="59"/>
  <c r="J12" i="59"/>
  <c r="J11" i="59"/>
  <c r="J10" i="59"/>
  <c r="J9" i="59"/>
  <c r="J14" i="56"/>
  <c r="J13" i="56"/>
  <c r="J12" i="56"/>
  <c r="J11" i="56"/>
  <c r="J10" i="56"/>
  <c r="J9" i="56"/>
  <c r="W36" i="61" l="1"/>
  <c r="V29" i="61"/>
  <c r="W29" i="61" s="1"/>
  <c r="V31" i="61"/>
  <c r="W31" i="61" s="1"/>
  <c r="V33" i="61"/>
  <c r="V35" i="61"/>
  <c r="W35" i="61" s="1"/>
  <c r="W27" i="61"/>
  <c r="W33" i="61"/>
  <c r="W37" i="61"/>
  <c r="P25" i="67" l="1"/>
  <c r="U48" i="67"/>
  <c r="T48" i="67"/>
  <c r="S48" i="67"/>
  <c r="R48" i="67"/>
  <c r="Q48" i="67"/>
  <c r="P48" i="67"/>
  <c r="O48" i="67"/>
  <c r="N48" i="67"/>
  <c r="U47" i="67"/>
  <c r="T47" i="67"/>
  <c r="S47" i="67"/>
  <c r="R47" i="67"/>
  <c r="Q47" i="67"/>
  <c r="P47" i="67"/>
  <c r="O47" i="67"/>
  <c r="V47" i="67" s="1"/>
  <c r="W47" i="67" s="1"/>
  <c r="N47" i="67"/>
  <c r="U46" i="67"/>
  <c r="T46" i="67"/>
  <c r="S46" i="67"/>
  <c r="R46" i="67"/>
  <c r="Q46" i="67"/>
  <c r="V46" i="67" s="1"/>
  <c r="P46" i="67"/>
  <c r="O46" i="67"/>
  <c r="N46" i="67"/>
  <c r="U45" i="67"/>
  <c r="T45" i="67"/>
  <c r="S45" i="67"/>
  <c r="R45" i="67"/>
  <c r="Q45" i="67"/>
  <c r="P45" i="67"/>
  <c r="O45" i="67"/>
  <c r="V45" i="67" s="1"/>
  <c r="W45" i="67" s="1"/>
  <c r="N45" i="67"/>
  <c r="U44" i="67"/>
  <c r="T44" i="67"/>
  <c r="S44" i="67"/>
  <c r="R44" i="67"/>
  <c r="Q44" i="67"/>
  <c r="P44" i="67"/>
  <c r="O44" i="67"/>
  <c r="N44" i="67"/>
  <c r="U43" i="67"/>
  <c r="T43" i="67"/>
  <c r="S43" i="67"/>
  <c r="V43" i="67" s="1"/>
  <c r="W43" i="67" s="1"/>
  <c r="R43" i="67"/>
  <c r="Q43" i="67"/>
  <c r="P43" i="67"/>
  <c r="O43" i="67"/>
  <c r="N43" i="67"/>
  <c r="U42" i="67"/>
  <c r="T42" i="67"/>
  <c r="S42" i="67"/>
  <c r="R42" i="67"/>
  <c r="Q42" i="67"/>
  <c r="P42" i="67"/>
  <c r="O42" i="67"/>
  <c r="N42" i="67"/>
  <c r="U41" i="67"/>
  <c r="T41" i="67"/>
  <c r="S41" i="67"/>
  <c r="R41" i="67"/>
  <c r="Q41" i="67"/>
  <c r="P41" i="67"/>
  <c r="O41" i="67"/>
  <c r="V41" i="67" s="1"/>
  <c r="W41" i="67" s="1"/>
  <c r="N41" i="67"/>
  <c r="U40" i="67"/>
  <c r="T40" i="67"/>
  <c r="S40" i="67"/>
  <c r="R40" i="67"/>
  <c r="Q40" i="67"/>
  <c r="P40" i="67"/>
  <c r="O40" i="67"/>
  <c r="N40" i="67"/>
  <c r="V39" i="67"/>
  <c r="U39" i="67"/>
  <c r="T39" i="67"/>
  <c r="S39" i="67"/>
  <c r="R39" i="67"/>
  <c r="Q39" i="67"/>
  <c r="P39" i="67"/>
  <c r="O39" i="67"/>
  <c r="N39" i="67"/>
  <c r="U38" i="67"/>
  <c r="T38" i="67"/>
  <c r="S38" i="67"/>
  <c r="R38" i="67"/>
  <c r="Q38" i="67"/>
  <c r="P38" i="67"/>
  <c r="O38" i="67"/>
  <c r="N38" i="67"/>
  <c r="V37" i="67"/>
  <c r="W37" i="67" s="1"/>
  <c r="U37" i="67"/>
  <c r="T37" i="67"/>
  <c r="S37" i="67"/>
  <c r="R37" i="67"/>
  <c r="Q37" i="67"/>
  <c r="P37" i="67"/>
  <c r="O37" i="67"/>
  <c r="N37" i="67"/>
  <c r="U36" i="67"/>
  <c r="T36" i="67"/>
  <c r="S36" i="67"/>
  <c r="R36" i="67"/>
  <c r="Q36" i="67"/>
  <c r="V36" i="67" s="1"/>
  <c r="P36" i="67"/>
  <c r="O36" i="67"/>
  <c r="N36" i="67"/>
  <c r="U35" i="67"/>
  <c r="T35" i="67"/>
  <c r="S35" i="67"/>
  <c r="R35" i="67"/>
  <c r="Q35" i="67"/>
  <c r="P35" i="67"/>
  <c r="O35" i="67"/>
  <c r="V35" i="67" s="1"/>
  <c r="W35" i="67" s="1"/>
  <c r="N35" i="67"/>
  <c r="U34" i="67"/>
  <c r="T34" i="67"/>
  <c r="S34" i="67"/>
  <c r="R34" i="67"/>
  <c r="Q34" i="67"/>
  <c r="P34" i="67"/>
  <c r="O34" i="67"/>
  <c r="N34" i="67"/>
  <c r="U33" i="67"/>
  <c r="T33" i="67"/>
  <c r="S33" i="67"/>
  <c r="R33" i="67"/>
  <c r="Q33" i="67"/>
  <c r="P33" i="67"/>
  <c r="O33" i="67"/>
  <c r="V33" i="67" s="1"/>
  <c r="W33" i="67" s="1"/>
  <c r="N33" i="67"/>
  <c r="U32" i="67"/>
  <c r="T32" i="67"/>
  <c r="S32" i="67"/>
  <c r="R32" i="67"/>
  <c r="Q32" i="67"/>
  <c r="P32" i="67"/>
  <c r="O32" i="67"/>
  <c r="N32" i="67"/>
  <c r="U19" i="66"/>
  <c r="T19" i="66"/>
  <c r="S19" i="66"/>
  <c r="V19" i="66" s="1"/>
  <c r="R19" i="66"/>
  <c r="P19" i="66"/>
  <c r="N19" i="66"/>
  <c r="U18" i="66"/>
  <c r="T18" i="66"/>
  <c r="S18" i="66"/>
  <c r="R18" i="66"/>
  <c r="P18" i="66"/>
  <c r="N18" i="66"/>
  <c r="U17" i="66"/>
  <c r="T17" i="66"/>
  <c r="S17" i="66"/>
  <c r="R17" i="66"/>
  <c r="P17" i="66"/>
  <c r="N17" i="66"/>
  <c r="U16" i="66"/>
  <c r="T16" i="66"/>
  <c r="S16" i="66"/>
  <c r="R16" i="66"/>
  <c r="P16" i="66"/>
  <c r="N16" i="66"/>
  <c r="U15" i="66"/>
  <c r="T15" i="66"/>
  <c r="S15" i="66"/>
  <c r="R15" i="66"/>
  <c r="P15" i="66"/>
  <c r="N15" i="66"/>
  <c r="U14" i="66"/>
  <c r="T14" i="66"/>
  <c r="S14" i="66"/>
  <c r="R14" i="66"/>
  <c r="P14" i="66"/>
  <c r="N14" i="66"/>
  <c r="U13" i="66"/>
  <c r="T13" i="66"/>
  <c r="S13" i="66"/>
  <c r="R13" i="66"/>
  <c r="P13" i="66"/>
  <c r="N13" i="66"/>
  <c r="U12" i="66"/>
  <c r="T12" i="66"/>
  <c r="S12" i="66"/>
  <c r="R12" i="66"/>
  <c r="P12" i="66"/>
  <c r="N12" i="66"/>
  <c r="U11" i="66"/>
  <c r="T11" i="66"/>
  <c r="S11" i="66"/>
  <c r="R11" i="66"/>
  <c r="P11" i="66"/>
  <c r="N11" i="66"/>
  <c r="U10" i="66"/>
  <c r="T10" i="66"/>
  <c r="S10" i="66"/>
  <c r="R10" i="66"/>
  <c r="P10" i="66"/>
  <c r="N10" i="66"/>
  <c r="U9" i="66"/>
  <c r="T9" i="66"/>
  <c r="S9" i="66"/>
  <c r="R9" i="66"/>
  <c r="P9" i="66"/>
  <c r="N9" i="66"/>
  <c r="N29" i="65"/>
  <c r="U56" i="65"/>
  <c r="T56" i="65"/>
  <c r="V56" i="65" s="1"/>
  <c r="S56" i="65"/>
  <c r="R56" i="65"/>
  <c r="Q56" i="65"/>
  <c r="P56" i="65"/>
  <c r="U55" i="65"/>
  <c r="T55" i="65"/>
  <c r="S55" i="65"/>
  <c r="R55" i="65"/>
  <c r="Q55" i="65"/>
  <c r="P55" i="65"/>
  <c r="O55" i="65"/>
  <c r="N55" i="65"/>
  <c r="U54" i="65"/>
  <c r="T54" i="65"/>
  <c r="S54" i="65"/>
  <c r="R54" i="65"/>
  <c r="Q54" i="65"/>
  <c r="P54" i="65"/>
  <c r="O54" i="65"/>
  <c r="V54" i="65" s="1"/>
  <c r="W54" i="65" s="1"/>
  <c r="N54" i="65"/>
  <c r="U53" i="65"/>
  <c r="T53" i="65"/>
  <c r="V53" i="65" s="1"/>
  <c r="S53" i="65"/>
  <c r="R53" i="65"/>
  <c r="Q53" i="65"/>
  <c r="P53" i="65"/>
  <c r="O53" i="65"/>
  <c r="N53" i="65"/>
  <c r="V52" i="65"/>
  <c r="U52" i="65"/>
  <c r="T52" i="65"/>
  <c r="S52" i="65"/>
  <c r="R52" i="65"/>
  <c r="Q52" i="65"/>
  <c r="P52" i="65"/>
  <c r="O52" i="65"/>
  <c r="N52" i="65"/>
  <c r="U51" i="65"/>
  <c r="T51" i="65"/>
  <c r="V51" i="65" s="1"/>
  <c r="S51" i="65"/>
  <c r="R51" i="65"/>
  <c r="Q51" i="65"/>
  <c r="P51" i="65"/>
  <c r="O51" i="65"/>
  <c r="N51" i="65"/>
  <c r="V50" i="65"/>
  <c r="W50" i="65" s="1"/>
  <c r="U50" i="65"/>
  <c r="T50" i="65"/>
  <c r="S50" i="65"/>
  <c r="R50" i="65"/>
  <c r="Q50" i="65"/>
  <c r="P50" i="65"/>
  <c r="O50" i="65"/>
  <c r="N50" i="65"/>
  <c r="U49" i="65"/>
  <c r="T49" i="65"/>
  <c r="S49" i="65"/>
  <c r="R49" i="65"/>
  <c r="Q49" i="65"/>
  <c r="P49" i="65"/>
  <c r="O49" i="65"/>
  <c r="N49" i="65"/>
  <c r="U48" i="65"/>
  <c r="T48" i="65"/>
  <c r="S48" i="65"/>
  <c r="R48" i="65"/>
  <c r="Q48" i="65"/>
  <c r="P48" i="65"/>
  <c r="O48" i="65"/>
  <c r="V48" i="65" s="1"/>
  <c r="W48" i="65" s="1"/>
  <c r="N48" i="65"/>
  <c r="U47" i="65"/>
  <c r="T47" i="65"/>
  <c r="S47" i="65"/>
  <c r="R47" i="65"/>
  <c r="Q47" i="65"/>
  <c r="P47" i="65"/>
  <c r="O47" i="65"/>
  <c r="N47" i="65"/>
  <c r="U46" i="65"/>
  <c r="T46" i="65"/>
  <c r="S46" i="65"/>
  <c r="R46" i="65"/>
  <c r="Q46" i="65"/>
  <c r="P46" i="65"/>
  <c r="O46" i="65"/>
  <c r="V46" i="65" s="1"/>
  <c r="W46" i="65" s="1"/>
  <c r="N46" i="65"/>
  <c r="U45" i="65"/>
  <c r="T45" i="65"/>
  <c r="S45" i="65"/>
  <c r="R45" i="65"/>
  <c r="Q45" i="65"/>
  <c r="P45" i="65"/>
  <c r="O45" i="65"/>
  <c r="N45" i="65"/>
  <c r="U44" i="65"/>
  <c r="T44" i="65"/>
  <c r="S44" i="65"/>
  <c r="R44" i="65"/>
  <c r="Q44" i="65"/>
  <c r="V44" i="65" s="1"/>
  <c r="W44" i="65" s="1"/>
  <c r="P44" i="65"/>
  <c r="O44" i="65"/>
  <c r="N44" i="65"/>
  <c r="U43" i="65"/>
  <c r="T43" i="65"/>
  <c r="S43" i="65"/>
  <c r="R43" i="65"/>
  <c r="Q43" i="65"/>
  <c r="P43" i="65"/>
  <c r="O43" i="65"/>
  <c r="N43" i="65"/>
  <c r="U42" i="65"/>
  <c r="T42" i="65"/>
  <c r="S42" i="65"/>
  <c r="R42" i="65"/>
  <c r="Q42" i="65"/>
  <c r="P42" i="65"/>
  <c r="O42" i="65"/>
  <c r="V42" i="65" s="1"/>
  <c r="W42" i="65" s="1"/>
  <c r="N42" i="65"/>
  <c r="U41" i="65"/>
  <c r="T41" i="65"/>
  <c r="S41" i="65"/>
  <c r="R41" i="65"/>
  <c r="Q41" i="65"/>
  <c r="P41" i="65"/>
  <c r="O41" i="65"/>
  <c r="N41" i="65"/>
  <c r="U40" i="65"/>
  <c r="T40" i="65"/>
  <c r="S40" i="65"/>
  <c r="R40" i="65"/>
  <c r="Q40" i="65"/>
  <c r="P40" i="65"/>
  <c r="O40" i="65"/>
  <c r="V40" i="65" s="1"/>
  <c r="N40" i="65"/>
  <c r="U39" i="65"/>
  <c r="T39" i="65"/>
  <c r="S39" i="65"/>
  <c r="R39" i="65"/>
  <c r="Q39" i="65"/>
  <c r="P39" i="65"/>
  <c r="O39" i="65"/>
  <c r="N39" i="65"/>
  <c r="U38" i="65"/>
  <c r="T38" i="65"/>
  <c r="S38" i="65"/>
  <c r="R38" i="65"/>
  <c r="Q38" i="65"/>
  <c r="P38" i="65"/>
  <c r="O38" i="65"/>
  <c r="V38" i="65" s="1"/>
  <c r="N38" i="65"/>
  <c r="U37" i="65"/>
  <c r="T37" i="65"/>
  <c r="V37" i="65" s="1"/>
  <c r="S37" i="65"/>
  <c r="R37" i="65"/>
  <c r="Q37" i="65"/>
  <c r="P37" i="65"/>
  <c r="O37" i="65"/>
  <c r="N37" i="65"/>
  <c r="V36" i="65"/>
  <c r="U36" i="65"/>
  <c r="W36" i="65" s="1"/>
  <c r="T36" i="65"/>
  <c r="S36" i="65"/>
  <c r="R36" i="65"/>
  <c r="Q36" i="65"/>
  <c r="P36" i="65"/>
  <c r="O36" i="65"/>
  <c r="N36" i="65"/>
  <c r="W37" i="65" l="1"/>
  <c r="W38" i="65"/>
  <c r="V39" i="65"/>
  <c r="W52" i="65"/>
  <c r="W53" i="65"/>
  <c r="V55" i="65"/>
  <c r="W39" i="67"/>
  <c r="V48" i="67"/>
  <c r="W48" i="67" s="1"/>
  <c r="W40" i="65"/>
  <c r="V41" i="65"/>
  <c r="W41" i="65" s="1"/>
  <c r="V34" i="67"/>
  <c r="V43" i="65"/>
  <c r="V45" i="65"/>
  <c r="V38" i="67"/>
  <c r="W45" i="65"/>
  <c r="V47" i="65"/>
  <c r="W47" i="65" s="1"/>
  <c r="V40" i="67"/>
  <c r="W40" i="67" s="1"/>
  <c r="V49" i="65"/>
  <c r="V42" i="67"/>
  <c r="W49" i="65"/>
  <c r="V32" i="67"/>
  <c r="V44" i="67"/>
  <c r="W36" i="67"/>
  <c r="W44" i="67"/>
  <c r="W38" i="67"/>
  <c r="W46" i="67"/>
  <c r="W34" i="67"/>
  <c r="W42" i="67"/>
  <c r="W32" i="67"/>
  <c r="V10" i="66"/>
  <c r="W10" i="66" s="1"/>
  <c r="V12" i="66"/>
  <c r="W12" i="66" s="1"/>
  <c r="V14" i="66"/>
  <c r="W14" i="66" s="1"/>
  <c r="V16" i="66"/>
  <c r="W16" i="66" s="1"/>
  <c r="V18" i="66"/>
  <c r="W18" i="66" s="1"/>
  <c r="V13" i="66"/>
  <c r="V17" i="66"/>
  <c r="W17" i="66" s="1"/>
  <c r="V9" i="66"/>
  <c r="W9" i="66" s="1"/>
  <c r="V11" i="66"/>
  <c r="W11" i="66" s="1"/>
  <c r="W13" i="66"/>
  <c r="V15" i="66"/>
  <c r="W15" i="66" s="1"/>
  <c r="W19" i="66"/>
  <c r="W39" i="65"/>
  <c r="W55" i="65"/>
  <c r="W43" i="65"/>
  <c r="W51" i="65"/>
  <c r="W56" i="65"/>
  <c r="S18" i="64"/>
  <c r="R18" i="64"/>
  <c r="U32" i="64"/>
  <c r="T32" i="64"/>
  <c r="S32" i="64"/>
  <c r="R32" i="64"/>
  <c r="Q32" i="64"/>
  <c r="P32" i="64"/>
  <c r="O32" i="64"/>
  <c r="N32" i="64"/>
  <c r="V31" i="64"/>
  <c r="W31" i="64" s="1"/>
  <c r="U31" i="64"/>
  <c r="T31" i="64"/>
  <c r="S31" i="64"/>
  <c r="R31" i="64"/>
  <c r="Q31" i="64"/>
  <c r="P31" i="64"/>
  <c r="O31" i="64"/>
  <c r="N31" i="64"/>
  <c r="U30" i="64"/>
  <c r="T30" i="64"/>
  <c r="S30" i="64"/>
  <c r="R30" i="64"/>
  <c r="Q30" i="64"/>
  <c r="P30" i="64"/>
  <c r="O30" i="64"/>
  <c r="N30" i="64"/>
  <c r="U29" i="64"/>
  <c r="T29" i="64"/>
  <c r="S29" i="64"/>
  <c r="R29" i="64"/>
  <c r="Q29" i="64"/>
  <c r="P29" i="64"/>
  <c r="O29" i="64"/>
  <c r="V29" i="64" s="1"/>
  <c r="W29" i="64" s="1"/>
  <c r="N29" i="64"/>
  <c r="U28" i="64"/>
  <c r="T28" i="64"/>
  <c r="S28" i="64"/>
  <c r="R28" i="64"/>
  <c r="Q28" i="64"/>
  <c r="P28" i="64"/>
  <c r="O28" i="64"/>
  <c r="N28" i="64"/>
  <c r="U27" i="64"/>
  <c r="T27" i="64"/>
  <c r="S27" i="64"/>
  <c r="R27" i="64"/>
  <c r="Q27" i="64"/>
  <c r="P27" i="64"/>
  <c r="O27" i="64"/>
  <c r="V27" i="64" s="1"/>
  <c r="W27" i="64" s="1"/>
  <c r="N27" i="64"/>
  <c r="U26" i="64"/>
  <c r="T26" i="64"/>
  <c r="S26" i="64"/>
  <c r="R26" i="64"/>
  <c r="Q26" i="64"/>
  <c r="P26" i="64"/>
  <c r="O26" i="64"/>
  <c r="N26" i="64"/>
  <c r="U25" i="64"/>
  <c r="T25" i="64"/>
  <c r="S25" i="64"/>
  <c r="R25" i="64"/>
  <c r="Q25" i="64"/>
  <c r="P25" i="64"/>
  <c r="O25" i="64"/>
  <c r="V25" i="64" s="1"/>
  <c r="W25" i="64" s="1"/>
  <c r="N25" i="64"/>
  <c r="U24" i="64"/>
  <c r="T24" i="64"/>
  <c r="S24" i="64"/>
  <c r="R24" i="64"/>
  <c r="Q24" i="64"/>
  <c r="V24" i="64" s="1"/>
  <c r="P24" i="64"/>
  <c r="O24" i="64"/>
  <c r="N24" i="64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U20" i="61"/>
  <c r="T20" i="61"/>
  <c r="S20" i="61"/>
  <c r="R20" i="61"/>
  <c r="P20" i="61"/>
  <c r="N20" i="61"/>
  <c r="U19" i="61"/>
  <c r="T19" i="61"/>
  <c r="S19" i="61"/>
  <c r="R19" i="61"/>
  <c r="P19" i="61"/>
  <c r="N19" i="61"/>
  <c r="U18" i="61"/>
  <c r="T18" i="61"/>
  <c r="S18" i="61"/>
  <c r="R18" i="61"/>
  <c r="P18" i="61"/>
  <c r="N18" i="61"/>
  <c r="U17" i="61"/>
  <c r="T17" i="61"/>
  <c r="S17" i="61"/>
  <c r="R17" i="61"/>
  <c r="P17" i="61"/>
  <c r="N17" i="61"/>
  <c r="U16" i="61"/>
  <c r="T16" i="61"/>
  <c r="S16" i="61"/>
  <c r="R16" i="61"/>
  <c r="P16" i="61"/>
  <c r="N16" i="61"/>
  <c r="U15" i="61"/>
  <c r="T15" i="61"/>
  <c r="S15" i="61"/>
  <c r="R15" i="61"/>
  <c r="P15" i="61"/>
  <c r="N15" i="61"/>
  <c r="U14" i="61"/>
  <c r="T14" i="61"/>
  <c r="S14" i="61"/>
  <c r="R14" i="61"/>
  <c r="P14" i="61"/>
  <c r="N14" i="61"/>
  <c r="U13" i="61"/>
  <c r="T13" i="61"/>
  <c r="S13" i="61"/>
  <c r="R13" i="61"/>
  <c r="P13" i="61"/>
  <c r="N13" i="61"/>
  <c r="U12" i="61"/>
  <c r="T12" i="61"/>
  <c r="S12" i="61"/>
  <c r="R12" i="61"/>
  <c r="P12" i="61"/>
  <c r="N12" i="61"/>
  <c r="U11" i="61"/>
  <c r="T11" i="61"/>
  <c r="S11" i="61"/>
  <c r="R11" i="61"/>
  <c r="P11" i="61"/>
  <c r="N11" i="61"/>
  <c r="U10" i="61"/>
  <c r="T10" i="61"/>
  <c r="S10" i="61"/>
  <c r="R10" i="61"/>
  <c r="P10" i="61"/>
  <c r="N10" i="61"/>
  <c r="U9" i="61"/>
  <c r="T9" i="61"/>
  <c r="S9" i="61"/>
  <c r="R9" i="61"/>
  <c r="P9" i="61"/>
  <c r="N9" i="61"/>
  <c r="S19" i="60"/>
  <c r="R19" i="60"/>
  <c r="S18" i="60"/>
  <c r="R18" i="60"/>
  <c r="S17" i="60"/>
  <c r="R17" i="60"/>
  <c r="S16" i="60"/>
  <c r="R16" i="60"/>
  <c r="S15" i="60"/>
  <c r="R15" i="60"/>
  <c r="S14" i="60"/>
  <c r="R14" i="60"/>
  <c r="S13" i="60"/>
  <c r="R13" i="60"/>
  <c r="S12" i="60"/>
  <c r="R12" i="60"/>
  <c r="S11" i="60"/>
  <c r="R11" i="60"/>
  <c r="S10" i="60"/>
  <c r="R10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U51" i="60"/>
  <c r="T51" i="60"/>
  <c r="Q51" i="60"/>
  <c r="P51" i="60"/>
  <c r="O51" i="60"/>
  <c r="N51" i="60"/>
  <c r="U50" i="60"/>
  <c r="T50" i="60"/>
  <c r="Q50" i="60"/>
  <c r="P50" i="60"/>
  <c r="O50" i="60"/>
  <c r="N50" i="60"/>
  <c r="U49" i="60"/>
  <c r="T49" i="60"/>
  <c r="S49" i="60"/>
  <c r="R49" i="60"/>
  <c r="Q49" i="60"/>
  <c r="P49" i="60"/>
  <c r="O49" i="60"/>
  <c r="N49" i="60"/>
  <c r="U48" i="60"/>
  <c r="T48" i="60"/>
  <c r="S48" i="60"/>
  <c r="R48" i="60"/>
  <c r="Q48" i="60"/>
  <c r="P48" i="60"/>
  <c r="O48" i="60"/>
  <c r="N48" i="60"/>
  <c r="U47" i="60"/>
  <c r="T47" i="60"/>
  <c r="S47" i="60"/>
  <c r="R47" i="60"/>
  <c r="Q47" i="60"/>
  <c r="P47" i="60"/>
  <c r="O47" i="60"/>
  <c r="N47" i="60"/>
  <c r="U46" i="60"/>
  <c r="T46" i="60"/>
  <c r="S46" i="60"/>
  <c r="R46" i="60"/>
  <c r="Q46" i="60"/>
  <c r="P46" i="60"/>
  <c r="O46" i="60"/>
  <c r="N46" i="60"/>
  <c r="U45" i="60"/>
  <c r="T45" i="60"/>
  <c r="S45" i="60"/>
  <c r="R45" i="60"/>
  <c r="Q45" i="60"/>
  <c r="P45" i="60"/>
  <c r="O45" i="60"/>
  <c r="N45" i="60"/>
  <c r="U44" i="60"/>
  <c r="T44" i="60"/>
  <c r="S44" i="60"/>
  <c r="R44" i="60"/>
  <c r="Q44" i="60"/>
  <c r="V44" i="60" s="1"/>
  <c r="W44" i="60" s="1"/>
  <c r="P44" i="60"/>
  <c r="O44" i="60"/>
  <c r="N44" i="60"/>
  <c r="U43" i="60"/>
  <c r="T43" i="60"/>
  <c r="S43" i="60"/>
  <c r="R43" i="60"/>
  <c r="Q43" i="60"/>
  <c r="V43" i="60" s="1"/>
  <c r="P43" i="60"/>
  <c r="O43" i="60"/>
  <c r="N43" i="60"/>
  <c r="U42" i="60"/>
  <c r="T42" i="60"/>
  <c r="S42" i="60"/>
  <c r="R42" i="60"/>
  <c r="Q42" i="60"/>
  <c r="P42" i="60"/>
  <c r="O42" i="60"/>
  <c r="V42" i="60" s="1"/>
  <c r="W42" i="60" s="1"/>
  <c r="N42" i="60"/>
  <c r="U41" i="60"/>
  <c r="T41" i="60"/>
  <c r="S41" i="60"/>
  <c r="R41" i="60"/>
  <c r="Q41" i="60"/>
  <c r="P41" i="60"/>
  <c r="O41" i="60"/>
  <c r="N41" i="60"/>
  <c r="U26" i="59"/>
  <c r="T26" i="59"/>
  <c r="S26" i="59"/>
  <c r="R26" i="59"/>
  <c r="Q26" i="59"/>
  <c r="P26" i="59"/>
  <c r="O26" i="59"/>
  <c r="N26" i="59"/>
  <c r="U25" i="59"/>
  <c r="T25" i="59"/>
  <c r="S25" i="59"/>
  <c r="R25" i="59"/>
  <c r="Q25" i="59"/>
  <c r="P25" i="59"/>
  <c r="O25" i="59"/>
  <c r="V25" i="59" s="1"/>
  <c r="W25" i="59" s="1"/>
  <c r="N25" i="59"/>
  <c r="U24" i="59"/>
  <c r="T24" i="59"/>
  <c r="S24" i="59"/>
  <c r="R24" i="59"/>
  <c r="Q24" i="59"/>
  <c r="P24" i="59"/>
  <c r="O24" i="59"/>
  <c r="N24" i="59"/>
  <c r="U23" i="59"/>
  <c r="T23" i="59"/>
  <c r="V23" i="59" s="1"/>
  <c r="W23" i="59" s="1"/>
  <c r="S23" i="59"/>
  <c r="R23" i="59"/>
  <c r="Q23" i="59"/>
  <c r="P23" i="59"/>
  <c r="O23" i="59"/>
  <c r="N23" i="59"/>
  <c r="U22" i="59"/>
  <c r="T22" i="59"/>
  <c r="S22" i="59"/>
  <c r="R22" i="59"/>
  <c r="Q22" i="59"/>
  <c r="P22" i="59"/>
  <c r="O22" i="59"/>
  <c r="N22" i="59"/>
  <c r="V21" i="59"/>
  <c r="U21" i="59"/>
  <c r="T21" i="59"/>
  <c r="S21" i="59"/>
  <c r="R21" i="59"/>
  <c r="Q21" i="59"/>
  <c r="P21" i="59"/>
  <c r="O21" i="59"/>
  <c r="N21" i="59"/>
  <c r="S34" i="57"/>
  <c r="R34" i="57"/>
  <c r="U33" i="57"/>
  <c r="T33" i="57"/>
  <c r="S33" i="57"/>
  <c r="R33" i="57"/>
  <c r="Q33" i="57"/>
  <c r="V33" i="57" s="1"/>
  <c r="W33" i="57" s="1"/>
  <c r="P33" i="57"/>
  <c r="O33" i="57"/>
  <c r="N33" i="57"/>
  <c r="U32" i="57"/>
  <c r="T32" i="57"/>
  <c r="S32" i="57"/>
  <c r="R32" i="57"/>
  <c r="Q32" i="57"/>
  <c r="P32" i="57"/>
  <c r="O32" i="57"/>
  <c r="N32" i="57"/>
  <c r="U31" i="57"/>
  <c r="T31" i="57"/>
  <c r="S31" i="57"/>
  <c r="R31" i="57"/>
  <c r="Q31" i="57"/>
  <c r="P31" i="57"/>
  <c r="O31" i="57"/>
  <c r="V31" i="57" s="1"/>
  <c r="W31" i="57" s="1"/>
  <c r="N31" i="57"/>
  <c r="U30" i="57"/>
  <c r="T30" i="57"/>
  <c r="S30" i="57"/>
  <c r="R30" i="57"/>
  <c r="Q30" i="57"/>
  <c r="P30" i="57"/>
  <c r="O30" i="57"/>
  <c r="N30" i="57"/>
  <c r="U29" i="57"/>
  <c r="T29" i="57"/>
  <c r="S29" i="57"/>
  <c r="R29" i="57"/>
  <c r="Q29" i="57"/>
  <c r="P29" i="57"/>
  <c r="O29" i="57"/>
  <c r="V29" i="57" s="1"/>
  <c r="W29" i="57" s="1"/>
  <c r="N29" i="57"/>
  <c r="U28" i="57"/>
  <c r="T28" i="57"/>
  <c r="S28" i="57"/>
  <c r="R28" i="57"/>
  <c r="Q28" i="57"/>
  <c r="P28" i="57"/>
  <c r="O28" i="57"/>
  <c r="N28" i="57"/>
  <c r="U27" i="57"/>
  <c r="T27" i="57"/>
  <c r="V27" i="57" s="1"/>
  <c r="W27" i="57" s="1"/>
  <c r="S27" i="57"/>
  <c r="R27" i="57"/>
  <c r="Q27" i="57"/>
  <c r="P27" i="57"/>
  <c r="O27" i="57"/>
  <c r="N27" i="57"/>
  <c r="U26" i="57"/>
  <c r="T26" i="57"/>
  <c r="S26" i="57"/>
  <c r="R26" i="57"/>
  <c r="Q26" i="57"/>
  <c r="P26" i="57"/>
  <c r="O26" i="57"/>
  <c r="N26" i="57"/>
  <c r="V25" i="57"/>
  <c r="U25" i="57"/>
  <c r="T25" i="57"/>
  <c r="S25" i="57"/>
  <c r="R25" i="57"/>
  <c r="Q25" i="57"/>
  <c r="P25" i="57"/>
  <c r="O25" i="57"/>
  <c r="N25" i="57"/>
  <c r="U26" i="56"/>
  <c r="T26" i="56"/>
  <c r="S26" i="56"/>
  <c r="R26" i="56"/>
  <c r="Q26" i="56"/>
  <c r="P26" i="56"/>
  <c r="O26" i="56"/>
  <c r="N26" i="56"/>
  <c r="U25" i="56"/>
  <c r="T25" i="56"/>
  <c r="S25" i="56"/>
  <c r="R25" i="56"/>
  <c r="Q25" i="56"/>
  <c r="P25" i="56"/>
  <c r="O25" i="56"/>
  <c r="V25" i="56" s="1"/>
  <c r="N25" i="56"/>
  <c r="U24" i="56"/>
  <c r="T24" i="56"/>
  <c r="S24" i="56"/>
  <c r="R24" i="56"/>
  <c r="Q24" i="56"/>
  <c r="P24" i="56"/>
  <c r="O24" i="56"/>
  <c r="N24" i="56"/>
  <c r="U23" i="56"/>
  <c r="T23" i="56"/>
  <c r="S23" i="56"/>
  <c r="R23" i="56"/>
  <c r="Q23" i="56"/>
  <c r="P23" i="56"/>
  <c r="O23" i="56"/>
  <c r="V23" i="56" s="1"/>
  <c r="N23" i="56"/>
  <c r="U22" i="56"/>
  <c r="T22" i="56"/>
  <c r="S22" i="56"/>
  <c r="R22" i="56"/>
  <c r="Q22" i="56"/>
  <c r="P22" i="56"/>
  <c r="O22" i="56"/>
  <c r="N22" i="56"/>
  <c r="U21" i="56"/>
  <c r="T21" i="56"/>
  <c r="S21" i="56"/>
  <c r="R21" i="56"/>
  <c r="Q21" i="56"/>
  <c r="P21" i="56"/>
  <c r="O21" i="56"/>
  <c r="V21" i="56" s="1"/>
  <c r="N21" i="56"/>
  <c r="W21" i="56" l="1"/>
  <c r="V13" i="61"/>
  <c r="W13" i="61" s="1"/>
  <c r="V26" i="64"/>
  <c r="W25" i="56"/>
  <c r="V22" i="56"/>
  <c r="W22" i="56" s="1"/>
  <c r="V24" i="56"/>
  <c r="W24" i="56" s="1"/>
  <c r="V26" i="56"/>
  <c r="V28" i="57"/>
  <c r="V28" i="64"/>
  <c r="W21" i="59"/>
  <c r="V26" i="57"/>
  <c r="V30" i="57"/>
  <c r="V22" i="59"/>
  <c r="W22" i="59" s="1"/>
  <c r="V30" i="64"/>
  <c r="W23" i="56"/>
  <c r="V32" i="57"/>
  <c r="W32" i="57" s="1"/>
  <c r="V24" i="59"/>
  <c r="V46" i="60"/>
  <c r="W46" i="60" s="1"/>
  <c r="V48" i="60"/>
  <c r="W48" i="60" s="1"/>
  <c r="V32" i="64"/>
  <c r="V26" i="59"/>
  <c r="W26" i="59" s="1"/>
  <c r="W25" i="57"/>
  <c r="V15" i="61"/>
  <c r="W15" i="61" s="1"/>
  <c r="V9" i="61"/>
  <c r="W9" i="61" s="1"/>
  <c r="V10" i="61"/>
  <c r="W10" i="61" s="1"/>
  <c r="V11" i="61"/>
  <c r="W11" i="61" s="1"/>
  <c r="V12" i="61"/>
  <c r="W12" i="61" s="1"/>
  <c r="V17" i="61"/>
  <c r="W17" i="61" s="1"/>
  <c r="V18" i="61"/>
  <c r="W18" i="61" s="1"/>
  <c r="V19" i="61"/>
  <c r="W19" i="61" s="1"/>
  <c r="V20" i="61"/>
  <c r="W20" i="61" s="1"/>
  <c r="W24" i="64"/>
  <c r="W32" i="64"/>
  <c r="W26" i="64"/>
  <c r="W28" i="64"/>
  <c r="W30" i="64"/>
  <c r="V14" i="61"/>
  <c r="W14" i="61" s="1"/>
  <c r="V16" i="61"/>
  <c r="W16" i="61" s="1"/>
  <c r="V50" i="60"/>
  <c r="W50" i="60" s="1"/>
  <c r="V47" i="60"/>
  <c r="V49" i="60"/>
  <c r="W49" i="60" s="1"/>
  <c r="V45" i="60"/>
  <c r="W45" i="60" s="1"/>
  <c r="V41" i="60"/>
  <c r="W41" i="60" s="1"/>
  <c r="V51" i="60"/>
  <c r="W51" i="60"/>
  <c r="W43" i="60"/>
  <c r="W47" i="60"/>
  <c r="W24" i="59"/>
  <c r="W28" i="57"/>
  <c r="W26" i="57"/>
  <c r="W30" i="57"/>
  <c r="W26" i="56"/>
  <c r="U36" i="55"/>
  <c r="T36" i="55"/>
  <c r="U35" i="55"/>
  <c r="T35" i="55"/>
  <c r="U34" i="55"/>
  <c r="T34" i="55"/>
  <c r="S34" i="55"/>
  <c r="R34" i="55"/>
  <c r="Q34" i="55"/>
  <c r="P34" i="55"/>
  <c r="O34" i="55"/>
  <c r="N34" i="55"/>
  <c r="U33" i="55"/>
  <c r="T33" i="55"/>
  <c r="S33" i="55"/>
  <c r="R33" i="55"/>
  <c r="Q33" i="55"/>
  <c r="P33" i="55"/>
  <c r="O33" i="55"/>
  <c r="N33" i="55"/>
  <c r="U32" i="55"/>
  <c r="T32" i="55"/>
  <c r="S32" i="55"/>
  <c r="R32" i="55"/>
  <c r="Q32" i="55"/>
  <c r="P32" i="55"/>
  <c r="O32" i="55"/>
  <c r="N32" i="55"/>
  <c r="U31" i="55"/>
  <c r="T31" i="55"/>
  <c r="S31" i="55"/>
  <c r="R31" i="55"/>
  <c r="Q31" i="55"/>
  <c r="P31" i="55"/>
  <c r="O31" i="55"/>
  <c r="N31" i="55"/>
  <c r="U30" i="55"/>
  <c r="T30" i="55"/>
  <c r="S30" i="55"/>
  <c r="R30" i="55"/>
  <c r="Q30" i="55"/>
  <c r="P30" i="55"/>
  <c r="O30" i="55"/>
  <c r="N30" i="55"/>
  <c r="U29" i="55"/>
  <c r="T29" i="55"/>
  <c r="S29" i="55"/>
  <c r="R29" i="55"/>
  <c r="Q29" i="55"/>
  <c r="P29" i="55"/>
  <c r="O29" i="55"/>
  <c r="N29" i="55"/>
  <c r="U28" i="55"/>
  <c r="T28" i="55"/>
  <c r="S28" i="55"/>
  <c r="R28" i="55"/>
  <c r="Q28" i="55"/>
  <c r="P28" i="55"/>
  <c r="O28" i="55"/>
  <c r="N28" i="55"/>
  <c r="U27" i="55"/>
  <c r="T27" i="55"/>
  <c r="S27" i="55"/>
  <c r="R27" i="55"/>
  <c r="Q27" i="55"/>
  <c r="P27" i="55"/>
  <c r="O27" i="55"/>
  <c r="V27" i="55" s="1"/>
  <c r="W27" i="55" s="1"/>
  <c r="N27" i="55"/>
  <c r="U26" i="55"/>
  <c r="T26" i="55"/>
  <c r="S26" i="55"/>
  <c r="R26" i="55"/>
  <c r="Q26" i="55"/>
  <c r="P26" i="55"/>
  <c r="O26" i="55"/>
  <c r="N26" i="55"/>
  <c r="V28" i="55" l="1"/>
  <c r="W28" i="55" s="1"/>
  <c r="V31" i="55"/>
  <c r="W31" i="55" s="1"/>
  <c r="V33" i="55"/>
  <c r="V29" i="55"/>
  <c r="W29" i="55" s="1"/>
  <c r="V32" i="55"/>
  <c r="W32" i="55" s="1"/>
  <c r="W33" i="55"/>
  <c r="V30" i="55"/>
  <c r="W30" i="55" s="1"/>
  <c r="N9" i="80" l="1"/>
  <c r="N10" i="103"/>
  <c r="N11" i="103"/>
  <c r="N12" i="103"/>
  <c r="N13" i="103"/>
  <c r="N14" i="103"/>
  <c r="N15" i="103"/>
  <c r="N16" i="103"/>
  <c r="N17" i="103"/>
  <c r="N9" i="103"/>
  <c r="O10" i="101"/>
  <c r="O11" i="101"/>
  <c r="O12" i="101"/>
  <c r="O13" i="101"/>
  <c r="O14" i="101"/>
  <c r="O15" i="101"/>
  <c r="N10" i="101"/>
  <c r="N11" i="101"/>
  <c r="N12" i="101"/>
  <c r="N13" i="101"/>
  <c r="N14" i="101"/>
  <c r="N15" i="101"/>
  <c r="O9" i="101"/>
  <c r="N9" i="101"/>
  <c r="O10" i="100"/>
  <c r="O11" i="100"/>
  <c r="O12" i="100"/>
  <c r="O13" i="100"/>
  <c r="O9" i="100"/>
  <c r="U28" i="98"/>
  <c r="U29" i="98"/>
  <c r="T28" i="98"/>
  <c r="V28" i="98" s="1"/>
  <c r="T29" i="98"/>
  <c r="V29" i="98" s="1"/>
  <c r="N10" i="98"/>
  <c r="N11" i="98"/>
  <c r="N12" i="98"/>
  <c r="N13" i="98"/>
  <c r="N14" i="98"/>
  <c r="N15" i="98"/>
  <c r="N16" i="98"/>
  <c r="N17" i="98"/>
  <c r="N18" i="98"/>
  <c r="N19" i="98"/>
  <c r="N20" i="98"/>
  <c r="N21" i="98"/>
  <c r="N22" i="98"/>
  <c r="N23" i="98"/>
  <c r="N24" i="98"/>
  <c r="N25" i="98"/>
  <c r="N26" i="98"/>
  <c r="N27" i="98"/>
  <c r="N9" i="98"/>
  <c r="N10" i="97"/>
  <c r="N11" i="97"/>
  <c r="N12" i="97"/>
  <c r="N13" i="97"/>
  <c r="N14" i="97"/>
  <c r="N15" i="97"/>
  <c r="N16" i="97"/>
  <c r="N17" i="97"/>
  <c r="N18" i="97"/>
  <c r="N9" i="97"/>
  <c r="P10" i="96"/>
  <c r="P11" i="96"/>
  <c r="P12" i="96"/>
  <c r="P13" i="96"/>
  <c r="P14" i="96"/>
  <c r="P15" i="96"/>
  <c r="P16" i="96"/>
  <c r="P17" i="96"/>
  <c r="P18" i="96"/>
  <c r="P19" i="96"/>
  <c r="P20" i="96"/>
  <c r="P9" i="96"/>
  <c r="N10" i="96"/>
  <c r="N11" i="96"/>
  <c r="N12" i="96"/>
  <c r="N13" i="96"/>
  <c r="N14" i="96"/>
  <c r="N15" i="96"/>
  <c r="N16" i="96"/>
  <c r="N17" i="96"/>
  <c r="N18" i="96"/>
  <c r="N19" i="96"/>
  <c r="N20" i="96"/>
  <c r="N21" i="96"/>
  <c r="N9" i="96"/>
  <c r="U17" i="74"/>
  <c r="T17" i="74"/>
  <c r="V17" i="74" s="1"/>
  <c r="U16" i="74"/>
  <c r="T16" i="74"/>
  <c r="V16" i="74" s="1"/>
  <c r="W16" i="74" s="1"/>
  <c r="U15" i="74"/>
  <c r="T15" i="74"/>
  <c r="V15" i="74" s="1"/>
  <c r="U14" i="74"/>
  <c r="T14" i="74"/>
  <c r="V14" i="74" s="1"/>
  <c r="U13" i="74"/>
  <c r="T13" i="74"/>
  <c r="V13" i="74" s="1"/>
  <c r="U12" i="74"/>
  <c r="T12" i="74"/>
  <c r="V12" i="74" s="1"/>
  <c r="U11" i="74"/>
  <c r="T11" i="74"/>
  <c r="V11" i="74" s="1"/>
  <c r="W11" i="74" s="1"/>
  <c r="U10" i="74"/>
  <c r="T10" i="74"/>
  <c r="V10" i="74" s="1"/>
  <c r="U9" i="74"/>
  <c r="T9" i="74"/>
  <c r="S9" i="74"/>
  <c r="R9" i="74"/>
  <c r="P9" i="74"/>
  <c r="N9" i="74"/>
  <c r="U18" i="75"/>
  <c r="T18" i="75"/>
  <c r="S18" i="75"/>
  <c r="R18" i="75"/>
  <c r="P18" i="75"/>
  <c r="N18" i="75"/>
  <c r="U17" i="75"/>
  <c r="T17" i="75"/>
  <c r="V17" i="75" s="1"/>
  <c r="W17" i="75" s="1"/>
  <c r="S17" i="75"/>
  <c r="R17" i="75"/>
  <c r="P17" i="75"/>
  <c r="N17" i="75"/>
  <c r="U16" i="75"/>
  <c r="T16" i="75"/>
  <c r="V16" i="75" s="1"/>
  <c r="W16" i="75" s="1"/>
  <c r="S16" i="75"/>
  <c r="R16" i="75"/>
  <c r="P16" i="75"/>
  <c r="N16" i="75"/>
  <c r="U15" i="75"/>
  <c r="T15" i="75"/>
  <c r="V15" i="75" s="1"/>
  <c r="S15" i="75"/>
  <c r="R15" i="75"/>
  <c r="P15" i="75"/>
  <c r="N15" i="75"/>
  <c r="U14" i="75"/>
  <c r="T14" i="75"/>
  <c r="S14" i="75"/>
  <c r="R14" i="75"/>
  <c r="P14" i="75"/>
  <c r="N14" i="75"/>
  <c r="U13" i="75"/>
  <c r="T13" i="75"/>
  <c r="V13" i="75" s="1"/>
  <c r="W13" i="75" s="1"/>
  <c r="S13" i="75"/>
  <c r="R13" i="75"/>
  <c r="P13" i="75"/>
  <c r="N13" i="75"/>
  <c r="U12" i="75"/>
  <c r="T12" i="75"/>
  <c r="V12" i="75" s="1"/>
  <c r="W12" i="75" s="1"/>
  <c r="S12" i="75"/>
  <c r="R12" i="75"/>
  <c r="P12" i="75"/>
  <c r="N12" i="75"/>
  <c r="U11" i="75"/>
  <c r="T11" i="75"/>
  <c r="V11" i="75" s="1"/>
  <c r="S11" i="75"/>
  <c r="R11" i="75"/>
  <c r="P11" i="75"/>
  <c r="N11" i="75"/>
  <c r="U10" i="75"/>
  <c r="T10" i="75"/>
  <c r="S10" i="75"/>
  <c r="R10" i="75"/>
  <c r="P10" i="75"/>
  <c r="N10" i="75"/>
  <c r="U9" i="75"/>
  <c r="T9" i="75"/>
  <c r="V9" i="75" s="1"/>
  <c r="W9" i="75" s="1"/>
  <c r="S9" i="75"/>
  <c r="R9" i="75"/>
  <c r="P9" i="75"/>
  <c r="N9" i="75"/>
  <c r="U20" i="76"/>
  <c r="T20" i="76"/>
  <c r="S20" i="76"/>
  <c r="R20" i="76"/>
  <c r="P20" i="76"/>
  <c r="O20" i="76"/>
  <c r="N20" i="76"/>
  <c r="U19" i="76"/>
  <c r="T19" i="76"/>
  <c r="S19" i="76"/>
  <c r="R19" i="76"/>
  <c r="P19" i="76"/>
  <c r="O19" i="76"/>
  <c r="N19" i="76"/>
  <c r="U18" i="76"/>
  <c r="T18" i="76"/>
  <c r="S18" i="76"/>
  <c r="R18" i="76"/>
  <c r="P18" i="76"/>
  <c r="O18" i="76"/>
  <c r="V18" i="76" s="1"/>
  <c r="W18" i="76" s="1"/>
  <c r="N18" i="76"/>
  <c r="U17" i="76"/>
  <c r="T17" i="76"/>
  <c r="S17" i="76"/>
  <c r="R17" i="76"/>
  <c r="P17" i="76"/>
  <c r="O17" i="76"/>
  <c r="N17" i="76"/>
  <c r="U16" i="76"/>
  <c r="T16" i="76"/>
  <c r="S16" i="76"/>
  <c r="R16" i="76"/>
  <c r="P16" i="76"/>
  <c r="O16" i="76"/>
  <c r="N16" i="76"/>
  <c r="U15" i="76"/>
  <c r="T15" i="76"/>
  <c r="S15" i="76"/>
  <c r="R15" i="76"/>
  <c r="P15" i="76"/>
  <c r="O15" i="76"/>
  <c r="N15" i="76"/>
  <c r="U14" i="76"/>
  <c r="T14" i="76"/>
  <c r="S14" i="76"/>
  <c r="R14" i="76"/>
  <c r="P14" i="76"/>
  <c r="O14" i="76"/>
  <c r="N14" i="76"/>
  <c r="U13" i="76"/>
  <c r="T13" i="76"/>
  <c r="S13" i="76"/>
  <c r="R13" i="76"/>
  <c r="P13" i="76"/>
  <c r="O13" i="76"/>
  <c r="N13" i="76"/>
  <c r="U12" i="76"/>
  <c r="T12" i="76"/>
  <c r="S12" i="76"/>
  <c r="R12" i="76"/>
  <c r="P12" i="76"/>
  <c r="O12" i="76"/>
  <c r="N12" i="76"/>
  <c r="U11" i="76"/>
  <c r="T11" i="76"/>
  <c r="S11" i="76"/>
  <c r="R11" i="76"/>
  <c r="P11" i="76"/>
  <c r="O11" i="76"/>
  <c r="N11" i="76"/>
  <c r="U10" i="76"/>
  <c r="T10" i="76"/>
  <c r="S10" i="76"/>
  <c r="R10" i="76"/>
  <c r="P10" i="76"/>
  <c r="O10" i="76"/>
  <c r="V10" i="76" s="1"/>
  <c r="W10" i="76" s="1"/>
  <c r="N10" i="76"/>
  <c r="U9" i="76"/>
  <c r="T9" i="76"/>
  <c r="S9" i="76"/>
  <c r="R9" i="76"/>
  <c r="P9" i="76"/>
  <c r="O9" i="76"/>
  <c r="N9" i="76"/>
  <c r="N9" i="77"/>
  <c r="T20" i="78"/>
  <c r="P20" i="78"/>
  <c r="N20" i="78"/>
  <c r="T19" i="78"/>
  <c r="P19" i="78"/>
  <c r="N19" i="78"/>
  <c r="T18" i="78"/>
  <c r="V18" i="78" s="1"/>
  <c r="W18" i="78" s="1"/>
  <c r="P18" i="78"/>
  <c r="N18" i="78"/>
  <c r="T17" i="78"/>
  <c r="P17" i="78"/>
  <c r="N17" i="78"/>
  <c r="T16" i="78"/>
  <c r="V16" i="78" s="1"/>
  <c r="W16" i="78" s="1"/>
  <c r="P16" i="78"/>
  <c r="N16" i="78"/>
  <c r="T15" i="78"/>
  <c r="P15" i="78"/>
  <c r="N15" i="78"/>
  <c r="T14" i="78"/>
  <c r="V14" i="78" s="1"/>
  <c r="W14" i="78" s="1"/>
  <c r="R14" i="78"/>
  <c r="P14" i="78"/>
  <c r="N14" i="78"/>
  <c r="T13" i="78"/>
  <c r="V13" i="78" s="1"/>
  <c r="R13" i="78"/>
  <c r="P13" i="78"/>
  <c r="N13" i="78"/>
  <c r="T12" i="78"/>
  <c r="V12" i="78" s="1"/>
  <c r="W12" i="78" s="1"/>
  <c r="R12" i="78"/>
  <c r="P12" i="78"/>
  <c r="N12" i="78"/>
  <c r="T11" i="78"/>
  <c r="R11" i="78"/>
  <c r="P11" i="78"/>
  <c r="N11" i="78"/>
  <c r="T10" i="78"/>
  <c r="V10" i="78" s="1"/>
  <c r="W10" i="78" s="1"/>
  <c r="R10" i="78"/>
  <c r="P10" i="78"/>
  <c r="N10" i="78"/>
  <c r="T9" i="78"/>
  <c r="R9" i="78"/>
  <c r="P9" i="78"/>
  <c r="N9" i="78"/>
  <c r="U33" i="79"/>
  <c r="T33" i="79"/>
  <c r="U32" i="79"/>
  <c r="T32" i="79"/>
  <c r="V33" i="79"/>
  <c r="R32" i="79"/>
  <c r="N32" i="79"/>
  <c r="U31" i="79"/>
  <c r="T31" i="79"/>
  <c r="R31" i="79"/>
  <c r="N31" i="79"/>
  <c r="U30" i="79"/>
  <c r="T30" i="79"/>
  <c r="V30" i="79" s="1"/>
  <c r="R30" i="79"/>
  <c r="N30" i="79"/>
  <c r="U29" i="79"/>
  <c r="T29" i="79"/>
  <c r="V29" i="79"/>
  <c r="R29" i="79"/>
  <c r="N29" i="79"/>
  <c r="U28" i="79"/>
  <c r="T28" i="79"/>
  <c r="R28" i="79"/>
  <c r="N28" i="79"/>
  <c r="U27" i="79"/>
  <c r="T27" i="79"/>
  <c r="R27" i="79"/>
  <c r="N27" i="79"/>
  <c r="U26" i="79"/>
  <c r="T26" i="79"/>
  <c r="R26" i="79"/>
  <c r="P26" i="79"/>
  <c r="N26" i="79"/>
  <c r="U17" i="80"/>
  <c r="T17" i="80"/>
  <c r="V17" i="80" s="1"/>
  <c r="R17" i="80"/>
  <c r="U16" i="80"/>
  <c r="T16" i="80"/>
  <c r="V16" i="80" s="1"/>
  <c r="R16" i="80"/>
  <c r="U15" i="80"/>
  <c r="T15" i="80"/>
  <c r="R15" i="80"/>
  <c r="U14" i="80"/>
  <c r="T14" i="80"/>
  <c r="V14" i="80" s="1"/>
  <c r="R14" i="80"/>
  <c r="U13" i="80"/>
  <c r="T13" i="80"/>
  <c r="V13" i="80" s="1"/>
  <c r="R13" i="80"/>
  <c r="U12" i="80"/>
  <c r="T12" i="80"/>
  <c r="V12" i="80" s="1"/>
  <c r="R12" i="80"/>
  <c r="U11" i="80"/>
  <c r="T11" i="80"/>
  <c r="R11" i="80"/>
  <c r="U10" i="80"/>
  <c r="T10" i="80"/>
  <c r="V10" i="80" s="1"/>
  <c r="R10" i="80"/>
  <c r="U9" i="80"/>
  <c r="T9" i="80"/>
  <c r="V9" i="80" s="1"/>
  <c r="R9" i="80"/>
  <c r="P9" i="80"/>
  <c r="N10" i="81"/>
  <c r="N11" i="81"/>
  <c r="N12" i="81"/>
  <c r="N13" i="81"/>
  <c r="N14" i="81"/>
  <c r="N15" i="81"/>
  <c r="N16" i="81"/>
  <c r="N17" i="81"/>
  <c r="N18" i="81"/>
  <c r="N19" i="81"/>
  <c r="N20" i="81"/>
  <c r="N9" i="81"/>
  <c r="O10" i="84"/>
  <c r="O11" i="84"/>
  <c r="O12" i="84"/>
  <c r="O13" i="84"/>
  <c r="O14" i="84"/>
  <c r="O15" i="84"/>
  <c r="O16" i="84"/>
  <c r="O17" i="84"/>
  <c r="O18" i="84"/>
  <c r="O19" i="84"/>
  <c r="O20" i="84"/>
  <c r="N10" i="84"/>
  <c r="N11" i="84"/>
  <c r="N12" i="84"/>
  <c r="N13" i="84"/>
  <c r="N14" i="84"/>
  <c r="N15" i="84"/>
  <c r="N16" i="84"/>
  <c r="N17" i="84"/>
  <c r="N18" i="84"/>
  <c r="N19" i="84"/>
  <c r="N20" i="84"/>
  <c r="O9" i="84"/>
  <c r="N9" i="84"/>
  <c r="O9" i="86"/>
  <c r="O10" i="90"/>
  <c r="O11" i="90"/>
  <c r="O12" i="90"/>
  <c r="O13" i="90"/>
  <c r="O14" i="90"/>
  <c r="O15" i="90"/>
  <c r="O16" i="90"/>
  <c r="O17" i="90"/>
  <c r="O18" i="90"/>
  <c r="O9" i="90"/>
  <c r="O10" i="91"/>
  <c r="O11" i="91"/>
  <c r="O12" i="91"/>
  <c r="O13" i="91"/>
  <c r="O14" i="91"/>
  <c r="O9" i="91"/>
  <c r="N9" i="92"/>
  <c r="P31" i="94"/>
  <c r="N31" i="94"/>
  <c r="N10" i="73"/>
  <c r="N11" i="73"/>
  <c r="N12" i="73"/>
  <c r="N13" i="73"/>
  <c r="N14" i="73"/>
  <c r="N15" i="73"/>
  <c r="N16" i="73"/>
  <c r="N17" i="73"/>
  <c r="N9" i="73"/>
  <c r="O10" i="70"/>
  <c r="O11" i="70"/>
  <c r="O12" i="70"/>
  <c r="O13" i="70"/>
  <c r="O14" i="70"/>
  <c r="O15" i="70"/>
  <c r="O16" i="70"/>
  <c r="O17" i="70"/>
  <c r="O18" i="70"/>
  <c r="O19" i="70"/>
  <c r="O20" i="70"/>
  <c r="O21" i="70"/>
  <c r="O22" i="70"/>
  <c r="O23" i="70"/>
  <c r="O9" i="70"/>
  <c r="T10" i="68"/>
  <c r="T11" i="68"/>
  <c r="T12" i="68"/>
  <c r="T13" i="68"/>
  <c r="T14" i="68"/>
  <c r="T15" i="68"/>
  <c r="T16" i="68"/>
  <c r="R10" i="68"/>
  <c r="R11" i="68"/>
  <c r="R12" i="68"/>
  <c r="R13" i="68"/>
  <c r="R14" i="68"/>
  <c r="R15" i="68"/>
  <c r="R16" i="68"/>
  <c r="P10" i="68"/>
  <c r="P11" i="68"/>
  <c r="P12" i="68"/>
  <c r="P13" i="68"/>
  <c r="P14" i="68"/>
  <c r="P15" i="68"/>
  <c r="P16" i="68"/>
  <c r="N10" i="68"/>
  <c r="N11" i="68"/>
  <c r="N12" i="68"/>
  <c r="N13" i="68"/>
  <c r="N14" i="68"/>
  <c r="N15" i="68"/>
  <c r="N16" i="68"/>
  <c r="T9" i="68"/>
  <c r="R9" i="68"/>
  <c r="P9" i="68"/>
  <c r="N9" i="68"/>
  <c r="N10" i="64"/>
  <c r="N11" i="64"/>
  <c r="N12" i="64"/>
  <c r="N13" i="64"/>
  <c r="N14" i="64"/>
  <c r="N15" i="64"/>
  <c r="N16" i="64"/>
  <c r="N17" i="64"/>
  <c r="N9" i="64"/>
  <c r="U10" i="63"/>
  <c r="U11" i="63"/>
  <c r="U12" i="63"/>
  <c r="U13" i="63"/>
  <c r="W13" i="63" s="1"/>
  <c r="U14" i="63"/>
  <c r="U15" i="63"/>
  <c r="W15" i="63" s="1"/>
  <c r="U16" i="63"/>
  <c r="U17" i="63"/>
  <c r="U18" i="63"/>
  <c r="W18" i="63" s="1"/>
  <c r="U19" i="63"/>
  <c r="U20" i="63"/>
  <c r="U21" i="63"/>
  <c r="W21" i="63" s="1"/>
  <c r="U22" i="63"/>
  <c r="U23" i="63"/>
  <c r="U24" i="63"/>
  <c r="U25" i="63"/>
  <c r="U26" i="63"/>
  <c r="W26" i="63" s="1"/>
  <c r="U27" i="63"/>
  <c r="U28" i="63"/>
  <c r="U29" i="63"/>
  <c r="W29" i="63" s="1"/>
  <c r="U30" i="63"/>
  <c r="U31" i="63"/>
  <c r="W31" i="63" s="1"/>
  <c r="U32" i="63"/>
  <c r="T10" i="63"/>
  <c r="T11" i="63"/>
  <c r="T12" i="63"/>
  <c r="T13" i="63"/>
  <c r="T14" i="63"/>
  <c r="T15" i="63"/>
  <c r="T16" i="63"/>
  <c r="T17" i="63"/>
  <c r="T18" i="63"/>
  <c r="T19" i="63"/>
  <c r="T20" i="63"/>
  <c r="T21" i="63"/>
  <c r="T22" i="63"/>
  <c r="T23" i="63"/>
  <c r="T24" i="63"/>
  <c r="T25" i="63"/>
  <c r="T26" i="63"/>
  <c r="T27" i="63"/>
  <c r="T28" i="63"/>
  <c r="T29" i="63"/>
  <c r="T30" i="63"/>
  <c r="T31" i="63"/>
  <c r="T32" i="63"/>
  <c r="S10" i="63"/>
  <c r="V10" i="63" s="1"/>
  <c r="S11" i="63"/>
  <c r="S12" i="63"/>
  <c r="V12" i="63" s="1"/>
  <c r="W12" i="63" s="1"/>
  <c r="S13" i="63"/>
  <c r="V13" i="63" s="1"/>
  <c r="S14" i="63"/>
  <c r="S15" i="63"/>
  <c r="V15" i="63" s="1"/>
  <c r="S16" i="63"/>
  <c r="S17" i="63"/>
  <c r="V17" i="63" s="1"/>
  <c r="S18" i="63"/>
  <c r="V18" i="63" s="1"/>
  <c r="S19" i="63"/>
  <c r="S20" i="63"/>
  <c r="V20" i="63" s="1"/>
  <c r="S21" i="63"/>
  <c r="V21" i="63" s="1"/>
  <c r="S22" i="63"/>
  <c r="S23" i="63"/>
  <c r="V23" i="63" s="1"/>
  <c r="S24" i="63"/>
  <c r="S25" i="63"/>
  <c r="V25" i="63" s="1"/>
  <c r="S26" i="63"/>
  <c r="V26" i="63" s="1"/>
  <c r="S27" i="63"/>
  <c r="S28" i="63"/>
  <c r="V28" i="63" s="1"/>
  <c r="S29" i="63"/>
  <c r="V29" i="63" s="1"/>
  <c r="S30" i="63"/>
  <c r="S31" i="63"/>
  <c r="V31" i="63" s="1"/>
  <c r="S32" i="63"/>
  <c r="R10" i="63"/>
  <c r="R11" i="63"/>
  <c r="R12" i="63"/>
  <c r="R13" i="63"/>
  <c r="R14" i="63"/>
  <c r="R15" i="63"/>
  <c r="R16" i="63"/>
  <c r="R17" i="63"/>
  <c r="R18" i="63"/>
  <c r="R19" i="63"/>
  <c r="R20" i="63"/>
  <c r="R21" i="63"/>
  <c r="R22" i="63"/>
  <c r="R23" i="63"/>
  <c r="R24" i="63"/>
  <c r="R25" i="63"/>
  <c r="R26" i="63"/>
  <c r="R27" i="63"/>
  <c r="R28" i="63"/>
  <c r="R29" i="63"/>
  <c r="R30" i="63"/>
  <c r="R31" i="63"/>
  <c r="R32" i="63"/>
  <c r="N10" i="63"/>
  <c r="N11" i="63"/>
  <c r="N12" i="63"/>
  <c r="N13" i="63"/>
  <c r="N14" i="63"/>
  <c r="N15" i="63"/>
  <c r="N16" i="63"/>
  <c r="N17" i="63"/>
  <c r="N18" i="63"/>
  <c r="N19" i="63"/>
  <c r="N20" i="63"/>
  <c r="N21" i="63"/>
  <c r="N22" i="63"/>
  <c r="N23" i="63"/>
  <c r="N24" i="63"/>
  <c r="N25" i="63"/>
  <c r="N26" i="63"/>
  <c r="N27" i="63"/>
  <c r="N28" i="63"/>
  <c r="N29" i="63"/>
  <c r="N30" i="63"/>
  <c r="N31" i="63"/>
  <c r="N9" i="63"/>
  <c r="N10" i="62"/>
  <c r="N11" i="62"/>
  <c r="N12" i="62"/>
  <c r="N13" i="62"/>
  <c r="N14" i="62"/>
  <c r="N9" i="62"/>
  <c r="N10" i="58"/>
  <c r="N11" i="58"/>
  <c r="N12" i="58"/>
  <c r="N13" i="58"/>
  <c r="N14" i="58"/>
  <c r="N15" i="58"/>
  <c r="N16" i="58"/>
  <c r="N17" i="58"/>
  <c r="N18" i="58"/>
  <c r="N19" i="58"/>
  <c r="N20" i="58"/>
  <c r="N9" i="58"/>
  <c r="N10" i="55"/>
  <c r="N11" i="55"/>
  <c r="N12" i="55"/>
  <c r="N13" i="55"/>
  <c r="N14" i="55"/>
  <c r="N15" i="55"/>
  <c r="N16" i="55"/>
  <c r="N17" i="55"/>
  <c r="N9" i="55"/>
  <c r="U23" i="54"/>
  <c r="W23" i="54" s="1"/>
  <c r="U22" i="54"/>
  <c r="U21" i="54"/>
  <c r="S21" i="54"/>
  <c r="V23" i="54" s="1"/>
  <c r="U20" i="54"/>
  <c r="S20" i="54"/>
  <c r="V22" i="54" s="1"/>
  <c r="W22" i="54" s="1"/>
  <c r="U19" i="54"/>
  <c r="S19" i="54"/>
  <c r="V21" i="54" s="1"/>
  <c r="W21" i="54" s="1"/>
  <c r="U18" i="54"/>
  <c r="S18" i="54"/>
  <c r="V20" i="54" s="1"/>
  <c r="W20" i="54" s="1"/>
  <c r="U17" i="54"/>
  <c r="S17" i="54"/>
  <c r="V19" i="54" s="1"/>
  <c r="W19" i="54" s="1"/>
  <c r="U16" i="54"/>
  <c r="S16" i="54"/>
  <c r="U15" i="54"/>
  <c r="S15" i="54"/>
  <c r="V16" i="54" s="1"/>
  <c r="W16" i="54" s="1"/>
  <c r="U14" i="54"/>
  <c r="S14" i="54"/>
  <c r="U13" i="54"/>
  <c r="S13" i="54"/>
  <c r="V14" i="54" s="1"/>
  <c r="U12" i="54"/>
  <c r="S12" i="54"/>
  <c r="V12" i="54" s="1"/>
  <c r="W12" i="54" s="1"/>
  <c r="U11" i="54"/>
  <c r="S11" i="54"/>
  <c r="U10" i="54"/>
  <c r="S10" i="54"/>
  <c r="V10" i="54" s="1"/>
  <c r="U9" i="54"/>
  <c r="S9" i="54"/>
  <c r="V9" i="54" s="1"/>
  <c r="U17" i="55"/>
  <c r="T17" i="55"/>
  <c r="S17" i="55"/>
  <c r="R17" i="55"/>
  <c r="P17" i="55"/>
  <c r="U16" i="55"/>
  <c r="T16" i="55"/>
  <c r="S16" i="55"/>
  <c r="R16" i="55"/>
  <c r="P16" i="55"/>
  <c r="U15" i="55"/>
  <c r="T15" i="55"/>
  <c r="S15" i="55"/>
  <c r="R15" i="55"/>
  <c r="P15" i="55"/>
  <c r="U14" i="55"/>
  <c r="T14" i="55"/>
  <c r="S14" i="55"/>
  <c r="R14" i="55"/>
  <c r="P14" i="55"/>
  <c r="U13" i="55"/>
  <c r="T13" i="55"/>
  <c r="S13" i="55"/>
  <c r="R13" i="55"/>
  <c r="P13" i="55"/>
  <c r="U12" i="55"/>
  <c r="T12" i="55"/>
  <c r="S12" i="55"/>
  <c r="R12" i="55"/>
  <c r="P12" i="55"/>
  <c r="U11" i="55"/>
  <c r="T11" i="55"/>
  <c r="S11" i="55"/>
  <c r="R11" i="55"/>
  <c r="P11" i="55"/>
  <c r="U10" i="55"/>
  <c r="T10" i="55"/>
  <c r="S10" i="55"/>
  <c r="R10" i="55"/>
  <c r="P10" i="55"/>
  <c r="U9" i="55"/>
  <c r="T9" i="55"/>
  <c r="S9" i="55"/>
  <c r="R9" i="55"/>
  <c r="P9" i="55"/>
  <c r="U14" i="56"/>
  <c r="T14" i="56"/>
  <c r="S14" i="56"/>
  <c r="R14" i="56"/>
  <c r="P14" i="56"/>
  <c r="N14" i="56"/>
  <c r="U13" i="56"/>
  <c r="T13" i="56"/>
  <c r="S13" i="56"/>
  <c r="R13" i="56"/>
  <c r="P13" i="56"/>
  <c r="N13" i="56"/>
  <c r="U12" i="56"/>
  <c r="T12" i="56"/>
  <c r="S12" i="56"/>
  <c r="R12" i="56"/>
  <c r="P12" i="56"/>
  <c r="N12" i="56"/>
  <c r="U11" i="56"/>
  <c r="T11" i="56"/>
  <c r="S11" i="56"/>
  <c r="R11" i="56"/>
  <c r="P11" i="56"/>
  <c r="N11" i="56"/>
  <c r="U10" i="56"/>
  <c r="T10" i="56"/>
  <c r="S10" i="56"/>
  <c r="R10" i="56"/>
  <c r="P10" i="56"/>
  <c r="N10" i="56"/>
  <c r="U9" i="56"/>
  <c r="T9" i="56"/>
  <c r="V9" i="56" s="1"/>
  <c r="S9" i="56"/>
  <c r="R9" i="56"/>
  <c r="P9" i="56"/>
  <c r="N9" i="56"/>
  <c r="S18" i="57"/>
  <c r="U17" i="57"/>
  <c r="S17" i="57"/>
  <c r="U16" i="57"/>
  <c r="S16" i="57"/>
  <c r="U15" i="57"/>
  <c r="S15" i="57"/>
  <c r="U14" i="57"/>
  <c r="S14" i="57"/>
  <c r="U13" i="57"/>
  <c r="S13" i="57"/>
  <c r="U12" i="57"/>
  <c r="S12" i="57"/>
  <c r="U11" i="57"/>
  <c r="S11" i="57"/>
  <c r="U10" i="57"/>
  <c r="S10" i="57"/>
  <c r="U9" i="57"/>
  <c r="S9" i="57"/>
  <c r="R23" i="58"/>
  <c r="R22" i="58"/>
  <c r="R21" i="58"/>
  <c r="R20" i="58"/>
  <c r="R19" i="58"/>
  <c r="P19" i="58"/>
  <c r="R18" i="58"/>
  <c r="P18" i="58"/>
  <c r="U17" i="58"/>
  <c r="T17" i="58"/>
  <c r="V17" i="58" s="1"/>
  <c r="R17" i="58"/>
  <c r="P17" i="58"/>
  <c r="U16" i="58"/>
  <c r="T16" i="58"/>
  <c r="V16" i="58" s="1"/>
  <c r="W16" i="58" s="1"/>
  <c r="R16" i="58"/>
  <c r="P16" i="58"/>
  <c r="U15" i="58"/>
  <c r="T15" i="58"/>
  <c r="V15" i="58" s="1"/>
  <c r="W15" i="58" s="1"/>
  <c r="R15" i="58"/>
  <c r="P15" i="58"/>
  <c r="U14" i="58"/>
  <c r="T14" i="58"/>
  <c r="V14" i="58" s="1"/>
  <c r="W14" i="58" s="1"/>
  <c r="R14" i="58"/>
  <c r="P14" i="58"/>
  <c r="U13" i="58"/>
  <c r="T13" i="58"/>
  <c r="V13" i="58" s="1"/>
  <c r="W13" i="58" s="1"/>
  <c r="R13" i="58"/>
  <c r="P13" i="58"/>
  <c r="U12" i="58"/>
  <c r="T12" i="58"/>
  <c r="V12" i="58" s="1"/>
  <c r="W12" i="58" s="1"/>
  <c r="R12" i="58"/>
  <c r="P12" i="58"/>
  <c r="U11" i="58"/>
  <c r="T11" i="58"/>
  <c r="V11" i="58" s="1"/>
  <c r="W11" i="58" s="1"/>
  <c r="R11" i="58"/>
  <c r="P11" i="58"/>
  <c r="U10" i="58"/>
  <c r="T10" i="58"/>
  <c r="V10" i="58" s="1"/>
  <c r="W10" i="58" s="1"/>
  <c r="R10" i="58"/>
  <c r="P10" i="58"/>
  <c r="U9" i="58"/>
  <c r="T9" i="58"/>
  <c r="V9" i="58" s="1"/>
  <c r="W9" i="58" s="1"/>
  <c r="R9" i="58"/>
  <c r="P9" i="58"/>
  <c r="U14" i="59"/>
  <c r="T14" i="59"/>
  <c r="V14" i="59" s="1"/>
  <c r="W14" i="59" s="1"/>
  <c r="S14" i="59"/>
  <c r="R14" i="59"/>
  <c r="P14" i="59"/>
  <c r="N14" i="59"/>
  <c r="U13" i="59"/>
  <c r="T13" i="59"/>
  <c r="V13" i="59" s="1"/>
  <c r="S13" i="59"/>
  <c r="R13" i="59"/>
  <c r="P13" i="59"/>
  <c r="N13" i="59"/>
  <c r="U12" i="59"/>
  <c r="T12" i="59"/>
  <c r="S12" i="59"/>
  <c r="R12" i="59"/>
  <c r="P12" i="59"/>
  <c r="N12" i="59"/>
  <c r="U11" i="59"/>
  <c r="T11" i="59"/>
  <c r="V11" i="59" s="1"/>
  <c r="W11" i="59" s="1"/>
  <c r="S11" i="59"/>
  <c r="R11" i="59"/>
  <c r="P11" i="59"/>
  <c r="N11" i="59"/>
  <c r="U10" i="59"/>
  <c r="T10" i="59"/>
  <c r="V10" i="59" s="1"/>
  <c r="W10" i="59" s="1"/>
  <c r="S10" i="59"/>
  <c r="R10" i="59"/>
  <c r="P10" i="59"/>
  <c r="N10" i="59"/>
  <c r="U9" i="59"/>
  <c r="T9" i="59"/>
  <c r="V9" i="59" s="1"/>
  <c r="S9" i="59"/>
  <c r="R9" i="59"/>
  <c r="P9" i="59"/>
  <c r="N9" i="59"/>
  <c r="U19" i="60"/>
  <c r="T19" i="60"/>
  <c r="V19" i="60" s="1"/>
  <c r="W19" i="60" s="1"/>
  <c r="U18" i="60"/>
  <c r="W18" i="60" s="1"/>
  <c r="T18" i="60"/>
  <c r="V18" i="60" s="1"/>
  <c r="U17" i="60"/>
  <c r="T17" i="60"/>
  <c r="V17" i="60" s="1"/>
  <c r="W17" i="60" s="1"/>
  <c r="U16" i="60"/>
  <c r="T16" i="60"/>
  <c r="V16" i="60" s="1"/>
  <c r="W16" i="60" s="1"/>
  <c r="U15" i="60"/>
  <c r="T15" i="60"/>
  <c r="V15" i="60" s="1"/>
  <c r="W15" i="60" s="1"/>
  <c r="U14" i="60"/>
  <c r="T14" i="60"/>
  <c r="V14" i="60" s="1"/>
  <c r="U13" i="60"/>
  <c r="T13" i="60"/>
  <c r="V13" i="60" s="1"/>
  <c r="W13" i="60" s="1"/>
  <c r="U12" i="60"/>
  <c r="T12" i="60"/>
  <c r="V12" i="60" s="1"/>
  <c r="U11" i="60"/>
  <c r="T11" i="60"/>
  <c r="V11" i="60" s="1"/>
  <c r="W11" i="60" s="1"/>
  <c r="U10" i="60"/>
  <c r="T10" i="60"/>
  <c r="V10" i="60" s="1"/>
  <c r="U9" i="60"/>
  <c r="T9" i="60"/>
  <c r="S9" i="60"/>
  <c r="R9" i="60"/>
  <c r="P9" i="60"/>
  <c r="N9" i="60"/>
  <c r="U14" i="62"/>
  <c r="T14" i="62"/>
  <c r="S14" i="62"/>
  <c r="R14" i="62"/>
  <c r="P14" i="62"/>
  <c r="U13" i="62"/>
  <c r="T13" i="62"/>
  <c r="S13" i="62"/>
  <c r="V13" i="62" s="1"/>
  <c r="R13" i="62"/>
  <c r="P13" i="62"/>
  <c r="U12" i="62"/>
  <c r="T12" i="62"/>
  <c r="S12" i="62"/>
  <c r="R12" i="62"/>
  <c r="P12" i="62"/>
  <c r="U11" i="62"/>
  <c r="T11" i="62"/>
  <c r="S11" i="62"/>
  <c r="R11" i="62"/>
  <c r="P11" i="62"/>
  <c r="U10" i="62"/>
  <c r="T10" i="62"/>
  <c r="S10" i="62"/>
  <c r="R10" i="62"/>
  <c r="P10" i="62"/>
  <c r="U9" i="62"/>
  <c r="T9" i="62"/>
  <c r="S9" i="62"/>
  <c r="V9" i="62" s="1"/>
  <c r="W9" i="62" s="1"/>
  <c r="R9" i="62"/>
  <c r="P9" i="62"/>
  <c r="U9" i="63"/>
  <c r="T9" i="63"/>
  <c r="S9" i="63"/>
  <c r="V9" i="63" s="1"/>
  <c r="W9" i="63" s="1"/>
  <c r="R9" i="63"/>
  <c r="P9" i="63"/>
  <c r="U17" i="64"/>
  <c r="T17" i="64"/>
  <c r="V17" i="64" s="1"/>
  <c r="S17" i="64"/>
  <c r="V16" i="64" s="1"/>
  <c r="R17" i="64"/>
  <c r="P17" i="64"/>
  <c r="U16" i="64"/>
  <c r="T16" i="64"/>
  <c r="S16" i="64"/>
  <c r="R16" i="64"/>
  <c r="P16" i="64"/>
  <c r="U15" i="64"/>
  <c r="T15" i="64"/>
  <c r="S15" i="64"/>
  <c r="R15" i="64"/>
  <c r="P15" i="64"/>
  <c r="U14" i="64"/>
  <c r="T14" i="64"/>
  <c r="S14" i="64"/>
  <c r="R14" i="64"/>
  <c r="P14" i="64"/>
  <c r="U13" i="64"/>
  <c r="T13" i="64"/>
  <c r="S13" i="64"/>
  <c r="R13" i="64"/>
  <c r="P13" i="64"/>
  <c r="U12" i="64"/>
  <c r="T12" i="64"/>
  <c r="S12" i="64"/>
  <c r="V11" i="64" s="1"/>
  <c r="W11" i="64" s="1"/>
  <c r="R12" i="64"/>
  <c r="P12" i="64"/>
  <c r="U11" i="64"/>
  <c r="T11" i="64"/>
  <c r="S11" i="64"/>
  <c r="V10" i="64" s="1"/>
  <c r="W10" i="64" s="1"/>
  <c r="R11" i="64"/>
  <c r="P11" i="64"/>
  <c r="U10" i="64"/>
  <c r="T10" i="64"/>
  <c r="S10" i="64"/>
  <c r="V9" i="64" s="1"/>
  <c r="R10" i="64"/>
  <c r="P10" i="64"/>
  <c r="U9" i="64"/>
  <c r="T9" i="64"/>
  <c r="S9" i="64"/>
  <c r="R9" i="64"/>
  <c r="P9" i="64"/>
  <c r="U29" i="65"/>
  <c r="T29" i="65"/>
  <c r="S29" i="65"/>
  <c r="R29" i="65"/>
  <c r="P29" i="65"/>
  <c r="U28" i="65"/>
  <c r="T28" i="65"/>
  <c r="S28" i="65"/>
  <c r="R28" i="65"/>
  <c r="P28" i="65"/>
  <c r="N28" i="65"/>
  <c r="U27" i="65"/>
  <c r="T27" i="65"/>
  <c r="S27" i="65"/>
  <c r="R27" i="65"/>
  <c r="P27" i="65"/>
  <c r="N27" i="65"/>
  <c r="U26" i="65"/>
  <c r="T26" i="65"/>
  <c r="S26" i="65"/>
  <c r="R26" i="65"/>
  <c r="P26" i="65"/>
  <c r="N26" i="65"/>
  <c r="U25" i="65"/>
  <c r="T25" i="65"/>
  <c r="S25" i="65"/>
  <c r="R25" i="65"/>
  <c r="P25" i="65"/>
  <c r="N25" i="65"/>
  <c r="U24" i="65"/>
  <c r="T24" i="65"/>
  <c r="S24" i="65"/>
  <c r="R24" i="65"/>
  <c r="P24" i="65"/>
  <c r="N24" i="65"/>
  <c r="U23" i="65"/>
  <c r="T23" i="65"/>
  <c r="S23" i="65"/>
  <c r="R23" i="65"/>
  <c r="P23" i="65"/>
  <c r="N23" i="65"/>
  <c r="U22" i="65"/>
  <c r="T22" i="65"/>
  <c r="S22" i="65"/>
  <c r="R22" i="65"/>
  <c r="P22" i="65"/>
  <c r="N22" i="65"/>
  <c r="U21" i="65"/>
  <c r="T21" i="65"/>
  <c r="S21" i="65"/>
  <c r="R21" i="65"/>
  <c r="P21" i="65"/>
  <c r="N21" i="65"/>
  <c r="U20" i="65"/>
  <c r="T20" i="65"/>
  <c r="S20" i="65"/>
  <c r="R20" i="65"/>
  <c r="P20" i="65"/>
  <c r="N20" i="65"/>
  <c r="U19" i="65"/>
  <c r="T19" i="65"/>
  <c r="S19" i="65"/>
  <c r="R19" i="65"/>
  <c r="P19" i="65"/>
  <c r="N19" i="65"/>
  <c r="U18" i="65"/>
  <c r="T18" i="65"/>
  <c r="S18" i="65"/>
  <c r="R18" i="65"/>
  <c r="P18" i="65"/>
  <c r="N18" i="65"/>
  <c r="U17" i="65"/>
  <c r="T17" i="65"/>
  <c r="S17" i="65"/>
  <c r="R17" i="65"/>
  <c r="P17" i="65"/>
  <c r="N17" i="65"/>
  <c r="U16" i="65"/>
  <c r="T16" i="65"/>
  <c r="S16" i="65"/>
  <c r="R16" i="65"/>
  <c r="P16" i="65"/>
  <c r="N16" i="65"/>
  <c r="U15" i="65"/>
  <c r="T15" i="65"/>
  <c r="S15" i="65"/>
  <c r="R15" i="65"/>
  <c r="P15" i="65"/>
  <c r="N15" i="65"/>
  <c r="U14" i="65"/>
  <c r="T14" i="65"/>
  <c r="S14" i="65"/>
  <c r="R14" i="65"/>
  <c r="P14" i="65"/>
  <c r="N14" i="65"/>
  <c r="U13" i="65"/>
  <c r="T13" i="65"/>
  <c r="S13" i="65"/>
  <c r="R13" i="65"/>
  <c r="P13" i="65"/>
  <c r="N13" i="65"/>
  <c r="U12" i="65"/>
  <c r="T12" i="65"/>
  <c r="S12" i="65"/>
  <c r="R12" i="65"/>
  <c r="P12" i="65"/>
  <c r="N12" i="65"/>
  <c r="U11" i="65"/>
  <c r="T11" i="65"/>
  <c r="S11" i="65"/>
  <c r="R11" i="65"/>
  <c r="P11" i="65"/>
  <c r="N11" i="65"/>
  <c r="U10" i="65"/>
  <c r="T10" i="65"/>
  <c r="S10" i="65"/>
  <c r="R10" i="65"/>
  <c r="P10" i="65"/>
  <c r="N10" i="65"/>
  <c r="U9" i="65"/>
  <c r="T9" i="65"/>
  <c r="S9" i="65"/>
  <c r="R9" i="65"/>
  <c r="P9" i="65"/>
  <c r="N9" i="65"/>
  <c r="U25" i="67"/>
  <c r="T25" i="67"/>
  <c r="S25" i="67"/>
  <c r="V25" i="67" s="1"/>
  <c r="R25" i="67"/>
  <c r="N25" i="67"/>
  <c r="U24" i="67"/>
  <c r="T24" i="67"/>
  <c r="V24" i="67" s="1"/>
  <c r="W24" i="67" s="1"/>
  <c r="S24" i="67"/>
  <c r="R24" i="67"/>
  <c r="P24" i="67"/>
  <c r="N24" i="67"/>
  <c r="U23" i="67"/>
  <c r="T23" i="67"/>
  <c r="S23" i="67"/>
  <c r="R23" i="67"/>
  <c r="V23" i="67"/>
  <c r="W23" i="67" s="1"/>
  <c r="P23" i="67"/>
  <c r="N23" i="67"/>
  <c r="U22" i="67"/>
  <c r="T22" i="67"/>
  <c r="V22" i="67" s="1"/>
  <c r="W22" i="67" s="1"/>
  <c r="S22" i="67"/>
  <c r="R22" i="67"/>
  <c r="P22" i="67"/>
  <c r="N22" i="67"/>
  <c r="U21" i="67"/>
  <c r="T21" i="67"/>
  <c r="V21" i="67" s="1"/>
  <c r="W21" i="67" s="1"/>
  <c r="S21" i="67"/>
  <c r="R21" i="67"/>
  <c r="P21" i="67"/>
  <c r="N21" i="67"/>
  <c r="U20" i="67"/>
  <c r="T20" i="67"/>
  <c r="S20" i="67"/>
  <c r="V20" i="67" s="1"/>
  <c r="W20" i="67" s="1"/>
  <c r="R20" i="67"/>
  <c r="P20" i="67"/>
  <c r="N20" i="67"/>
  <c r="U19" i="67"/>
  <c r="T19" i="67"/>
  <c r="S19" i="67"/>
  <c r="V19" i="67" s="1"/>
  <c r="W19" i="67" s="1"/>
  <c r="R19" i="67"/>
  <c r="P19" i="67"/>
  <c r="N19" i="67"/>
  <c r="U18" i="67"/>
  <c r="T18" i="67"/>
  <c r="V18" i="67" s="1"/>
  <c r="W18" i="67" s="1"/>
  <c r="S18" i="67"/>
  <c r="R18" i="67"/>
  <c r="P18" i="67"/>
  <c r="N18" i="67"/>
  <c r="U17" i="67"/>
  <c r="T17" i="67"/>
  <c r="S17" i="67"/>
  <c r="V17" i="67" s="1"/>
  <c r="W17" i="67" s="1"/>
  <c r="R17" i="67"/>
  <c r="P17" i="67"/>
  <c r="N17" i="67"/>
  <c r="U16" i="67"/>
  <c r="T16" i="67"/>
  <c r="V16" i="67" s="1"/>
  <c r="W16" i="67" s="1"/>
  <c r="S16" i="67"/>
  <c r="R16" i="67"/>
  <c r="P16" i="67"/>
  <c r="N16" i="67"/>
  <c r="U15" i="67"/>
  <c r="T15" i="67"/>
  <c r="S15" i="67"/>
  <c r="R15" i="67"/>
  <c r="V15" i="67"/>
  <c r="W15" i="67" s="1"/>
  <c r="P15" i="67"/>
  <c r="N15" i="67"/>
  <c r="U14" i="67"/>
  <c r="T14" i="67"/>
  <c r="V14" i="67" s="1"/>
  <c r="W14" i="67" s="1"/>
  <c r="S14" i="67"/>
  <c r="R14" i="67"/>
  <c r="P14" i="67"/>
  <c r="N14" i="67"/>
  <c r="U13" i="67"/>
  <c r="T13" i="67"/>
  <c r="V13" i="67" s="1"/>
  <c r="W13" i="67" s="1"/>
  <c r="S13" i="67"/>
  <c r="R13" i="67"/>
  <c r="P13" i="67"/>
  <c r="N13" i="67"/>
  <c r="U12" i="67"/>
  <c r="T12" i="67"/>
  <c r="S12" i="67"/>
  <c r="V12" i="67" s="1"/>
  <c r="W12" i="67" s="1"/>
  <c r="R12" i="67"/>
  <c r="P12" i="67"/>
  <c r="N12" i="67"/>
  <c r="U11" i="67"/>
  <c r="T11" i="67"/>
  <c r="S11" i="67"/>
  <c r="V11" i="67" s="1"/>
  <c r="W11" i="67" s="1"/>
  <c r="R11" i="67"/>
  <c r="P11" i="67"/>
  <c r="N11" i="67"/>
  <c r="U10" i="67"/>
  <c r="T10" i="67"/>
  <c r="V10" i="67" s="1"/>
  <c r="W10" i="67" s="1"/>
  <c r="S10" i="67"/>
  <c r="R10" i="67"/>
  <c r="P10" i="67"/>
  <c r="N10" i="67"/>
  <c r="U9" i="67"/>
  <c r="T9" i="67"/>
  <c r="S9" i="67"/>
  <c r="V9" i="67" s="1"/>
  <c r="W9" i="67" s="1"/>
  <c r="R9" i="67"/>
  <c r="P9" i="67"/>
  <c r="N9" i="67"/>
  <c r="U16" i="68"/>
  <c r="S16" i="68"/>
  <c r="U15" i="68"/>
  <c r="S15" i="68"/>
  <c r="U14" i="68"/>
  <c r="S14" i="68"/>
  <c r="U13" i="68"/>
  <c r="S13" i="68"/>
  <c r="U12" i="68"/>
  <c r="S12" i="68"/>
  <c r="U11" i="68"/>
  <c r="S11" i="68"/>
  <c r="U10" i="68"/>
  <c r="S10" i="68"/>
  <c r="U9" i="68"/>
  <c r="S9" i="68"/>
  <c r="V9" i="68" s="1"/>
  <c r="S19" i="69"/>
  <c r="R19" i="69"/>
  <c r="S18" i="69"/>
  <c r="R18" i="69"/>
  <c r="S17" i="69"/>
  <c r="R17" i="69"/>
  <c r="S16" i="69"/>
  <c r="R16" i="69"/>
  <c r="S15" i="69"/>
  <c r="R15" i="69"/>
  <c r="S14" i="69"/>
  <c r="R14" i="69"/>
  <c r="S13" i="69"/>
  <c r="R13" i="69"/>
  <c r="S12" i="69"/>
  <c r="R12" i="69"/>
  <c r="S11" i="69"/>
  <c r="R11" i="69"/>
  <c r="S10" i="69"/>
  <c r="V11" i="69" s="1"/>
  <c r="W11" i="69" s="1"/>
  <c r="R10" i="69"/>
  <c r="U9" i="69"/>
  <c r="T9" i="69"/>
  <c r="S9" i="69"/>
  <c r="R9" i="69"/>
  <c r="P9" i="69"/>
  <c r="N9" i="69"/>
  <c r="U23" i="70"/>
  <c r="T23" i="70"/>
  <c r="S23" i="70"/>
  <c r="R23" i="70"/>
  <c r="P23" i="70"/>
  <c r="U22" i="70"/>
  <c r="T22" i="70"/>
  <c r="S22" i="70"/>
  <c r="V22" i="70" s="1"/>
  <c r="R22" i="70"/>
  <c r="P22" i="70"/>
  <c r="U21" i="70"/>
  <c r="T21" i="70"/>
  <c r="S21" i="70"/>
  <c r="R21" i="70"/>
  <c r="P21" i="70"/>
  <c r="U20" i="70"/>
  <c r="T20" i="70"/>
  <c r="S20" i="70"/>
  <c r="R20" i="70"/>
  <c r="P20" i="70"/>
  <c r="U19" i="70"/>
  <c r="T19" i="70"/>
  <c r="S19" i="70"/>
  <c r="R19" i="70"/>
  <c r="P19" i="70"/>
  <c r="U18" i="70"/>
  <c r="T18" i="70"/>
  <c r="S18" i="70"/>
  <c r="R18" i="70"/>
  <c r="P18" i="70"/>
  <c r="U17" i="70"/>
  <c r="T17" i="70"/>
  <c r="S17" i="70"/>
  <c r="R17" i="70"/>
  <c r="P17" i="70"/>
  <c r="U16" i="70"/>
  <c r="T16" i="70"/>
  <c r="S16" i="70"/>
  <c r="R16" i="70"/>
  <c r="P16" i="70"/>
  <c r="U15" i="70"/>
  <c r="T15" i="70"/>
  <c r="S15" i="70"/>
  <c r="R15" i="70"/>
  <c r="P15" i="70"/>
  <c r="U14" i="70"/>
  <c r="T14" i="70"/>
  <c r="S14" i="70"/>
  <c r="V14" i="70" s="1"/>
  <c r="R14" i="70"/>
  <c r="P14" i="70"/>
  <c r="U13" i="70"/>
  <c r="T13" i="70"/>
  <c r="S13" i="70"/>
  <c r="R13" i="70"/>
  <c r="P13" i="70"/>
  <c r="U12" i="70"/>
  <c r="T12" i="70"/>
  <c r="S12" i="70"/>
  <c r="R12" i="70"/>
  <c r="P12" i="70"/>
  <c r="U11" i="70"/>
  <c r="T11" i="70"/>
  <c r="S11" i="70"/>
  <c r="R11" i="70"/>
  <c r="P11" i="70"/>
  <c r="U10" i="70"/>
  <c r="T10" i="70"/>
  <c r="S10" i="70"/>
  <c r="R10" i="70"/>
  <c r="P10" i="70"/>
  <c r="U9" i="70"/>
  <c r="T9" i="70"/>
  <c r="S9" i="70"/>
  <c r="R9" i="70"/>
  <c r="P9" i="70"/>
  <c r="U26" i="71"/>
  <c r="T26" i="71"/>
  <c r="S26" i="71"/>
  <c r="R26" i="71"/>
  <c r="P26" i="71"/>
  <c r="N26" i="71"/>
  <c r="U25" i="71"/>
  <c r="T25" i="71"/>
  <c r="S25" i="71"/>
  <c r="R25" i="71"/>
  <c r="P25" i="71"/>
  <c r="N25" i="71"/>
  <c r="U24" i="71"/>
  <c r="T24" i="71"/>
  <c r="S24" i="71"/>
  <c r="R24" i="71"/>
  <c r="P24" i="71"/>
  <c r="N24" i="71"/>
  <c r="U23" i="71"/>
  <c r="T23" i="71"/>
  <c r="S23" i="71"/>
  <c r="R23" i="71"/>
  <c r="P23" i="71"/>
  <c r="N23" i="71"/>
  <c r="U22" i="71"/>
  <c r="T22" i="71"/>
  <c r="S22" i="71"/>
  <c r="R22" i="71"/>
  <c r="P22" i="71"/>
  <c r="N22" i="71"/>
  <c r="U21" i="71"/>
  <c r="T21" i="71"/>
  <c r="S21" i="71"/>
  <c r="R21" i="71"/>
  <c r="P21" i="71"/>
  <c r="N21" i="71"/>
  <c r="U20" i="71"/>
  <c r="T20" i="71"/>
  <c r="S20" i="71"/>
  <c r="R20" i="71"/>
  <c r="P20" i="71"/>
  <c r="N20" i="71"/>
  <c r="U19" i="71"/>
  <c r="T19" i="71"/>
  <c r="S19" i="71"/>
  <c r="R19" i="71"/>
  <c r="P19" i="71"/>
  <c r="N19" i="71"/>
  <c r="U18" i="71"/>
  <c r="T18" i="71"/>
  <c r="S18" i="71"/>
  <c r="R18" i="71"/>
  <c r="P18" i="71"/>
  <c r="N18" i="71"/>
  <c r="U17" i="71"/>
  <c r="T17" i="71"/>
  <c r="S17" i="71"/>
  <c r="R17" i="71"/>
  <c r="P17" i="71"/>
  <c r="N17" i="71"/>
  <c r="U16" i="71"/>
  <c r="T16" i="71"/>
  <c r="S16" i="71"/>
  <c r="R16" i="71"/>
  <c r="P16" i="71"/>
  <c r="N16" i="71"/>
  <c r="U15" i="71"/>
  <c r="T15" i="71"/>
  <c r="S15" i="71"/>
  <c r="R15" i="71"/>
  <c r="P15" i="71"/>
  <c r="N15" i="71"/>
  <c r="U14" i="71"/>
  <c r="T14" i="71"/>
  <c r="S14" i="71"/>
  <c r="R14" i="71"/>
  <c r="P14" i="71"/>
  <c r="N14" i="71"/>
  <c r="U13" i="71"/>
  <c r="T13" i="71"/>
  <c r="S13" i="71"/>
  <c r="R13" i="71"/>
  <c r="P13" i="71"/>
  <c r="N13" i="71"/>
  <c r="U12" i="71"/>
  <c r="T12" i="71"/>
  <c r="S12" i="71"/>
  <c r="R12" i="71"/>
  <c r="P12" i="71"/>
  <c r="N12" i="71"/>
  <c r="U11" i="71"/>
  <c r="T11" i="71"/>
  <c r="S11" i="71"/>
  <c r="R11" i="71"/>
  <c r="P11" i="71"/>
  <c r="N11" i="71"/>
  <c r="U10" i="71"/>
  <c r="T10" i="71"/>
  <c r="S10" i="71"/>
  <c r="R10" i="71"/>
  <c r="P10" i="71"/>
  <c r="N10" i="71"/>
  <c r="U9" i="71"/>
  <c r="T9" i="71"/>
  <c r="S9" i="71"/>
  <c r="R9" i="71"/>
  <c r="P9" i="71"/>
  <c r="N9" i="71"/>
  <c r="U19" i="72"/>
  <c r="S19" i="72"/>
  <c r="V19" i="72" s="1"/>
  <c r="U18" i="72"/>
  <c r="S18" i="72"/>
  <c r="V18" i="72" s="1"/>
  <c r="U17" i="72"/>
  <c r="S17" i="72"/>
  <c r="V17" i="72" s="1"/>
  <c r="W17" i="72" s="1"/>
  <c r="U16" i="72"/>
  <c r="S16" i="72"/>
  <c r="V16" i="72" s="1"/>
  <c r="W16" i="72" s="1"/>
  <c r="U15" i="72"/>
  <c r="S15" i="72"/>
  <c r="V15" i="72" s="1"/>
  <c r="U14" i="72"/>
  <c r="S14" i="72"/>
  <c r="V14" i="72" s="1"/>
  <c r="U13" i="72"/>
  <c r="S13" i="72"/>
  <c r="V13" i="72" s="1"/>
  <c r="W13" i="72" s="1"/>
  <c r="U12" i="72"/>
  <c r="S12" i="72"/>
  <c r="V12" i="72" s="1"/>
  <c r="W12" i="72" s="1"/>
  <c r="U11" i="72"/>
  <c r="S11" i="72"/>
  <c r="V11" i="72" s="1"/>
  <c r="U10" i="72"/>
  <c r="S10" i="72"/>
  <c r="V10" i="72" s="1"/>
  <c r="U9" i="72"/>
  <c r="S9" i="72"/>
  <c r="V9" i="72" s="1"/>
  <c r="W9" i="72" s="1"/>
  <c r="U17" i="73"/>
  <c r="T17" i="73"/>
  <c r="V17" i="73" s="1"/>
  <c r="W17" i="73" s="1"/>
  <c r="R17" i="73"/>
  <c r="P17" i="73"/>
  <c r="U16" i="73"/>
  <c r="T16" i="73"/>
  <c r="V16" i="73" s="1"/>
  <c r="R16" i="73"/>
  <c r="P16" i="73"/>
  <c r="U15" i="73"/>
  <c r="T15" i="73"/>
  <c r="V15" i="73" s="1"/>
  <c r="W15" i="73" s="1"/>
  <c r="R15" i="73"/>
  <c r="P15" i="73"/>
  <c r="U14" i="73"/>
  <c r="T14" i="73"/>
  <c r="V14" i="73" s="1"/>
  <c r="R14" i="73"/>
  <c r="P14" i="73"/>
  <c r="U13" i="73"/>
  <c r="T13" i="73"/>
  <c r="V13" i="73" s="1"/>
  <c r="W13" i="73" s="1"/>
  <c r="R13" i="73"/>
  <c r="P13" i="73"/>
  <c r="U12" i="73"/>
  <c r="T12" i="73"/>
  <c r="V12" i="73" s="1"/>
  <c r="R12" i="73"/>
  <c r="P12" i="73"/>
  <c r="U11" i="73"/>
  <c r="T11" i="73"/>
  <c r="V11" i="73" s="1"/>
  <c r="W11" i="73" s="1"/>
  <c r="R11" i="73"/>
  <c r="P11" i="73"/>
  <c r="U10" i="73"/>
  <c r="T10" i="73"/>
  <c r="V10" i="73" s="1"/>
  <c r="R10" i="73"/>
  <c r="P10" i="73"/>
  <c r="U9" i="73"/>
  <c r="T9" i="73"/>
  <c r="V9" i="73" s="1"/>
  <c r="W9" i="73" s="1"/>
  <c r="R9" i="73"/>
  <c r="P9" i="73"/>
  <c r="P20" i="81"/>
  <c r="P19" i="81"/>
  <c r="P18" i="81"/>
  <c r="U17" i="81"/>
  <c r="T17" i="81"/>
  <c r="V17" i="81" s="1"/>
  <c r="R17" i="81"/>
  <c r="P17" i="81"/>
  <c r="U16" i="81"/>
  <c r="T16" i="81"/>
  <c r="V16" i="81" s="1"/>
  <c r="R16" i="81"/>
  <c r="P16" i="81"/>
  <c r="U15" i="81"/>
  <c r="T15" i="81"/>
  <c r="V15" i="81" s="1"/>
  <c r="R15" i="81"/>
  <c r="P15" i="81"/>
  <c r="U14" i="81"/>
  <c r="T14" i="81"/>
  <c r="V14" i="81" s="1"/>
  <c r="R14" i="81"/>
  <c r="P14" i="81"/>
  <c r="U13" i="81"/>
  <c r="T13" i="81"/>
  <c r="V13" i="81" s="1"/>
  <c r="R13" i="81"/>
  <c r="P13" i="81"/>
  <c r="U12" i="81"/>
  <c r="T12" i="81"/>
  <c r="V12" i="81" s="1"/>
  <c r="R12" i="81"/>
  <c r="P12" i="81"/>
  <c r="U11" i="81"/>
  <c r="T11" i="81"/>
  <c r="V11" i="81" s="1"/>
  <c r="R11" i="81"/>
  <c r="P11" i="81"/>
  <c r="U10" i="81"/>
  <c r="T10" i="81"/>
  <c r="V10" i="81" s="1"/>
  <c r="R10" i="81"/>
  <c r="P10" i="81"/>
  <c r="U9" i="81"/>
  <c r="T9" i="81"/>
  <c r="V9" i="81" s="1"/>
  <c r="R9" i="81"/>
  <c r="P9" i="81"/>
  <c r="U9" i="82"/>
  <c r="T9" i="82"/>
  <c r="V9" i="82" s="1"/>
  <c r="R9" i="82"/>
  <c r="P9" i="82"/>
  <c r="U19" i="83"/>
  <c r="T19" i="83"/>
  <c r="S19" i="83"/>
  <c r="V19" i="83" s="1"/>
  <c r="R19" i="83"/>
  <c r="U18" i="83"/>
  <c r="T18" i="83"/>
  <c r="S18" i="83"/>
  <c r="R18" i="83"/>
  <c r="U17" i="83"/>
  <c r="T17" i="83"/>
  <c r="S17" i="83"/>
  <c r="V17" i="83" s="1"/>
  <c r="R17" i="83"/>
  <c r="U16" i="83"/>
  <c r="T16" i="83"/>
  <c r="S16" i="83"/>
  <c r="R16" i="83"/>
  <c r="U15" i="83"/>
  <c r="T15" i="83"/>
  <c r="S15" i="83"/>
  <c r="V15" i="83" s="1"/>
  <c r="R15" i="83"/>
  <c r="U14" i="83"/>
  <c r="T14" i="83"/>
  <c r="S14" i="83"/>
  <c r="R14" i="83"/>
  <c r="U13" i="83"/>
  <c r="T13" i="83"/>
  <c r="S13" i="83"/>
  <c r="V13" i="83" s="1"/>
  <c r="R13" i="83"/>
  <c r="U12" i="83"/>
  <c r="T12" i="83"/>
  <c r="S12" i="83"/>
  <c r="R12" i="83"/>
  <c r="U11" i="83"/>
  <c r="T11" i="83"/>
  <c r="S11" i="83"/>
  <c r="V11" i="83" s="1"/>
  <c r="R11" i="83"/>
  <c r="U10" i="83"/>
  <c r="T10" i="83"/>
  <c r="S10" i="83"/>
  <c r="R10" i="83"/>
  <c r="U9" i="83"/>
  <c r="T9" i="83"/>
  <c r="S9" i="83"/>
  <c r="R9" i="83"/>
  <c r="P9" i="83"/>
  <c r="N9" i="83"/>
  <c r="U20" i="84"/>
  <c r="T20" i="84"/>
  <c r="S20" i="84"/>
  <c r="R20" i="84"/>
  <c r="P20" i="84"/>
  <c r="U19" i="84"/>
  <c r="T19" i="84"/>
  <c r="S19" i="84"/>
  <c r="R19" i="84"/>
  <c r="P19" i="84"/>
  <c r="U18" i="84"/>
  <c r="T18" i="84"/>
  <c r="S18" i="84"/>
  <c r="R18" i="84"/>
  <c r="P18" i="84"/>
  <c r="U17" i="84"/>
  <c r="T17" i="84"/>
  <c r="S17" i="84"/>
  <c r="R17" i="84"/>
  <c r="P17" i="84"/>
  <c r="U16" i="84"/>
  <c r="T16" i="84"/>
  <c r="S16" i="84"/>
  <c r="R16" i="84"/>
  <c r="P16" i="84"/>
  <c r="U15" i="84"/>
  <c r="T15" i="84"/>
  <c r="S15" i="84"/>
  <c r="R15" i="84"/>
  <c r="P15" i="84"/>
  <c r="U14" i="84"/>
  <c r="T14" i="84"/>
  <c r="S14" i="84"/>
  <c r="R14" i="84"/>
  <c r="P14" i="84"/>
  <c r="U13" i="84"/>
  <c r="T13" i="84"/>
  <c r="S13" i="84"/>
  <c r="R13" i="84"/>
  <c r="P13" i="84"/>
  <c r="U12" i="84"/>
  <c r="T12" i="84"/>
  <c r="S12" i="84"/>
  <c r="R12" i="84"/>
  <c r="P12" i="84"/>
  <c r="U11" i="84"/>
  <c r="T11" i="84"/>
  <c r="S11" i="84"/>
  <c r="R11" i="84"/>
  <c r="P11" i="84"/>
  <c r="U10" i="84"/>
  <c r="T10" i="84"/>
  <c r="S10" i="84"/>
  <c r="R10" i="84"/>
  <c r="P10" i="84"/>
  <c r="U9" i="84"/>
  <c r="T9" i="84"/>
  <c r="S9" i="84"/>
  <c r="R9" i="84"/>
  <c r="P9" i="84"/>
  <c r="P24" i="85"/>
  <c r="P23" i="85"/>
  <c r="P22" i="85"/>
  <c r="U21" i="85"/>
  <c r="T21" i="85"/>
  <c r="S21" i="85"/>
  <c r="R21" i="85"/>
  <c r="P21" i="85"/>
  <c r="N21" i="85"/>
  <c r="U20" i="85"/>
  <c r="T20" i="85"/>
  <c r="S20" i="85"/>
  <c r="R20" i="85"/>
  <c r="P20" i="85"/>
  <c r="N20" i="85"/>
  <c r="U19" i="85"/>
  <c r="T19" i="85"/>
  <c r="S19" i="85"/>
  <c r="R19" i="85"/>
  <c r="P19" i="85"/>
  <c r="N19" i="85"/>
  <c r="U18" i="85"/>
  <c r="T18" i="85"/>
  <c r="S18" i="85"/>
  <c r="R18" i="85"/>
  <c r="P18" i="85"/>
  <c r="N18" i="85"/>
  <c r="U17" i="85"/>
  <c r="T17" i="85"/>
  <c r="S17" i="85"/>
  <c r="R17" i="85"/>
  <c r="P17" i="85"/>
  <c r="N17" i="85"/>
  <c r="U16" i="85"/>
  <c r="T16" i="85"/>
  <c r="S16" i="85"/>
  <c r="R16" i="85"/>
  <c r="P16" i="85"/>
  <c r="N16" i="85"/>
  <c r="U15" i="85"/>
  <c r="T15" i="85"/>
  <c r="S15" i="85"/>
  <c r="R15" i="85"/>
  <c r="P15" i="85"/>
  <c r="N15" i="85"/>
  <c r="U14" i="85"/>
  <c r="T14" i="85"/>
  <c r="S14" i="85"/>
  <c r="R14" i="85"/>
  <c r="P14" i="85"/>
  <c r="N14" i="85"/>
  <c r="U13" i="85"/>
  <c r="T13" i="85"/>
  <c r="S13" i="85"/>
  <c r="R13" i="85"/>
  <c r="P13" i="85"/>
  <c r="N13" i="85"/>
  <c r="U12" i="85"/>
  <c r="T12" i="85"/>
  <c r="S12" i="85"/>
  <c r="R12" i="85"/>
  <c r="P12" i="85"/>
  <c r="N12" i="85"/>
  <c r="U11" i="85"/>
  <c r="T11" i="85"/>
  <c r="S11" i="85"/>
  <c r="R11" i="85"/>
  <c r="P11" i="85"/>
  <c r="N11" i="85"/>
  <c r="U10" i="85"/>
  <c r="T10" i="85"/>
  <c r="S10" i="85"/>
  <c r="R10" i="85"/>
  <c r="P10" i="85"/>
  <c r="N10" i="85"/>
  <c r="U9" i="85"/>
  <c r="T9" i="85"/>
  <c r="S9" i="85"/>
  <c r="R9" i="85"/>
  <c r="P9" i="85"/>
  <c r="N9" i="85"/>
  <c r="U9" i="86"/>
  <c r="T9" i="86"/>
  <c r="S9" i="86"/>
  <c r="V9" i="86" s="1"/>
  <c r="R9" i="86"/>
  <c r="P9" i="86"/>
  <c r="N9" i="86"/>
  <c r="U19" i="87"/>
  <c r="T19" i="87"/>
  <c r="S19" i="87"/>
  <c r="R19" i="87"/>
  <c r="P19" i="87"/>
  <c r="U18" i="87"/>
  <c r="T18" i="87"/>
  <c r="S18" i="87"/>
  <c r="R18" i="87"/>
  <c r="P18" i="87"/>
  <c r="U17" i="87"/>
  <c r="T17" i="87"/>
  <c r="S17" i="87"/>
  <c r="R17" i="87"/>
  <c r="P17" i="87"/>
  <c r="U16" i="87"/>
  <c r="T16" i="87"/>
  <c r="S16" i="87"/>
  <c r="R16" i="87"/>
  <c r="P16" i="87"/>
  <c r="U15" i="87"/>
  <c r="T15" i="87"/>
  <c r="S15" i="87"/>
  <c r="R15" i="87"/>
  <c r="P15" i="87"/>
  <c r="U14" i="87"/>
  <c r="T14" i="87"/>
  <c r="S14" i="87"/>
  <c r="R14" i="87"/>
  <c r="P14" i="87"/>
  <c r="U13" i="87"/>
  <c r="T13" i="87"/>
  <c r="S13" i="87"/>
  <c r="R13" i="87"/>
  <c r="P13" i="87"/>
  <c r="U12" i="87"/>
  <c r="T12" i="87"/>
  <c r="S12" i="87"/>
  <c r="R12" i="87"/>
  <c r="P12" i="87"/>
  <c r="U11" i="87"/>
  <c r="T11" i="87"/>
  <c r="S11" i="87"/>
  <c r="R11" i="87"/>
  <c r="P11" i="87"/>
  <c r="U10" i="87"/>
  <c r="T10" i="87"/>
  <c r="S10" i="87"/>
  <c r="R10" i="87"/>
  <c r="P10" i="87"/>
  <c r="U9" i="87"/>
  <c r="T9" i="87"/>
  <c r="S9" i="87"/>
  <c r="R9" i="87"/>
  <c r="P9" i="87"/>
  <c r="V21" i="88"/>
  <c r="W21" i="88" s="1"/>
  <c r="V20" i="88"/>
  <c r="W20" i="88" s="1"/>
  <c r="V19" i="88"/>
  <c r="W19" i="88" s="1"/>
  <c r="V18" i="88"/>
  <c r="W18" i="88" s="1"/>
  <c r="V17" i="88"/>
  <c r="W17" i="88" s="1"/>
  <c r="V16" i="88"/>
  <c r="W16" i="88" s="1"/>
  <c r="V15" i="88"/>
  <c r="W15" i="88" s="1"/>
  <c r="V14" i="88"/>
  <c r="W14" i="88" s="1"/>
  <c r="V13" i="88"/>
  <c r="W13" i="88" s="1"/>
  <c r="V12" i="88"/>
  <c r="W12" i="88" s="1"/>
  <c r="V11" i="88"/>
  <c r="W11" i="88" s="1"/>
  <c r="V10" i="88"/>
  <c r="W10" i="88" s="1"/>
  <c r="P9" i="88"/>
  <c r="U29" i="89"/>
  <c r="T29" i="89"/>
  <c r="S29" i="89"/>
  <c r="R29" i="89"/>
  <c r="P29" i="89"/>
  <c r="N29" i="89"/>
  <c r="U28" i="89"/>
  <c r="T28" i="89"/>
  <c r="S28" i="89"/>
  <c r="R28" i="89"/>
  <c r="P28" i="89"/>
  <c r="N28" i="89"/>
  <c r="U27" i="89"/>
  <c r="T27" i="89"/>
  <c r="S27" i="89"/>
  <c r="R27" i="89"/>
  <c r="P27" i="89"/>
  <c r="N27" i="89"/>
  <c r="U26" i="89"/>
  <c r="T26" i="89"/>
  <c r="S26" i="89"/>
  <c r="R26" i="89"/>
  <c r="P26" i="89"/>
  <c r="N26" i="89"/>
  <c r="U25" i="89"/>
  <c r="T25" i="89"/>
  <c r="S25" i="89"/>
  <c r="R25" i="89"/>
  <c r="P25" i="89"/>
  <c r="N25" i="89"/>
  <c r="U24" i="89"/>
  <c r="T24" i="89"/>
  <c r="S24" i="89"/>
  <c r="R24" i="89"/>
  <c r="P24" i="89"/>
  <c r="N24" i="89"/>
  <c r="U23" i="89"/>
  <c r="T23" i="89"/>
  <c r="S23" i="89"/>
  <c r="R23" i="89"/>
  <c r="P23" i="89"/>
  <c r="N23" i="89"/>
  <c r="U22" i="89"/>
  <c r="T22" i="89"/>
  <c r="S22" i="89"/>
  <c r="R22" i="89"/>
  <c r="P22" i="89"/>
  <c r="N22" i="89"/>
  <c r="U21" i="89"/>
  <c r="T21" i="89"/>
  <c r="S21" i="89"/>
  <c r="R21" i="89"/>
  <c r="P21" i="89"/>
  <c r="N21" i="89"/>
  <c r="U20" i="89"/>
  <c r="T20" i="89"/>
  <c r="S20" i="89"/>
  <c r="R20" i="89"/>
  <c r="P20" i="89"/>
  <c r="N20" i="89"/>
  <c r="U19" i="89"/>
  <c r="T19" i="89"/>
  <c r="S19" i="89"/>
  <c r="R19" i="89"/>
  <c r="P19" i="89"/>
  <c r="N19" i="89"/>
  <c r="U18" i="89"/>
  <c r="T18" i="89"/>
  <c r="S18" i="89"/>
  <c r="R18" i="89"/>
  <c r="P18" i="89"/>
  <c r="N18" i="89"/>
  <c r="U17" i="89"/>
  <c r="T17" i="89"/>
  <c r="S17" i="89"/>
  <c r="R17" i="89"/>
  <c r="P17" i="89"/>
  <c r="N17" i="89"/>
  <c r="U16" i="89"/>
  <c r="T16" i="89"/>
  <c r="S16" i="89"/>
  <c r="R16" i="89"/>
  <c r="P16" i="89"/>
  <c r="N16" i="89"/>
  <c r="U15" i="89"/>
  <c r="T15" i="89"/>
  <c r="S15" i="89"/>
  <c r="R15" i="89"/>
  <c r="P15" i="89"/>
  <c r="N15" i="89"/>
  <c r="U14" i="89"/>
  <c r="T14" i="89"/>
  <c r="S14" i="89"/>
  <c r="R14" i="89"/>
  <c r="P14" i="89"/>
  <c r="N14" i="89"/>
  <c r="U13" i="89"/>
  <c r="T13" i="89"/>
  <c r="S13" i="89"/>
  <c r="R13" i="89"/>
  <c r="P13" i="89"/>
  <c r="N13" i="89"/>
  <c r="U12" i="89"/>
  <c r="T12" i="89"/>
  <c r="S12" i="89"/>
  <c r="R12" i="89"/>
  <c r="P12" i="89"/>
  <c r="N12" i="89"/>
  <c r="U11" i="89"/>
  <c r="T11" i="89"/>
  <c r="S11" i="89"/>
  <c r="R11" i="89"/>
  <c r="P11" i="89"/>
  <c r="N11" i="89"/>
  <c r="U10" i="89"/>
  <c r="T10" i="89"/>
  <c r="S10" i="89"/>
  <c r="R10" i="89"/>
  <c r="P10" i="89"/>
  <c r="N10" i="89"/>
  <c r="U9" i="89"/>
  <c r="T9" i="89"/>
  <c r="S9" i="89"/>
  <c r="R9" i="89"/>
  <c r="P9" i="89"/>
  <c r="N9" i="89"/>
  <c r="S19" i="90"/>
  <c r="R19" i="90"/>
  <c r="U18" i="90"/>
  <c r="T18" i="90"/>
  <c r="S18" i="90"/>
  <c r="R18" i="90"/>
  <c r="P18" i="90"/>
  <c r="N18" i="90"/>
  <c r="U17" i="90"/>
  <c r="T17" i="90"/>
  <c r="S17" i="90"/>
  <c r="R17" i="90"/>
  <c r="P17" i="90"/>
  <c r="N17" i="90"/>
  <c r="U16" i="90"/>
  <c r="T16" i="90"/>
  <c r="S16" i="90"/>
  <c r="R16" i="90"/>
  <c r="P16" i="90"/>
  <c r="N16" i="90"/>
  <c r="U15" i="90"/>
  <c r="T15" i="90"/>
  <c r="S15" i="90"/>
  <c r="R15" i="90"/>
  <c r="P15" i="90"/>
  <c r="N15" i="90"/>
  <c r="U14" i="90"/>
  <c r="T14" i="90"/>
  <c r="S14" i="90"/>
  <c r="R14" i="90"/>
  <c r="P14" i="90"/>
  <c r="N14" i="90"/>
  <c r="U13" i="90"/>
  <c r="T13" i="90"/>
  <c r="S13" i="90"/>
  <c r="R13" i="90"/>
  <c r="P13" i="90"/>
  <c r="N13" i="90"/>
  <c r="U12" i="90"/>
  <c r="T12" i="90"/>
  <c r="S12" i="90"/>
  <c r="R12" i="90"/>
  <c r="P12" i="90"/>
  <c r="N12" i="90"/>
  <c r="U11" i="90"/>
  <c r="T11" i="90"/>
  <c r="S11" i="90"/>
  <c r="R11" i="90"/>
  <c r="P11" i="90"/>
  <c r="N11" i="90"/>
  <c r="U10" i="90"/>
  <c r="T10" i="90"/>
  <c r="S10" i="90"/>
  <c r="R10" i="90"/>
  <c r="P10" i="90"/>
  <c r="N10" i="90"/>
  <c r="U9" i="90"/>
  <c r="T9" i="90"/>
  <c r="S9" i="90"/>
  <c r="R9" i="90"/>
  <c r="P9" i="90"/>
  <c r="N9" i="90"/>
  <c r="U14" i="91"/>
  <c r="T14" i="91"/>
  <c r="S14" i="91"/>
  <c r="R14" i="91"/>
  <c r="P14" i="91"/>
  <c r="N14" i="91"/>
  <c r="U13" i="91"/>
  <c r="T13" i="91"/>
  <c r="S13" i="91"/>
  <c r="R13" i="91"/>
  <c r="P13" i="91"/>
  <c r="N13" i="91"/>
  <c r="U12" i="91"/>
  <c r="T12" i="91"/>
  <c r="S12" i="91"/>
  <c r="R12" i="91"/>
  <c r="P12" i="91"/>
  <c r="N12" i="91"/>
  <c r="U11" i="91"/>
  <c r="T11" i="91"/>
  <c r="S11" i="91"/>
  <c r="R11" i="91"/>
  <c r="P11" i="91"/>
  <c r="N11" i="91"/>
  <c r="U10" i="91"/>
  <c r="T10" i="91"/>
  <c r="S10" i="91"/>
  <c r="R10" i="91"/>
  <c r="P10" i="91"/>
  <c r="N10" i="91"/>
  <c r="U9" i="91"/>
  <c r="T9" i="91"/>
  <c r="S9" i="91"/>
  <c r="R9" i="91"/>
  <c r="P9" i="91"/>
  <c r="N9" i="91"/>
  <c r="U9" i="92"/>
  <c r="T9" i="92"/>
  <c r="S9" i="92"/>
  <c r="R9" i="92"/>
  <c r="P9" i="92"/>
  <c r="U20" i="93"/>
  <c r="T20" i="93"/>
  <c r="V20" i="93" s="1"/>
  <c r="P20" i="93"/>
  <c r="N20" i="93"/>
  <c r="U19" i="93"/>
  <c r="T19" i="93"/>
  <c r="V19" i="93" s="1"/>
  <c r="W19" i="93" s="1"/>
  <c r="P19" i="93"/>
  <c r="N19" i="93"/>
  <c r="U18" i="93"/>
  <c r="T18" i="93"/>
  <c r="V18" i="93" s="1"/>
  <c r="P18" i="93"/>
  <c r="N18" i="93"/>
  <c r="U17" i="93"/>
  <c r="T17" i="93"/>
  <c r="V17" i="93" s="1"/>
  <c r="W17" i="93" s="1"/>
  <c r="P17" i="93"/>
  <c r="N17" i="93"/>
  <c r="U16" i="93"/>
  <c r="T16" i="93"/>
  <c r="V16" i="93" s="1"/>
  <c r="P16" i="93"/>
  <c r="N16" i="93"/>
  <c r="U15" i="93"/>
  <c r="T15" i="93"/>
  <c r="V15" i="93" s="1"/>
  <c r="W15" i="93" s="1"/>
  <c r="P15" i="93"/>
  <c r="N15" i="93"/>
  <c r="U14" i="93"/>
  <c r="T14" i="93"/>
  <c r="V14" i="93" s="1"/>
  <c r="P14" i="93"/>
  <c r="N14" i="93"/>
  <c r="U13" i="93"/>
  <c r="T13" i="93"/>
  <c r="V13" i="93" s="1"/>
  <c r="W13" i="93" s="1"/>
  <c r="P13" i="93"/>
  <c r="N13" i="93"/>
  <c r="U12" i="93"/>
  <c r="T12" i="93"/>
  <c r="V12" i="93" s="1"/>
  <c r="P12" i="93"/>
  <c r="N12" i="93"/>
  <c r="U11" i="93"/>
  <c r="T11" i="93"/>
  <c r="V11" i="93" s="1"/>
  <c r="W11" i="93" s="1"/>
  <c r="P11" i="93"/>
  <c r="N11" i="93"/>
  <c r="U10" i="93"/>
  <c r="T10" i="93"/>
  <c r="V10" i="93" s="1"/>
  <c r="P10" i="93"/>
  <c r="N10" i="93"/>
  <c r="U9" i="93"/>
  <c r="T9" i="93"/>
  <c r="V9" i="93" s="1"/>
  <c r="W9" i="93" s="1"/>
  <c r="P9" i="93"/>
  <c r="N9" i="93"/>
  <c r="U30" i="94"/>
  <c r="T30" i="94"/>
  <c r="S30" i="94"/>
  <c r="R30" i="94"/>
  <c r="P30" i="94"/>
  <c r="N30" i="94"/>
  <c r="U29" i="94"/>
  <c r="T29" i="94"/>
  <c r="S29" i="94"/>
  <c r="R29" i="94"/>
  <c r="P29" i="94"/>
  <c r="N29" i="94"/>
  <c r="U28" i="94"/>
  <c r="T28" i="94"/>
  <c r="S28" i="94"/>
  <c r="R28" i="94"/>
  <c r="P28" i="94"/>
  <c r="N28" i="94"/>
  <c r="U27" i="94"/>
  <c r="T27" i="94"/>
  <c r="S27" i="94"/>
  <c r="R27" i="94"/>
  <c r="P27" i="94"/>
  <c r="N27" i="94"/>
  <c r="U26" i="94"/>
  <c r="T26" i="94"/>
  <c r="S26" i="94"/>
  <c r="R26" i="94"/>
  <c r="P26" i="94"/>
  <c r="N26" i="94"/>
  <c r="U25" i="94"/>
  <c r="T25" i="94"/>
  <c r="S25" i="94"/>
  <c r="R25" i="94"/>
  <c r="P25" i="94"/>
  <c r="N25" i="94"/>
  <c r="U24" i="94"/>
  <c r="T24" i="94"/>
  <c r="S24" i="94"/>
  <c r="R24" i="94"/>
  <c r="P24" i="94"/>
  <c r="N24" i="94"/>
  <c r="U23" i="94"/>
  <c r="T23" i="94"/>
  <c r="S23" i="94"/>
  <c r="R23" i="94"/>
  <c r="P23" i="94"/>
  <c r="N23" i="94"/>
  <c r="U22" i="94"/>
  <c r="T22" i="94"/>
  <c r="S22" i="94"/>
  <c r="R22" i="94"/>
  <c r="P22" i="94"/>
  <c r="N22" i="94"/>
  <c r="U21" i="94"/>
  <c r="T21" i="94"/>
  <c r="S21" i="94"/>
  <c r="R21" i="94"/>
  <c r="P21" i="94"/>
  <c r="N21" i="94"/>
  <c r="U20" i="94"/>
  <c r="T20" i="94"/>
  <c r="S20" i="94"/>
  <c r="R20" i="94"/>
  <c r="P20" i="94"/>
  <c r="N20" i="94"/>
  <c r="U19" i="94"/>
  <c r="T19" i="94"/>
  <c r="S19" i="94"/>
  <c r="R19" i="94"/>
  <c r="P19" i="94"/>
  <c r="N19" i="94"/>
  <c r="U18" i="94"/>
  <c r="T18" i="94"/>
  <c r="S18" i="94"/>
  <c r="R18" i="94"/>
  <c r="P18" i="94"/>
  <c r="N18" i="94"/>
  <c r="U17" i="94"/>
  <c r="T17" i="94"/>
  <c r="S17" i="94"/>
  <c r="R17" i="94"/>
  <c r="P17" i="94"/>
  <c r="N17" i="94"/>
  <c r="U16" i="94"/>
  <c r="T16" i="94"/>
  <c r="S16" i="94"/>
  <c r="R16" i="94"/>
  <c r="P16" i="94"/>
  <c r="N16" i="94"/>
  <c r="U15" i="94"/>
  <c r="T15" i="94"/>
  <c r="S15" i="94"/>
  <c r="R15" i="94"/>
  <c r="P15" i="94"/>
  <c r="N15" i="94"/>
  <c r="U14" i="94"/>
  <c r="T14" i="94"/>
  <c r="S14" i="94"/>
  <c r="R14" i="94"/>
  <c r="P14" i="94"/>
  <c r="N14" i="94"/>
  <c r="U13" i="94"/>
  <c r="T13" i="94"/>
  <c r="S13" i="94"/>
  <c r="R13" i="94"/>
  <c r="P13" i="94"/>
  <c r="N13" i="94"/>
  <c r="U12" i="94"/>
  <c r="T12" i="94"/>
  <c r="S12" i="94"/>
  <c r="R12" i="94"/>
  <c r="P12" i="94"/>
  <c r="N12" i="94"/>
  <c r="U11" i="94"/>
  <c r="T11" i="94"/>
  <c r="S11" i="94"/>
  <c r="R11" i="94"/>
  <c r="P11" i="94"/>
  <c r="N11" i="94"/>
  <c r="U10" i="94"/>
  <c r="T10" i="94"/>
  <c r="S10" i="94"/>
  <c r="R10" i="94"/>
  <c r="P10" i="94"/>
  <c r="N10" i="94"/>
  <c r="U9" i="94"/>
  <c r="T9" i="94"/>
  <c r="S9" i="94"/>
  <c r="R9" i="94"/>
  <c r="P9" i="94"/>
  <c r="N9" i="94"/>
  <c r="U29" i="95"/>
  <c r="T29" i="95"/>
  <c r="S29" i="95"/>
  <c r="R29" i="95"/>
  <c r="P29" i="95"/>
  <c r="U28" i="95"/>
  <c r="T28" i="95"/>
  <c r="S28" i="95"/>
  <c r="R28" i="95"/>
  <c r="P28" i="95"/>
  <c r="U27" i="95"/>
  <c r="T27" i="95"/>
  <c r="S27" i="95"/>
  <c r="R27" i="95"/>
  <c r="P27" i="95"/>
  <c r="U26" i="95"/>
  <c r="T26" i="95"/>
  <c r="S26" i="95"/>
  <c r="R26" i="95"/>
  <c r="P26" i="95"/>
  <c r="N26" i="95"/>
  <c r="U25" i="95"/>
  <c r="T25" i="95"/>
  <c r="S25" i="95"/>
  <c r="R25" i="95"/>
  <c r="P25" i="95"/>
  <c r="N25" i="95"/>
  <c r="U24" i="95"/>
  <c r="T24" i="95"/>
  <c r="S24" i="95"/>
  <c r="R24" i="95"/>
  <c r="P24" i="95"/>
  <c r="N24" i="95"/>
  <c r="U23" i="95"/>
  <c r="T23" i="95"/>
  <c r="S23" i="95"/>
  <c r="R23" i="95"/>
  <c r="P23" i="95"/>
  <c r="N23" i="95"/>
  <c r="U22" i="95"/>
  <c r="T22" i="95"/>
  <c r="S22" i="95"/>
  <c r="R22" i="95"/>
  <c r="P22" i="95"/>
  <c r="N22" i="95"/>
  <c r="U21" i="95"/>
  <c r="T21" i="95"/>
  <c r="S21" i="95"/>
  <c r="R21" i="95"/>
  <c r="P21" i="95"/>
  <c r="N21" i="95"/>
  <c r="U20" i="95"/>
  <c r="T20" i="95"/>
  <c r="S20" i="95"/>
  <c r="R20" i="95"/>
  <c r="P20" i="95"/>
  <c r="N20" i="95"/>
  <c r="U19" i="95"/>
  <c r="T19" i="95"/>
  <c r="S19" i="95"/>
  <c r="R19" i="95"/>
  <c r="P19" i="95"/>
  <c r="N19" i="95"/>
  <c r="U18" i="95"/>
  <c r="T18" i="95"/>
  <c r="S18" i="95"/>
  <c r="R18" i="95"/>
  <c r="P18" i="95"/>
  <c r="N18" i="95"/>
  <c r="U17" i="95"/>
  <c r="T17" i="95"/>
  <c r="S17" i="95"/>
  <c r="R17" i="95"/>
  <c r="P17" i="95"/>
  <c r="N17" i="95"/>
  <c r="U16" i="95"/>
  <c r="T16" i="95"/>
  <c r="S16" i="95"/>
  <c r="R16" i="95"/>
  <c r="P16" i="95"/>
  <c r="N16" i="95"/>
  <c r="U15" i="95"/>
  <c r="T15" i="95"/>
  <c r="S15" i="95"/>
  <c r="R15" i="95"/>
  <c r="P15" i="95"/>
  <c r="N15" i="95"/>
  <c r="U14" i="95"/>
  <c r="T14" i="95"/>
  <c r="S14" i="95"/>
  <c r="R14" i="95"/>
  <c r="P14" i="95"/>
  <c r="N14" i="95"/>
  <c r="U13" i="95"/>
  <c r="T13" i="95"/>
  <c r="S13" i="95"/>
  <c r="R13" i="95"/>
  <c r="P13" i="95"/>
  <c r="N13" i="95"/>
  <c r="U12" i="95"/>
  <c r="T12" i="95"/>
  <c r="S12" i="95"/>
  <c r="R12" i="95"/>
  <c r="P12" i="95"/>
  <c r="N12" i="95"/>
  <c r="U11" i="95"/>
  <c r="T11" i="95"/>
  <c r="S11" i="95"/>
  <c r="R11" i="95"/>
  <c r="P11" i="95"/>
  <c r="N11" i="95"/>
  <c r="U10" i="95"/>
  <c r="T10" i="95"/>
  <c r="S10" i="95"/>
  <c r="R10" i="95"/>
  <c r="P10" i="95"/>
  <c r="N10" i="95"/>
  <c r="U9" i="95"/>
  <c r="T9" i="95"/>
  <c r="S9" i="95"/>
  <c r="R9" i="95"/>
  <c r="P9" i="95"/>
  <c r="N9" i="95"/>
  <c r="T24" i="96"/>
  <c r="U23" i="96"/>
  <c r="T23" i="96"/>
  <c r="V23" i="96" s="1"/>
  <c r="U22" i="96"/>
  <c r="T22" i="96"/>
  <c r="V22" i="96" s="1"/>
  <c r="U21" i="96"/>
  <c r="T21" i="96"/>
  <c r="V21" i="96" s="1"/>
  <c r="W21" i="96" s="1"/>
  <c r="U20" i="96"/>
  <c r="T20" i="96"/>
  <c r="V20" i="96" s="1"/>
  <c r="W20" i="96" s="1"/>
  <c r="U19" i="96"/>
  <c r="T19" i="96"/>
  <c r="V19" i="96" s="1"/>
  <c r="U18" i="96"/>
  <c r="T18" i="96"/>
  <c r="V18" i="96" s="1"/>
  <c r="U17" i="96"/>
  <c r="T17" i="96"/>
  <c r="V17" i="96" s="1"/>
  <c r="W17" i="96" s="1"/>
  <c r="U16" i="96"/>
  <c r="T16" i="96"/>
  <c r="V16" i="96" s="1"/>
  <c r="W16" i="96" s="1"/>
  <c r="U15" i="96"/>
  <c r="T15" i="96"/>
  <c r="V15" i="96" s="1"/>
  <c r="U14" i="96"/>
  <c r="T14" i="96"/>
  <c r="V14" i="96" s="1"/>
  <c r="U13" i="96"/>
  <c r="T13" i="96"/>
  <c r="V13" i="96" s="1"/>
  <c r="W13" i="96" s="1"/>
  <c r="U12" i="96"/>
  <c r="T12" i="96"/>
  <c r="V12" i="96" s="1"/>
  <c r="W12" i="96" s="1"/>
  <c r="U11" i="96"/>
  <c r="T11" i="96"/>
  <c r="V11" i="96" s="1"/>
  <c r="U10" i="96"/>
  <c r="T10" i="96"/>
  <c r="V10" i="96" s="1"/>
  <c r="U9" i="96"/>
  <c r="T9" i="96"/>
  <c r="V9" i="96" s="1"/>
  <c r="P18" i="97"/>
  <c r="S17" i="97"/>
  <c r="V17" i="97" s="1"/>
  <c r="W17" i="97" s="1"/>
  <c r="R17" i="97"/>
  <c r="P17" i="97"/>
  <c r="U16" i="97"/>
  <c r="T16" i="97"/>
  <c r="S16" i="97"/>
  <c r="R16" i="97"/>
  <c r="P16" i="97"/>
  <c r="U15" i="97"/>
  <c r="T15" i="97"/>
  <c r="S15" i="97"/>
  <c r="R15" i="97"/>
  <c r="P15" i="97"/>
  <c r="U14" i="97"/>
  <c r="T14" i="97"/>
  <c r="S14" i="97"/>
  <c r="R14" i="97"/>
  <c r="P14" i="97"/>
  <c r="U13" i="97"/>
  <c r="T13" i="97"/>
  <c r="S13" i="97"/>
  <c r="R13" i="97"/>
  <c r="P13" i="97"/>
  <c r="U12" i="97"/>
  <c r="T12" i="97"/>
  <c r="S12" i="97"/>
  <c r="R12" i="97"/>
  <c r="P12" i="97"/>
  <c r="U11" i="97"/>
  <c r="T11" i="97"/>
  <c r="S11" i="97"/>
  <c r="R11" i="97"/>
  <c r="P11" i="97"/>
  <c r="U10" i="97"/>
  <c r="T10" i="97"/>
  <c r="S10" i="97"/>
  <c r="R10" i="97"/>
  <c r="P10" i="97"/>
  <c r="U9" i="97"/>
  <c r="T9" i="97"/>
  <c r="S9" i="97"/>
  <c r="R9" i="97"/>
  <c r="P9" i="97"/>
  <c r="U27" i="98"/>
  <c r="T27" i="98"/>
  <c r="V27" i="98" s="1"/>
  <c r="U26" i="98"/>
  <c r="T26" i="98"/>
  <c r="V26" i="98" s="1"/>
  <c r="W33" i="98"/>
  <c r="P26" i="98"/>
  <c r="U25" i="98"/>
  <c r="T25" i="98"/>
  <c r="V25" i="98" s="1"/>
  <c r="W32" i="98"/>
  <c r="P25" i="98"/>
  <c r="U24" i="98"/>
  <c r="T24" i="98"/>
  <c r="V24" i="98" s="1"/>
  <c r="P24" i="98"/>
  <c r="U23" i="98"/>
  <c r="T23" i="98"/>
  <c r="V23" i="98" s="1"/>
  <c r="P23" i="98"/>
  <c r="U22" i="98"/>
  <c r="T22" i="98"/>
  <c r="V22" i="98" s="1"/>
  <c r="P22" i="98"/>
  <c r="U21" i="98"/>
  <c r="T21" i="98"/>
  <c r="V21" i="98" s="1"/>
  <c r="P21" i="98"/>
  <c r="U20" i="98"/>
  <c r="T20" i="98"/>
  <c r="V20" i="98" s="1"/>
  <c r="P20" i="98"/>
  <c r="U19" i="98"/>
  <c r="T19" i="98"/>
  <c r="V19" i="98" s="1"/>
  <c r="P19" i="98"/>
  <c r="U18" i="98"/>
  <c r="T18" i="98"/>
  <c r="V18" i="98" s="1"/>
  <c r="P18" i="98"/>
  <c r="U17" i="98"/>
  <c r="T17" i="98"/>
  <c r="V17" i="98" s="1"/>
  <c r="P17" i="98"/>
  <c r="U16" i="98"/>
  <c r="T16" i="98"/>
  <c r="V16" i="98" s="1"/>
  <c r="P16" i="98"/>
  <c r="U15" i="98"/>
  <c r="T15" i="98"/>
  <c r="V15" i="98" s="1"/>
  <c r="P15" i="98"/>
  <c r="U14" i="98"/>
  <c r="T14" i="98"/>
  <c r="V14" i="98" s="1"/>
  <c r="P14" i="98"/>
  <c r="U13" i="98"/>
  <c r="T13" i="98"/>
  <c r="V13" i="98" s="1"/>
  <c r="P13" i="98"/>
  <c r="U12" i="98"/>
  <c r="T12" i="98"/>
  <c r="V12" i="98" s="1"/>
  <c r="P12" i="98"/>
  <c r="U11" i="98"/>
  <c r="T11" i="98"/>
  <c r="V11" i="98" s="1"/>
  <c r="P11" i="98"/>
  <c r="U10" i="98"/>
  <c r="T10" i="98"/>
  <c r="V10" i="98" s="1"/>
  <c r="P10" i="98"/>
  <c r="U9" i="98"/>
  <c r="T9" i="98"/>
  <c r="P9" i="98"/>
  <c r="U19" i="99"/>
  <c r="T19" i="99"/>
  <c r="S19" i="99"/>
  <c r="R19" i="99"/>
  <c r="P19" i="99"/>
  <c r="N19" i="99"/>
  <c r="U18" i="99"/>
  <c r="T18" i="99"/>
  <c r="S18" i="99"/>
  <c r="R18" i="99"/>
  <c r="P18" i="99"/>
  <c r="N18" i="99"/>
  <c r="U17" i="99"/>
  <c r="T17" i="99"/>
  <c r="S17" i="99"/>
  <c r="R17" i="99"/>
  <c r="P17" i="99"/>
  <c r="N17" i="99"/>
  <c r="U16" i="99"/>
  <c r="T16" i="99"/>
  <c r="S16" i="99"/>
  <c r="R16" i="99"/>
  <c r="P16" i="99"/>
  <c r="N16" i="99"/>
  <c r="U15" i="99"/>
  <c r="T15" i="99"/>
  <c r="S15" i="99"/>
  <c r="R15" i="99"/>
  <c r="P15" i="99"/>
  <c r="N15" i="99"/>
  <c r="U14" i="99"/>
  <c r="T14" i="99"/>
  <c r="S14" i="99"/>
  <c r="R14" i="99"/>
  <c r="P14" i="99"/>
  <c r="N14" i="99"/>
  <c r="U13" i="99"/>
  <c r="T13" i="99"/>
  <c r="S13" i="99"/>
  <c r="R13" i="99"/>
  <c r="P13" i="99"/>
  <c r="N13" i="99"/>
  <c r="U12" i="99"/>
  <c r="T12" i="99"/>
  <c r="S12" i="99"/>
  <c r="R12" i="99"/>
  <c r="P12" i="99"/>
  <c r="N12" i="99"/>
  <c r="U11" i="99"/>
  <c r="T11" i="99"/>
  <c r="S11" i="99"/>
  <c r="R11" i="99"/>
  <c r="P11" i="99"/>
  <c r="N11" i="99"/>
  <c r="U10" i="99"/>
  <c r="T10" i="99"/>
  <c r="S10" i="99"/>
  <c r="R10" i="99"/>
  <c r="P10" i="99"/>
  <c r="N10" i="99"/>
  <c r="U9" i="99"/>
  <c r="T9" i="99"/>
  <c r="S9" i="99"/>
  <c r="R9" i="99"/>
  <c r="P9" i="99"/>
  <c r="N9" i="99"/>
  <c r="U13" i="100"/>
  <c r="S13" i="100"/>
  <c r="U12" i="100"/>
  <c r="S12" i="100"/>
  <c r="U11" i="100"/>
  <c r="S11" i="100"/>
  <c r="U10" i="100"/>
  <c r="S10" i="100"/>
  <c r="U9" i="100"/>
  <c r="S9" i="100"/>
  <c r="U15" i="101"/>
  <c r="T15" i="101"/>
  <c r="S15" i="101"/>
  <c r="R15" i="101"/>
  <c r="Q15" i="101"/>
  <c r="P15" i="101"/>
  <c r="U14" i="101"/>
  <c r="T14" i="101"/>
  <c r="S14" i="101"/>
  <c r="R14" i="101"/>
  <c r="Q14" i="101"/>
  <c r="P14" i="101"/>
  <c r="U13" i="101"/>
  <c r="T13" i="101"/>
  <c r="S13" i="101"/>
  <c r="R13" i="101"/>
  <c r="Q13" i="101"/>
  <c r="P13" i="101"/>
  <c r="U12" i="101"/>
  <c r="T12" i="101"/>
  <c r="S12" i="101"/>
  <c r="R12" i="101"/>
  <c r="Q12" i="101"/>
  <c r="P12" i="101"/>
  <c r="U11" i="101"/>
  <c r="T11" i="101"/>
  <c r="S11" i="101"/>
  <c r="R11" i="101"/>
  <c r="Q11" i="101"/>
  <c r="P11" i="101"/>
  <c r="U10" i="101"/>
  <c r="T10" i="101"/>
  <c r="S10" i="101"/>
  <c r="R10" i="101"/>
  <c r="Q10" i="101"/>
  <c r="P10" i="101"/>
  <c r="U9" i="101"/>
  <c r="T9" i="101"/>
  <c r="V9" i="101" s="1"/>
  <c r="W9" i="101" s="1"/>
  <c r="S9" i="101"/>
  <c r="R9" i="101"/>
  <c r="Q9" i="101"/>
  <c r="P9" i="101"/>
  <c r="U17" i="103"/>
  <c r="T17" i="103"/>
  <c r="S17" i="103"/>
  <c r="R17" i="103"/>
  <c r="P17" i="103"/>
  <c r="U16" i="103"/>
  <c r="T16" i="103"/>
  <c r="V16" i="103" s="1"/>
  <c r="S16" i="103"/>
  <c r="R16" i="103"/>
  <c r="P16" i="103"/>
  <c r="U15" i="103"/>
  <c r="T15" i="103"/>
  <c r="S15" i="103"/>
  <c r="R15" i="103"/>
  <c r="P15" i="103"/>
  <c r="U14" i="103"/>
  <c r="T14" i="103"/>
  <c r="V14" i="103" s="1"/>
  <c r="S14" i="103"/>
  <c r="R14" i="103"/>
  <c r="P14" i="103"/>
  <c r="U13" i="103"/>
  <c r="T13" i="103"/>
  <c r="S13" i="103"/>
  <c r="R13" i="103"/>
  <c r="P13" i="103"/>
  <c r="U12" i="103"/>
  <c r="T12" i="103"/>
  <c r="S12" i="103"/>
  <c r="R12" i="103"/>
  <c r="P12" i="103"/>
  <c r="U11" i="103"/>
  <c r="T11" i="103"/>
  <c r="S11" i="103"/>
  <c r="R11" i="103"/>
  <c r="P11" i="103"/>
  <c r="U10" i="103"/>
  <c r="T10" i="103"/>
  <c r="S10" i="103"/>
  <c r="R10" i="103"/>
  <c r="P10" i="103"/>
  <c r="U9" i="103"/>
  <c r="T9" i="103"/>
  <c r="S9" i="103"/>
  <c r="R9" i="103"/>
  <c r="P9" i="103"/>
  <c r="V19" i="69" l="1"/>
  <c r="W19" i="69" s="1"/>
  <c r="V22" i="69"/>
  <c r="W22" i="69" s="1"/>
  <c r="V38" i="69"/>
  <c r="W38" i="69" s="1"/>
  <c r="V36" i="69"/>
  <c r="W36" i="69" s="1"/>
  <c r="W16" i="64"/>
  <c r="V15" i="84"/>
  <c r="W15" i="84" s="1"/>
  <c r="V13" i="76"/>
  <c r="W13" i="76" s="1"/>
  <c r="V12" i="103"/>
  <c r="W12" i="103" s="1"/>
  <c r="V10" i="70"/>
  <c r="V18" i="70"/>
  <c r="W25" i="67"/>
  <c r="V14" i="64"/>
  <c r="W14" i="64" s="1"/>
  <c r="W13" i="62"/>
  <c r="V12" i="59"/>
  <c r="W12" i="59" s="1"/>
  <c r="W17" i="58"/>
  <c r="W10" i="54"/>
  <c r="V15" i="54"/>
  <c r="W15" i="54" s="1"/>
  <c r="V27" i="63"/>
  <c r="W27" i="63" s="1"/>
  <c r="V19" i="63"/>
  <c r="W19" i="63" s="1"/>
  <c r="V11" i="63"/>
  <c r="W11" i="63" s="1"/>
  <c r="W25" i="63"/>
  <c r="W17" i="63"/>
  <c r="V14" i="84"/>
  <c r="W14" i="84" s="1"/>
  <c r="V12" i="76"/>
  <c r="W12" i="76" s="1"/>
  <c r="V20" i="76"/>
  <c r="W20" i="76" s="1"/>
  <c r="V10" i="75"/>
  <c r="W10" i="75" s="1"/>
  <c r="V14" i="75"/>
  <c r="W14" i="75" s="1"/>
  <c r="V18" i="75"/>
  <c r="W18" i="75" s="1"/>
  <c r="V10" i="69"/>
  <c r="W10" i="69" s="1"/>
  <c r="V9" i="69"/>
  <c r="W9" i="69" s="1"/>
  <c r="W10" i="96"/>
  <c r="W14" i="96"/>
  <c r="W18" i="96"/>
  <c r="W22" i="96"/>
  <c r="V12" i="83"/>
  <c r="V16" i="83"/>
  <c r="V18" i="83"/>
  <c r="W10" i="73"/>
  <c r="W12" i="73"/>
  <c r="W14" i="73"/>
  <c r="W16" i="73"/>
  <c r="W10" i="72"/>
  <c r="W14" i="72"/>
  <c r="W18" i="72"/>
  <c r="V13" i="71"/>
  <c r="W13" i="71" s="1"/>
  <c r="V17" i="71"/>
  <c r="W17" i="71" s="1"/>
  <c r="V21" i="71"/>
  <c r="W21" i="71" s="1"/>
  <c r="V25" i="71"/>
  <c r="W25" i="71" s="1"/>
  <c r="V15" i="70"/>
  <c r="V23" i="70"/>
  <c r="V26" i="69"/>
  <c r="W26" i="69" s="1"/>
  <c r="V23" i="69"/>
  <c r="W23" i="69" s="1"/>
  <c r="V24" i="69"/>
  <c r="W24" i="69" s="1"/>
  <c r="V42" i="69"/>
  <c r="W42" i="69" s="1"/>
  <c r="V40" i="69"/>
  <c r="W40" i="69" s="1"/>
  <c r="V43" i="69"/>
  <c r="W43" i="69" s="1"/>
  <c r="V10" i="62"/>
  <c r="W10" i="62" s="1"/>
  <c r="W10" i="63"/>
  <c r="V13" i="84"/>
  <c r="W13" i="84" s="1"/>
  <c r="V11" i="80"/>
  <c r="W11" i="80" s="1"/>
  <c r="V11" i="76"/>
  <c r="W11" i="76" s="1"/>
  <c r="V19" i="76"/>
  <c r="W19" i="76" s="1"/>
  <c r="V11" i="101"/>
  <c r="W11" i="101" s="1"/>
  <c r="V9" i="99"/>
  <c r="W11" i="96"/>
  <c r="W15" i="96"/>
  <c r="W19" i="96"/>
  <c r="W23" i="96"/>
  <c r="V10" i="94"/>
  <c r="W10" i="94" s="1"/>
  <c r="V14" i="94"/>
  <c r="W14" i="94" s="1"/>
  <c r="V18" i="94"/>
  <c r="W18" i="94" s="1"/>
  <c r="V22" i="94"/>
  <c r="W22" i="94" s="1"/>
  <c r="W10" i="93"/>
  <c r="W12" i="93"/>
  <c r="W14" i="93"/>
  <c r="W16" i="93"/>
  <c r="W18" i="93"/>
  <c r="W20" i="93"/>
  <c r="W11" i="72"/>
  <c r="W15" i="72"/>
  <c r="W19" i="72"/>
  <c r="V28" i="69"/>
  <c r="W28" i="69" s="1"/>
  <c r="V30" i="69"/>
  <c r="W30" i="69" s="1"/>
  <c r="V44" i="69"/>
  <c r="W44" i="69" s="1"/>
  <c r="V45" i="69"/>
  <c r="W45" i="69" s="1"/>
  <c r="V47" i="69"/>
  <c r="W47" i="69" s="1"/>
  <c r="V13" i="64"/>
  <c r="W13" i="64" s="1"/>
  <c r="W17" i="64"/>
  <c r="V12" i="62"/>
  <c r="W12" i="62" s="1"/>
  <c r="W12" i="60"/>
  <c r="V17" i="55"/>
  <c r="V32" i="63"/>
  <c r="W32" i="63" s="1"/>
  <c r="V24" i="63"/>
  <c r="W24" i="63" s="1"/>
  <c r="V16" i="63"/>
  <c r="W16" i="63" s="1"/>
  <c r="V19" i="84"/>
  <c r="W19" i="84" s="1"/>
  <c r="V11" i="84"/>
  <c r="W11" i="84" s="1"/>
  <c r="V9" i="76"/>
  <c r="W9" i="76" s="1"/>
  <c r="V17" i="76"/>
  <c r="W17" i="76" s="1"/>
  <c r="V12" i="84"/>
  <c r="W12" i="84" s="1"/>
  <c r="W9" i="56"/>
  <c r="V18" i="54"/>
  <c r="W18" i="54" s="1"/>
  <c r="V17" i="54"/>
  <c r="W17" i="54" s="1"/>
  <c r="W23" i="63"/>
  <c r="V18" i="84"/>
  <c r="W18" i="84" s="1"/>
  <c r="V10" i="84"/>
  <c r="W10" i="84" s="1"/>
  <c r="V16" i="76"/>
  <c r="W16" i="76" s="1"/>
  <c r="W15" i="64"/>
  <c r="V20" i="84"/>
  <c r="W20" i="84" s="1"/>
  <c r="R24" i="96"/>
  <c r="V24" i="96"/>
  <c r="W24" i="96" s="1"/>
  <c r="V11" i="70"/>
  <c r="V19" i="70"/>
  <c r="V15" i="69"/>
  <c r="W15" i="69" s="1"/>
  <c r="V17" i="69"/>
  <c r="W17" i="69" s="1"/>
  <c r="V32" i="69"/>
  <c r="W32" i="69" s="1"/>
  <c r="V34" i="69"/>
  <c r="W34" i="69" s="1"/>
  <c r="V15" i="64"/>
  <c r="V14" i="62"/>
  <c r="W14" i="62" s="1"/>
  <c r="W17" i="55"/>
  <c r="V30" i="63"/>
  <c r="W30" i="63" s="1"/>
  <c r="V22" i="63"/>
  <c r="W22" i="63" s="1"/>
  <c r="V14" i="63"/>
  <c r="W14" i="63" s="1"/>
  <c r="W28" i="63"/>
  <c r="W20" i="63"/>
  <c r="V17" i="84"/>
  <c r="W17" i="84" s="1"/>
  <c r="V15" i="80"/>
  <c r="W15" i="80" s="1"/>
  <c r="V15" i="76"/>
  <c r="W15" i="76" s="1"/>
  <c r="V10" i="103"/>
  <c r="W11" i="81"/>
  <c r="W15" i="81"/>
  <c r="W9" i="68"/>
  <c r="V12" i="64"/>
  <c r="W12" i="64" s="1"/>
  <c r="V11" i="62"/>
  <c r="W11" i="62" s="1"/>
  <c r="W10" i="60"/>
  <c r="W14" i="60"/>
  <c r="W9" i="59"/>
  <c r="W13" i="59"/>
  <c r="W9" i="54"/>
  <c r="W14" i="54"/>
  <c r="V9" i="84"/>
  <c r="W9" i="84" s="1"/>
  <c r="V16" i="84"/>
  <c r="W16" i="84" s="1"/>
  <c r="V14" i="76"/>
  <c r="W14" i="76" s="1"/>
  <c r="W11" i="75"/>
  <c r="W15" i="75"/>
  <c r="V9" i="103"/>
  <c r="W9" i="103" s="1"/>
  <c r="V13" i="103"/>
  <c r="W13" i="103" s="1"/>
  <c r="V15" i="103"/>
  <c r="W15" i="103" s="1"/>
  <c r="V17" i="103"/>
  <c r="W17" i="103" s="1"/>
  <c r="V11" i="103"/>
  <c r="W11" i="103" s="1"/>
  <c r="W10" i="103"/>
  <c r="W14" i="103"/>
  <c r="W16" i="103"/>
  <c r="V13" i="101"/>
  <c r="W13" i="101" s="1"/>
  <c r="V15" i="101"/>
  <c r="W15" i="101" s="1"/>
  <c r="V10" i="101"/>
  <c r="W10" i="101" s="1"/>
  <c r="V12" i="101"/>
  <c r="W12" i="101" s="1"/>
  <c r="V14" i="101"/>
  <c r="W14" i="101" s="1"/>
  <c r="V9" i="100"/>
  <c r="W9" i="100" s="1"/>
  <c r="V10" i="100"/>
  <c r="W10" i="100" s="1"/>
  <c r="V13" i="100"/>
  <c r="W13" i="100" s="1"/>
  <c r="V12" i="100"/>
  <c r="W12" i="100" s="1"/>
  <c r="V11" i="100"/>
  <c r="W11" i="100" s="1"/>
  <c r="W9" i="99"/>
  <c r="V10" i="99"/>
  <c r="W10" i="99" s="1"/>
  <c r="V11" i="99"/>
  <c r="W11" i="99" s="1"/>
  <c r="V12" i="99"/>
  <c r="W12" i="99" s="1"/>
  <c r="V13" i="99"/>
  <c r="W13" i="99" s="1"/>
  <c r="V14" i="99"/>
  <c r="W14" i="99" s="1"/>
  <c r="V15" i="99"/>
  <c r="W15" i="99" s="1"/>
  <c r="V16" i="99"/>
  <c r="W16" i="99" s="1"/>
  <c r="V17" i="99"/>
  <c r="W17" i="99" s="1"/>
  <c r="V18" i="99"/>
  <c r="W18" i="99" s="1"/>
  <c r="V19" i="99"/>
  <c r="W19" i="99" s="1"/>
  <c r="W29" i="98"/>
  <c r="W30" i="98"/>
  <c r="W31" i="98"/>
  <c r="W24" i="98"/>
  <c r="W23" i="98"/>
  <c r="W19" i="98"/>
  <c r="W18" i="98"/>
  <c r="W11" i="98"/>
  <c r="W10" i="98"/>
  <c r="W25" i="98"/>
  <c r="W21" i="98"/>
  <c r="W17" i="98"/>
  <c r="W13" i="98"/>
  <c r="W20" i="98"/>
  <c r="W16" i="98"/>
  <c r="W12" i="98"/>
  <c r="W27" i="98"/>
  <c r="W15" i="98"/>
  <c r="V9" i="98"/>
  <c r="W9" i="98" s="1"/>
  <c r="W26" i="98"/>
  <c r="W22" i="98"/>
  <c r="W14" i="98"/>
  <c r="W28" i="98"/>
  <c r="V16" i="97"/>
  <c r="W16" i="97" s="1"/>
  <c r="V9" i="97"/>
  <c r="W9" i="97" s="1"/>
  <c r="V11" i="97"/>
  <c r="W11" i="97" s="1"/>
  <c r="V13" i="97"/>
  <c r="W13" i="97" s="1"/>
  <c r="V15" i="97"/>
  <c r="W15" i="97" s="1"/>
  <c r="V10" i="97"/>
  <c r="W10" i="97" s="1"/>
  <c r="V12" i="97"/>
  <c r="W12" i="97" s="1"/>
  <c r="V14" i="97"/>
  <c r="W14" i="97" s="1"/>
  <c r="W9" i="96"/>
  <c r="V9" i="95"/>
  <c r="W9" i="95" s="1"/>
  <c r="V11" i="95"/>
  <c r="W11" i="95" s="1"/>
  <c r="V13" i="95"/>
  <c r="W13" i="95" s="1"/>
  <c r="V15" i="95"/>
  <c r="W15" i="95" s="1"/>
  <c r="V17" i="95"/>
  <c r="W17" i="95" s="1"/>
  <c r="V19" i="95"/>
  <c r="W19" i="95" s="1"/>
  <c r="V21" i="95"/>
  <c r="W21" i="95" s="1"/>
  <c r="V23" i="95"/>
  <c r="W23" i="95" s="1"/>
  <c r="V25" i="95"/>
  <c r="W25" i="95" s="1"/>
  <c r="V10" i="95"/>
  <c r="W10" i="95" s="1"/>
  <c r="V14" i="95"/>
  <c r="W14" i="95" s="1"/>
  <c r="V18" i="95"/>
  <c r="W18" i="95" s="1"/>
  <c r="V22" i="95"/>
  <c r="W22" i="95" s="1"/>
  <c r="V26" i="95"/>
  <c r="W26" i="95" s="1"/>
  <c r="V28" i="95"/>
  <c r="W28" i="95" s="1"/>
  <c r="V12" i="95"/>
  <c r="W12" i="95" s="1"/>
  <c r="V16" i="95"/>
  <c r="W16" i="95" s="1"/>
  <c r="V20" i="95"/>
  <c r="W20" i="95" s="1"/>
  <c r="V24" i="95"/>
  <c r="W24" i="95" s="1"/>
  <c r="V27" i="95"/>
  <c r="W27" i="95" s="1"/>
  <c r="V29" i="95"/>
  <c r="W29" i="95" s="1"/>
  <c r="V26" i="94"/>
  <c r="W26" i="94" s="1"/>
  <c r="V30" i="94"/>
  <c r="W30" i="94" s="1"/>
  <c r="V9" i="94"/>
  <c r="W9" i="94" s="1"/>
  <c r="V25" i="94"/>
  <c r="W25" i="94" s="1"/>
  <c r="V12" i="94"/>
  <c r="W12" i="94" s="1"/>
  <c r="V16" i="94"/>
  <c r="W16" i="94" s="1"/>
  <c r="V20" i="94"/>
  <c r="W20" i="94" s="1"/>
  <c r="V24" i="94"/>
  <c r="W24" i="94" s="1"/>
  <c r="V28" i="94"/>
  <c r="W28" i="94" s="1"/>
  <c r="V13" i="94"/>
  <c r="W13" i="94" s="1"/>
  <c r="V17" i="94"/>
  <c r="W17" i="94" s="1"/>
  <c r="V21" i="94"/>
  <c r="W21" i="94" s="1"/>
  <c r="V29" i="94"/>
  <c r="W29" i="94" s="1"/>
  <c r="V11" i="94"/>
  <c r="W11" i="94" s="1"/>
  <c r="V15" i="94"/>
  <c r="W15" i="94" s="1"/>
  <c r="V19" i="94"/>
  <c r="W19" i="94" s="1"/>
  <c r="V23" i="94"/>
  <c r="W23" i="94" s="1"/>
  <c r="V27" i="94"/>
  <c r="W27" i="94" s="1"/>
  <c r="V9" i="92"/>
  <c r="W9" i="92" s="1"/>
  <c r="V10" i="92"/>
  <c r="W10" i="92" s="1"/>
  <c r="V13" i="92"/>
  <c r="W13" i="92" s="1"/>
  <c r="V14" i="92"/>
  <c r="W14" i="92" s="1"/>
  <c r="V17" i="92"/>
  <c r="W17" i="92" s="1"/>
  <c r="V18" i="92"/>
  <c r="W18" i="92" s="1"/>
  <c r="V20" i="92"/>
  <c r="W20" i="92" s="1"/>
  <c r="V21" i="92"/>
  <c r="W21" i="92" s="1"/>
  <c r="V22" i="92"/>
  <c r="W22" i="92" s="1"/>
  <c r="V11" i="92"/>
  <c r="W11" i="92" s="1"/>
  <c r="V12" i="92"/>
  <c r="W12" i="92" s="1"/>
  <c r="V15" i="92"/>
  <c r="W15" i="92" s="1"/>
  <c r="V16" i="92"/>
  <c r="W16" i="92" s="1"/>
  <c r="V19" i="92"/>
  <c r="W19" i="92" s="1"/>
  <c r="V9" i="91"/>
  <c r="W9" i="91" s="1"/>
  <c r="V9" i="90"/>
  <c r="W9" i="90" s="1"/>
  <c r="V12" i="90"/>
  <c r="W12" i="90" s="1"/>
  <c r="V16" i="90"/>
  <c r="W16" i="90" s="1"/>
  <c r="V10" i="90"/>
  <c r="W10" i="90" s="1"/>
  <c r="V14" i="90"/>
  <c r="W14" i="90" s="1"/>
  <c r="V18" i="90"/>
  <c r="W18" i="90" s="1"/>
  <c r="V11" i="90"/>
  <c r="W11" i="90" s="1"/>
  <c r="V15" i="90"/>
  <c r="W15" i="90" s="1"/>
  <c r="V13" i="90"/>
  <c r="W13" i="90" s="1"/>
  <c r="V17" i="90"/>
  <c r="W17" i="90" s="1"/>
  <c r="V23" i="89"/>
  <c r="W23" i="89" s="1"/>
  <c r="V11" i="89"/>
  <c r="W11" i="89" s="1"/>
  <c r="V15" i="89"/>
  <c r="W15" i="89" s="1"/>
  <c r="V19" i="89"/>
  <c r="W19" i="89" s="1"/>
  <c r="V27" i="89"/>
  <c r="W27" i="89" s="1"/>
  <c r="V9" i="89"/>
  <c r="W9" i="89" s="1"/>
  <c r="V13" i="89"/>
  <c r="W13" i="89" s="1"/>
  <c r="V17" i="89"/>
  <c r="W17" i="89" s="1"/>
  <c r="V21" i="89"/>
  <c r="W21" i="89" s="1"/>
  <c r="V25" i="89"/>
  <c r="W25" i="89" s="1"/>
  <c r="V29" i="89"/>
  <c r="W29" i="89" s="1"/>
  <c r="V12" i="89"/>
  <c r="W12" i="89" s="1"/>
  <c r="V16" i="89"/>
  <c r="W16" i="89" s="1"/>
  <c r="V20" i="89"/>
  <c r="W20" i="89" s="1"/>
  <c r="V24" i="89"/>
  <c r="W24" i="89" s="1"/>
  <c r="V28" i="89"/>
  <c r="W28" i="89" s="1"/>
  <c r="V10" i="89"/>
  <c r="W10" i="89" s="1"/>
  <c r="V14" i="89"/>
  <c r="W14" i="89" s="1"/>
  <c r="V18" i="89"/>
  <c r="W18" i="89" s="1"/>
  <c r="V22" i="89"/>
  <c r="W22" i="89" s="1"/>
  <c r="V26" i="89"/>
  <c r="W26" i="89" s="1"/>
  <c r="V9" i="88"/>
  <c r="W9" i="88" s="1"/>
  <c r="V15" i="87"/>
  <c r="W15" i="87" s="1"/>
  <c r="V19" i="87"/>
  <c r="W19" i="87" s="1"/>
  <c r="V9" i="87"/>
  <c r="W9" i="87" s="1"/>
  <c r="V10" i="87"/>
  <c r="W10" i="87" s="1"/>
  <c r="V16" i="87"/>
  <c r="W16" i="87" s="1"/>
  <c r="V18" i="87"/>
  <c r="W18" i="87" s="1"/>
  <c r="V11" i="87"/>
  <c r="W11" i="87" s="1"/>
  <c r="W9" i="86"/>
  <c r="V10" i="85"/>
  <c r="V14" i="85"/>
  <c r="W14" i="85" s="1"/>
  <c r="V18" i="85"/>
  <c r="V9" i="85"/>
  <c r="W9" i="85" s="1"/>
  <c r="V13" i="85"/>
  <c r="W13" i="85" s="1"/>
  <c r="V17" i="85"/>
  <c r="W17" i="85" s="1"/>
  <c r="V21" i="85"/>
  <c r="W21" i="85" s="1"/>
  <c r="V12" i="85"/>
  <c r="W12" i="85" s="1"/>
  <c r="V16" i="85"/>
  <c r="W16" i="85" s="1"/>
  <c r="V20" i="85"/>
  <c r="W20" i="85" s="1"/>
  <c r="V11" i="85"/>
  <c r="W11" i="85" s="1"/>
  <c r="V15" i="85"/>
  <c r="W15" i="85" s="1"/>
  <c r="V19" i="85"/>
  <c r="W19" i="85" s="1"/>
  <c r="W10" i="85"/>
  <c r="W18" i="85"/>
  <c r="V9" i="83"/>
  <c r="W9" i="83" s="1"/>
  <c r="V10" i="83"/>
  <c r="W10" i="83" s="1"/>
  <c r="W11" i="83"/>
  <c r="W12" i="83"/>
  <c r="W13" i="83"/>
  <c r="V14" i="83"/>
  <c r="W14" i="83" s="1"/>
  <c r="W15" i="83"/>
  <c r="W16" i="83"/>
  <c r="W17" i="83"/>
  <c r="W18" i="83"/>
  <c r="W19" i="83"/>
  <c r="W9" i="82"/>
  <c r="W10" i="81"/>
  <c r="W14" i="81"/>
  <c r="W12" i="81"/>
  <c r="W16" i="81"/>
  <c r="W9" i="81"/>
  <c r="W13" i="81"/>
  <c r="W17" i="81"/>
  <c r="W12" i="80"/>
  <c r="W16" i="80"/>
  <c r="W10" i="80"/>
  <c r="W14" i="80"/>
  <c r="W9" i="80"/>
  <c r="W13" i="80"/>
  <c r="W17" i="80"/>
  <c r="V27" i="79"/>
  <c r="W27" i="79" s="1"/>
  <c r="V26" i="79"/>
  <c r="V31" i="79"/>
  <c r="W31" i="79" s="1"/>
  <c r="V32" i="79"/>
  <c r="W32" i="79" s="1"/>
  <c r="V28" i="79"/>
  <c r="W28" i="79" s="1"/>
  <c r="V9" i="78"/>
  <c r="W9" i="78" s="1"/>
  <c r="V11" i="78"/>
  <c r="W11" i="78" s="1"/>
  <c r="W13" i="78"/>
  <c r="V15" i="78"/>
  <c r="W15" i="78" s="1"/>
  <c r="V17" i="78"/>
  <c r="W17" i="78" s="1"/>
  <c r="V19" i="78"/>
  <c r="W19" i="78" s="1"/>
  <c r="V20" i="78"/>
  <c r="W20" i="78" s="1"/>
  <c r="W26" i="79"/>
  <c r="W29" i="79"/>
  <c r="W30" i="79"/>
  <c r="W33" i="79"/>
  <c r="V9" i="77"/>
  <c r="W9" i="77" s="1"/>
  <c r="W15" i="74"/>
  <c r="W12" i="74"/>
  <c r="W14" i="74"/>
  <c r="W17" i="74"/>
  <c r="V9" i="74"/>
  <c r="W9" i="74" s="1"/>
  <c r="W10" i="74"/>
  <c r="W13" i="74"/>
  <c r="V10" i="71"/>
  <c r="W10" i="71" s="1"/>
  <c r="V14" i="71"/>
  <c r="W14" i="71" s="1"/>
  <c r="V18" i="71"/>
  <c r="V22" i="71"/>
  <c r="W22" i="71" s="1"/>
  <c r="V26" i="71"/>
  <c r="W26" i="71" s="1"/>
  <c r="V9" i="71"/>
  <c r="W9" i="71" s="1"/>
  <c r="V12" i="71"/>
  <c r="W12" i="71" s="1"/>
  <c r="V20" i="71"/>
  <c r="W20" i="71" s="1"/>
  <c r="V11" i="71"/>
  <c r="W11" i="71" s="1"/>
  <c r="V15" i="71"/>
  <c r="W15" i="71" s="1"/>
  <c r="V19" i="71"/>
  <c r="W19" i="71" s="1"/>
  <c r="V23" i="71"/>
  <c r="W23" i="71" s="1"/>
  <c r="V16" i="71"/>
  <c r="W16" i="71" s="1"/>
  <c r="V24" i="71"/>
  <c r="W24" i="71" s="1"/>
  <c r="W18" i="71"/>
  <c r="V12" i="70"/>
  <c r="W12" i="70" s="1"/>
  <c r="V16" i="70"/>
  <c r="W16" i="70" s="1"/>
  <c r="V20" i="70"/>
  <c r="W20" i="70" s="1"/>
  <c r="W10" i="70"/>
  <c r="W14" i="70"/>
  <c r="W18" i="70"/>
  <c r="W22" i="70"/>
  <c r="W11" i="70"/>
  <c r="V13" i="70"/>
  <c r="W13" i="70" s="1"/>
  <c r="W15" i="70"/>
  <c r="V17" i="70"/>
  <c r="W17" i="70" s="1"/>
  <c r="W19" i="70"/>
  <c r="V21" i="70"/>
  <c r="W21" i="70" s="1"/>
  <c r="W23" i="70"/>
  <c r="V9" i="70"/>
  <c r="W9" i="70" s="1"/>
  <c r="V29" i="65"/>
  <c r="W29" i="65" s="1"/>
  <c r="V9" i="65"/>
  <c r="W9" i="65" s="1"/>
  <c r="V25" i="65"/>
  <c r="W25" i="65" s="1"/>
  <c r="V21" i="65"/>
  <c r="W21" i="65" s="1"/>
  <c r="V17" i="65"/>
  <c r="W17" i="65" s="1"/>
  <c r="V13" i="65"/>
  <c r="W13" i="65" s="1"/>
  <c r="V27" i="65"/>
  <c r="W27" i="65" s="1"/>
  <c r="V23" i="65"/>
  <c r="W23" i="65" s="1"/>
  <c r="V19" i="65"/>
  <c r="W19" i="65" s="1"/>
  <c r="V15" i="65"/>
  <c r="W15" i="65" s="1"/>
  <c r="V28" i="65"/>
  <c r="W28" i="65" s="1"/>
  <c r="V24" i="65"/>
  <c r="W24" i="65" s="1"/>
  <c r="V20" i="65"/>
  <c r="W20" i="65" s="1"/>
  <c r="V16" i="65"/>
  <c r="W16" i="65" s="1"/>
  <c r="V12" i="65"/>
  <c r="W12" i="65" s="1"/>
  <c r="V11" i="65"/>
  <c r="W11" i="65" s="1"/>
  <c r="V26" i="65"/>
  <c r="W26" i="65" s="1"/>
  <c r="V22" i="65"/>
  <c r="W22" i="65" s="1"/>
  <c r="V18" i="65"/>
  <c r="W18" i="65" s="1"/>
  <c r="V14" i="65"/>
  <c r="W14" i="65" s="1"/>
  <c r="V10" i="65"/>
  <c r="W10" i="65" s="1"/>
  <c r="W9" i="64"/>
  <c r="V9" i="60"/>
  <c r="W9" i="60" s="1"/>
  <c r="V17" i="57"/>
  <c r="W17" i="57" s="1"/>
  <c r="V9" i="57"/>
  <c r="W9" i="57" s="1"/>
  <c r="V16" i="57"/>
  <c r="W16" i="57" s="1"/>
  <c r="V10" i="55"/>
  <c r="W10" i="55" s="1"/>
  <c r="V14" i="91"/>
  <c r="W14" i="91" s="1"/>
  <c r="V13" i="91"/>
  <c r="W13" i="91" s="1"/>
  <c r="V12" i="91"/>
  <c r="W12" i="91" s="1"/>
  <c r="V11" i="91"/>
  <c r="W11" i="91" s="1"/>
  <c r="V10" i="91"/>
  <c r="W10" i="91" s="1"/>
  <c r="V11" i="56"/>
  <c r="W11" i="56" s="1"/>
  <c r="V13" i="56"/>
  <c r="W13" i="56" s="1"/>
  <c r="V12" i="68"/>
  <c r="W12" i="68" s="1"/>
  <c r="V10" i="56"/>
  <c r="W10" i="56" s="1"/>
  <c r="V12" i="56"/>
  <c r="W12" i="56" s="1"/>
  <c r="V14" i="56"/>
  <c r="W14" i="56" s="1"/>
  <c r="V13" i="54"/>
  <c r="W13" i="54" s="1"/>
  <c r="V12" i="87"/>
  <c r="W12" i="87" s="1"/>
  <c r="V15" i="55"/>
  <c r="W15" i="55" s="1"/>
  <c r="V14" i="68"/>
  <c r="W14" i="68" s="1"/>
  <c r="V14" i="55"/>
  <c r="W14" i="55" s="1"/>
  <c r="V15" i="57"/>
  <c r="W15" i="57" s="1"/>
  <c r="V13" i="68"/>
  <c r="W13" i="68" s="1"/>
  <c r="V14" i="57"/>
  <c r="W14" i="57" s="1"/>
  <c r="V12" i="55"/>
  <c r="W12" i="55" s="1"/>
  <c r="V13" i="57"/>
  <c r="W13" i="57" s="1"/>
  <c r="V11" i="68"/>
  <c r="W11" i="68" s="1"/>
  <c r="V14" i="87"/>
  <c r="W14" i="87" s="1"/>
  <c r="V11" i="54"/>
  <c r="W11" i="54" s="1"/>
  <c r="V11" i="55"/>
  <c r="W11" i="55" s="1"/>
  <c r="V12" i="57"/>
  <c r="W12" i="57" s="1"/>
  <c r="V10" i="68"/>
  <c r="W10" i="68" s="1"/>
  <c r="V9" i="55"/>
  <c r="W9" i="55" s="1"/>
  <c r="V11" i="57"/>
  <c r="W11" i="57" s="1"/>
  <c r="V13" i="87"/>
  <c r="W13" i="87" s="1"/>
  <c r="V17" i="87"/>
  <c r="W17" i="87" s="1"/>
  <c r="V10" i="57"/>
  <c r="W10" i="57" s="1"/>
  <c r="V16" i="68"/>
  <c r="W16" i="68" s="1"/>
  <c r="V13" i="55"/>
  <c r="W13" i="55" s="1"/>
  <c r="V16" i="55"/>
  <c r="W16" i="55" s="1"/>
  <c r="V15" i="68"/>
  <c r="W15" i="6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W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S.Park:</t>
        </r>
        <r>
          <rPr>
            <sz val="9"/>
            <color indexed="81"/>
            <rFont val="Tahoma"/>
            <family val="2"/>
          </rPr>
          <t xml:space="preserve">
TEP와 ZT간 측정온도 차이로 인한 에러, 무시해도 될 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B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S.Park:</t>
        </r>
        <r>
          <rPr>
            <sz val="9"/>
            <color indexed="81"/>
            <rFont val="Tahoma"/>
            <family val="2"/>
          </rPr>
          <t xml:space="preserve">
1) 논문에 ZT-Temp 그래프가 없고, supple도 따로 없는데, 온도 분포를 어떻게 땄는지 모르겠음. 논문에서는 100oC, 200oC, … , 600oC라고 레전드로 표현했음.
2) 그래서 TEP 측정온도의 평균온도를 ZT의 온도로 설정했음.</t>
        </r>
      </text>
    </comment>
  </commentList>
</comments>
</file>

<file path=xl/sharedStrings.xml><?xml version="1.0" encoding="utf-8"?>
<sst xmlns="http://schemas.openxmlformats.org/spreadsheetml/2006/main" count="3456" uniqueCount="92">
  <si>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</si>
  <si>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</si>
  <si>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</si>
  <si>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</si>
  <si>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</si>
  <si>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</si>
  <si>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</si>
  <si>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</si>
  <si>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</si>
  <si>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</si>
  <si>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</si>
  <si>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</si>
  <si>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</si>
  <si>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</si>
  <si>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</si>
  <si>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</si>
  <si>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</si>
  <si>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</si>
  <si>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</si>
  <si>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</si>
  <si>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</si>
  <si>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</si>
  <si>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</si>
  <si>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</si>
  <si>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</si>
  <si>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</si>
  <si>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</si>
  <si>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</si>
  <si>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</si>
  <si>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</si>
  <si>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</si>
  <si>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</si>
  <si>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</si>
  <si>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</si>
  <si>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</si>
  <si>
    <t>[Ohm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</si>
  <si>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</si>
  <si>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[mW/cm 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</si>
  <si>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cm]</t>
    </r>
    <phoneticPr fontId="1" type="noConversion"/>
  </si>
  <si>
    <t>[10^5 S/m]</t>
    <phoneticPr fontId="1" type="noConversion"/>
  </si>
  <si>
    <t>seeb(절대값)</t>
    <phoneticPr fontId="1" type="noConversion"/>
  </si>
  <si>
    <t>[10^4 S/m]</t>
    <phoneticPr fontId="1" type="noConversion"/>
  </si>
  <si>
    <t>[10^4 S/m]</t>
    <phoneticPr fontId="1" type="noConversion"/>
  </si>
  <si>
    <t>[W/cm K]</t>
    <phoneticPr fontId="1" type="noConversion"/>
  </si>
  <si>
    <t>[10^5 S/m]</t>
    <phoneticPr fontId="1" type="noConversion"/>
  </si>
  <si>
    <t>[10^5 S/m]</t>
    <phoneticPr fontId="1" type="noConversion"/>
  </si>
  <si>
    <t>[S/m]</t>
    <phoneticPr fontId="1" type="noConversion"/>
  </si>
  <si>
    <t>[10^4 S/m]</t>
    <phoneticPr fontId="1" type="noConversion"/>
  </si>
  <si>
    <t>[S/m]</t>
    <phoneticPr fontId="1" type="noConversion"/>
  </si>
  <si>
    <t>[S/m]</t>
    <phoneticPr fontId="1" type="noConversion"/>
  </si>
  <si>
    <t>[uOhm cm]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</si>
  <si>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</si>
  <si>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</si>
  <si>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</si>
  <si>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</si>
  <si>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</si>
  <si>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</si>
  <si>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</si>
  <si>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</si>
  <si>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</si>
  <si>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</si>
  <si>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[uOhm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</si>
  <si>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</si>
  <si>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[mW/cm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</si>
  <si>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</si>
  <si>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</si>
  <si>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</si>
  <si>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 K]</t>
    <phoneticPr fontId="1" type="noConversion"/>
  </si>
  <si>
    <t>[10^3 S/m]</t>
    <phoneticPr fontId="1" type="noConversion"/>
  </si>
  <si>
    <t>[uOhm m]</t>
    <phoneticPr fontId="1" type="noConversion"/>
  </si>
  <si>
    <r>
      <rPr>
        <sz val="11"/>
        <color theme="1"/>
        <rFont val="맑은 고딕"/>
        <family val="2"/>
        <charset val="129"/>
      </rPr>
      <t>[-m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</si>
  <si>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[mOhm cm]</t>
    <phoneticPr fontId="1" type="noConversion"/>
  </si>
  <si>
    <t>[10^(-5) Ohm m]</t>
    <phoneticPr fontId="1" type="noConversion"/>
  </si>
  <si>
    <t>T</t>
  </si>
  <si>
    <t>cond</t>
  </si>
  <si>
    <t>[K]</t>
  </si>
  <si>
    <t>[S/m]</t>
  </si>
  <si>
    <t>데이터가 이상함.</t>
    <phoneticPr fontId="1" type="noConversion"/>
  </si>
  <si>
    <t>err</t>
  </si>
  <si>
    <t>기존데이터</t>
  </si>
  <si>
    <t>[1000 T^-1]</t>
  </si>
  <si>
    <t>DD0.65Fe3CoSb12</t>
  </si>
  <si>
    <t>[mW/cm K]</t>
  </si>
  <si>
    <t>[S/cm]</t>
  </si>
  <si>
    <t>1/T</t>
  </si>
  <si>
    <t>[1/mK]</t>
  </si>
  <si>
    <t>TC_L</t>
  </si>
  <si>
    <t>[W/m K]</t>
  </si>
  <si>
    <t>[1 / (mOhm cm)]</t>
  </si>
  <si>
    <t>In-doped</t>
  </si>
  <si>
    <t>[oC]</t>
  </si>
  <si>
    <t>[10^4 S/m]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</si>
</sst>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_ "/>
    <numFmt numFmtId="179" formatCode="0.000%"/>
    <numFmt numFmtId="180" formatCode="0.0000"/>
    <numFmt numFmtId="181" formatCode="0.00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11" xfId="0" applyFill="1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6" fontId="0" fillId="0" borderId="10" xfId="0" applyNumberFormat="1" applyFill="1" applyBorder="1">
      <alignment vertical="center"/>
    </xf>
    <xf numFmtId="11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178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1" fontId="0" fillId="0" borderId="9" xfId="0" applyNumberFormat="1" applyBorder="1">
      <alignment vertical="center"/>
    </xf>
    <xf numFmtId="0" fontId="0" fillId="0" borderId="12" xfId="0" applyBorder="1">
      <alignment vertical="center"/>
    </xf>
    <xf numFmtId="10" fontId="0" fillId="0" borderId="0" xfId="1" applyNumberFormat="1" applyFont="1" applyAlignment="1">
      <alignment vertical="center"/>
    </xf>
    <xf numFmtId="179" fontId="0" fillId="0" borderId="0" xfId="1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1" xfId="0" applyNumberFormat="1" applyBorder="1">
      <alignment vertical="center"/>
    </xf>
    <xf numFmtId="180" fontId="0" fillId="2" borderId="2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3" xfId="0" applyFill="1" applyBorder="1">
      <alignment vertical="center"/>
    </xf>
    <xf numFmtId="0" fontId="0" fillId="2" borderId="14" xfId="0" applyFill="1" applyBorder="1">
      <alignment vertical="center"/>
    </xf>
    <xf numFmtId="181" fontId="0" fillId="0" borderId="2" xfId="0" applyNumberFormat="1" applyBorder="1">
      <alignment vertical="center"/>
    </xf>
    <xf numFmtId="0" fontId="0" fillId="0" borderId="0" xfId="0" applyFill="1">
      <alignment vertical="center"/>
    </xf>
    <xf numFmtId="177" fontId="0" fillId="0" borderId="15" xfId="0" applyNumberFormat="1" applyFill="1" applyBorder="1">
      <alignment vertical="center"/>
    </xf>
    <xf numFmtId="0" fontId="0" fillId="0" borderId="16" xfId="0" applyFill="1" applyBorder="1">
      <alignment vertical="center"/>
    </xf>
    <xf numFmtId="177" fontId="0" fillId="0" borderId="17" xfId="0" applyNumberFormat="1" applyFill="1" applyBorder="1">
      <alignment vertical="center"/>
    </xf>
    <xf numFmtId="10" fontId="0" fillId="0" borderId="0" xfId="1" applyNumberFormat="1" applyFont="1" applyFill="1" applyBorder="1" applyAlignment="1">
      <alignment vertical="center"/>
    </xf>
    <xf numFmtId="179" fontId="0" fillId="0" borderId="0" xfId="0" applyNumberFormat="1">
      <alignment vertical="center"/>
    </xf>
    <xf numFmtId="0" fontId="7" fillId="0" borderId="2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10</v>
      </c>
      <c r="D8" s="11" t="s">
        <v>34</v>
      </c>
      <c r="E8" s="10" t="s">
        <v>32</v>
      </c>
      <c r="F8" s="11" t="s">
        <v>34</v>
      </c>
      <c r="G8" s="27" t="s">
        <v>13</v>
      </c>
      <c r="H8" s="11" t="s">
        <v>34</v>
      </c>
      <c r="I8" s="10" t="s">
        <v>15</v>
      </c>
      <c r="J8" s="11" t="s">
        <v>34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24.697099999999999</v>
      </c>
      <c r="E9" s="4">
        <v>38.89</v>
      </c>
      <c r="F9" s="3">
        <v>25.862100000000002</v>
      </c>
      <c r="G9" s="4">
        <v>259.024</v>
      </c>
      <c r="H9" s="3">
        <v>25.6755</v>
      </c>
      <c r="I9" s="4">
        <v>0.83596899999999996</v>
      </c>
      <c r="J9" s="3">
        <v>25.8416</v>
      </c>
      <c r="K9" s="4">
        <v>0.608379</v>
      </c>
      <c r="N9" s="3">
        <f>D9+273.15</f>
        <v>297.84709999999995</v>
      </c>
      <c r="O9" s="21">
        <f>1/(E9*(10^(-6)))</f>
        <v>25713.551041398816</v>
      </c>
      <c r="P9" s="3">
        <f>F9+273.15</f>
        <v>299.01209999999998</v>
      </c>
      <c r="Q9" s="17">
        <f>G9*(10^(-6))</f>
        <v>2.5902400000000001E-4</v>
      </c>
      <c r="R9" s="3">
        <f>H9+273.15</f>
        <v>298.82549999999998</v>
      </c>
      <c r="S9" s="24">
        <f>I9</f>
        <v>0.83596899999999996</v>
      </c>
      <c r="T9" s="3">
        <f>J9+273.15</f>
        <v>298.99159999999995</v>
      </c>
      <c r="U9" s="51">
        <f>K9</f>
        <v>0.608379</v>
      </c>
      <c r="V9" s="42">
        <f>((O9*(Q9)^2)/S9)*T9</f>
        <v>0.61703653933963609</v>
      </c>
      <c r="W9" s="48">
        <f>(U9-V9)/U9</f>
        <v>-1.4230503254773897E-2</v>
      </c>
    </row>
    <row r="10" spans="1:23" x14ac:dyDescent="0.6">
      <c r="B10" s="3"/>
      <c r="C10" s="4"/>
      <c r="D10" s="3">
        <v>39.459699999999998</v>
      </c>
      <c r="E10" s="4">
        <v>43.555300000000003</v>
      </c>
      <c r="F10" s="3">
        <v>43.965499999999999</v>
      </c>
      <c r="G10" s="4">
        <v>270.73200000000003</v>
      </c>
      <c r="H10" s="3">
        <v>44.593299999999999</v>
      </c>
      <c r="I10" s="4">
        <v>0.77759800000000001</v>
      </c>
      <c r="J10" s="3">
        <v>42.935400000000001</v>
      </c>
      <c r="K10" s="4">
        <v>0.657304</v>
      </c>
      <c r="N10" s="3">
        <f t="shared" ref="N10:N21" si="0">D10+273.15</f>
        <v>312.60969999999998</v>
      </c>
      <c r="O10" s="21">
        <f t="shared" ref="O10:O21" si="1">1/(E10*(10^(-6)))</f>
        <v>22959.318383755824</v>
      </c>
      <c r="P10" s="3">
        <f t="shared" ref="P10:P21" si="2">F10+273.15</f>
        <v>317.1155</v>
      </c>
      <c r="Q10" s="17">
        <f t="shared" ref="Q10:Q21" si="3">G10*(10^(-6))</f>
        <v>2.7073200000000004E-4</v>
      </c>
      <c r="R10" s="3">
        <f t="shared" ref="R10:R21" si="4">H10+273.15</f>
        <v>317.74329999999998</v>
      </c>
      <c r="S10" s="24">
        <f t="shared" ref="S10:U23" si="5">I10</f>
        <v>0.77759800000000001</v>
      </c>
      <c r="T10" s="3">
        <f t="shared" ref="T10:T23" si="6">J10+273.15</f>
        <v>316.08539999999999</v>
      </c>
      <c r="U10" s="51">
        <f t="shared" si="5"/>
        <v>0.657304</v>
      </c>
      <c r="V10" s="42">
        <f>((AVERAGE(O10,O11)*(Q10)^2)/S10)*T10</f>
        <v>0.66413290340801689</v>
      </c>
      <c r="W10" s="48">
        <f t="shared" ref="W10:W23" si="7">(U10-V10)/U10</f>
        <v>-1.0389261906236529E-2</v>
      </c>
    </row>
    <row r="11" spans="1:23" x14ac:dyDescent="0.6">
      <c r="B11" s="2"/>
      <c r="C11" s="1"/>
      <c r="D11" s="2">
        <v>55.928400000000003</v>
      </c>
      <c r="E11" s="1">
        <v>46.248399999999997</v>
      </c>
      <c r="F11" s="2">
        <v>64.655199999999994</v>
      </c>
      <c r="G11" s="1">
        <v>277.31700000000001</v>
      </c>
      <c r="H11" s="2">
        <v>59.203800000000001</v>
      </c>
      <c r="I11" s="1">
        <v>0.75846899999999995</v>
      </c>
      <c r="J11" s="2">
        <v>58.319699999999997</v>
      </c>
      <c r="K11" s="1">
        <v>0.70133699999999999</v>
      </c>
      <c r="N11" s="3">
        <f t="shared" si="0"/>
        <v>329.07839999999999</v>
      </c>
      <c r="O11" s="21">
        <f t="shared" si="1"/>
        <v>21622.369638733449</v>
      </c>
      <c r="P11" s="3">
        <f t="shared" si="2"/>
        <v>337.80519999999996</v>
      </c>
      <c r="Q11" s="17">
        <f t="shared" si="3"/>
        <v>2.7731700000000001E-4</v>
      </c>
      <c r="R11" s="3">
        <f t="shared" si="4"/>
        <v>332.35379999999998</v>
      </c>
      <c r="S11" s="24">
        <f t="shared" si="5"/>
        <v>0.75846899999999995</v>
      </c>
      <c r="T11" s="3">
        <f t="shared" si="6"/>
        <v>331.46969999999999</v>
      </c>
      <c r="U11" s="51">
        <f t="shared" si="5"/>
        <v>0.70133699999999999</v>
      </c>
      <c r="V11" s="42">
        <f t="shared" ref="V11:V13" si="8">((O11*(Q11)^2)/S11)*T11</f>
        <v>0.72671190410227027</v>
      </c>
      <c r="W11" s="48">
        <f t="shared" si="7"/>
        <v>-3.6180757755929431E-2</v>
      </c>
    </row>
    <row r="12" spans="1:23" x14ac:dyDescent="0.6">
      <c r="B12" s="2"/>
      <c r="C12" s="1"/>
      <c r="D12" s="2">
        <v>79.299499999999995</v>
      </c>
      <c r="E12" s="1">
        <v>47.456899999999997</v>
      </c>
      <c r="F12" s="2">
        <v>87.069000000000003</v>
      </c>
      <c r="G12" s="1">
        <v>281.70699999999999</v>
      </c>
      <c r="H12" s="2">
        <v>77.250799999999998</v>
      </c>
      <c r="I12" s="1">
        <v>0.73947499999999999</v>
      </c>
      <c r="J12" s="2">
        <v>76.2697</v>
      </c>
      <c r="K12" s="1">
        <v>0.75517100000000004</v>
      </c>
      <c r="N12" s="3">
        <f t="shared" si="0"/>
        <v>352.44949999999994</v>
      </c>
      <c r="O12" s="21">
        <f t="shared" si="1"/>
        <v>21071.751420762841</v>
      </c>
      <c r="P12" s="3">
        <f t="shared" si="2"/>
        <v>360.21899999999999</v>
      </c>
      <c r="Q12" s="17">
        <f t="shared" si="3"/>
        <v>2.8170699999999996E-4</v>
      </c>
      <c r="R12" s="3">
        <f t="shared" si="4"/>
        <v>350.4008</v>
      </c>
      <c r="S12" s="24">
        <f t="shared" si="5"/>
        <v>0.73947499999999999</v>
      </c>
      <c r="T12" s="3">
        <f t="shared" si="6"/>
        <v>349.41969999999998</v>
      </c>
      <c r="U12" s="51">
        <f t="shared" si="5"/>
        <v>0.75517100000000004</v>
      </c>
      <c r="V12" s="42">
        <f>((O12*(AVERAGE(Q11,Q12))^2)/S12)*T12</f>
        <v>0.77790298914129541</v>
      </c>
      <c r="W12" s="48">
        <f t="shared" si="7"/>
        <v>-3.0101777135635995E-2</v>
      </c>
    </row>
    <row r="13" spans="1:23" x14ac:dyDescent="0.6">
      <c r="B13" s="2"/>
      <c r="C13" s="1"/>
      <c r="D13" s="2">
        <v>102.63500000000001</v>
      </c>
      <c r="E13" s="1">
        <v>45.709800000000001</v>
      </c>
      <c r="F13" s="2">
        <v>113.79300000000001</v>
      </c>
      <c r="G13" s="1">
        <v>278.77999999999997</v>
      </c>
      <c r="H13" s="2">
        <v>93.570700000000002</v>
      </c>
      <c r="I13" s="1">
        <v>0.74997000000000003</v>
      </c>
      <c r="J13" s="2">
        <v>89.953400000000002</v>
      </c>
      <c r="K13" s="1">
        <v>0.80908899999999995</v>
      </c>
      <c r="N13" s="3">
        <f t="shared" si="0"/>
        <v>375.78499999999997</v>
      </c>
      <c r="O13" s="21">
        <f t="shared" si="1"/>
        <v>21877.146695019448</v>
      </c>
      <c r="P13" s="3">
        <f t="shared" si="2"/>
        <v>386.94299999999998</v>
      </c>
      <c r="Q13" s="17">
        <f t="shared" si="3"/>
        <v>2.7877999999999996E-4</v>
      </c>
      <c r="R13" s="3">
        <f t="shared" si="4"/>
        <v>366.72069999999997</v>
      </c>
      <c r="S13" s="24">
        <f t="shared" si="5"/>
        <v>0.74997000000000003</v>
      </c>
      <c r="T13" s="3">
        <f t="shared" si="6"/>
        <v>363.10339999999997</v>
      </c>
      <c r="U13" s="51">
        <f t="shared" si="5"/>
        <v>0.80908899999999995</v>
      </c>
      <c r="V13" s="42">
        <f t="shared" si="8"/>
        <v>0.82319046379155469</v>
      </c>
      <c r="W13" s="48">
        <f t="shared" si="7"/>
        <v>-1.7428816596882109E-2</v>
      </c>
    </row>
    <row r="14" spans="1:23" x14ac:dyDescent="0.6">
      <c r="B14" s="2"/>
      <c r="C14" s="1"/>
      <c r="D14" s="2">
        <v>123.369</v>
      </c>
      <c r="E14" s="1">
        <v>43.4726</v>
      </c>
      <c r="F14" s="2">
        <v>131.03399999999999</v>
      </c>
      <c r="G14" s="1">
        <v>275.85399999999998</v>
      </c>
      <c r="H14" s="2">
        <v>109.893</v>
      </c>
      <c r="I14" s="1">
        <v>0.750614</v>
      </c>
      <c r="J14" s="2">
        <v>101.08</v>
      </c>
      <c r="K14" s="1">
        <v>0.86798399999999998</v>
      </c>
      <c r="N14" s="3">
        <f t="shared" si="0"/>
        <v>396.51900000000001</v>
      </c>
      <c r="O14" s="21">
        <f t="shared" si="1"/>
        <v>23002.994989947692</v>
      </c>
      <c r="P14" s="3">
        <f t="shared" si="2"/>
        <v>404.18399999999997</v>
      </c>
      <c r="Q14" s="17">
        <f t="shared" si="3"/>
        <v>2.7585399999999996E-4</v>
      </c>
      <c r="R14" s="3">
        <f t="shared" si="4"/>
        <v>383.04300000000001</v>
      </c>
      <c r="S14" s="24">
        <f t="shared" si="5"/>
        <v>0.750614</v>
      </c>
      <c r="T14" s="3">
        <f t="shared" si="6"/>
        <v>374.22999999999996</v>
      </c>
      <c r="U14" s="51">
        <f t="shared" si="5"/>
        <v>0.86798399999999998</v>
      </c>
      <c r="V14" s="42">
        <f>((O13*(AVERAGE(Q12,Q13))^2)/AVERAGE(S13,S14))*T14</f>
        <v>0.85697876230808367</v>
      </c>
      <c r="W14" s="48">
        <f t="shared" si="7"/>
        <v>1.2679078982926303E-2</v>
      </c>
    </row>
    <row r="15" spans="1:23" x14ac:dyDescent="0.6">
      <c r="B15" s="2"/>
      <c r="C15" s="1"/>
      <c r="D15" s="2">
        <v>145.821</v>
      </c>
      <c r="E15" s="1">
        <v>40.2485</v>
      </c>
      <c r="F15" s="2">
        <v>150</v>
      </c>
      <c r="G15" s="1">
        <v>269.26799999999997</v>
      </c>
      <c r="H15" s="2">
        <v>131.35599999999999</v>
      </c>
      <c r="I15" s="1">
        <v>0.80072299999999996</v>
      </c>
      <c r="J15" s="2">
        <v>116.45</v>
      </c>
      <c r="K15" s="1">
        <v>0.88738499999999998</v>
      </c>
      <c r="N15" s="3">
        <f t="shared" si="0"/>
        <v>418.971</v>
      </c>
      <c r="O15" s="21">
        <f t="shared" si="1"/>
        <v>24845.646421605776</v>
      </c>
      <c r="P15" s="3">
        <f t="shared" si="2"/>
        <v>423.15</v>
      </c>
      <c r="Q15" s="17">
        <f t="shared" si="3"/>
        <v>2.6926799999999997E-4</v>
      </c>
      <c r="R15" s="3">
        <f t="shared" si="4"/>
        <v>404.50599999999997</v>
      </c>
      <c r="S15" s="24">
        <f t="shared" si="5"/>
        <v>0.80072299999999996</v>
      </c>
      <c r="T15" s="3">
        <f t="shared" si="6"/>
        <v>389.59999999999997</v>
      </c>
      <c r="U15" s="51">
        <f t="shared" si="5"/>
        <v>0.88738499999999998</v>
      </c>
      <c r="V15" s="42">
        <f>((AVERAGE(O13,O14)*(Q13)^2)/AVERAGE(S14,S15))*T15</f>
        <v>0.87597204017891739</v>
      </c>
      <c r="W15" s="48">
        <f t="shared" si="7"/>
        <v>1.2861339577615793E-2</v>
      </c>
    </row>
    <row r="16" spans="1:23" x14ac:dyDescent="0.6">
      <c r="B16" s="2"/>
      <c r="C16" s="1"/>
      <c r="D16" s="2">
        <v>161.35300000000001</v>
      </c>
      <c r="E16" s="1">
        <v>37.031300000000002</v>
      </c>
      <c r="F16" s="2">
        <v>169.828</v>
      </c>
      <c r="G16" s="1">
        <v>262.68299999999999</v>
      </c>
      <c r="H16" s="2">
        <v>153.68100000000001</v>
      </c>
      <c r="I16" s="1">
        <v>0.84101300000000001</v>
      </c>
      <c r="J16" s="2">
        <v>134.4</v>
      </c>
      <c r="K16" s="1">
        <v>0.94121999999999995</v>
      </c>
      <c r="N16" s="3">
        <f t="shared" si="0"/>
        <v>434.50299999999999</v>
      </c>
      <c r="O16" s="21">
        <f t="shared" si="1"/>
        <v>27004.182947938636</v>
      </c>
      <c r="P16" s="3">
        <f t="shared" si="2"/>
        <v>442.97799999999995</v>
      </c>
      <c r="Q16" s="17">
        <f t="shared" si="3"/>
        <v>2.6268299999999999E-4</v>
      </c>
      <c r="R16" s="3">
        <f t="shared" si="4"/>
        <v>426.83100000000002</v>
      </c>
      <c r="S16" s="24">
        <f t="shared" si="5"/>
        <v>0.84101300000000001</v>
      </c>
      <c r="T16" s="3">
        <f t="shared" si="6"/>
        <v>407.54999999999995</v>
      </c>
      <c r="U16" s="51">
        <f t="shared" si="5"/>
        <v>0.94121999999999995</v>
      </c>
      <c r="V16" s="42">
        <f>((AVERAGE(O14,O15)*(Q14)^2)/S15)*T16</f>
        <v>0.92660956980960629</v>
      </c>
      <c r="W16" s="48">
        <f t="shared" si="7"/>
        <v>1.552286414482656E-2</v>
      </c>
    </row>
    <row r="17" spans="2:23" x14ac:dyDescent="0.6">
      <c r="B17" s="2"/>
      <c r="C17" s="1"/>
      <c r="D17" s="2">
        <v>181.20699999999999</v>
      </c>
      <c r="E17" s="1">
        <v>33.563400000000001</v>
      </c>
      <c r="F17" s="2">
        <v>185.345</v>
      </c>
      <c r="G17" s="1">
        <v>259.024</v>
      </c>
      <c r="H17" s="2">
        <v>174.28700000000001</v>
      </c>
      <c r="I17" s="1">
        <v>0.88123600000000002</v>
      </c>
      <c r="J17" s="2">
        <v>147.20699999999999</v>
      </c>
      <c r="K17" s="1">
        <v>0.95574599999999998</v>
      </c>
      <c r="N17" s="3">
        <f t="shared" si="0"/>
        <v>454.35699999999997</v>
      </c>
      <c r="O17" s="21">
        <f t="shared" si="1"/>
        <v>29794.35933189129</v>
      </c>
      <c r="P17" s="3">
        <f t="shared" si="2"/>
        <v>458.495</v>
      </c>
      <c r="Q17" s="17">
        <f t="shared" si="3"/>
        <v>2.5902400000000001E-4</v>
      </c>
      <c r="R17" s="3">
        <f t="shared" si="4"/>
        <v>447.43700000000001</v>
      </c>
      <c r="S17" s="24">
        <f t="shared" si="5"/>
        <v>0.88123600000000002</v>
      </c>
      <c r="T17" s="3">
        <f t="shared" si="6"/>
        <v>420.35699999999997</v>
      </c>
      <c r="U17" s="51">
        <f t="shared" si="5"/>
        <v>0.95574599999999998</v>
      </c>
      <c r="V17" s="42">
        <f>((O15*(Q15)^2)/S16)*T17</f>
        <v>0.90039974771473497</v>
      </c>
      <c r="W17" s="48">
        <f t="shared" si="7"/>
        <v>5.7908955188161935E-2</v>
      </c>
    </row>
    <row r="18" spans="2:23" x14ac:dyDescent="0.6">
      <c r="B18" s="2"/>
      <c r="C18" s="1"/>
      <c r="D18" s="2">
        <v>194.143</v>
      </c>
      <c r="E18" s="1">
        <v>30.348700000000001</v>
      </c>
      <c r="F18" s="2">
        <v>201.72399999999999</v>
      </c>
      <c r="G18" s="1">
        <v>250.976</v>
      </c>
      <c r="H18" s="2">
        <v>194.03200000000001</v>
      </c>
      <c r="I18" s="1">
        <v>0.93127800000000005</v>
      </c>
      <c r="J18" s="2">
        <v>161.72999999999999</v>
      </c>
      <c r="K18" s="1">
        <v>0.98501700000000003</v>
      </c>
      <c r="N18" s="3">
        <f t="shared" si="0"/>
        <v>467.29300000000001</v>
      </c>
      <c r="O18" s="21">
        <f t="shared" si="1"/>
        <v>32950.340541769503</v>
      </c>
      <c r="P18" s="3">
        <f t="shared" si="2"/>
        <v>474.87399999999997</v>
      </c>
      <c r="Q18" s="17">
        <f t="shared" si="3"/>
        <v>2.5097599999999998E-4</v>
      </c>
      <c r="R18" s="3">
        <f t="shared" si="4"/>
        <v>467.18200000000002</v>
      </c>
      <c r="S18" s="24">
        <f t="shared" si="5"/>
        <v>0.93127800000000005</v>
      </c>
      <c r="T18" s="3">
        <f t="shared" si="6"/>
        <v>434.88</v>
      </c>
      <c r="U18" s="51">
        <f t="shared" si="5"/>
        <v>0.98501700000000003</v>
      </c>
      <c r="V18" s="42">
        <f>((O16*(AVERAGE(Q15,Q16)^2)/AVERAGE(S16,S17)*T18))</f>
        <v>0.96475669041131662</v>
      </c>
      <c r="W18" s="48">
        <f t="shared" si="7"/>
        <v>2.056848723289386E-2</v>
      </c>
    </row>
    <row r="19" spans="2:23" x14ac:dyDescent="0.6">
      <c r="B19" s="2"/>
      <c r="C19" s="1"/>
      <c r="D19" s="2">
        <v>209.68100000000001</v>
      </c>
      <c r="E19" s="1">
        <v>27.624099999999999</v>
      </c>
      <c r="F19" s="2">
        <v>218.96600000000001</v>
      </c>
      <c r="G19" s="1">
        <v>243.65899999999999</v>
      </c>
      <c r="H19" s="2">
        <v>216.34800000000001</v>
      </c>
      <c r="I19" s="1">
        <v>1.0011300000000001</v>
      </c>
      <c r="J19" s="2">
        <v>180.524</v>
      </c>
      <c r="K19" s="1">
        <v>1.02406</v>
      </c>
      <c r="N19" s="3">
        <f t="shared" si="0"/>
        <v>482.83100000000002</v>
      </c>
      <c r="O19" s="21">
        <f t="shared" si="1"/>
        <v>36200.274398079942</v>
      </c>
      <c r="P19" s="3">
        <f t="shared" si="2"/>
        <v>492.11599999999999</v>
      </c>
      <c r="Q19" s="17">
        <f t="shared" si="3"/>
        <v>2.4365899999999999E-4</v>
      </c>
      <c r="R19" s="3">
        <f t="shared" si="4"/>
        <v>489.49799999999999</v>
      </c>
      <c r="S19" s="24">
        <f t="shared" si="5"/>
        <v>1.0011300000000001</v>
      </c>
      <c r="T19" s="3">
        <f t="shared" si="6"/>
        <v>453.67399999999998</v>
      </c>
      <c r="U19" s="51">
        <f t="shared" si="5"/>
        <v>1.02406</v>
      </c>
      <c r="V19" s="42">
        <f>((O17*(Q17)^2)/S17)*T19</f>
        <v>1.0291192994761043</v>
      </c>
      <c r="W19" s="48">
        <f t="shared" si="7"/>
        <v>-4.9404326661565577E-3</v>
      </c>
    </row>
    <row r="20" spans="2:23" x14ac:dyDescent="0.6">
      <c r="B20" s="2"/>
      <c r="C20" s="1"/>
      <c r="D20" s="2">
        <v>227.81399999999999</v>
      </c>
      <c r="E20" s="1">
        <v>24.896899999999999</v>
      </c>
      <c r="F20" s="2">
        <v>237.06899999999999</v>
      </c>
      <c r="G20" s="1">
        <v>236.34100000000001</v>
      </c>
      <c r="H20" s="2">
        <v>228.36</v>
      </c>
      <c r="I20" s="1">
        <v>1.0508599999999999</v>
      </c>
      <c r="J20" s="2">
        <v>198.46199999999999</v>
      </c>
      <c r="K20" s="1">
        <v>1.05819</v>
      </c>
      <c r="N20" s="3">
        <f t="shared" si="0"/>
        <v>500.96399999999994</v>
      </c>
      <c r="O20" s="21">
        <f t="shared" si="1"/>
        <v>40165.643112194695</v>
      </c>
      <c r="P20" s="3">
        <f t="shared" si="2"/>
        <v>510.21899999999994</v>
      </c>
      <c r="Q20" s="17">
        <f t="shared" si="3"/>
        <v>2.3634099999999999E-4</v>
      </c>
      <c r="R20" s="3">
        <f t="shared" si="4"/>
        <v>501.51</v>
      </c>
      <c r="S20" s="24">
        <f t="shared" si="5"/>
        <v>1.0508599999999999</v>
      </c>
      <c r="T20" s="3">
        <f t="shared" si="6"/>
        <v>471.61199999999997</v>
      </c>
      <c r="U20" s="51">
        <f t="shared" si="5"/>
        <v>1.05819</v>
      </c>
      <c r="V20" s="42">
        <f>((O18*(Q18)^2)/S18)*T20</f>
        <v>1.0510655397544857</v>
      </c>
      <c r="W20" s="48">
        <f t="shared" si="7"/>
        <v>6.732685288572255E-3</v>
      </c>
    </row>
    <row r="21" spans="2:23" x14ac:dyDescent="0.6">
      <c r="B21" s="2"/>
      <c r="C21" s="1"/>
      <c r="D21" s="2">
        <v>242.49299999999999</v>
      </c>
      <c r="E21" s="1">
        <v>22.665700000000001</v>
      </c>
      <c r="F21" s="2">
        <v>243.96600000000001</v>
      </c>
      <c r="G21" s="1">
        <v>233.41499999999999</v>
      </c>
      <c r="H21" s="2">
        <v>242.09399999999999</v>
      </c>
      <c r="I21" s="1">
        <v>1.0908100000000001</v>
      </c>
      <c r="J21" s="2">
        <v>216.40100000000001</v>
      </c>
      <c r="K21" s="1">
        <v>1.0923099999999999</v>
      </c>
      <c r="N21" s="3">
        <f t="shared" si="0"/>
        <v>515.64300000000003</v>
      </c>
      <c r="O21" s="21">
        <f t="shared" si="1"/>
        <v>44119.528626956155</v>
      </c>
      <c r="P21" s="3">
        <f t="shared" si="2"/>
        <v>517.11599999999999</v>
      </c>
      <c r="Q21" s="17">
        <f t="shared" si="3"/>
        <v>2.3341499999999997E-4</v>
      </c>
      <c r="R21" s="3">
        <f t="shared" si="4"/>
        <v>515.24399999999991</v>
      </c>
      <c r="S21" s="24">
        <f t="shared" si="5"/>
        <v>1.0908100000000001</v>
      </c>
      <c r="T21" s="3">
        <f t="shared" si="6"/>
        <v>489.55099999999999</v>
      </c>
      <c r="U21" s="51">
        <f t="shared" si="5"/>
        <v>1.0923099999999999</v>
      </c>
      <c r="V21" s="42">
        <f>((AVERAGE(O19,O20)*(Q19)^2)/S19)*T21</f>
        <v>1.1085159839171261</v>
      </c>
      <c r="W21" s="48">
        <f t="shared" si="7"/>
        <v>-1.4836432804905425E-2</v>
      </c>
    </row>
    <row r="22" spans="2:23" x14ac:dyDescent="0.6">
      <c r="B22" s="2"/>
      <c r="C22" s="1"/>
      <c r="D22" s="2"/>
      <c r="E22" s="1"/>
      <c r="F22" s="2"/>
      <c r="G22" s="1"/>
      <c r="H22" s="2"/>
      <c r="I22" s="1"/>
      <c r="J22" s="2">
        <v>227.50700000000001</v>
      </c>
      <c r="K22" s="1">
        <v>1.11673</v>
      </c>
      <c r="N22" s="3"/>
      <c r="O22" s="21"/>
      <c r="P22" s="3"/>
      <c r="Q22" s="17"/>
      <c r="R22" s="3"/>
      <c r="S22" s="24"/>
      <c r="T22" s="3">
        <f t="shared" si="6"/>
        <v>500.65699999999998</v>
      </c>
      <c r="U22" s="51">
        <f t="shared" si="5"/>
        <v>1.11673</v>
      </c>
      <c r="V22" s="42">
        <f>((O20*(AVERAGE(Q19,Q20)^2)/S20)*T22)</f>
        <v>1.102231047043974</v>
      </c>
      <c r="W22" s="48">
        <f t="shared" si="7"/>
        <v>1.2983400603571131E-2</v>
      </c>
    </row>
    <row r="23" spans="2:23" x14ac:dyDescent="0.6">
      <c r="B23" s="28"/>
      <c r="C23" s="29"/>
      <c r="D23" s="28"/>
      <c r="E23" s="29"/>
      <c r="F23" s="28"/>
      <c r="G23" s="29"/>
      <c r="H23" s="28"/>
      <c r="I23" s="29"/>
      <c r="J23" s="28">
        <v>237.76400000000001</v>
      </c>
      <c r="K23" s="29">
        <v>1.14608</v>
      </c>
      <c r="N23" s="32"/>
      <c r="O23" s="33"/>
      <c r="P23" s="32"/>
      <c r="Q23" s="34"/>
      <c r="R23" s="32"/>
      <c r="S23" s="35"/>
      <c r="T23" s="3">
        <f t="shared" si="6"/>
        <v>510.91399999999999</v>
      </c>
      <c r="U23" s="52">
        <f t="shared" si="5"/>
        <v>1.14608</v>
      </c>
      <c r="V23" s="42">
        <f>((O21*(Q20)^2)/S21)*T23</f>
        <v>1.1542707592955563</v>
      </c>
      <c r="W23" s="48">
        <f t="shared" si="7"/>
        <v>-7.1467605189483715E-3</v>
      </c>
    </row>
    <row r="24" spans="2:23" x14ac:dyDescent="0.6">
      <c r="B24" s="30"/>
      <c r="C24" s="30"/>
      <c r="D24" s="30"/>
      <c r="E24" s="30"/>
      <c r="F24" s="30"/>
      <c r="G24" s="30"/>
      <c r="H24" s="30"/>
      <c r="I24" s="30"/>
      <c r="J24" s="30"/>
      <c r="K24" s="30"/>
      <c r="N24" s="30"/>
      <c r="O24" s="39"/>
      <c r="P24" s="30"/>
      <c r="Q24" s="40"/>
      <c r="R24" s="30"/>
      <c r="S24" s="41"/>
      <c r="T24" s="30"/>
      <c r="U24" s="41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40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28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293.55599999999998</v>
      </c>
      <c r="E9" s="4">
        <v>6.6976699999999996</v>
      </c>
      <c r="F9" s="2">
        <v>297.66322499961802</v>
      </c>
      <c r="G9">
        <v>113.894523326572</v>
      </c>
      <c r="H9" s="3">
        <v>291.91500000000002</v>
      </c>
      <c r="I9" s="4">
        <v>3.69956</v>
      </c>
      <c r="J9" s="3">
        <v>294.505</v>
      </c>
      <c r="K9" s="4">
        <v>0.153226</v>
      </c>
      <c r="N9" s="3">
        <f>D9</f>
        <v>293.55599999999998</v>
      </c>
      <c r="O9" s="21">
        <f>1/(E9*(10^(-6)))</f>
        <v>149305.65405581347</v>
      </c>
      <c r="P9" s="3">
        <f>F9</f>
        <v>297.66322499961802</v>
      </c>
      <c r="Q9" s="17">
        <f>-G9*(10^(-6))</f>
        <v>-1.13894523326572E-4</v>
      </c>
      <c r="R9" s="3">
        <f>H9</f>
        <v>291.91500000000002</v>
      </c>
      <c r="S9" s="24">
        <f>I9</f>
        <v>3.69956</v>
      </c>
      <c r="T9" s="3">
        <f>J9</f>
        <v>294.505</v>
      </c>
      <c r="U9" s="51">
        <f>K9</f>
        <v>0.153226</v>
      </c>
      <c r="V9" s="42">
        <f>((O9*(Q9)^2)/S9)*T9</f>
        <v>0.15417875496004757</v>
      </c>
      <c r="W9" s="49">
        <f t="shared" ref="W9" si="0">(U9-V9)/U9</f>
        <v>-6.2179718849775453E-3</v>
      </c>
    </row>
    <row r="10" spans="1:23" x14ac:dyDescent="0.6">
      <c r="B10" s="3"/>
      <c r="C10" s="4"/>
      <c r="D10" s="3">
        <v>312.649</v>
      </c>
      <c r="E10" s="4">
        <v>6.8837200000000003</v>
      </c>
      <c r="F10" s="2">
        <v>347.21041955802201</v>
      </c>
      <c r="G10">
        <v>126.673427991886</v>
      </c>
      <c r="H10" s="3">
        <v>324.00400000000002</v>
      </c>
      <c r="I10" s="4">
        <v>3.50475</v>
      </c>
      <c r="J10" s="3">
        <v>323.077</v>
      </c>
      <c r="K10" s="4">
        <v>0.174731</v>
      </c>
      <c r="N10" s="3">
        <f t="shared" ref="N10:N31" si="1">D10</f>
        <v>312.649</v>
      </c>
      <c r="O10" s="21">
        <f t="shared" ref="O10:O31" si="2">1/(E10*(10^(-6)))</f>
        <v>145270.28990139053</v>
      </c>
      <c r="P10" s="3">
        <f t="shared" ref="P10:P31" si="3">F10</f>
        <v>347.21041955802201</v>
      </c>
      <c r="Q10" s="17">
        <f t="shared" ref="Q10:Q31" si="4">-G10*(10^(-6))</f>
        <v>-1.2667342799188599E-4</v>
      </c>
      <c r="R10" s="3">
        <f t="shared" ref="R10:R32" si="5">H10</f>
        <v>324.00400000000002</v>
      </c>
      <c r="S10" s="24">
        <f t="shared" ref="S10:S32" si="6">I10</f>
        <v>3.50475</v>
      </c>
      <c r="T10" s="3">
        <f t="shared" ref="T10:T32" si="7">J10</f>
        <v>323.077</v>
      </c>
      <c r="U10" s="51">
        <f t="shared" ref="U10:U32" si="8">K10</f>
        <v>0.174731</v>
      </c>
      <c r="V10" s="42">
        <f>((AVERAGE(O10,O11)*(AVERAGE(Q9,Q10))^2)/S10)*T10</f>
        <v>0.19120045132902788</v>
      </c>
      <c r="W10" s="49">
        <f t="shared" ref="W10:W32" si="9">(U10-V10)/U10</f>
        <v>-9.4256035443212052E-2</v>
      </c>
    </row>
    <row r="11" spans="1:23" x14ac:dyDescent="0.6">
      <c r="B11" s="2"/>
      <c r="C11" s="1"/>
      <c r="D11" s="2">
        <v>343.67500000000001</v>
      </c>
      <c r="E11" s="1">
        <v>7.0697700000000001</v>
      </c>
      <c r="F11" s="2">
        <v>372.43514465677299</v>
      </c>
      <c r="G11">
        <v>133.06288032454299</v>
      </c>
      <c r="H11" s="2">
        <v>344.62</v>
      </c>
      <c r="I11" s="1">
        <v>3.4269699999999998</v>
      </c>
      <c r="J11" s="2">
        <v>347.25299999999999</v>
      </c>
      <c r="K11" s="1">
        <v>0.193548</v>
      </c>
      <c r="N11" s="3">
        <f t="shared" si="1"/>
        <v>343.67500000000001</v>
      </c>
      <c r="O11" s="21">
        <f t="shared" si="2"/>
        <v>141447.31723945757</v>
      </c>
      <c r="P11" s="3">
        <f t="shared" si="3"/>
        <v>372.43514465677299</v>
      </c>
      <c r="Q11" s="17">
        <f t="shared" si="4"/>
        <v>-1.3306288032454298E-4</v>
      </c>
      <c r="R11" s="3">
        <f t="shared" si="5"/>
        <v>344.62</v>
      </c>
      <c r="S11" s="24">
        <f t="shared" si="6"/>
        <v>3.4269699999999998</v>
      </c>
      <c r="T11" s="3">
        <f t="shared" si="7"/>
        <v>347.25299999999999</v>
      </c>
      <c r="U11" s="51">
        <f t="shared" si="8"/>
        <v>0.193548</v>
      </c>
      <c r="V11" s="42">
        <f>((O11*(Q10)^2)/S11)*T11</f>
        <v>0.22998603473799972</v>
      </c>
      <c r="W11" s="49">
        <f t="shared" si="9"/>
        <v>-0.18826355600677727</v>
      </c>
    </row>
    <row r="12" spans="1:23" x14ac:dyDescent="0.6">
      <c r="B12" s="2"/>
      <c r="C12" s="1"/>
      <c r="D12" s="2">
        <v>360.38200000000001</v>
      </c>
      <c r="E12" s="1">
        <v>7.2558100000000003</v>
      </c>
      <c r="F12" s="2">
        <v>396.75395385014201</v>
      </c>
      <c r="G12">
        <v>140.06085192697699</v>
      </c>
      <c r="H12" s="2">
        <v>367.50299999999999</v>
      </c>
      <c r="I12" s="1">
        <v>3.4274200000000001</v>
      </c>
      <c r="J12" s="2">
        <v>371.42899999999997</v>
      </c>
      <c r="K12" s="1">
        <v>0.215054</v>
      </c>
      <c r="N12" s="3">
        <f t="shared" si="1"/>
        <v>360.38200000000001</v>
      </c>
      <c r="O12" s="21">
        <f t="shared" si="2"/>
        <v>137820.58791506392</v>
      </c>
      <c r="P12" s="3">
        <f t="shared" si="3"/>
        <v>396.75395385014201</v>
      </c>
      <c r="Q12" s="17">
        <f t="shared" si="4"/>
        <v>-1.40060851926977E-4</v>
      </c>
      <c r="R12" s="3">
        <f t="shared" si="5"/>
        <v>367.50299999999999</v>
      </c>
      <c r="S12" s="24">
        <f t="shared" si="6"/>
        <v>3.4274200000000001</v>
      </c>
      <c r="T12" s="3">
        <f t="shared" si="7"/>
        <v>371.42899999999997</v>
      </c>
      <c r="U12" s="51">
        <f t="shared" si="8"/>
        <v>0.215054</v>
      </c>
      <c r="V12" s="42">
        <f>((AVERAGE(O12,O13)*(Q11)^2)/S12)*T12</f>
        <v>0.2611400131818884</v>
      </c>
      <c r="W12" s="49">
        <f t="shared" si="9"/>
        <v>-0.21429972556608295</v>
      </c>
    </row>
    <row r="13" spans="1:23" x14ac:dyDescent="0.6">
      <c r="B13" s="2"/>
      <c r="C13" s="1"/>
      <c r="D13" s="2">
        <v>393.79500000000002</v>
      </c>
      <c r="E13" s="1">
        <v>7.4418600000000001</v>
      </c>
      <c r="F13" s="2">
        <v>423.79966142536801</v>
      </c>
      <c r="G13">
        <v>143.711967545638</v>
      </c>
      <c r="H13" s="2">
        <v>394.98899999999998</v>
      </c>
      <c r="I13" s="1">
        <v>3.3302399999999999</v>
      </c>
      <c r="J13" s="2">
        <v>397.80200000000002</v>
      </c>
      <c r="K13" s="1">
        <v>0.247312</v>
      </c>
      <c r="N13" s="3">
        <f t="shared" si="1"/>
        <v>393.79500000000002</v>
      </c>
      <c r="O13" s="21">
        <f t="shared" si="2"/>
        <v>134375.00839843802</v>
      </c>
      <c r="P13" s="3">
        <f t="shared" si="3"/>
        <v>423.79966142536801</v>
      </c>
      <c r="Q13" s="17">
        <f t="shared" si="4"/>
        <v>-1.4371196754563799E-4</v>
      </c>
      <c r="R13" s="3">
        <f t="shared" si="5"/>
        <v>394.98899999999998</v>
      </c>
      <c r="S13" s="24">
        <f t="shared" si="6"/>
        <v>3.3302399999999999</v>
      </c>
      <c r="T13" s="3">
        <f t="shared" si="7"/>
        <v>397.80200000000002</v>
      </c>
      <c r="U13" s="51">
        <f t="shared" si="8"/>
        <v>0.247312</v>
      </c>
      <c r="V13" s="42">
        <f>((O13*(Q12)^2)/S13)*T13</f>
        <v>0.31487882856520355</v>
      </c>
      <c r="W13" s="49">
        <f t="shared" si="9"/>
        <v>-0.27320481240377964</v>
      </c>
    </row>
    <row r="14" spans="1:23" x14ac:dyDescent="0.6">
      <c r="B14" s="2"/>
      <c r="C14" s="1"/>
      <c r="D14" s="2">
        <v>412.88799999999998</v>
      </c>
      <c r="E14" s="1">
        <v>7.6744199999999996</v>
      </c>
      <c r="F14" s="2">
        <v>448.13677195015902</v>
      </c>
      <c r="G14">
        <v>147.66734279918799</v>
      </c>
      <c r="H14" s="2">
        <v>422.459</v>
      </c>
      <c r="I14" s="1">
        <v>3.29169</v>
      </c>
      <c r="J14" s="2">
        <v>419.78</v>
      </c>
      <c r="K14" s="1">
        <v>0.266129</v>
      </c>
      <c r="N14" s="3">
        <f t="shared" si="1"/>
        <v>412.88799999999998</v>
      </c>
      <c r="O14" s="21">
        <f t="shared" si="2"/>
        <v>130303.00661157457</v>
      </c>
      <c r="P14" s="3">
        <f t="shared" si="3"/>
        <v>448.13677195015902</v>
      </c>
      <c r="Q14" s="17">
        <f t="shared" si="4"/>
        <v>-1.47667342799188E-4</v>
      </c>
      <c r="R14" s="3">
        <f t="shared" si="5"/>
        <v>422.459</v>
      </c>
      <c r="S14" s="24">
        <f t="shared" si="6"/>
        <v>3.29169</v>
      </c>
      <c r="T14" s="3">
        <f t="shared" si="7"/>
        <v>419.78</v>
      </c>
      <c r="U14" s="51">
        <f t="shared" si="8"/>
        <v>0.266129</v>
      </c>
      <c r="V14" s="42">
        <f>((O14*(Q13)^2)/S14)*T14</f>
        <v>0.34319671517545602</v>
      </c>
      <c r="W14" s="49">
        <f t="shared" si="9"/>
        <v>-0.2895878133366</v>
      </c>
    </row>
    <row r="15" spans="1:23" x14ac:dyDescent="0.6">
      <c r="B15" s="2"/>
      <c r="C15" s="1"/>
      <c r="D15" s="2">
        <v>443.91399999999999</v>
      </c>
      <c r="E15" s="1">
        <v>7.9069799999999999</v>
      </c>
      <c r="F15" s="2">
        <v>473.37430798090497</v>
      </c>
      <c r="G15">
        <v>151.92697768762599</v>
      </c>
      <c r="H15" s="2">
        <v>445.35300000000001</v>
      </c>
      <c r="I15" s="1">
        <v>3.2530399999999999</v>
      </c>
      <c r="J15" s="2">
        <v>437.363</v>
      </c>
      <c r="K15" s="1">
        <v>0.290323</v>
      </c>
      <c r="N15" s="3">
        <f t="shared" si="1"/>
        <v>443.91399999999999</v>
      </c>
      <c r="O15" s="21">
        <f t="shared" si="2"/>
        <v>126470.536159191</v>
      </c>
      <c r="P15" s="3">
        <f t="shared" si="3"/>
        <v>473.37430798090497</v>
      </c>
      <c r="Q15" s="17">
        <f t="shared" si="4"/>
        <v>-1.5192697768762599E-4</v>
      </c>
      <c r="R15" s="3">
        <f t="shared" si="5"/>
        <v>445.35300000000001</v>
      </c>
      <c r="S15" s="24">
        <f t="shared" si="6"/>
        <v>3.2530399999999999</v>
      </c>
      <c r="T15" s="3">
        <f t="shared" si="7"/>
        <v>437.363</v>
      </c>
      <c r="U15" s="51">
        <f t="shared" si="8"/>
        <v>0.290323</v>
      </c>
      <c r="V15" s="42">
        <f t="shared" ref="V15" si="10">((O14*(Q14)^2)/S15)*T15</f>
        <v>0.38201110958254841</v>
      </c>
      <c r="W15" s="49">
        <f t="shared" si="9"/>
        <v>-0.3158141434972373</v>
      </c>
    </row>
    <row r="16" spans="1:23" x14ac:dyDescent="0.6">
      <c r="B16" s="2"/>
      <c r="C16" s="1"/>
      <c r="D16" s="2">
        <v>470.16699999999997</v>
      </c>
      <c r="E16" s="1">
        <v>8</v>
      </c>
      <c r="F16" s="2">
        <v>497.71141850569597</v>
      </c>
      <c r="G16">
        <v>155.88235294117601</v>
      </c>
      <c r="H16" s="2">
        <v>475.11099999999999</v>
      </c>
      <c r="I16" s="1">
        <v>3.21454</v>
      </c>
      <c r="J16" s="2">
        <v>470.33</v>
      </c>
      <c r="K16" s="1">
        <v>0.31989200000000001</v>
      </c>
      <c r="N16" s="3">
        <f t="shared" si="1"/>
        <v>470.16699999999997</v>
      </c>
      <c r="O16" s="21">
        <f t="shared" si="2"/>
        <v>125000</v>
      </c>
      <c r="P16" s="3">
        <f t="shared" si="3"/>
        <v>497.71141850569597</v>
      </c>
      <c r="Q16" s="17">
        <f t="shared" si="4"/>
        <v>-1.55882352941176E-4</v>
      </c>
      <c r="R16" s="3">
        <f t="shared" si="5"/>
        <v>475.11099999999999</v>
      </c>
      <c r="S16" s="24">
        <f t="shared" si="6"/>
        <v>3.21454</v>
      </c>
      <c r="T16" s="3">
        <f t="shared" si="7"/>
        <v>470.33</v>
      </c>
      <c r="U16" s="51">
        <f t="shared" si="8"/>
        <v>0.31989200000000001</v>
      </c>
      <c r="V16" s="42">
        <f t="shared" ref="V16:V22" si="11">((O16*(Q15)^2)/S16)*T16</f>
        <v>0.42214695082074638</v>
      </c>
      <c r="W16" s="49">
        <f t="shared" si="9"/>
        <v>-0.31965460474393348</v>
      </c>
    </row>
    <row r="17" spans="2:23" x14ac:dyDescent="0.6">
      <c r="B17" s="2"/>
      <c r="C17" s="1"/>
      <c r="D17" s="2">
        <v>491.64699999999999</v>
      </c>
      <c r="E17" s="1">
        <v>8.0930199999999992</v>
      </c>
      <c r="F17" s="2">
        <v>522.04852903048697</v>
      </c>
      <c r="G17">
        <v>159.837728194726</v>
      </c>
      <c r="H17" s="2">
        <v>495.71100000000001</v>
      </c>
      <c r="I17" s="1">
        <v>3.1953999999999998</v>
      </c>
      <c r="J17" s="2">
        <v>496.70299999999997</v>
      </c>
      <c r="K17" s="1">
        <v>0.33602199999999999</v>
      </c>
      <c r="N17" s="3">
        <f t="shared" si="1"/>
        <v>491.64699999999999</v>
      </c>
      <c r="O17" s="21">
        <f t="shared" si="2"/>
        <v>123563.26810016535</v>
      </c>
      <c r="P17" s="3">
        <f t="shared" si="3"/>
        <v>522.04852903048697</v>
      </c>
      <c r="Q17" s="17">
        <f t="shared" si="4"/>
        <v>-1.59837728194726E-4</v>
      </c>
      <c r="R17" s="3">
        <f t="shared" si="5"/>
        <v>495.71100000000001</v>
      </c>
      <c r="S17" s="24">
        <f t="shared" si="6"/>
        <v>3.1953999999999998</v>
      </c>
      <c r="T17" s="3">
        <f t="shared" si="7"/>
        <v>496.70299999999997</v>
      </c>
      <c r="U17" s="51">
        <f t="shared" si="8"/>
        <v>0.33602199999999999</v>
      </c>
      <c r="V17" s="42">
        <f t="shared" si="11"/>
        <v>0.46671831482245713</v>
      </c>
      <c r="W17" s="49">
        <f t="shared" si="9"/>
        <v>-0.3889516603747884</v>
      </c>
    </row>
    <row r="18" spans="2:23" x14ac:dyDescent="0.6">
      <c r="B18" s="2"/>
      <c r="C18" s="1"/>
      <c r="D18" s="2">
        <v>515.51300000000003</v>
      </c>
      <c r="E18" s="1">
        <v>8.2325599999999994</v>
      </c>
      <c r="F18" s="2">
        <v>547.28606506123299</v>
      </c>
      <c r="G18">
        <v>164.097363083164</v>
      </c>
      <c r="H18" s="2">
        <v>525.44899999999996</v>
      </c>
      <c r="I18" s="1">
        <v>3.2350699999999999</v>
      </c>
      <c r="J18" s="2">
        <v>518.68100000000004</v>
      </c>
      <c r="K18" s="1">
        <v>0.365591</v>
      </c>
      <c r="N18" s="3">
        <f t="shared" si="1"/>
        <v>515.51300000000003</v>
      </c>
      <c r="O18" s="21">
        <f t="shared" si="2"/>
        <v>121468.89910307367</v>
      </c>
      <c r="P18" s="3">
        <f t="shared" si="3"/>
        <v>547.28606506123299</v>
      </c>
      <c r="Q18" s="17">
        <f t="shared" si="4"/>
        <v>-1.64097363083164E-4</v>
      </c>
      <c r="R18" s="3">
        <f t="shared" si="5"/>
        <v>525.44899999999996</v>
      </c>
      <c r="S18" s="24">
        <f t="shared" si="6"/>
        <v>3.2350699999999999</v>
      </c>
      <c r="T18" s="3">
        <f t="shared" si="7"/>
        <v>518.68100000000004</v>
      </c>
      <c r="U18" s="51">
        <f t="shared" si="8"/>
        <v>0.365591</v>
      </c>
      <c r="V18" s="42">
        <f t="shared" si="11"/>
        <v>0.49755414547185756</v>
      </c>
      <c r="W18" s="49">
        <f t="shared" si="9"/>
        <v>-0.36095840836305476</v>
      </c>
    </row>
    <row r="19" spans="2:23" x14ac:dyDescent="0.6">
      <c r="B19" s="2"/>
      <c r="C19" s="1"/>
      <c r="D19" s="2">
        <v>544.15300000000002</v>
      </c>
      <c r="E19" s="1">
        <v>8.37209</v>
      </c>
      <c r="F19" s="2">
        <v>571.62500571916598</v>
      </c>
      <c r="G19">
        <v>167.74847870182501</v>
      </c>
      <c r="H19" s="2">
        <v>548.34299999999996</v>
      </c>
      <c r="I19" s="1">
        <v>3.1964299999999999</v>
      </c>
      <c r="J19" s="2">
        <v>538.46199999999999</v>
      </c>
      <c r="K19" s="1">
        <v>0.38978499999999999</v>
      </c>
      <c r="N19" s="3">
        <f t="shared" si="1"/>
        <v>544.15300000000002</v>
      </c>
      <c r="O19" s="21">
        <f t="shared" si="2"/>
        <v>119444.48757717607</v>
      </c>
      <c r="P19" s="3">
        <f t="shared" si="3"/>
        <v>571.62500571916598</v>
      </c>
      <c r="Q19" s="17">
        <f t="shared" si="4"/>
        <v>-1.6774847870182501E-4</v>
      </c>
      <c r="R19" s="3">
        <f t="shared" si="5"/>
        <v>548.34299999999996</v>
      </c>
      <c r="S19" s="24">
        <f t="shared" si="6"/>
        <v>3.1964299999999999</v>
      </c>
      <c r="T19" s="3">
        <f t="shared" si="7"/>
        <v>538.46199999999999</v>
      </c>
      <c r="U19" s="51">
        <f t="shared" si="8"/>
        <v>0.38978499999999999</v>
      </c>
      <c r="V19" s="42">
        <f t="shared" si="11"/>
        <v>0.541825172837481</v>
      </c>
      <c r="W19" s="49">
        <f t="shared" si="9"/>
        <v>-0.39006163099524355</v>
      </c>
    </row>
    <row r="20" spans="2:23" x14ac:dyDescent="0.6">
      <c r="B20" s="2"/>
      <c r="C20" s="1"/>
      <c r="D20" s="2">
        <v>568.01900000000001</v>
      </c>
      <c r="E20" s="1">
        <v>8.6046499999999995</v>
      </c>
      <c r="F20" s="2">
        <v>596.86437188305399</v>
      </c>
      <c r="G20">
        <v>171.703853955375</v>
      </c>
      <c r="H20" s="2">
        <v>573.50400000000002</v>
      </c>
      <c r="I20" s="1">
        <v>3.2360099999999998</v>
      </c>
      <c r="J20" s="2">
        <v>575.82399999999996</v>
      </c>
      <c r="K20" s="1">
        <v>0.41935499999999998</v>
      </c>
      <c r="N20" s="3">
        <f t="shared" si="1"/>
        <v>568.01900000000001</v>
      </c>
      <c r="O20" s="21">
        <f t="shared" si="2"/>
        <v>116216.23192111244</v>
      </c>
      <c r="P20" s="3">
        <f t="shared" si="3"/>
        <v>596.86437188305399</v>
      </c>
      <c r="Q20" s="17">
        <f t="shared" si="4"/>
        <v>-1.7170385395537499E-4</v>
      </c>
      <c r="R20" s="3">
        <f t="shared" si="5"/>
        <v>573.50400000000002</v>
      </c>
      <c r="S20" s="24">
        <f t="shared" si="6"/>
        <v>3.2360099999999998</v>
      </c>
      <c r="T20" s="3">
        <f t="shared" si="7"/>
        <v>575.82399999999996</v>
      </c>
      <c r="U20" s="51">
        <f t="shared" si="8"/>
        <v>0.41935499999999998</v>
      </c>
      <c r="V20" s="42">
        <f t="shared" si="11"/>
        <v>0.58192079602648439</v>
      </c>
      <c r="W20" s="49">
        <f t="shared" si="9"/>
        <v>-0.38765674911825165</v>
      </c>
    </row>
    <row r="21" spans="2:23" x14ac:dyDescent="0.6">
      <c r="B21" s="2"/>
      <c r="C21" s="1"/>
      <c r="D21" s="2">
        <v>594.27200000000005</v>
      </c>
      <c r="E21" s="1">
        <v>8.7906999999999993</v>
      </c>
      <c r="F21" s="2">
        <v>623.91373972456495</v>
      </c>
      <c r="G21">
        <v>174.74645030425901</v>
      </c>
      <c r="H21" s="2">
        <v>594.09900000000005</v>
      </c>
      <c r="I21" s="1">
        <v>3.2364099999999998</v>
      </c>
      <c r="J21" s="2">
        <v>589.01099999999997</v>
      </c>
      <c r="K21" s="1">
        <v>0.44892500000000002</v>
      </c>
      <c r="N21" s="3">
        <f t="shared" si="1"/>
        <v>594.27200000000005</v>
      </c>
      <c r="O21" s="21">
        <f t="shared" si="2"/>
        <v>113756.58366227947</v>
      </c>
      <c r="P21" s="3">
        <f t="shared" si="3"/>
        <v>623.91373972456495</v>
      </c>
      <c r="Q21" s="17">
        <f t="shared" si="4"/>
        <v>-1.7474645030425901E-4</v>
      </c>
      <c r="R21" s="3">
        <f t="shared" si="5"/>
        <v>594.09900000000005</v>
      </c>
      <c r="S21" s="24">
        <f t="shared" si="6"/>
        <v>3.2364099999999998</v>
      </c>
      <c r="T21" s="3">
        <f t="shared" si="7"/>
        <v>589.01099999999997</v>
      </c>
      <c r="U21" s="51">
        <f t="shared" si="8"/>
        <v>0.44892500000000002</v>
      </c>
      <c r="V21" s="42">
        <f t="shared" si="11"/>
        <v>0.61037466404726681</v>
      </c>
      <c r="W21" s="49">
        <f t="shared" si="9"/>
        <v>-0.35963616204770682</v>
      </c>
    </row>
    <row r="22" spans="2:23" x14ac:dyDescent="0.6">
      <c r="B22" s="2"/>
      <c r="C22" s="1"/>
      <c r="D22" s="2">
        <v>630.072</v>
      </c>
      <c r="E22" s="1">
        <v>8.7906999999999993</v>
      </c>
      <c r="F22" s="2">
        <v>648.26183104820802</v>
      </c>
      <c r="G22">
        <v>176.876267748478</v>
      </c>
      <c r="H22" s="2">
        <v>621.56899999999996</v>
      </c>
      <c r="I22" s="1">
        <v>3.1978599999999999</v>
      </c>
      <c r="J22" s="2">
        <v>619.78</v>
      </c>
      <c r="K22" s="1">
        <v>0.483871</v>
      </c>
      <c r="N22" s="3">
        <f t="shared" si="1"/>
        <v>630.072</v>
      </c>
      <c r="O22" s="21">
        <f t="shared" si="2"/>
        <v>113756.58366227947</v>
      </c>
      <c r="P22" s="3">
        <f t="shared" si="3"/>
        <v>648.26183104820802</v>
      </c>
      <c r="Q22" s="17">
        <f t="shared" si="4"/>
        <v>-1.76876267748478E-4</v>
      </c>
      <c r="R22" s="3">
        <f t="shared" si="5"/>
        <v>621.56899999999996</v>
      </c>
      <c r="S22" s="24">
        <f t="shared" si="6"/>
        <v>3.1978599999999999</v>
      </c>
      <c r="T22" s="3">
        <f t="shared" si="7"/>
        <v>619.78</v>
      </c>
      <c r="U22" s="51">
        <f t="shared" si="8"/>
        <v>0.483871</v>
      </c>
      <c r="V22" s="42">
        <f t="shared" si="11"/>
        <v>0.67324227176944451</v>
      </c>
      <c r="W22" s="49">
        <f t="shared" si="9"/>
        <v>-0.39136726889903406</v>
      </c>
    </row>
    <row r="23" spans="2:23" x14ac:dyDescent="0.6">
      <c r="B23" s="2"/>
      <c r="C23" s="1"/>
      <c r="D23" s="2">
        <v>653.93799999999999</v>
      </c>
      <c r="E23" s="1">
        <v>9.0232600000000005</v>
      </c>
      <c r="F23" s="2">
        <v>673.50119721209705</v>
      </c>
      <c r="G23">
        <v>180.83164300202799</v>
      </c>
      <c r="H23" s="2">
        <v>646.73</v>
      </c>
      <c r="I23" s="1">
        <v>3.2374399999999999</v>
      </c>
      <c r="J23" s="2">
        <v>643.95600000000002</v>
      </c>
      <c r="K23" s="1">
        <v>0.52688199999999996</v>
      </c>
      <c r="N23" s="3">
        <f t="shared" si="1"/>
        <v>653.93799999999999</v>
      </c>
      <c r="O23" s="21">
        <f t="shared" si="2"/>
        <v>110824.69085452487</v>
      </c>
      <c r="P23" s="3">
        <f t="shared" si="3"/>
        <v>673.50119721209705</v>
      </c>
      <c r="Q23" s="17">
        <f t="shared" si="4"/>
        <v>-1.8083164300202798E-4</v>
      </c>
      <c r="R23" s="3">
        <f t="shared" si="5"/>
        <v>646.73</v>
      </c>
      <c r="S23" s="24">
        <f t="shared" si="6"/>
        <v>3.2374399999999999</v>
      </c>
      <c r="T23" s="3">
        <f t="shared" si="7"/>
        <v>643.95600000000002</v>
      </c>
      <c r="U23" s="51">
        <f t="shared" si="8"/>
        <v>0.52688199999999996</v>
      </c>
      <c r="V23" s="42">
        <f>((AVERAGE(O22,O23)*(Q22)^2)/S23)*T23</f>
        <v>0.69877465352953616</v>
      </c>
      <c r="W23" s="49">
        <f t="shared" si="9"/>
        <v>-0.32624506726275754</v>
      </c>
    </row>
    <row r="24" spans="2:23" x14ac:dyDescent="0.6">
      <c r="B24" s="2"/>
      <c r="C24" s="1"/>
      <c r="D24" s="2">
        <v>692.12400000000002</v>
      </c>
      <c r="E24" s="1">
        <v>9.2558100000000003</v>
      </c>
      <c r="F24" s="2">
        <v>696.948863029785</v>
      </c>
      <c r="G24">
        <v>182.65720081135899</v>
      </c>
      <c r="H24" s="2">
        <v>671.90700000000004</v>
      </c>
      <c r="I24" s="1">
        <v>3.2183799999999998</v>
      </c>
      <c r="J24" s="2">
        <v>663.73599999999999</v>
      </c>
      <c r="K24" s="1">
        <v>0.55645199999999995</v>
      </c>
      <c r="N24" s="3">
        <f t="shared" si="1"/>
        <v>692.12400000000002</v>
      </c>
      <c r="O24" s="21">
        <f t="shared" si="2"/>
        <v>108040.2471528694</v>
      </c>
      <c r="P24" s="3">
        <f t="shared" si="3"/>
        <v>696.948863029785</v>
      </c>
      <c r="Q24" s="17">
        <f t="shared" si="4"/>
        <v>-1.8265720081135899E-4</v>
      </c>
      <c r="R24" s="3">
        <f t="shared" si="5"/>
        <v>671.90700000000004</v>
      </c>
      <c r="S24" s="24">
        <f t="shared" si="6"/>
        <v>3.2183799999999998</v>
      </c>
      <c r="T24" s="3">
        <f t="shared" si="7"/>
        <v>663.73599999999999</v>
      </c>
      <c r="U24" s="51">
        <f t="shared" si="8"/>
        <v>0.55645199999999995</v>
      </c>
      <c r="V24" s="42">
        <f t="shared" ref="V24:V32" si="12">((O23*(Q23)^2)/S24)*T24</f>
        <v>0.74738338346873368</v>
      </c>
      <c r="W24" s="49">
        <f t="shared" si="9"/>
        <v>-0.34312282724967069</v>
      </c>
    </row>
    <row r="25" spans="2:23" x14ac:dyDescent="0.6">
      <c r="B25" s="2"/>
      <c r="C25" s="1"/>
      <c r="D25" s="2">
        <v>725.53700000000003</v>
      </c>
      <c r="E25" s="1">
        <v>9.4418600000000001</v>
      </c>
      <c r="F25" s="2">
        <v>721.29512422028597</v>
      </c>
      <c r="G25">
        <v>185.09127789046599</v>
      </c>
      <c r="H25" s="2">
        <v>699.36599999999999</v>
      </c>
      <c r="I25" s="1">
        <v>3.2189199999999998</v>
      </c>
      <c r="J25" s="2">
        <v>696.70299999999997</v>
      </c>
      <c r="K25" s="1">
        <v>0.59677400000000003</v>
      </c>
      <c r="N25" s="3">
        <f t="shared" si="1"/>
        <v>725.53700000000003</v>
      </c>
      <c r="O25" s="21">
        <f t="shared" si="2"/>
        <v>105911.33526656825</v>
      </c>
      <c r="P25" s="3">
        <f t="shared" si="3"/>
        <v>721.29512422028597</v>
      </c>
      <c r="Q25" s="17">
        <f t="shared" si="4"/>
        <v>-1.8509127789046598E-4</v>
      </c>
      <c r="R25" s="3">
        <f t="shared" si="5"/>
        <v>699.36599999999999</v>
      </c>
      <c r="S25" s="24">
        <f t="shared" si="6"/>
        <v>3.2189199999999998</v>
      </c>
      <c r="T25" s="3">
        <f t="shared" si="7"/>
        <v>696.70299999999997</v>
      </c>
      <c r="U25" s="51">
        <f t="shared" si="8"/>
        <v>0.59677400000000003</v>
      </c>
      <c r="V25" s="42">
        <f t="shared" si="12"/>
        <v>0.78018332190894291</v>
      </c>
      <c r="W25" s="49">
        <f t="shared" si="9"/>
        <v>-0.30733463909108449</v>
      </c>
    </row>
    <row r="26" spans="2:23" x14ac:dyDescent="0.6">
      <c r="B26" s="2"/>
      <c r="C26" s="1"/>
      <c r="D26" s="2">
        <v>739.85699999999997</v>
      </c>
      <c r="E26" s="1">
        <v>9.4418600000000001</v>
      </c>
      <c r="F26" s="2">
        <v>746.54913144931197</v>
      </c>
      <c r="G26">
        <v>186.61257606490801</v>
      </c>
      <c r="H26" s="2">
        <v>726.81</v>
      </c>
      <c r="I26" s="1">
        <v>3.2780900000000002</v>
      </c>
      <c r="J26" s="2">
        <v>718.68100000000004</v>
      </c>
      <c r="K26" s="1">
        <v>0.64516099999999998</v>
      </c>
      <c r="N26" s="3">
        <f t="shared" si="1"/>
        <v>739.85699999999997</v>
      </c>
      <c r="O26" s="21">
        <f t="shared" si="2"/>
        <v>105911.33526656825</v>
      </c>
      <c r="P26" s="3">
        <f t="shared" si="3"/>
        <v>746.54913144931197</v>
      </c>
      <c r="Q26" s="17">
        <f t="shared" si="4"/>
        <v>-1.86612576064908E-4</v>
      </c>
      <c r="R26" s="3">
        <f t="shared" si="5"/>
        <v>726.81</v>
      </c>
      <c r="S26" s="24">
        <f t="shared" si="6"/>
        <v>3.2780900000000002</v>
      </c>
      <c r="T26" s="3">
        <f t="shared" si="7"/>
        <v>718.68100000000004</v>
      </c>
      <c r="U26" s="51">
        <f t="shared" si="8"/>
        <v>0.64516099999999998</v>
      </c>
      <c r="V26" s="42">
        <f t="shared" si="12"/>
        <v>0.79548068962290064</v>
      </c>
      <c r="W26" s="49">
        <f t="shared" si="9"/>
        <v>-0.2329956237635267</v>
      </c>
    </row>
    <row r="27" spans="2:23" x14ac:dyDescent="0.6">
      <c r="B27" s="2"/>
      <c r="C27" s="1"/>
      <c r="D27" s="2">
        <v>773.27</v>
      </c>
      <c r="E27" s="1">
        <v>9.6744199999999996</v>
      </c>
      <c r="F27" s="2">
        <v>769.99130686757405</v>
      </c>
      <c r="G27">
        <v>189.35091277890399</v>
      </c>
      <c r="H27" s="2">
        <v>742.82899999999995</v>
      </c>
      <c r="I27" s="1">
        <v>3.2784</v>
      </c>
      <c r="J27" s="2">
        <v>742.85699999999997</v>
      </c>
      <c r="K27" s="1">
        <v>0.68817200000000001</v>
      </c>
      <c r="N27" s="3">
        <f t="shared" si="1"/>
        <v>773.27</v>
      </c>
      <c r="O27" s="21">
        <f t="shared" si="2"/>
        <v>103365.36970691783</v>
      </c>
      <c r="P27" s="3">
        <f t="shared" si="3"/>
        <v>769.99130686757405</v>
      </c>
      <c r="Q27" s="17">
        <f t="shared" si="4"/>
        <v>-1.8935091277890397E-4</v>
      </c>
      <c r="R27" s="3">
        <f t="shared" si="5"/>
        <v>742.82899999999995</v>
      </c>
      <c r="S27" s="24">
        <f t="shared" si="6"/>
        <v>3.2784</v>
      </c>
      <c r="T27" s="3">
        <f t="shared" si="7"/>
        <v>742.85699999999997</v>
      </c>
      <c r="U27" s="51">
        <f t="shared" si="8"/>
        <v>0.68817200000000001</v>
      </c>
      <c r="V27" s="42">
        <f t="shared" si="12"/>
        <v>0.83573297573823846</v>
      </c>
      <c r="W27" s="49">
        <f t="shared" si="9"/>
        <v>-0.21442455627116253</v>
      </c>
    </row>
    <row r="28" spans="2:23" x14ac:dyDescent="0.6">
      <c r="B28" s="2"/>
      <c r="C28" s="1"/>
      <c r="D28" s="2">
        <v>806.68299999999999</v>
      </c>
      <c r="E28" s="1">
        <v>9.8604699999999994</v>
      </c>
      <c r="F28" s="2">
        <v>796.15123000198196</v>
      </c>
      <c r="G28">
        <v>190.26369168356999</v>
      </c>
      <c r="H28" s="2">
        <v>768.005</v>
      </c>
      <c r="I28" s="1">
        <v>3.25935</v>
      </c>
      <c r="J28" s="2">
        <v>773.62599999999998</v>
      </c>
      <c r="K28" s="1">
        <v>0.74462399999999995</v>
      </c>
      <c r="N28" s="3">
        <f t="shared" si="1"/>
        <v>806.68299999999999</v>
      </c>
      <c r="O28" s="21">
        <f t="shared" si="2"/>
        <v>101415.04411047343</v>
      </c>
      <c r="P28" s="3">
        <f t="shared" si="3"/>
        <v>796.15123000198196</v>
      </c>
      <c r="Q28" s="17">
        <f t="shared" si="4"/>
        <v>-1.9026369168356999E-4</v>
      </c>
      <c r="R28" s="3">
        <f t="shared" si="5"/>
        <v>768.005</v>
      </c>
      <c r="S28" s="24">
        <f t="shared" si="6"/>
        <v>3.25935</v>
      </c>
      <c r="T28" s="3">
        <f t="shared" si="7"/>
        <v>773.62599999999998</v>
      </c>
      <c r="U28" s="51">
        <f t="shared" si="8"/>
        <v>0.74462399999999995</v>
      </c>
      <c r="V28" s="42">
        <f t="shared" si="12"/>
        <v>0.87965003929212116</v>
      </c>
      <c r="W28" s="49">
        <f t="shared" si="9"/>
        <v>-0.18133452493086608</v>
      </c>
    </row>
    <row r="29" spans="2:23" x14ac:dyDescent="0.6">
      <c r="B29" s="2"/>
      <c r="C29" s="1"/>
      <c r="D29" s="2">
        <v>830.54899999999998</v>
      </c>
      <c r="E29" s="1">
        <v>9.8604699999999994</v>
      </c>
      <c r="F29" s="2">
        <v>822.298342204395</v>
      </c>
      <c r="G29">
        <v>193.30628803245401</v>
      </c>
      <c r="H29" s="2">
        <v>795.46500000000003</v>
      </c>
      <c r="I29" s="1">
        <v>3.25989</v>
      </c>
      <c r="J29" s="2">
        <v>800</v>
      </c>
      <c r="K29" s="1">
        <v>0.78494600000000003</v>
      </c>
      <c r="N29" s="3">
        <f t="shared" si="1"/>
        <v>830.54899999999998</v>
      </c>
      <c r="O29" s="21">
        <f t="shared" si="2"/>
        <v>101415.04411047343</v>
      </c>
      <c r="P29" s="3">
        <f t="shared" si="3"/>
        <v>822.298342204395</v>
      </c>
      <c r="Q29" s="17">
        <f t="shared" si="4"/>
        <v>-1.93306288032454E-4</v>
      </c>
      <c r="R29" s="3">
        <f t="shared" si="5"/>
        <v>795.46500000000003</v>
      </c>
      <c r="S29" s="24">
        <f t="shared" si="6"/>
        <v>3.25989</v>
      </c>
      <c r="T29" s="3">
        <f t="shared" si="7"/>
        <v>800</v>
      </c>
      <c r="U29" s="51">
        <f t="shared" si="8"/>
        <v>0.78494600000000003</v>
      </c>
      <c r="V29" s="42">
        <f t="shared" si="12"/>
        <v>0.90095119026104353</v>
      </c>
      <c r="W29" s="49">
        <f t="shared" si="9"/>
        <v>-0.14778747870687092</v>
      </c>
    </row>
    <row r="30" spans="2:23" x14ac:dyDescent="0.6">
      <c r="B30" s="2"/>
      <c r="C30" s="1"/>
      <c r="D30" s="2">
        <v>849.64200000000005</v>
      </c>
      <c r="E30" s="1">
        <v>9.9534900000000004</v>
      </c>
      <c r="F30" s="2">
        <v>848.45643520566102</v>
      </c>
      <c r="G30">
        <v>194.52332657200799</v>
      </c>
      <c r="H30" s="2">
        <v>820.61599999999999</v>
      </c>
      <c r="I30" s="1">
        <v>3.3385600000000002</v>
      </c>
      <c r="J30" s="2">
        <v>817.58199999999999</v>
      </c>
      <c r="K30" s="1">
        <v>0.83602100000000001</v>
      </c>
      <c r="N30" s="3">
        <f t="shared" si="1"/>
        <v>849.64200000000005</v>
      </c>
      <c r="O30" s="21">
        <f t="shared" si="2"/>
        <v>100467.27328806279</v>
      </c>
      <c r="P30" s="3">
        <f t="shared" si="3"/>
        <v>848.45643520566102</v>
      </c>
      <c r="Q30" s="17">
        <f t="shared" si="4"/>
        <v>-1.9452332657200798E-4</v>
      </c>
      <c r="R30" s="3">
        <f t="shared" si="5"/>
        <v>820.61599999999999</v>
      </c>
      <c r="S30" s="24">
        <f t="shared" si="6"/>
        <v>3.3385600000000002</v>
      </c>
      <c r="T30" s="3">
        <f t="shared" si="7"/>
        <v>817.58199999999999</v>
      </c>
      <c r="U30" s="51">
        <f t="shared" si="8"/>
        <v>0.83602100000000001</v>
      </c>
      <c r="V30" s="42">
        <f>((AVERAGE(O28,O29)*(Q29)^2)/S30)*T30</f>
        <v>0.92803954465196981</v>
      </c>
      <c r="W30" s="49">
        <f t="shared" si="9"/>
        <v>-0.11006726464044539</v>
      </c>
    </row>
    <row r="31" spans="2:23" x14ac:dyDescent="0.6">
      <c r="B31" s="2"/>
      <c r="C31" s="1"/>
      <c r="D31" s="2">
        <v>871.12199999999996</v>
      </c>
      <c r="E31" s="1">
        <v>9.9534900000000004</v>
      </c>
      <c r="F31" s="2">
        <v>872.79720599673601</v>
      </c>
      <c r="G31">
        <v>197.87018255577999</v>
      </c>
      <c r="H31" s="2">
        <v>845.77200000000005</v>
      </c>
      <c r="I31" s="1">
        <v>3.3976799999999998</v>
      </c>
      <c r="J31" s="2">
        <v>843.95600000000002</v>
      </c>
      <c r="K31" s="1">
        <v>0.89516099999999998</v>
      </c>
      <c r="N31" s="2">
        <f t="shared" si="1"/>
        <v>871.12199999999996</v>
      </c>
      <c r="O31" s="21">
        <f t="shared" si="2"/>
        <v>100467.27328806279</v>
      </c>
      <c r="P31" s="3">
        <f t="shared" si="3"/>
        <v>872.79720599673601</v>
      </c>
      <c r="Q31" s="17">
        <f t="shared" si="4"/>
        <v>-1.9787018255577998E-4</v>
      </c>
      <c r="R31" s="2">
        <f t="shared" si="5"/>
        <v>845.77200000000005</v>
      </c>
      <c r="S31" s="45">
        <f t="shared" si="6"/>
        <v>3.3976799999999998</v>
      </c>
      <c r="T31" s="2">
        <f t="shared" si="7"/>
        <v>843.95600000000002</v>
      </c>
      <c r="U31" s="54">
        <f t="shared" si="8"/>
        <v>0.89516099999999998</v>
      </c>
      <c r="V31" s="42">
        <f>((AVERAGE(O29,O30)*(Q30)^2)/S31)*T31</f>
        <v>0.94874389166584328</v>
      </c>
      <c r="W31" s="49">
        <f t="shared" si="9"/>
        <v>-5.985838487807589E-2</v>
      </c>
    </row>
    <row r="32" spans="2:23" x14ac:dyDescent="0.6">
      <c r="B32" s="2"/>
      <c r="C32" s="1"/>
      <c r="D32" s="2"/>
      <c r="E32" s="1"/>
      <c r="F32" s="2"/>
      <c r="G32" s="1"/>
      <c r="H32" s="2">
        <v>870.92200000000003</v>
      </c>
      <c r="I32" s="1">
        <v>3.4763500000000001</v>
      </c>
      <c r="J32" s="2">
        <v>868.13199999999995</v>
      </c>
      <c r="K32" s="1">
        <v>0.94892500000000002</v>
      </c>
      <c r="N32" s="2"/>
      <c r="O32" s="43"/>
      <c r="P32" s="2"/>
      <c r="Q32" s="44"/>
      <c r="R32" s="2">
        <f t="shared" si="5"/>
        <v>870.92200000000003</v>
      </c>
      <c r="S32" s="45">
        <f t="shared" si="6"/>
        <v>3.4763500000000001</v>
      </c>
      <c r="T32" s="2">
        <f t="shared" si="7"/>
        <v>868.13199999999995</v>
      </c>
      <c r="U32" s="54">
        <f t="shared" si="8"/>
        <v>0.94892500000000002</v>
      </c>
      <c r="V32" s="42">
        <f t="shared" si="12"/>
        <v>0.98230780436774279</v>
      </c>
      <c r="W32" s="49">
        <f t="shared" si="9"/>
        <v>-3.5179602568951994E-2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304.89637666829799</v>
      </c>
      <c r="E9" s="4">
        <v>1.3244514106583E-3</v>
      </c>
      <c r="F9" s="3">
        <v>305.36869340232801</v>
      </c>
      <c r="G9" s="4">
        <v>107.148327011204</v>
      </c>
      <c r="H9" s="3">
        <v>297.69176899014798</v>
      </c>
      <c r="I9" s="4">
        <v>6.7997625606104002</v>
      </c>
      <c r="J9" s="3">
        <v>300.77951002227098</v>
      </c>
      <c r="K9" s="4">
        <v>3.4915693904020703E-2</v>
      </c>
      <c r="N9" s="3">
        <f>D9</f>
        <v>304.89637666829799</v>
      </c>
      <c r="O9" s="21">
        <f>1/(E9*(10^(-2)))</f>
        <v>75502.958579882063</v>
      </c>
      <c r="P9" s="3">
        <f>F9</f>
        <v>305.36869340232801</v>
      </c>
      <c r="Q9" s="17">
        <f>G9*(10^(-6))</f>
        <v>1.07148327011204E-4</v>
      </c>
      <c r="R9" s="3">
        <f>H9</f>
        <v>297.69176899014798</v>
      </c>
      <c r="S9" s="24">
        <f>I9</f>
        <v>6.7997625606104002</v>
      </c>
      <c r="T9" s="3">
        <f>J9</f>
        <v>300.77951002227098</v>
      </c>
      <c r="U9" s="24">
        <f>K9</f>
        <v>3.4915693904020703E-2</v>
      </c>
      <c r="V9" s="22">
        <f>((O9*(Q9)^2)/S10)*T9</f>
        <v>3.859163437225431E-2</v>
      </c>
      <c r="W9" s="49">
        <f t="shared" ref="W9" si="0">(U9-V9)/U9</f>
        <v>-0.10528046437623013</v>
      </c>
    </row>
    <row r="10" spans="1:23" x14ac:dyDescent="0.6">
      <c r="B10" s="3"/>
      <c r="C10" s="4"/>
      <c r="D10" s="3">
        <v>345.03279055217098</v>
      </c>
      <c r="E10" s="4">
        <v>1.2648902821316599E-3</v>
      </c>
      <c r="F10" s="3">
        <v>344.742035213892</v>
      </c>
      <c r="G10" s="4">
        <v>117.17611879755199</v>
      </c>
      <c r="H10" s="2">
        <v>301.15131425369998</v>
      </c>
      <c r="I10" s="1">
        <v>6.75600301467989</v>
      </c>
      <c r="J10" s="3">
        <v>322.60579064587898</v>
      </c>
      <c r="K10" s="4">
        <v>4.9079118028534298E-2</v>
      </c>
      <c r="N10" s="3">
        <f t="shared" ref="N10:N17" si="1">D10</f>
        <v>345.03279055217098</v>
      </c>
      <c r="O10" s="21">
        <f t="shared" ref="O10:O17" si="2">1/(E10*(10^(-2)))</f>
        <v>79058.240396530455</v>
      </c>
      <c r="P10" s="3">
        <f t="shared" ref="P10:P17" si="3">F10</f>
        <v>344.742035213892</v>
      </c>
      <c r="Q10" s="17">
        <f t="shared" ref="Q10:Q17" si="4">G10*(10^(-6))</f>
        <v>1.1717611879755199E-4</v>
      </c>
      <c r="R10" s="3">
        <f t="shared" ref="R10:U17" si="5">H10</f>
        <v>301.15131425369998</v>
      </c>
      <c r="S10" s="24">
        <f t="shared" si="5"/>
        <v>6.75600301467989</v>
      </c>
      <c r="T10" s="3">
        <f t="shared" si="5"/>
        <v>322.60579064587898</v>
      </c>
      <c r="U10" s="24">
        <f t="shared" si="5"/>
        <v>4.9079118028534298E-2</v>
      </c>
      <c r="V10" s="22">
        <f t="shared" ref="V10:V17" si="6">((AVERAGE(O9,O10)*(AVERAGE(Q9,Q10))^2)/S11)*T10</f>
        <v>4.8989869364588066E-2</v>
      </c>
      <c r="W10" s="49">
        <f t="shared" ref="W10:W17" si="7">(U10-V10)/U10</f>
        <v>1.8184651137036082E-3</v>
      </c>
    </row>
    <row r="11" spans="1:23" x14ac:dyDescent="0.6">
      <c r="B11" s="2"/>
      <c r="C11" s="1"/>
      <c r="D11" s="2">
        <v>392.19802057230203</v>
      </c>
      <c r="E11" s="1">
        <v>1.22100313479623E-3</v>
      </c>
      <c r="F11" s="2">
        <v>392.71054881926</v>
      </c>
      <c r="G11" s="1">
        <v>128.18731225469699</v>
      </c>
      <c r="H11" s="2">
        <v>321.92025771511197</v>
      </c>
      <c r="I11" s="1">
        <v>6.4022049848932499</v>
      </c>
      <c r="J11" s="2">
        <v>368.207126948775</v>
      </c>
      <c r="K11" s="1">
        <v>7.7224383916990894E-2</v>
      </c>
      <c r="N11" s="3">
        <f t="shared" si="1"/>
        <v>392.19802057230203</v>
      </c>
      <c r="O11" s="21">
        <f t="shared" si="2"/>
        <v>81899.871630295806</v>
      </c>
      <c r="P11" s="3">
        <f t="shared" si="3"/>
        <v>392.71054881926</v>
      </c>
      <c r="Q11" s="17">
        <f t="shared" si="4"/>
        <v>1.2818731225469699E-4</v>
      </c>
      <c r="R11" s="3">
        <f t="shared" si="5"/>
        <v>321.92025771511197</v>
      </c>
      <c r="S11" s="24">
        <f t="shared" si="5"/>
        <v>6.4022049848932499</v>
      </c>
      <c r="T11" s="3">
        <f t="shared" si="5"/>
        <v>368.207126948775</v>
      </c>
      <c r="U11" s="24">
        <f t="shared" si="5"/>
        <v>7.7224383916990894E-2</v>
      </c>
      <c r="V11" s="22">
        <f t="shared" si="6"/>
        <v>7.8168606452600417E-2</v>
      </c>
      <c r="W11" s="49">
        <f t="shared" si="7"/>
        <v>-1.2226999915266087E-2</v>
      </c>
    </row>
    <row r="12" spans="1:23" x14ac:dyDescent="0.6">
      <c r="B12" s="2"/>
      <c r="C12" s="1"/>
      <c r="D12" s="2">
        <v>439.34120652374702</v>
      </c>
      <c r="E12" s="1">
        <v>1.28369905956112E-3</v>
      </c>
      <c r="F12" s="2">
        <v>439.20779704869801</v>
      </c>
      <c r="G12" s="1">
        <v>133.175581599315</v>
      </c>
      <c r="H12" s="2">
        <v>368.82954386292499</v>
      </c>
      <c r="I12" s="1">
        <v>5.7056138408489101</v>
      </c>
      <c r="J12" s="2">
        <v>414.97772828507698</v>
      </c>
      <c r="K12" s="1">
        <v>9.5927367055771706E-2</v>
      </c>
      <c r="N12" s="3">
        <f t="shared" si="1"/>
        <v>439.34120652374702</v>
      </c>
      <c r="O12" s="21">
        <f t="shared" si="2"/>
        <v>77899.877899878411</v>
      </c>
      <c r="P12" s="3">
        <f t="shared" si="3"/>
        <v>439.20779704869801</v>
      </c>
      <c r="Q12" s="17">
        <f t="shared" si="4"/>
        <v>1.3317558159931498E-4</v>
      </c>
      <c r="R12" s="3">
        <f t="shared" si="5"/>
        <v>368.82954386292499</v>
      </c>
      <c r="S12" s="24">
        <f t="shared" si="5"/>
        <v>5.7056138408489101</v>
      </c>
      <c r="T12" s="3">
        <f t="shared" si="5"/>
        <v>414.97772828507698</v>
      </c>
      <c r="U12" s="24">
        <f t="shared" si="5"/>
        <v>9.5927367055771706E-2</v>
      </c>
      <c r="V12" s="22">
        <f t="shared" si="6"/>
        <v>0.10815772267475289</v>
      </c>
      <c r="W12" s="49">
        <f t="shared" si="7"/>
        <v>-0.12749600030062866</v>
      </c>
    </row>
    <row r="13" spans="1:23" x14ac:dyDescent="0.6">
      <c r="B13" s="2"/>
      <c r="C13" s="1"/>
      <c r="D13" s="2">
        <v>486.47531550573302</v>
      </c>
      <c r="E13" s="1">
        <v>1.3902821316614401E-3</v>
      </c>
      <c r="F13" s="2">
        <v>485.994474532418</v>
      </c>
      <c r="G13" s="1">
        <v>144.676557326726</v>
      </c>
      <c r="H13" s="2">
        <v>415.326112330174</v>
      </c>
      <c r="I13" s="1">
        <v>5.2352957654418901</v>
      </c>
      <c r="J13" s="2">
        <v>462.13808463251598</v>
      </c>
      <c r="K13" s="1">
        <v>0.12534370946822301</v>
      </c>
      <c r="N13" s="3">
        <f t="shared" si="1"/>
        <v>486.47531550573302</v>
      </c>
      <c r="O13" s="21">
        <f t="shared" si="2"/>
        <v>71927.846674182729</v>
      </c>
      <c r="P13" s="3">
        <f t="shared" si="3"/>
        <v>485.994474532418</v>
      </c>
      <c r="Q13" s="17">
        <f t="shared" si="4"/>
        <v>1.44676557326726E-4</v>
      </c>
      <c r="R13" s="3">
        <f t="shared" si="5"/>
        <v>415.326112330174</v>
      </c>
      <c r="S13" s="24">
        <f t="shared" si="5"/>
        <v>5.2352957654418901</v>
      </c>
      <c r="T13" s="3">
        <f t="shared" si="5"/>
        <v>462.13808463251598</v>
      </c>
      <c r="U13" s="24">
        <f t="shared" si="5"/>
        <v>0.12534370946822301</v>
      </c>
      <c r="V13" s="22">
        <f t="shared" si="6"/>
        <v>0.13759507007963098</v>
      </c>
      <c r="W13" s="49">
        <f t="shared" si="7"/>
        <v>-9.7742125738778454E-2</v>
      </c>
    </row>
    <row r="14" spans="1:23" x14ac:dyDescent="0.6">
      <c r="B14" s="2"/>
      <c r="C14" s="1"/>
      <c r="D14" s="2">
        <v>534.01529469353795</v>
      </c>
      <c r="E14" s="1">
        <v>1.5344827586206799E-3</v>
      </c>
      <c r="F14" s="2">
        <v>533.60668318459796</v>
      </c>
      <c r="G14" s="1">
        <v>153.44672966869101</v>
      </c>
      <c r="H14" s="2">
        <v>462.19478033521602</v>
      </c>
      <c r="I14" s="1">
        <v>4.8562224460258898</v>
      </c>
      <c r="J14" s="2">
        <v>510.467706013363</v>
      </c>
      <c r="K14" s="1">
        <v>0.15040207522697699</v>
      </c>
      <c r="N14" s="3">
        <f t="shared" si="1"/>
        <v>534.01529469353795</v>
      </c>
      <c r="O14" s="21">
        <f t="shared" si="2"/>
        <v>65168.539325843107</v>
      </c>
      <c r="P14" s="3">
        <f t="shared" si="3"/>
        <v>533.60668318459796</v>
      </c>
      <c r="Q14" s="17">
        <f t="shared" si="4"/>
        <v>1.5344672966869101E-4</v>
      </c>
      <c r="R14" s="3">
        <f t="shared" si="5"/>
        <v>462.19478033521602</v>
      </c>
      <c r="S14" s="24">
        <f t="shared" si="5"/>
        <v>4.8562224460258898</v>
      </c>
      <c r="T14" s="3">
        <f t="shared" si="5"/>
        <v>510.467706013363</v>
      </c>
      <c r="U14" s="24">
        <f t="shared" si="5"/>
        <v>0.15040207522697699</v>
      </c>
      <c r="V14" s="22">
        <f t="shared" si="6"/>
        <v>0.17211426465921134</v>
      </c>
      <c r="W14" s="49">
        <f t="shared" si="7"/>
        <v>-0.14436096975036902</v>
      </c>
    </row>
    <row r="15" spans="1:23" x14ac:dyDescent="0.6">
      <c r="B15" s="2"/>
      <c r="C15" s="1"/>
      <c r="D15" s="2">
        <v>581.55268046149899</v>
      </c>
      <c r="E15" s="1">
        <v>1.69122257053291E-3</v>
      </c>
      <c r="F15" s="2">
        <v>580.85491262306198</v>
      </c>
      <c r="G15" s="1">
        <v>160.46607428684101</v>
      </c>
      <c r="H15" s="2">
        <v>509.82585554881098</v>
      </c>
      <c r="I15" s="1">
        <v>4.5173030620343697</v>
      </c>
      <c r="J15" s="2">
        <v>558.79732739420899</v>
      </c>
      <c r="K15" s="1">
        <v>0.17037613488975301</v>
      </c>
      <c r="N15" s="3">
        <f t="shared" si="1"/>
        <v>581.55268046149899</v>
      </c>
      <c r="O15" s="21">
        <f t="shared" si="2"/>
        <v>59128.822984244856</v>
      </c>
      <c r="P15" s="3">
        <f t="shared" si="3"/>
        <v>580.85491262306198</v>
      </c>
      <c r="Q15" s="17">
        <f t="shared" si="4"/>
        <v>1.6046607428684101E-4</v>
      </c>
      <c r="R15" s="3">
        <f t="shared" si="5"/>
        <v>509.82585554881098</v>
      </c>
      <c r="S15" s="24">
        <f t="shared" si="5"/>
        <v>4.5173030620343697</v>
      </c>
      <c r="T15" s="3">
        <f t="shared" si="5"/>
        <v>558.79732739420899</v>
      </c>
      <c r="U15" s="24">
        <f t="shared" si="5"/>
        <v>0.17037613488975301</v>
      </c>
      <c r="V15" s="22">
        <f t="shared" si="6"/>
        <v>0.19817754690354239</v>
      </c>
      <c r="W15" s="49">
        <f t="shared" si="7"/>
        <v>-0.16317667983123998</v>
      </c>
    </row>
    <row r="16" spans="1:23" x14ac:dyDescent="0.6">
      <c r="B16" s="2"/>
      <c r="C16" s="1"/>
      <c r="D16" s="2">
        <v>628.26665542851401</v>
      </c>
      <c r="E16" s="1">
        <v>1.82915360501567E-3</v>
      </c>
      <c r="F16" s="2">
        <v>627.53415045935901</v>
      </c>
      <c r="G16" s="1">
        <v>153.829757493367</v>
      </c>
      <c r="H16" s="2">
        <v>558.206732340445</v>
      </c>
      <c r="I16" s="1">
        <v>4.3170776280071701</v>
      </c>
      <c r="J16" s="2">
        <v>605.56792873051199</v>
      </c>
      <c r="K16" s="1">
        <v>0.159662775616083</v>
      </c>
      <c r="N16" s="3">
        <f t="shared" si="1"/>
        <v>628.26665542851401</v>
      </c>
      <c r="O16" s="21">
        <f t="shared" si="2"/>
        <v>54670.09425878332</v>
      </c>
      <c r="P16" s="3">
        <f t="shared" si="3"/>
        <v>627.53415045935901</v>
      </c>
      <c r="Q16" s="17">
        <f t="shared" si="4"/>
        <v>1.5382975749336699E-4</v>
      </c>
      <c r="R16" s="3">
        <f t="shared" si="5"/>
        <v>558.206732340445</v>
      </c>
      <c r="S16" s="24">
        <f t="shared" si="5"/>
        <v>4.3170776280071701</v>
      </c>
      <c r="T16" s="3">
        <f t="shared" si="5"/>
        <v>605.56792873051199</v>
      </c>
      <c r="U16" s="24">
        <f t="shared" si="5"/>
        <v>0.159662775616083</v>
      </c>
      <c r="V16" s="22">
        <f t="shared" si="6"/>
        <v>0.20433735526484359</v>
      </c>
      <c r="W16" s="49">
        <f t="shared" si="7"/>
        <v>-0.27980585628915045</v>
      </c>
    </row>
    <row r="17" spans="2:23" x14ac:dyDescent="0.6">
      <c r="B17" s="28"/>
      <c r="C17" s="29"/>
      <c r="D17" s="28">
        <v>674.57281512482405</v>
      </c>
      <c r="E17" s="29">
        <v>1.9388714733542299E-3</v>
      </c>
      <c r="F17" s="28">
        <v>674.69028877146002</v>
      </c>
      <c r="G17" s="29">
        <v>141.73142280790199</v>
      </c>
      <c r="H17" s="28">
        <v>605.43022550072305</v>
      </c>
      <c r="I17" s="29">
        <v>4.1642853808034204</v>
      </c>
      <c r="J17" s="28">
        <v>652.338530066815</v>
      </c>
      <c r="K17" s="29">
        <v>0.136420233463035</v>
      </c>
      <c r="N17" s="32">
        <f t="shared" si="1"/>
        <v>674.57281512482405</v>
      </c>
      <c r="O17" s="21">
        <f t="shared" si="2"/>
        <v>51576.394502829477</v>
      </c>
      <c r="P17" s="32">
        <f t="shared" si="3"/>
        <v>674.69028877146002</v>
      </c>
      <c r="Q17" s="17">
        <f t="shared" si="4"/>
        <v>1.4173142280790197E-4</v>
      </c>
      <c r="R17" s="2">
        <f t="shared" si="5"/>
        <v>605.43022550072305</v>
      </c>
      <c r="S17" s="45">
        <f t="shared" si="5"/>
        <v>4.1642853808034204</v>
      </c>
      <c r="T17" s="32">
        <f t="shared" si="5"/>
        <v>652.338530066815</v>
      </c>
      <c r="U17" s="35">
        <f t="shared" si="5"/>
        <v>0.136420233463035</v>
      </c>
      <c r="V17" s="22">
        <f t="shared" si="6"/>
        <v>0.18496076323085847</v>
      </c>
      <c r="W17" s="49">
        <f t="shared" si="7"/>
        <v>-0.35581620508644135</v>
      </c>
    </row>
    <row r="18" spans="2:23" x14ac:dyDescent="0.6">
      <c r="B18" s="30"/>
      <c r="C18" s="30"/>
      <c r="D18" s="30"/>
      <c r="E18" s="30"/>
      <c r="F18" s="30"/>
      <c r="G18" s="30"/>
      <c r="H18" s="2">
        <v>652.64344740650802</v>
      </c>
      <c r="I18" s="50">
        <v>4.0917849972987899</v>
      </c>
      <c r="J18" s="30"/>
      <c r="K18" s="30"/>
      <c r="N18" s="30"/>
      <c r="O18" s="39"/>
      <c r="P18" s="30"/>
      <c r="Q18" s="40"/>
      <c r="R18" s="2">
        <f t="shared" ref="R18" si="8">H18</f>
        <v>652.64344740650802</v>
      </c>
      <c r="S18" s="45">
        <f t="shared" ref="S18" si="9">I18</f>
        <v>4.0917849972987899</v>
      </c>
      <c r="T18" s="30"/>
      <c r="U18" s="41"/>
      <c r="V18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ht="17.25" thickBot="1" x14ac:dyDescent="0.65">
      <c r="B21" s="31"/>
      <c r="C21" s="31"/>
      <c r="D21" s="31" t="s">
        <v>79</v>
      </c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31"/>
      <c r="C23" s="31"/>
      <c r="D23" s="11" t="s">
        <v>4</v>
      </c>
      <c r="E23" s="10" t="s">
        <v>35</v>
      </c>
      <c r="F23" s="11" t="s">
        <v>4</v>
      </c>
      <c r="G23" s="27" t="s">
        <v>13</v>
      </c>
      <c r="H23" s="11" t="s">
        <v>4</v>
      </c>
      <c r="I23" s="10" t="s">
        <v>15</v>
      </c>
      <c r="J23" s="11" t="s">
        <v>4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  <c r="W23" t="s">
        <v>78</v>
      </c>
    </row>
    <row r="24" spans="2:23" x14ac:dyDescent="0.6">
      <c r="B24" s="31"/>
      <c r="C24" s="31"/>
      <c r="D24" s="3">
        <v>304.851</v>
      </c>
      <c r="E24" s="4">
        <v>1.3231300000000001E-3</v>
      </c>
      <c r="F24" s="3">
        <v>308.27300000000002</v>
      </c>
      <c r="G24" s="4">
        <v>106.94499999999999</v>
      </c>
      <c r="H24" s="3">
        <v>302.15100000000001</v>
      </c>
      <c r="I24" s="4">
        <v>6.7651300000000001</v>
      </c>
      <c r="J24" s="3">
        <v>300.58499999999998</v>
      </c>
      <c r="K24" s="4">
        <v>3.8536599999999997E-2</v>
      </c>
      <c r="N24" s="3">
        <f>D24</f>
        <v>304.851</v>
      </c>
      <c r="O24" s="21">
        <f>1/(E24*0.01)</f>
        <v>75578.363426118362</v>
      </c>
      <c r="P24" s="3">
        <f>F24</f>
        <v>308.27300000000002</v>
      </c>
      <c r="Q24" s="17">
        <f>G24*0.000001</f>
        <v>1.0694499999999999E-4</v>
      </c>
      <c r="R24" s="3">
        <f>H24</f>
        <v>302.15100000000001</v>
      </c>
      <c r="S24" s="24">
        <f>I24</f>
        <v>6.7651300000000001</v>
      </c>
      <c r="T24" s="3">
        <f>J24</f>
        <v>300.58499999999998</v>
      </c>
      <c r="U24" s="24">
        <f>K24</f>
        <v>3.8536599999999997E-2</v>
      </c>
      <c r="V24" s="22">
        <f>((O24*(Q24)^2)/S24)*T24</f>
        <v>3.8406931507299208E-2</v>
      </c>
      <c r="W24" s="49">
        <f t="shared" ref="W24:W32" si="10">(U24-V24)/U24</f>
        <v>3.364814039141734E-3</v>
      </c>
    </row>
    <row r="25" spans="2:23" x14ac:dyDescent="0.6">
      <c r="B25" s="31"/>
      <c r="C25" s="31"/>
      <c r="D25" s="3">
        <v>345.149</v>
      </c>
      <c r="E25" s="4">
        <v>1.2466000000000001E-3</v>
      </c>
      <c r="F25" s="3">
        <v>343.88499999999999</v>
      </c>
      <c r="G25" s="4">
        <v>116.977</v>
      </c>
      <c r="H25" s="2">
        <v>320.90300000000002</v>
      </c>
      <c r="I25" s="1">
        <v>6.4016000000000002</v>
      </c>
      <c r="J25" s="3">
        <v>322.71699999999998</v>
      </c>
      <c r="K25" s="4">
        <v>5.7073199999999998E-2</v>
      </c>
      <c r="N25" s="3">
        <f t="shared" ref="N25:N32" si="11">D25</f>
        <v>345.149</v>
      </c>
      <c r="O25" s="21">
        <f t="shared" ref="O25:O32" si="12">1/(E25*0.01)</f>
        <v>80218.193486282689</v>
      </c>
      <c r="P25" s="3">
        <f t="shared" ref="P25:P32" si="13">F25</f>
        <v>343.88499999999999</v>
      </c>
      <c r="Q25" s="17">
        <f t="shared" ref="Q25:Q32" si="14">G25*0.000001</f>
        <v>1.16977E-4</v>
      </c>
      <c r="R25" s="3">
        <f t="shared" ref="R25:R32" si="15">H25</f>
        <v>320.90300000000002</v>
      </c>
      <c r="S25" s="24">
        <f t="shared" ref="S25:S32" si="16">I25</f>
        <v>6.4016000000000002</v>
      </c>
      <c r="T25" s="3">
        <f t="shared" ref="T25:T32" si="17">J25</f>
        <v>322.71699999999998</v>
      </c>
      <c r="U25" s="24">
        <f t="shared" ref="U25:U32" si="18">K25</f>
        <v>5.7073199999999998E-2</v>
      </c>
      <c r="V25" s="22">
        <f t="shared" ref="V25:V32" si="19">((O25*(Q25)^2)/S25)*T25</f>
        <v>5.5335921364487971E-2</v>
      </c>
      <c r="W25" s="49">
        <f t="shared" si="10"/>
        <v>3.0439481849835418E-2</v>
      </c>
    </row>
    <row r="26" spans="2:23" x14ac:dyDescent="0.6">
      <c r="B26" s="31"/>
      <c r="C26" s="31"/>
      <c r="D26" s="2">
        <v>392.16399999999999</v>
      </c>
      <c r="E26" s="1">
        <v>1.20408E-3</v>
      </c>
      <c r="F26" s="2">
        <v>390.28800000000001</v>
      </c>
      <c r="G26" s="1">
        <v>127.974</v>
      </c>
      <c r="H26" s="2">
        <v>366.68700000000001</v>
      </c>
      <c r="I26" s="1">
        <v>5.7337300000000004</v>
      </c>
      <c r="J26" s="2">
        <v>369.08699999999999</v>
      </c>
      <c r="K26" s="1">
        <v>6.8292699999999998E-2</v>
      </c>
      <c r="N26" s="3">
        <f t="shared" si="11"/>
        <v>392.16399999999999</v>
      </c>
      <c r="O26" s="21">
        <f t="shared" si="12"/>
        <v>83050.960069098393</v>
      </c>
      <c r="P26" s="3">
        <f t="shared" si="13"/>
        <v>390.28800000000001</v>
      </c>
      <c r="Q26" s="17">
        <f t="shared" si="14"/>
        <v>1.2797399999999999E-4</v>
      </c>
      <c r="R26" s="3">
        <f t="shared" si="15"/>
        <v>366.68700000000001</v>
      </c>
      <c r="S26" s="24">
        <f t="shared" si="16"/>
        <v>5.7337300000000004</v>
      </c>
      <c r="T26" s="3">
        <f t="shared" si="17"/>
        <v>369.08699999999999</v>
      </c>
      <c r="U26" s="24">
        <f t="shared" si="18"/>
        <v>6.8292699999999998E-2</v>
      </c>
      <c r="V26" s="22">
        <f t="shared" si="19"/>
        <v>8.7554738842702609E-2</v>
      </c>
      <c r="W26" s="49">
        <f t="shared" si="10"/>
        <v>-0.28205121254105653</v>
      </c>
    </row>
    <row r="27" spans="2:23" x14ac:dyDescent="0.6">
      <c r="B27" s="31"/>
      <c r="C27" s="31"/>
      <c r="D27" s="2">
        <v>439.17899999999997</v>
      </c>
      <c r="E27" s="1">
        <v>1.2891199999999999E-3</v>
      </c>
      <c r="F27" s="2">
        <v>441.00700000000001</v>
      </c>
      <c r="G27" s="1">
        <v>133.18299999999999</v>
      </c>
      <c r="H27" s="2">
        <v>413.46600000000001</v>
      </c>
      <c r="I27" s="1">
        <v>5.2429399999999999</v>
      </c>
      <c r="J27" s="2">
        <v>415.45699999999999</v>
      </c>
      <c r="K27" s="1">
        <v>8.0975599999999995E-2</v>
      </c>
      <c r="N27" s="3">
        <f t="shared" si="11"/>
        <v>439.17899999999997</v>
      </c>
      <c r="O27" s="21">
        <f t="shared" si="12"/>
        <v>77572.297381159238</v>
      </c>
      <c r="P27" s="3">
        <f t="shared" si="13"/>
        <v>441.00700000000001</v>
      </c>
      <c r="Q27" s="17">
        <f t="shared" si="14"/>
        <v>1.3318299999999999E-4</v>
      </c>
      <c r="R27" s="3">
        <f t="shared" si="15"/>
        <v>413.46600000000001</v>
      </c>
      <c r="S27" s="24">
        <f t="shared" si="16"/>
        <v>5.2429399999999999</v>
      </c>
      <c r="T27" s="3">
        <f t="shared" si="17"/>
        <v>415.45699999999999</v>
      </c>
      <c r="U27" s="24">
        <f t="shared" si="18"/>
        <v>8.0975599999999995E-2</v>
      </c>
      <c r="V27" s="22">
        <f t="shared" si="19"/>
        <v>0.10903236525700957</v>
      </c>
      <c r="W27" s="49">
        <f t="shared" si="10"/>
        <v>-0.34648419100333411</v>
      </c>
    </row>
    <row r="28" spans="2:23" x14ac:dyDescent="0.6">
      <c r="B28" s="31"/>
      <c r="C28" s="31"/>
      <c r="D28" s="2">
        <v>485.07499999999999</v>
      </c>
      <c r="E28" s="1">
        <v>1.39116E-3</v>
      </c>
      <c r="F28" s="2">
        <v>485.25200000000001</v>
      </c>
      <c r="G28" s="1">
        <v>144.37299999999999</v>
      </c>
      <c r="H28" s="2">
        <v>462.29399999999998</v>
      </c>
      <c r="I28" s="1">
        <v>4.8505599999999998</v>
      </c>
      <c r="J28" s="2">
        <v>462.88099999999997</v>
      </c>
      <c r="K28" s="1">
        <v>9.1707300000000005E-2</v>
      </c>
      <c r="N28" s="3">
        <f t="shared" si="11"/>
        <v>485.07499999999999</v>
      </c>
      <c r="O28" s="21">
        <f t="shared" si="12"/>
        <v>71882.457804997262</v>
      </c>
      <c r="P28" s="3">
        <f t="shared" si="13"/>
        <v>485.25200000000001</v>
      </c>
      <c r="Q28" s="17">
        <f t="shared" si="14"/>
        <v>1.4437299999999999E-4</v>
      </c>
      <c r="R28" s="3">
        <f t="shared" si="15"/>
        <v>462.29399999999998</v>
      </c>
      <c r="S28" s="24">
        <f t="shared" si="16"/>
        <v>4.8505599999999998</v>
      </c>
      <c r="T28" s="3">
        <f t="shared" si="17"/>
        <v>462.88099999999997</v>
      </c>
      <c r="U28" s="24">
        <f t="shared" si="18"/>
        <v>9.1707300000000005E-2</v>
      </c>
      <c r="V28" s="22">
        <f t="shared" si="19"/>
        <v>0.1429790323633342</v>
      </c>
      <c r="W28" s="49">
        <f t="shared" si="10"/>
        <v>-0.55908016442894071</v>
      </c>
    </row>
    <row r="29" spans="2:23" x14ac:dyDescent="0.6">
      <c r="B29" s="31"/>
      <c r="C29" s="31"/>
      <c r="D29" s="2">
        <v>534.32799999999997</v>
      </c>
      <c r="E29" s="1">
        <v>1.52721E-3</v>
      </c>
      <c r="F29" s="2">
        <v>532.73400000000004</v>
      </c>
      <c r="G29" s="1">
        <v>153.24799999999999</v>
      </c>
      <c r="H29" s="2">
        <v>510.07499999999999</v>
      </c>
      <c r="I29" s="1">
        <v>4.4974999999999996</v>
      </c>
      <c r="J29" s="2">
        <v>512.41200000000003</v>
      </c>
      <c r="K29" s="1">
        <v>8.9268299999999995E-2</v>
      </c>
      <c r="N29" s="3">
        <f t="shared" si="11"/>
        <v>534.32799999999997</v>
      </c>
      <c r="O29" s="21">
        <f t="shared" si="12"/>
        <v>65478.8797873246</v>
      </c>
      <c r="P29" s="3">
        <f t="shared" si="13"/>
        <v>532.73400000000004</v>
      </c>
      <c r="Q29" s="17">
        <f t="shared" si="14"/>
        <v>1.5324799999999998E-4</v>
      </c>
      <c r="R29" s="3">
        <f t="shared" si="15"/>
        <v>510.07499999999999</v>
      </c>
      <c r="S29" s="24">
        <f t="shared" si="16"/>
        <v>4.4974999999999996</v>
      </c>
      <c r="T29" s="3">
        <f t="shared" si="17"/>
        <v>512.41200000000003</v>
      </c>
      <c r="U29" s="24">
        <f t="shared" si="18"/>
        <v>8.9268299999999995E-2</v>
      </c>
      <c r="V29" s="22">
        <f t="shared" si="19"/>
        <v>0.17520197252004133</v>
      </c>
      <c r="W29" s="49">
        <f t="shared" si="10"/>
        <v>-0.96264488648312263</v>
      </c>
    </row>
    <row r="30" spans="2:23" x14ac:dyDescent="0.6">
      <c r="B30" s="31"/>
      <c r="C30" s="31"/>
      <c r="D30" s="2">
        <v>580.22400000000005</v>
      </c>
      <c r="E30" s="1">
        <v>1.68027E-3</v>
      </c>
      <c r="F30" s="2">
        <v>581.29499999999996</v>
      </c>
      <c r="G30" s="1">
        <v>160.386</v>
      </c>
      <c r="H30" s="2">
        <v>557.81200000000001</v>
      </c>
      <c r="I30" s="1">
        <v>4.3313300000000003</v>
      </c>
      <c r="J30" s="2">
        <v>559.83600000000001</v>
      </c>
      <c r="K30" s="1">
        <v>9.1707300000000005E-2</v>
      </c>
      <c r="N30" s="3">
        <f t="shared" si="11"/>
        <v>580.22400000000005</v>
      </c>
      <c r="O30" s="21">
        <f t="shared" si="12"/>
        <v>59514.244734477194</v>
      </c>
      <c r="P30" s="3">
        <f t="shared" si="13"/>
        <v>581.29499999999996</v>
      </c>
      <c r="Q30" s="17">
        <f t="shared" si="14"/>
        <v>1.6038599999999999E-4</v>
      </c>
      <c r="R30" s="3">
        <f t="shared" si="15"/>
        <v>557.81200000000001</v>
      </c>
      <c r="S30" s="24">
        <f t="shared" si="16"/>
        <v>4.3313300000000003</v>
      </c>
      <c r="T30" s="3">
        <f t="shared" si="17"/>
        <v>559.83600000000001</v>
      </c>
      <c r="U30" s="24">
        <f t="shared" si="18"/>
        <v>9.1707300000000005E-2</v>
      </c>
      <c r="V30" s="22">
        <f t="shared" si="19"/>
        <v>0.19787612080308989</v>
      </c>
      <c r="W30" s="49">
        <f t="shared" si="10"/>
        <v>-1.1576921444976558</v>
      </c>
    </row>
    <row r="31" spans="2:23" x14ac:dyDescent="0.6">
      <c r="D31" s="2">
        <v>628.35799999999995</v>
      </c>
      <c r="E31" s="1">
        <v>1.8248299999999999E-3</v>
      </c>
      <c r="F31" s="2">
        <v>628.77700000000004</v>
      </c>
      <c r="G31" s="1">
        <v>153.82599999999999</v>
      </c>
      <c r="H31" s="2">
        <v>605.54499999999996</v>
      </c>
      <c r="I31" s="1">
        <v>4.1749900000000002</v>
      </c>
      <c r="J31" s="2">
        <v>606.20600000000002</v>
      </c>
      <c r="K31" s="1">
        <v>0.08</v>
      </c>
      <c r="N31" s="3">
        <f t="shared" si="11"/>
        <v>628.35799999999995</v>
      </c>
      <c r="O31" s="21">
        <f t="shared" si="12"/>
        <v>54799.625170563835</v>
      </c>
      <c r="P31" s="3">
        <f t="shared" si="13"/>
        <v>628.77700000000004</v>
      </c>
      <c r="Q31" s="17">
        <f t="shared" si="14"/>
        <v>1.5382599999999997E-4</v>
      </c>
      <c r="R31" s="3">
        <f t="shared" si="15"/>
        <v>605.54499999999996</v>
      </c>
      <c r="S31" s="24">
        <f t="shared" si="16"/>
        <v>4.1749900000000002</v>
      </c>
      <c r="T31" s="3">
        <f t="shared" si="17"/>
        <v>606.20600000000002</v>
      </c>
      <c r="U31" s="24">
        <f t="shared" si="18"/>
        <v>0.08</v>
      </c>
      <c r="V31" s="22">
        <f t="shared" si="19"/>
        <v>0.18827899565815437</v>
      </c>
      <c r="W31" s="49">
        <f t="shared" si="10"/>
        <v>-1.3534874457269295</v>
      </c>
    </row>
    <row r="32" spans="2:23" x14ac:dyDescent="0.6">
      <c r="D32" s="28">
        <v>673.13400000000001</v>
      </c>
      <c r="E32" s="29">
        <v>1.9353700000000001E-3</v>
      </c>
      <c r="F32" s="28">
        <v>674.101</v>
      </c>
      <c r="G32" s="29">
        <v>141.286</v>
      </c>
      <c r="H32" s="28">
        <v>654.29200000000003</v>
      </c>
      <c r="I32" s="29">
        <v>4.1170400000000003</v>
      </c>
      <c r="J32" s="28">
        <v>650.46799999999996</v>
      </c>
      <c r="K32" s="29">
        <v>7.3658500000000002E-2</v>
      </c>
      <c r="N32" s="32">
        <f t="shared" si="11"/>
        <v>673.13400000000001</v>
      </c>
      <c r="O32" s="33">
        <f t="shared" si="12"/>
        <v>51669.706567736401</v>
      </c>
      <c r="P32" s="32">
        <f t="shared" si="13"/>
        <v>674.101</v>
      </c>
      <c r="Q32" s="34">
        <f t="shared" si="14"/>
        <v>1.4128599999999999E-4</v>
      </c>
      <c r="R32" s="32">
        <f t="shared" si="15"/>
        <v>654.29200000000003</v>
      </c>
      <c r="S32" s="35">
        <f t="shared" si="16"/>
        <v>4.1170400000000003</v>
      </c>
      <c r="T32" s="32">
        <f t="shared" si="17"/>
        <v>650.46799999999996</v>
      </c>
      <c r="U32" s="35">
        <f t="shared" si="18"/>
        <v>7.3658500000000002E-2</v>
      </c>
      <c r="V32" s="22">
        <f t="shared" si="19"/>
        <v>0.16295778185465828</v>
      </c>
      <c r="W32" s="49">
        <f t="shared" si="10"/>
        <v>-1.2123418458787278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300.48792739969599</v>
      </c>
      <c r="C9" s="4">
        <v>16.0481586402266</v>
      </c>
      <c r="D9" s="3"/>
      <c r="E9" s="4"/>
      <c r="F9" s="3">
        <v>300</v>
      </c>
      <c r="G9" s="4">
        <v>-127.684729064039</v>
      </c>
      <c r="H9" s="3">
        <v>300</v>
      </c>
      <c r="I9" s="4">
        <v>4.9103536977491897</v>
      </c>
      <c r="J9" s="3">
        <v>300</v>
      </c>
      <c r="K9" s="4">
        <v>0.15944625407166099</v>
      </c>
      <c r="N9" s="3">
        <f>B9</f>
        <v>300.48792739969599</v>
      </c>
      <c r="O9" s="21">
        <f>C9*(10^(4))</f>
        <v>160481.586402266</v>
      </c>
      <c r="P9" s="3">
        <f>F9</f>
        <v>300</v>
      </c>
      <c r="Q9" s="17">
        <f>G9*(10^(-6))</f>
        <v>-1.2768472906403899E-4</v>
      </c>
      <c r="R9" s="3">
        <f>H9</f>
        <v>300</v>
      </c>
      <c r="S9" s="24">
        <f>I9</f>
        <v>4.9103536977491897</v>
      </c>
      <c r="T9" s="3">
        <f>J9</f>
        <v>300</v>
      </c>
      <c r="U9" s="24">
        <f>K9</f>
        <v>0.15944625407166099</v>
      </c>
      <c r="V9" s="22">
        <f>((O9*(Q9)^2)/S9)*T9</f>
        <v>0.15984961926082938</v>
      </c>
      <c r="W9" s="49">
        <f t="shared" ref="W9" si="0">(U9-V9)/U9</f>
        <v>-2.529787805407488E-3</v>
      </c>
    </row>
    <row r="10" spans="1:23" x14ac:dyDescent="0.6">
      <c r="B10" s="3">
        <v>325.65633440938097</v>
      </c>
      <c r="C10" s="4">
        <v>15.6813031161473</v>
      </c>
      <c r="D10" s="3"/>
      <c r="E10" s="4"/>
      <c r="F10" s="3">
        <v>325.36413862380698</v>
      </c>
      <c r="G10" s="4">
        <v>-132.28243021346401</v>
      </c>
      <c r="H10" s="3">
        <v>324.96433666191098</v>
      </c>
      <c r="I10" s="4">
        <v>4.7749196141479002</v>
      </c>
      <c r="J10" s="3">
        <v>325.22608281770499</v>
      </c>
      <c r="K10" s="4">
        <v>0.18778501628664401</v>
      </c>
      <c r="N10" s="3">
        <f t="shared" ref="N10:N28" si="1">B10</f>
        <v>325.65633440938097</v>
      </c>
      <c r="O10" s="21">
        <f t="shared" ref="O10:O29" si="2">C10*(10^(4))</f>
        <v>156813.03116147299</v>
      </c>
      <c r="P10" s="3">
        <f t="shared" ref="P10:P29" si="3">F10</f>
        <v>325.36413862380698</v>
      </c>
      <c r="Q10" s="17">
        <f t="shared" ref="Q10:Q29" si="4">G10*(10^(-6))</f>
        <v>-1.3228243021346401E-4</v>
      </c>
      <c r="R10" s="3">
        <f t="shared" ref="R10:U27" si="5">H10</f>
        <v>324.96433666191098</v>
      </c>
      <c r="S10" s="24">
        <f t="shared" si="5"/>
        <v>4.7749196141479002</v>
      </c>
      <c r="T10" s="3">
        <f t="shared" si="5"/>
        <v>325.22608281770499</v>
      </c>
      <c r="U10" s="24">
        <f t="shared" si="5"/>
        <v>0.18778501628664401</v>
      </c>
      <c r="V10" s="22">
        <f t="shared" ref="V10:V29" si="6">((O10*(Q10)^2)/S10)*T10</f>
        <v>0.18689848596023262</v>
      </c>
      <c r="W10" s="49">
        <f t="shared" ref="W10:W29" si="7">(U10-V10)/U10</f>
        <v>4.7209854329280038E-3</v>
      </c>
    </row>
    <row r="11" spans="1:23" x14ac:dyDescent="0.6">
      <c r="B11" s="2">
        <v>350.826113929332</v>
      </c>
      <c r="C11" s="1">
        <v>15.3342776203966</v>
      </c>
      <c r="D11" s="2"/>
      <c r="E11" s="1"/>
      <c r="F11" s="2">
        <v>350.22601707684498</v>
      </c>
      <c r="G11" s="1">
        <v>-136.74876847290599</v>
      </c>
      <c r="H11" s="2">
        <v>349.69091773656601</v>
      </c>
      <c r="I11" s="1">
        <v>4.63485530546623</v>
      </c>
      <c r="J11" s="2">
        <v>350.21418372203698</v>
      </c>
      <c r="K11" s="1">
        <v>0.21661237785016199</v>
      </c>
      <c r="N11" s="3">
        <f t="shared" si="1"/>
        <v>350.826113929332</v>
      </c>
      <c r="O11" s="21">
        <f t="shared" si="2"/>
        <v>153342.776203966</v>
      </c>
      <c r="P11" s="3">
        <f t="shared" si="3"/>
        <v>350.22601707684498</v>
      </c>
      <c r="Q11" s="17">
        <f t="shared" si="4"/>
        <v>-1.3674876847290598E-4</v>
      </c>
      <c r="R11" s="3">
        <f t="shared" si="5"/>
        <v>349.69091773656601</v>
      </c>
      <c r="S11" s="24">
        <f t="shared" si="5"/>
        <v>4.63485530546623</v>
      </c>
      <c r="T11" s="3">
        <f t="shared" si="5"/>
        <v>350.21418372203698</v>
      </c>
      <c r="U11" s="24">
        <f t="shared" si="5"/>
        <v>0.21661237785016199</v>
      </c>
      <c r="V11" s="22">
        <f t="shared" si="6"/>
        <v>0.21667445855473905</v>
      </c>
      <c r="W11" s="49">
        <f t="shared" si="7"/>
        <v>-2.8659813992715964E-4</v>
      </c>
    </row>
    <row r="12" spans="1:23" x14ac:dyDescent="0.6">
      <c r="B12" s="2">
        <v>375.99452093901601</v>
      </c>
      <c r="C12" s="1">
        <v>14.9674220963172</v>
      </c>
      <c r="D12" s="2"/>
      <c r="E12" s="1"/>
      <c r="F12" s="2">
        <v>374.83676544449997</v>
      </c>
      <c r="G12" s="1">
        <v>-141.28078817733899</v>
      </c>
      <c r="H12" s="2">
        <v>374.65525439847801</v>
      </c>
      <c r="I12" s="1">
        <v>4.4971061093247497</v>
      </c>
      <c r="J12" s="2">
        <v>374.964302712993</v>
      </c>
      <c r="K12" s="1">
        <v>0.25032573289902199</v>
      </c>
      <c r="N12" s="3">
        <f t="shared" si="1"/>
        <v>375.99452093901601</v>
      </c>
      <c r="O12" s="21">
        <f t="shared" si="2"/>
        <v>149674.220963172</v>
      </c>
      <c r="P12" s="3">
        <f t="shared" si="3"/>
        <v>374.83676544449997</v>
      </c>
      <c r="Q12" s="17">
        <f t="shared" si="4"/>
        <v>-1.4128078817733899E-4</v>
      </c>
      <c r="R12" s="3">
        <f t="shared" si="5"/>
        <v>374.65525439847801</v>
      </c>
      <c r="S12" s="24">
        <f t="shared" si="5"/>
        <v>4.4971061093247497</v>
      </c>
      <c r="T12" s="3">
        <f t="shared" si="5"/>
        <v>374.964302712993</v>
      </c>
      <c r="U12" s="24">
        <f t="shared" si="5"/>
        <v>0.25032573289902199</v>
      </c>
      <c r="V12" s="22">
        <f t="shared" si="6"/>
        <v>0.24909786986442398</v>
      </c>
      <c r="W12" s="49">
        <f t="shared" si="7"/>
        <v>4.9050611792009332E-3</v>
      </c>
    </row>
    <row r="13" spans="1:23" x14ac:dyDescent="0.6">
      <c r="B13" s="2">
        <v>400.681176845202</v>
      </c>
      <c r="C13" s="1">
        <v>14.6402266288951</v>
      </c>
      <c r="D13" s="2"/>
      <c r="E13" s="1"/>
      <c r="F13" s="2">
        <v>399.94977398292298</v>
      </c>
      <c r="G13" s="1">
        <v>-145.81280788177301</v>
      </c>
      <c r="H13" s="2">
        <v>399.61959106038898</v>
      </c>
      <c r="I13" s="1">
        <v>4.40450160771704</v>
      </c>
      <c r="J13" s="2">
        <v>399.95240361732499</v>
      </c>
      <c r="K13" s="1">
        <v>0.28452768729641698</v>
      </c>
      <c r="N13" s="3">
        <f t="shared" si="1"/>
        <v>400.681176845202</v>
      </c>
      <c r="O13" s="21">
        <f t="shared" si="2"/>
        <v>146402.26628895101</v>
      </c>
      <c r="P13" s="3">
        <f t="shared" si="3"/>
        <v>399.94977398292298</v>
      </c>
      <c r="Q13" s="17">
        <f t="shared" si="4"/>
        <v>-1.45812807881773E-4</v>
      </c>
      <c r="R13" s="3">
        <f t="shared" si="5"/>
        <v>399.61959106038898</v>
      </c>
      <c r="S13" s="24">
        <f t="shared" si="5"/>
        <v>4.40450160771704</v>
      </c>
      <c r="T13" s="3">
        <f t="shared" si="5"/>
        <v>399.95240361732499</v>
      </c>
      <c r="U13" s="24">
        <f t="shared" si="5"/>
        <v>0.28452768729641698</v>
      </c>
      <c r="V13" s="22">
        <f t="shared" si="6"/>
        <v>0.28265110275125299</v>
      </c>
      <c r="W13" s="49">
        <f t="shared" si="7"/>
        <v>6.5954373825454268E-3</v>
      </c>
    </row>
    <row r="14" spans="1:23" x14ac:dyDescent="0.6">
      <c r="B14" s="2">
        <v>425.36783275138902</v>
      </c>
      <c r="C14" s="1">
        <v>14.313031161473001</v>
      </c>
      <c r="D14" s="2"/>
      <c r="E14" s="1"/>
      <c r="F14" s="2">
        <v>425.06278252134598</v>
      </c>
      <c r="G14" s="1">
        <v>-150.34482758620601</v>
      </c>
      <c r="H14" s="2">
        <v>425.05943889681402</v>
      </c>
      <c r="I14" s="1">
        <v>4.3084244372990304</v>
      </c>
      <c r="J14" s="2">
        <v>424.94050452165601</v>
      </c>
      <c r="K14" s="1">
        <v>0.31775244299674199</v>
      </c>
      <c r="N14" s="3">
        <f t="shared" si="1"/>
        <v>425.36783275138902</v>
      </c>
      <c r="O14" s="21">
        <f t="shared" si="2"/>
        <v>143130.31161473002</v>
      </c>
      <c r="P14" s="3">
        <f t="shared" si="3"/>
        <v>425.06278252134598</v>
      </c>
      <c r="Q14" s="17">
        <f t="shared" si="4"/>
        <v>-1.5034482758620601E-4</v>
      </c>
      <c r="R14" s="3">
        <f t="shared" si="5"/>
        <v>425.05943889681402</v>
      </c>
      <c r="S14" s="24">
        <f t="shared" si="5"/>
        <v>4.3084244372990304</v>
      </c>
      <c r="T14" s="3">
        <f t="shared" si="5"/>
        <v>424.94050452165601</v>
      </c>
      <c r="U14" s="24">
        <f t="shared" si="5"/>
        <v>0.31775244299674199</v>
      </c>
      <c r="V14" s="22">
        <f t="shared" si="6"/>
        <v>0.31909371349722038</v>
      </c>
      <c r="W14" s="49">
        <f t="shared" si="7"/>
        <v>-4.2211178231354746E-3</v>
      </c>
    </row>
    <row r="15" spans="1:23" x14ac:dyDescent="0.6">
      <c r="B15" s="2">
        <v>450.05448865757501</v>
      </c>
      <c r="C15" s="1">
        <v>13.9858356940509</v>
      </c>
      <c r="D15" s="2"/>
      <c r="E15" s="1"/>
      <c r="F15" s="2">
        <v>449.92466097438398</v>
      </c>
      <c r="G15" s="1">
        <v>-154.22003284072201</v>
      </c>
      <c r="H15" s="2">
        <v>449.78601997146899</v>
      </c>
      <c r="I15" s="1">
        <v>4.2135048231511201</v>
      </c>
      <c r="J15" s="2">
        <v>450.16658733936202</v>
      </c>
      <c r="K15" s="1">
        <v>0.35537459283387601</v>
      </c>
      <c r="N15" s="3">
        <f t="shared" si="1"/>
        <v>450.05448865757501</v>
      </c>
      <c r="O15" s="21">
        <f t="shared" si="2"/>
        <v>139858.35694050899</v>
      </c>
      <c r="P15" s="3">
        <f t="shared" si="3"/>
        <v>449.92466097438398</v>
      </c>
      <c r="Q15" s="17">
        <f t="shared" si="4"/>
        <v>-1.54220032840722E-4</v>
      </c>
      <c r="R15" s="3">
        <f t="shared" si="5"/>
        <v>449.78601997146899</v>
      </c>
      <c r="S15" s="24">
        <f t="shared" si="5"/>
        <v>4.2135048231511201</v>
      </c>
      <c r="T15" s="3">
        <f t="shared" si="5"/>
        <v>450.16658733936202</v>
      </c>
      <c r="U15" s="24">
        <f t="shared" si="5"/>
        <v>0.35537459283387601</v>
      </c>
      <c r="V15" s="22">
        <f t="shared" si="6"/>
        <v>0.35538555071283229</v>
      </c>
      <c r="W15" s="49">
        <f t="shared" si="7"/>
        <v>-3.0834728135438611E-5</v>
      </c>
    </row>
    <row r="16" spans="1:23" x14ac:dyDescent="0.6">
      <c r="B16" s="2">
        <v>475.711509322089</v>
      </c>
      <c r="C16" s="1">
        <v>13.678470254957499</v>
      </c>
      <c r="D16" s="2"/>
      <c r="E16" s="1"/>
      <c r="F16" s="2">
        <v>475.28879959819102</v>
      </c>
      <c r="G16" s="1">
        <v>-158.357963875205</v>
      </c>
      <c r="H16" s="2">
        <v>474.98811222063699</v>
      </c>
      <c r="I16" s="1">
        <v>4.1197427652733101</v>
      </c>
      <c r="J16" s="2">
        <v>474.91670633031799</v>
      </c>
      <c r="K16" s="1">
        <v>0.39446254071661202</v>
      </c>
      <c r="N16" s="3">
        <f t="shared" si="1"/>
        <v>475.711509322089</v>
      </c>
      <c r="O16" s="21">
        <f t="shared" si="2"/>
        <v>136784.70254957498</v>
      </c>
      <c r="P16" s="3">
        <f t="shared" si="3"/>
        <v>475.28879959819102</v>
      </c>
      <c r="Q16" s="17">
        <f t="shared" si="4"/>
        <v>-1.5835796387520499E-4</v>
      </c>
      <c r="R16" s="3">
        <f t="shared" si="5"/>
        <v>474.98811222063699</v>
      </c>
      <c r="S16" s="24">
        <f t="shared" si="5"/>
        <v>4.1197427652733101</v>
      </c>
      <c r="T16" s="3">
        <f t="shared" si="5"/>
        <v>474.91670633031799</v>
      </c>
      <c r="U16" s="24">
        <f t="shared" si="5"/>
        <v>0.39446254071661202</v>
      </c>
      <c r="V16" s="22">
        <f t="shared" si="6"/>
        <v>0.39542552140355991</v>
      </c>
      <c r="W16" s="49">
        <f t="shared" si="7"/>
        <v>-2.4412474887944044E-3</v>
      </c>
    </row>
    <row r="17" spans="2:23" x14ac:dyDescent="0.6">
      <c r="B17" s="2">
        <v>500.402969014208</v>
      </c>
      <c r="C17" s="1">
        <v>13.4206798866855</v>
      </c>
      <c r="D17" s="2"/>
      <c r="E17" s="1"/>
      <c r="F17" s="2">
        <v>500.15067805122999</v>
      </c>
      <c r="G17" s="1">
        <v>-162.43021346469601</v>
      </c>
      <c r="H17" s="2">
        <v>499.95244888254803</v>
      </c>
      <c r="I17" s="1">
        <v>4.0560771704179999</v>
      </c>
      <c r="J17" s="2">
        <v>499.90480723464998</v>
      </c>
      <c r="K17" s="1">
        <v>0.43599348534201898</v>
      </c>
      <c r="N17" s="3">
        <f t="shared" si="1"/>
        <v>500.402969014208</v>
      </c>
      <c r="O17" s="21">
        <f t="shared" si="2"/>
        <v>134206.79886685501</v>
      </c>
      <c r="P17" s="3">
        <f t="shared" si="3"/>
        <v>500.15067805122999</v>
      </c>
      <c r="Q17" s="17">
        <f t="shared" si="4"/>
        <v>-1.6243021346469601E-4</v>
      </c>
      <c r="R17" s="3">
        <f t="shared" si="5"/>
        <v>499.95244888254803</v>
      </c>
      <c r="S17" s="24">
        <f t="shared" si="5"/>
        <v>4.0560771704179999</v>
      </c>
      <c r="T17" s="3">
        <f t="shared" si="5"/>
        <v>499.90480723464998</v>
      </c>
      <c r="U17" s="24">
        <f t="shared" si="5"/>
        <v>0.43599348534201898</v>
      </c>
      <c r="V17" s="22">
        <f t="shared" si="6"/>
        <v>0.43640453151382369</v>
      </c>
      <c r="W17" s="49">
        <f t="shared" si="7"/>
        <v>-9.427805360033276E-4</v>
      </c>
    </row>
    <row r="18" spans="2:23" x14ac:dyDescent="0.6">
      <c r="B18" s="2">
        <v>525.57961108549</v>
      </c>
      <c r="C18" s="1">
        <v>13.172804532577899</v>
      </c>
      <c r="D18" s="2"/>
      <c r="E18" s="1"/>
      <c r="F18" s="2">
        <v>525.01255650426901</v>
      </c>
      <c r="G18" s="1">
        <v>-166.50246305418699</v>
      </c>
      <c r="H18" s="2">
        <v>525.15454113171597</v>
      </c>
      <c r="I18" s="1">
        <v>3.9912540192926</v>
      </c>
      <c r="J18" s="2">
        <v>524.89290813898106</v>
      </c>
      <c r="K18" s="1">
        <v>0.47850162866449503</v>
      </c>
      <c r="N18" s="3">
        <f t="shared" si="1"/>
        <v>525.57961108549</v>
      </c>
      <c r="O18" s="21">
        <f t="shared" si="2"/>
        <v>131728.04532577901</v>
      </c>
      <c r="P18" s="3">
        <f t="shared" si="3"/>
        <v>525.01255650426901</v>
      </c>
      <c r="Q18" s="17">
        <f t="shared" si="4"/>
        <v>-1.6650246305418699E-4</v>
      </c>
      <c r="R18" s="3">
        <f t="shared" si="5"/>
        <v>525.15454113171597</v>
      </c>
      <c r="S18" s="24">
        <f t="shared" si="5"/>
        <v>3.9912540192926</v>
      </c>
      <c r="T18" s="3">
        <f t="shared" si="5"/>
        <v>524.89290813898106</v>
      </c>
      <c r="U18" s="24">
        <f t="shared" si="5"/>
        <v>0.47850162866449503</v>
      </c>
      <c r="V18" s="22">
        <f t="shared" si="6"/>
        <v>0.48026496727358958</v>
      </c>
      <c r="W18" s="49">
        <f t="shared" si="7"/>
        <v>-3.6851256160110872E-3</v>
      </c>
    </row>
    <row r="19" spans="2:23" x14ac:dyDescent="0.6">
      <c r="B19" s="2">
        <v>550.75625315677303</v>
      </c>
      <c r="C19" s="1">
        <v>12.924929178470199</v>
      </c>
      <c r="D19" s="2"/>
      <c r="E19" s="1"/>
      <c r="F19" s="2">
        <v>550.37669512807599</v>
      </c>
      <c r="G19" s="1">
        <v>-170.44334975369401</v>
      </c>
      <c r="H19" s="2">
        <v>550.59438896814004</v>
      </c>
      <c r="I19" s="1">
        <v>3.9252733118970999</v>
      </c>
      <c r="J19" s="2">
        <v>550.11899095668696</v>
      </c>
      <c r="K19" s="1">
        <v>0.52442996742671</v>
      </c>
      <c r="N19" s="3">
        <f t="shared" si="1"/>
        <v>550.75625315677303</v>
      </c>
      <c r="O19" s="21">
        <f t="shared" si="2"/>
        <v>129249.29178470199</v>
      </c>
      <c r="P19" s="3">
        <f t="shared" si="3"/>
        <v>550.37669512807599</v>
      </c>
      <c r="Q19" s="17">
        <f t="shared" si="4"/>
        <v>-1.7044334975369399E-4</v>
      </c>
      <c r="R19" s="3">
        <f t="shared" si="5"/>
        <v>550.59438896814004</v>
      </c>
      <c r="S19" s="24">
        <f t="shared" si="5"/>
        <v>3.9252733118970999</v>
      </c>
      <c r="T19" s="3">
        <f t="shared" si="5"/>
        <v>550.11899095668696</v>
      </c>
      <c r="U19" s="24">
        <f t="shared" si="5"/>
        <v>0.52442996742671</v>
      </c>
      <c r="V19" s="22">
        <f t="shared" si="6"/>
        <v>0.52622930541783097</v>
      </c>
      <c r="W19" s="49">
        <f t="shared" si="7"/>
        <v>-3.4310357967337855E-3</v>
      </c>
    </row>
    <row r="20" spans="2:23" x14ac:dyDescent="0.6">
      <c r="B20" s="2">
        <v>574.96390297999403</v>
      </c>
      <c r="C20" s="1">
        <v>12.6770538243626</v>
      </c>
      <c r="D20" s="2"/>
      <c r="E20" s="1"/>
      <c r="F20" s="2">
        <v>574.98744349573099</v>
      </c>
      <c r="G20" s="1">
        <v>-174.44991789819301</v>
      </c>
      <c r="H20" s="2">
        <v>574.845458868283</v>
      </c>
      <c r="I20" s="1">
        <v>3.86276527331189</v>
      </c>
      <c r="J20" s="2">
        <v>574.86910994764298</v>
      </c>
      <c r="K20" s="1">
        <v>0.57475570032573298</v>
      </c>
      <c r="N20" s="3">
        <f t="shared" si="1"/>
        <v>574.96390297999403</v>
      </c>
      <c r="O20" s="21">
        <f t="shared" si="2"/>
        <v>126770.538243626</v>
      </c>
      <c r="P20" s="3">
        <f t="shared" si="3"/>
        <v>574.98744349573099</v>
      </c>
      <c r="Q20" s="17">
        <f t="shared" si="4"/>
        <v>-1.74449917898193E-4</v>
      </c>
      <c r="R20" s="3">
        <f t="shared" si="5"/>
        <v>574.845458868283</v>
      </c>
      <c r="S20" s="24">
        <f t="shared" si="5"/>
        <v>3.86276527331189</v>
      </c>
      <c r="T20" s="3">
        <f t="shared" si="5"/>
        <v>574.86910994764298</v>
      </c>
      <c r="U20" s="24">
        <f t="shared" si="5"/>
        <v>0.57475570032573298</v>
      </c>
      <c r="V20" s="22">
        <f t="shared" si="6"/>
        <v>0.57415681953854758</v>
      </c>
      <c r="W20" s="49">
        <f t="shared" si="7"/>
        <v>1.0419745064659486E-3</v>
      </c>
    </row>
    <row r="21" spans="2:23" x14ac:dyDescent="0.6">
      <c r="B21" s="2">
        <v>599.65604892724605</v>
      </c>
      <c r="C21" s="1">
        <v>12.4291784702549</v>
      </c>
      <c r="D21" s="2"/>
      <c r="E21" s="1"/>
      <c r="F21" s="2">
        <v>600.10045203415302</v>
      </c>
      <c r="G21" s="1">
        <v>-178.19376026272499</v>
      </c>
      <c r="H21" s="2">
        <v>599.57203994293798</v>
      </c>
      <c r="I21" s="1">
        <v>3.81183279742765</v>
      </c>
      <c r="J21" s="2">
        <v>599.85721085197497</v>
      </c>
      <c r="K21" s="1">
        <v>0.62117263843648196</v>
      </c>
      <c r="N21" s="3">
        <f t="shared" si="1"/>
        <v>599.65604892724605</v>
      </c>
      <c r="O21" s="21">
        <f t="shared" si="2"/>
        <v>124291.784702549</v>
      </c>
      <c r="P21" s="3">
        <f t="shared" si="3"/>
        <v>600.10045203415302</v>
      </c>
      <c r="Q21" s="17">
        <f t="shared" si="4"/>
        <v>-1.7819376026272497E-4</v>
      </c>
      <c r="R21" s="3">
        <f t="shared" si="5"/>
        <v>599.57203994293798</v>
      </c>
      <c r="S21" s="24">
        <f t="shared" si="5"/>
        <v>3.81183279742765</v>
      </c>
      <c r="T21" s="3">
        <f t="shared" si="5"/>
        <v>599.85721085197497</v>
      </c>
      <c r="U21" s="24">
        <f t="shared" si="5"/>
        <v>0.62117263843648196</v>
      </c>
      <c r="V21" s="22">
        <f t="shared" si="6"/>
        <v>0.62107128519017096</v>
      </c>
      <c r="W21" s="49">
        <f t="shared" si="7"/>
        <v>1.631643765992467E-4</v>
      </c>
    </row>
    <row r="22" spans="2:23" x14ac:dyDescent="0.6">
      <c r="B22" s="2">
        <v>625.31718712255895</v>
      </c>
      <c r="C22" s="1">
        <v>12.1813031161473</v>
      </c>
      <c r="D22" s="2"/>
      <c r="E22" s="1"/>
      <c r="F22" s="2">
        <v>625.21346057257597</v>
      </c>
      <c r="G22" s="1">
        <v>-181.87192118226599</v>
      </c>
      <c r="H22" s="2">
        <v>624.77413219210598</v>
      </c>
      <c r="I22" s="1">
        <v>3.7620578778135001</v>
      </c>
      <c r="J22" s="2">
        <v>624.84531175630605</v>
      </c>
      <c r="K22" s="1">
        <v>0.67003257328990196</v>
      </c>
      <c r="N22" s="3">
        <f t="shared" si="1"/>
        <v>625.31718712255895</v>
      </c>
      <c r="O22" s="21">
        <f t="shared" si="2"/>
        <v>121813.031161473</v>
      </c>
      <c r="P22" s="3">
        <f t="shared" si="3"/>
        <v>625.21346057257597</v>
      </c>
      <c r="Q22" s="17">
        <f t="shared" si="4"/>
        <v>-1.8187192118226597E-4</v>
      </c>
      <c r="R22" s="3">
        <f t="shared" si="5"/>
        <v>624.77413219210598</v>
      </c>
      <c r="S22" s="24">
        <f t="shared" si="5"/>
        <v>3.7620578778135001</v>
      </c>
      <c r="T22" s="3">
        <f t="shared" si="5"/>
        <v>624.84531175630605</v>
      </c>
      <c r="U22" s="24">
        <f t="shared" si="5"/>
        <v>0.67003257328990196</v>
      </c>
      <c r="V22" s="22">
        <f t="shared" si="6"/>
        <v>0.66922491619580637</v>
      </c>
      <c r="W22" s="49">
        <f t="shared" si="7"/>
        <v>1.2053997466569945E-3</v>
      </c>
    </row>
    <row r="23" spans="2:23" x14ac:dyDescent="0.6">
      <c r="B23" s="2">
        <v>650.00933306981096</v>
      </c>
      <c r="C23" s="1">
        <v>11.933427762039599</v>
      </c>
      <c r="D23" s="2"/>
      <c r="E23" s="1"/>
      <c r="F23" s="2">
        <v>650.07533902561499</v>
      </c>
      <c r="G23" s="1">
        <v>-185.48440065681399</v>
      </c>
      <c r="H23" s="2">
        <v>649.73846885401804</v>
      </c>
      <c r="I23" s="1">
        <v>3.7111254019292499</v>
      </c>
      <c r="J23" s="2">
        <v>649.83341266063701</v>
      </c>
      <c r="K23" s="1">
        <v>0.71938110749185602</v>
      </c>
      <c r="N23" s="3">
        <f t="shared" si="1"/>
        <v>650.00933306981096</v>
      </c>
      <c r="O23" s="21">
        <f t="shared" si="2"/>
        <v>119334.27762039599</v>
      </c>
      <c r="P23" s="3">
        <f t="shared" si="3"/>
        <v>650.07533902561499</v>
      </c>
      <c r="Q23" s="17">
        <f t="shared" si="4"/>
        <v>-1.8548440065681399E-4</v>
      </c>
      <c r="R23" s="3">
        <f t="shared" si="5"/>
        <v>649.73846885401804</v>
      </c>
      <c r="S23" s="24">
        <f t="shared" si="5"/>
        <v>3.7111254019292499</v>
      </c>
      <c r="T23" s="3">
        <f t="shared" si="5"/>
        <v>649.83341266063701</v>
      </c>
      <c r="U23" s="24">
        <f t="shared" si="5"/>
        <v>0.71938110749185602</v>
      </c>
      <c r="V23" s="22">
        <f t="shared" si="6"/>
        <v>0.71891310219494242</v>
      </c>
      <c r="W23" s="49">
        <f t="shared" si="7"/>
        <v>6.5056656623262317E-4</v>
      </c>
    </row>
    <row r="24" spans="2:23" x14ac:dyDescent="0.6">
      <c r="B24" s="2">
        <v>675.67115752025802</v>
      </c>
      <c r="C24" s="1">
        <v>11.6954674220963</v>
      </c>
      <c r="D24" s="2"/>
      <c r="E24" s="1"/>
      <c r="F24" s="2">
        <v>674.93721747865402</v>
      </c>
      <c r="G24" s="1">
        <v>-189.35960591132999</v>
      </c>
      <c r="H24" s="2">
        <v>674.70280551592896</v>
      </c>
      <c r="I24" s="1">
        <v>3.6613504823151102</v>
      </c>
      <c r="J24" s="2">
        <v>675.05949547834302</v>
      </c>
      <c r="K24" s="1">
        <v>0.77214983713355001</v>
      </c>
      <c r="N24" s="3">
        <f t="shared" si="1"/>
        <v>675.67115752025802</v>
      </c>
      <c r="O24" s="21">
        <f t="shared" si="2"/>
        <v>116954.674220963</v>
      </c>
      <c r="P24" s="3">
        <f t="shared" si="3"/>
        <v>674.93721747865402</v>
      </c>
      <c r="Q24" s="17">
        <f t="shared" si="4"/>
        <v>-1.8935960591132998E-4</v>
      </c>
      <c r="R24" s="3">
        <f t="shared" si="5"/>
        <v>674.70280551592896</v>
      </c>
      <c r="S24" s="24">
        <f t="shared" si="5"/>
        <v>3.6613504823151102</v>
      </c>
      <c r="T24" s="3">
        <f t="shared" si="5"/>
        <v>675.05949547834302</v>
      </c>
      <c r="U24" s="24">
        <f t="shared" si="5"/>
        <v>0.77214983713355001</v>
      </c>
      <c r="V24" s="22">
        <f t="shared" si="6"/>
        <v>0.77320207801485041</v>
      </c>
      <c r="W24" s="49">
        <f t="shared" si="7"/>
        <v>-1.3627418289779544E-3</v>
      </c>
    </row>
    <row r="25" spans="2:23" x14ac:dyDescent="0.6">
      <c r="B25" s="2">
        <v>700.36467597777596</v>
      </c>
      <c r="C25" s="1">
        <v>11.4674220963172</v>
      </c>
      <c r="D25" s="2"/>
      <c r="E25" s="1"/>
      <c r="F25" s="2">
        <v>700.301356102461</v>
      </c>
      <c r="G25" s="1">
        <v>-192.51231527093501</v>
      </c>
      <c r="H25" s="2">
        <v>699.66714217784101</v>
      </c>
      <c r="I25" s="1">
        <v>3.6370418006430798</v>
      </c>
      <c r="J25" s="2">
        <v>699.80961446929996</v>
      </c>
      <c r="K25" s="1">
        <v>0.81612377850162798</v>
      </c>
      <c r="N25" s="3">
        <f t="shared" si="1"/>
        <v>700.36467597777596</v>
      </c>
      <c r="O25" s="21">
        <f t="shared" si="2"/>
        <v>114674.220963172</v>
      </c>
      <c r="P25" s="3">
        <f t="shared" si="3"/>
        <v>700.301356102461</v>
      </c>
      <c r="Q25" s="17">
        <f t="shared" si="4"/>
        <v>-1.92512315270935E-4</v>
      </c>
      <c r="R25" s="3">
        <f t="shared" si="5"/>
        <v>699.66714217784101</v>
      </c>
      <c r="S25" s="24">
        <f t="shared" si="5"/>
        <v>3.6370418006430798</v>
      </c>
      <c r="T25" s="3">
        <f t="shared" si="5"/>
        <v>699.80961446929996</v>
      </c>
      <c r="U25" s="24">
        <f t="shared" si="5"/>
        <v>0.81612377850162798</v>
      </c>
      <c r="V25" s="22">
        <f t="shared" si="6"/>
        <v>0.817738499646815</v>
      </c>
      <c r="W25" s="49">
        <f t="shared" si="7"/>
        <v>-1.9785248117039069E-3</v>
      </c>
    </row>
    <row r="26" spans="2:23" x14ac:dyDescent="0.6">
      <c r="B26" s="2">
        <v>724.57163954586304</v>
      </c>
      <c r="C26" s="1">
        <v>11.2096317280453</v>
      </c>
      <c r="D26" s="2"/>
      <c r="E26" s="1"/>
      <c r="F26" s="2">
        <v>725.163234555499</v>
      </c>
      <c r="G26" s="1">
        <v>-195.66502463054101</v>
      </c>
      <c r="H26" s="2">
        <v>724.63147883975205</v>
      </c>
      <c r="I26" s="1">
        <v>3.6162057877813498</v>
      </c>
      <c r="J26" s="2">
        <v>725.03569728700597</v>
      </c>
      <c r="K26" s="1">
        <v>0.85814332247557001</v>
      </c>
      <c r="N26" s="3">
        <f t="shared" si="1"/>
        <v>724.57163954586304</v>
      </c>
      <c r="O26" s="21">
        <f t="shared" si="2"/>
        <v>112096.317280453</v>
      </c>
      <c r="P26" s="3">
        <f t="shared" si="3"/>
        <v>725.163234555499</v>
      </c>
      <c r="Q26" s="17">
        <f t="shared" si="4"/>
        <v>-1.9566502463054099E-4</v>
      </c>
      <c r="R26" s="3">
        <f t="shared" si="5"/>
        <v>724.63147883975205</v>
      </c>
      <c r="S26" s="24">
        <f t="shared" si="5"/>
        <v>3.6162057877813498</v>
      </c>
      <c r="T26" s="3">
        <f t="shared" si="5"/>
        <v>725.03569728700597</v>
      </c>
      <c r="U26" s="24">
        <f t="shared" si="5"/>
        <v>0.85814332247557001</v>
      </c>
      <c r="V26" s="22">
        <f t="shared" si="6"/>
        <v>0.86044675571126383</v>
      </c>
      <c r="W26" s="49">
        <f t="shared" si="7"/>
        <v>-2.6842057443841431E-3</v>
      </c>
    </row>
    <row r="27" spans="2:23" x14ac:dyDescent="0.6">
      <c r="B27" s="2">
        <v>750.23689527197598</v>
      </c>
      <c r="C27" s="1">
        <v>11.0212464589235</v>
      </c>
      <c r="D27" s="2"/>
      <c r="E27" s="1"/>
      <c r="F27" s="2">
        <v>750.27624309392195</v>
      </c>
      <c r="G27" s="1">
        <v>-197.83251231527001</v>
      </c>
      <c r="H27" s="2">
        <v>749.59581550166399</v>
      </c>
      <c r="I27" s="1">
        <v>3.62315112540192</v>
      </c>
      <c r="J27" s="2">
        <v>749.785816277962</v>
      </c>
      <c r="K27" s="1">
        <v>0.89136807817589503</v>
      </c>
      <c r="N27" s="3">
        <f t="shared" si="1"/>
        <v>750.23689527197598</v>
      </c>
      <c r="O27" s="21">
        <f t="shared" si="2"/>
        <v>110212.46458923499</v>
      </c>
      <c r="P27" s="3">
        <f t="shared" si="3"/>
        <v>750.27624309392195</v>
      </c>
      <c r="Q27" s="17">
        <f t="shared" si="4"/>
        <v>-1.9783251231527001E-4</v>
      </c>
      <c r="R27" s="3">
        <f t="shared" si="5"/>
        <v>749.59581550166399</v>
      </c>
      <c r="S27" s="24">
        <f t="shared" si="5"/>
        <v>3.62315112540192</v>
      </c>
      <c r="T27" s="3">
        <f t="shared" si="5"/>
        <v>749.785816277962</v>
      </c>
      <c r="U27" s="24">
        <f t="shared" si="5"/>
        <v>0.89136807817589503</v>
      </c>
      <c r="V27" s="22">
        <f t="shared" si="6"/>
        <v>0.8926409741653033</v>
      </c>
      <c r="W27" s="49">
        <f t="shared" si="7"/>
        <v>-1.4280251004872659E-3</v>
      </c>
    </row>
    <row r="28" spans="2:23" x14ac:dyDescent="0.6">
      <c r="B28" s="2">
        <v>774.93178623976098</v>
      </c>
      <c r="C28" s="1">
        <v>10.813031161473001</v>
      </c>
      <c r="D28" s="2"/>
      <c r="E28" s="1"/>
      <c r="F28" s="2">
        <v>775.13812154696097</v>
      </c>
      <c r="G28" s="1">
        <v>-200</v>
      </c>
      <c r="H28" s="2">
        <v>774.797907750832</v>
      </c>
      <c r="I28" s="1">
        <v>3.6300964630224999</v>
      </c>
      <c r="J28" s="2">
        <v>774.77391718229399</v>
      </c>
      <c r="K28" s="1">
        <v>0.92214983713355003</v>
      </c>
      <c r="N28" s="3">
        <f t="shared" si="1"/>
        <v>774.93178623976098</v>
      </c>
      <c r="O28" s="21">
        <f t="shared" si="2"/>
        <v>108130.31161473</v>
      </c>
      <c r="P28" s="3">
        <f t="shared" si="3"/>
        <v>775.13812154696097</v>
      </c>
      <c r="Q28" s="17">
        <f t="shared" si="4"/>
        <v>-1.9999999999999998E-4</v>
      </c>
      <c r="R28" s="3">
        <f t="shared" ref="R28:U29" si="8">H28</f>
        <v>774.797907750832</v>
      </c>
      <c r="S28" s="24">
        <f t="shared" si="8"/>
        <v>3.6300964630224999</v>
      </c>
      <c r="T28" s="3">
        <f t="shared" si="8"/>
        <v>774.77391718229399</v>
      </c>
      <c r="U28" s="24">
        <f t="shared" si="8"/>
        <v>0.92214983713355003</v>
      </c>
      <c r="V28" s="22">
        <f t="shared" si="6"/>
        <v>0.92313299053361497</v>
      </c>
      <c r="W28" s="49">
        <f t="shared" si="7"/>
        <v>-1.0661536341219947E-3</v>
      </c>
    </row>
    <row r="29" spans="2:23" x14ac:dyDescent="0.6">
      <c r="B29" s="28">
        <v>800.11254584184201</v>
      </c>
      <c r="C29" s="29">
        <v>10.6246458923512</v>
      </c>
      <c r="D29" s="28"/>
      <c r="E29" s="29"/>
      <c r="F29" s="28">
        <v>800.25113008538403</v>
      </c>
      <c r="G29" s="29">
        <v>-202.03612479474501</v>
      </c>
      <c r="H29" s="28">
        <v>799.76224441274303</v>
      </c>
      <c r="I29" s="29">
        <v>3.6381993569131801</v>
      </c>
      <c r="J29" s="28">
        <v>800</v>
      </c>
      <c r="K29" s="29">
        <v>0.95097719869706798</v>
      </c>
      <c r="N29" s="3">
        <f t="shared" ref="N29" si="9">B29</f>
        <v>800.11254584184201</v>
      </c>
      <c r="O29" s="21">
        <f t="shared" si="2"/>
        <v>106246.45892351201</v>
      </c>
      <c r="P29" s="32">
        <f t="shared" si="3"/>
        <v>800.25113008538403</v>
      </c>
      <c r="Q29" s="17">
        <f t="shared" si="4"/>
        <v>-2.0203612479474499E-4</v>
      </c>
      <c r="R29" s="32">
        <f t="shared" si="8"/>
        <v>799.76224441274303</v>
      </c>
      <c r="S29" s="35">
        <f t="shared" si="8"/>
        <v>3.6381993569131801</v>
      </c>
      <c r="T29" s="32">
        <f t="shared" si="8"/>
        <v>800</v>
      </c>
      <c r="U29" s="35">
        <f t="shared" si="8"/>
        <v>0.95097719869706798</v>
      </c>
      <c r="V29" s="22">
        <f t="shared" si="6"/>
        <v>0.95362146562100436</v>
      </c>
      <c r="W29" s="49">
        <f t="shared" si="7"/>
        <v>-2.7805786800769597E-3</v>
      </c>
    </row>
    <row r="30" spans="2:23" x14ac:dyDescent="0.6">
      <c r="B30" s="30"/>
      <c r="C30" s="30"/>
      <c r="D30" s="30"/>
      <c r="E30" s="30"/>
      <c r="F30" s="30"/>
      <c r="G30" s="30"/>
      <c r="H30" s="30"/>
      <c r="I30" s="30"/>
      <c r="J30" s="30"/>
      <c r="K30" s="30"/>
      <c r="N30" s="30"/>
      <c r="O30" s="39"/>
      <c r="P30" s="30"/>
      <c r="Q30" s="40"/>
      <c r="R30" s="30"/>
      <c r="S30" s="41"/>
      <c r="T30" s="30"/>
      <c r="U30" s="41"/>
      <c r="V30"/>
    </row>
    <row r="31" spans="2:23" x14ac:dyDescent="0.6">
      <c r="V31"/>
    </row>
    <row r="32" spans="2:23" x14ac:dyDescent="0.6">
      <c r="V32"/>
    </row>
    <row r="33" spans="2:23" ht="17.25" thickBot="1" x14ac:dyDescent="0.65">
      <c r="B33" t="s">
        <v>79</v>
      </c>
      <c r="O33"/>
      <c r="Q33"/>
      <c r="S33"/>
      <c r="U33"/>
      <c r="V33"/>
    </row>
    <row r="34" spans="2:23" x14ac:dyDescent="0.6">
      <c r="B34" s="5" t="s">
        <v>3</v>
      </c>
      <c r="C34" s="6" t="s">
        <v>0</v>
      </c>
      <c r="D34" s="7" t="s">
        <v>3</v>
      </c>
      <c r="E34" s="6" t="s">
        <v>8</v>
      </c>
      <c r="F34" s="7" t="s">
        <v>3</v>
      </c>
      <c r="G34" s="6" t="s">
        <v>1</v>
      </c>
      <c r="H34" s="7" t="s">
        <v>3</v>
      </c>
      <c r="I34" s="6" t="s">
        <v>2</v>
      </c>
      <c r="J34" s="7" t="s">
        <v>3</v>
      </c>
      <c r="K34" s="8" t="s">
        <v>6</v>
      </c>
      <c r="N34" s="5" t="s">
        <v>3</v>
      </c>
      <c r="O34" s="19" t="s">
        <v>0</v>
      </c>
      <c r="P34" s="7" t="s">
        <v>3</v>
      </c>
      <c r="Q34" s="15" t="s">
        <v>1</v>
      </c>
      <c r="R34" s="7" t="s">
        <v>3</v>
      </c>
      <c r="S34" s="23" t="s">
        <v>2</v>
      </c>
      <c r="T34" s="7" t="s">
        <v>3</v>
      </c>
      <c r="U34" s="25" t="s">
        <v>6</v>
      </c>
    </row>
    <row r="35" spans="2:23" ht="17.25" thickBot="1" x14ac:dyDescent="0.65">
      <c r="B35" s="9" t="s">
        <v>4</v>
      </c>
      <c r="C35" s="10" t="s">
        <v>41</v>
      </c>
      <c r="D35" s="11" t="s">
        <v>4</v>
      </c>
      <c r="E35" s="10" t="s">
        <v>11</v>
      </c>
      <c r="F35" s="11" t="s">
        <v>4</v>
      </c>
      <c r="G35" s="27" t="s">
        <v>13</v>
      </c>
      <c r="H35" s="11" t="s">
        <v>4</v>
      </c>
      <c r="I35" s="10" t="s">
        <v>15</v>
      </c>
      <c r="J35" s="11" t="s">
        <v>4</v>
      </c>
      <c r="K35" s="12" t="s">
        <v>7</v>
      </c>
      <c r="N35" s="9" t="s">
        <v>4</v>
      </c>
      <c r="O35" s="20" t="s">
        <v>5</v>
      </c>
      <c r="P35" s="11" t="s">
        <v>4</v>
      </c>
      <c r="Q35" s="16" t="s">
        <v>14</v>
      </c>
      <c r="R35" s="11" t="s">
        <v>4</v>
      </c>
      <c r="S35" s="10" t="s">
        <v>15</v>
      </c>
      <c r="T35" s="11" t="s">
        <v>4</v>
      </c>
      <c r="U35" s="26" t="s">
        <v>7</v>
      </c>
      <c r="W35" t="s">
        <v>78</v>
      </c>
    </row>
    <row r="36" spans="2:23" x14ac:dyDescent="0.6">
      <c r="B36" s="3">
        <v>300</v>
      </c>
      <c r="C36" s="4">
        <v>16.026</v>
      </c>
      <c r="D36" s="3"/>
      <c r="E36" s="4"/>
      <c r="F36" s="3">
        <v>301.70100000000002</v>
      </c>
      <c r="G36" s="4">
        <v>-127.232</v>
      </c>
      <c r="H36" s="3">
        <v>297.73500000000001</v>
      </c>
      <c r="I36" s="4">
        <v>4.9266199999999998</v>
      </c>
      <c r="J36" s="3">
        <v>301.38900000000001</v>
      </c>
      <c r="K36" s="4">
        <v>0.168571</v>
      </c>
      <c r="N36" s="3">
        <f>B36</f>
        <v>300</v>
      </c>
      <c r="O36" s="21">
        <f>C36*10000</f>
        <v>160260</v>
      </c>
      <c r="P36" s="3">
        <f>F36</f>
        <v>301.70100000000002</v>
      </c>
      <c r="Q36" s="17">
        <f>G36*0.000001</f>
        <v>-1.2723199999999999E-4</v>
      </c>
      <c r="R36" s="3">
        <f>H36</f>
        <v>297.73500000000001</v>
      </c>
      <c r="S36" s="24">
        <f>I36</f>
        <v>4.9266199999999998</v>
      </c>
      <c r="T36" s="3">
        <f>J36</f>
        <v>301.38900000000001</v>
      </c>
      <c r="U36" s="24">
        <f>K36</f>
        <v>0.168571</v>
      </c>
      <c r="V36" s="22">
        <f>((O36*(Q36)^2)/S36)*T36</f>
        <v>0.15870703511587936</v>
      </c>
      <c r="W36" s="49">
        <f t="shared" ref="W36:W56" si="10">(U36-V36)/U36</f>
        <v>5.8515194690193693E-2</v>
      </c>
    </row>
    <row r="37" spans="2:23" x14ac:dyDescent="0.6">
      <c r="B37" s="3">
        <v>322.87599999999998</v>
      </c>
      <c r="C37" s="4">
        <v>15.6915</v>
      </c>
      <c r="D37" s="3"/>
      <c r="E37" s="4"/>
      <c r="F37" s="3">
        <v>328.91199999999998</v>
      </c>
      <c r="G37" s="4">
        <v>-131.696</v>
      </c>
      <c r="H37" s="3">
        <v>323.52999999999997</v>
      </c>
      <c r="I37" s="4">
        <v>4.7880900000000004</v>
      </c>
      <c r="J37" s="3">
        <v>326.38900000000001</v>
      </c>
      <c r="K37" s="4">
        <v>0.19714300000000001</v>
      </c>
      <c r="N37" s="3">
        <f t="shared" ref="N37:N55" si="11">B37</f>
        <v>322.87599999999998</v>
      </c>
      <c r="O37" s="21">
        <f t="shared" ref="O37:O55" si="12">C37*10000</f>
        <v>156915</v>
      </c>
      <c r="P37" s="3">
        <f t="shared" ref="P37:P56" si="13">F37</f>
        <v>328.91199999999998</v>
      </c>
      <c r="Q37" s="17">
        <f t="shared" ref="Q37:Q56" si="14">G37*0.000001</f>
        <v>-1.3169599999999999E-4</v>
      </c>
      <c r="R37" s="3">
        <f t="shared" ref="R37:R56" si="15">H37</f>
        <v>323.52999999999997</v>
      </c>
      <c r="S37" s="24">
        <f t="shared" ref="S37:S56" si="16">I37</f>
        <v>4.7880900000000004</v>
      </c>
      <c r="T37" s="3">
        <f t="shared" ref="T37:T56" si="17">J37</f>
        <v>326.38900000000001</v>
      </c>
      <c r="U37" s="24">
        <f t="shared" ref="U37:U56" si="18">K37</f>
        <v>0.19714300000000001</v>
      </c>
      <c r="V37" s="22">
        <f t="shared" ref="V37:V56" si="19">((O37*(Q37)^2)/S37)*T37</f>
        <v>0.18551662654296555</v>
      </c>
      <c r="W37" s="49">
        <f t="shared" si="10"/>
        <v>5.8974315380381045E-2</v>
      </c>
    </row>
    <row r="38" spans="2:23" x14ac:dyDescent="0.6">
      <c r="B38" s="2">
        <v>347.38600000000002</v>
      </c>
      <c r="C38" s="1">
        <v>15.3569</v>
      </c>
      <c r="D38" s="2"/>
      <c r="E38" s="1"/>
      <c r="F38" s="2">
        <v>352.721</v>
      </c>
      <c r="G38" s="1">
        <v>-136.161</v>
      </c>
      <c r="H38" s="2">
        <v>349.334</v>
      </c>
      <c r="I38" s="1">
        <v>4.6356599999999997</v>
      </c>
      <c r="J38" s="2">
        <v>351.38900000000001</v>
      </c>
      <c r="K38" s="1">
        <v>0.222857</v>
      </c>
      <c r="N38" s="3">
        <f t="shared" si="11"/>
        <v>347.38600000000002</v>
      </c>
      <c r="O38" s="21">
        <f t="shared" si="12"/>
        <v>153569</v>
      </c>
      <c r="P38" s="3">
        <f t="shared" si="13"/>
        <v>352.721</v>
      </c>
      <c r="Q38" s="17">
        <f t="shared" si="14"/>
        <v>-1.3616099999999999E-4</v>
      </c>
      <c r="R38" s="3">
        <f t="shared" si="15"/>
        <v>349.334</v>
      </c>
      <c r="S38" s="24">
        <f t="shared" si="16"/>
        <v>4.6356599999999997</v>
      </c>
      <c r="T38" s="3">
        <f t="shared" si="17"/>
        <v>351.38900000000001</v>
      </c>
      <c r="U38" s="24">
        <f t="shared" si="18"/>
        <v>0.222857</v>
      </c>
      <c r="V38" s="22">
        <f t="shared" si="19"/>
        <v>0.21581697830985661</v>
      </c>
      <c r="W38" s="49">
        <f t="shared" si="10"/>
        <v>3.1589861167221109E-2</v>
      </c>
    </row>
    <row r="39" spans="2:23" x14ac:dyDescent="0.6">
      <c r="B39" s="2">
        <v>375.16300000000001</v>
      </c>
      <c r="C39" s="1">
        <v>14.921900000000001</v>
      </c>
      <c r="D39" s="2"/>
      <c r="E39" s="1"/>
      <c r="F39" s="2">
        <v>376.53100000000001</v>
      </c>
      <c r="G39" s="1">
        <v>-140.625</v>
      </c>
      <c r="H39" s="2">
        <v>370.82799999999997</v>
      </c>
      <c r="I39" s="1">
        <v>4.5248499999999998</v>
      </c>
      <c r="J39" s="2">
        <v>375</v>
      </c>
      <c r="K39" s="1">
        <v>0.26</v>
      </c>
      <c r="N39" s="3">
        <f t="shared" si="11"/>
        <v>375.16300000000001</v>
      </c>
      <c r="O39" s="21">
        <f t="shared" si="12"/>
        <v>149219</v>
      </c>
      <c r="P39" s="3">
        <f t="shared" si="13"/>
        <v>376.53100000000001</v>
      </c>
      <c r="Q39" s="17">
        <f t="shared" si="14"/>
        <v>-1.4062499999999999E-4</v>
      </c>
      <c r="R39" s="3">
        <f t="shared" si="15"/>
        <v>370.82799999999997</v>
      </c>
      <c r="S39" s="24">
        <f t="shared" si="16"/>
        <v>4.5248499999999998</v>
      </c>
      <c r="T39" s="3">
        <f t="shared" si="17"/>
        <v>375</v>
      </c>
      <c r="U39" s="24">
        <f t="shared" si="18"/>
        <v>0.26</v>
      </c>
      <c r="V39" s="22">
        <f t="shared" si="19"/>
        <v>0.24455484825506987</v>
      </c>
      <c r="W39" s="49">
        <f t="shared" si="10"/>
        <v>5.9404429788192825E-2</v>
      </c>
    </row>
    <row r="40" spans="2:23" x14ac:dyDescent="0.6">
      <c r="B40" s="2">
        <v>401.30700000000002</v>
      </c>
      <c r="C40" s="1">
        <v>14.620799999999999</v>
      </c>
      <c r="D40" s="2"/>
      <c r="E40" s="1"/>
      <c r="F40" s="2">
        <v>402.041</v>
      </c>
      <c r="G40" s="1">
        <v>-145.536</v>
      </c>
      <c r="H40" s="2">
        <v>395.16699999999997</v>
      </c>
      <c r="I40" s="1">
        <v>4.4349100000000004</v>
      </c>
      <c r="J40" s="2">
        <v>400</v>
      </c>
      <c r="K40" s="1">
        <v>0.29142899999999999</v>
      </c>
      <c r="N40" s="3">
        <f t="shared" si="11"/>
        <v>401.30700000000002</v>
      </c>
      <c r="O40" s="21">
        <f t="shared" si="12"/>
        <v>146208</v>
      </c>
      <c r="P40" s="3">
        <f t="shared" si="13"/>
        <v>402.041</v>
      </c>
      <c r="Q40" s="17">
        <f t="shared" si="14"/>
        <v>-1.4553599999999998E-4</v>
      </c>
      <c r="R40" s="3">
        <f t="shared" si="15"/>
        <v>395.16699999999997</v>
      </c>
      <c r="S40" s="24">
        <f t="shared" si="16"/>
        <v>4.4349100000000004</v>
      </c>
      <c r="T40" s="3">
        <f t="shared" si="17"/>
        <v>400</v>
      </c>
      <c r="U40" s="24">
        <f t="shared" si="18"/>
        <v>0.29142899999999999</v>
      </c>
      <c r="V40" s="22">
        <f t="shared" si="19"/>
        <v>0.27931045062863213</v>
      </c>
      <c r="W40" s="49">
        <f t="shared" si="10"/>
        <v>4.158319649509095E-2</v>
      </c>
    </row>
    <row r="41" spans="2:23" x14ac:dyDescent="0.6">
      <c r="B41" s="2">
        <v>425.81700000000001</v>
      </c>
      <c r="C41" s="1">
        <v>14.252800000000001</v>
      </c>
      <c r="D41" s="2"/>
      <c r="E41" s="1"/>
      <c r="F41" s="2">
        <v>427.55099999999999</v>
      </c>
      <c r="G41" s="1">
        <v>-149.554</v>
      </c>
      <c r="H41" s="2">
        <v>423.80700000000002</v>
      </c>
      <c r="I41" s="1">
        <v>4.3172499999999996</v>
      </c>
      <c r="J41" s="2">
        <v>426.38900000000001</v>
      </c>
      <c r="K41" s="1">
        <v>0.325714</v>
      </c>
      <c r="N41" s="3">
        <f t="shared" si="11"/>
        <v>425.81700000000001</v>
      </c>
      <c r="O41" s="21">
        <f t="shared" si="12"/>
        <v>142528</v>
      </c>
      <c r="P41" s="3">
        <f t="shared" si="13"/>
        <v>427.55099999999999</v>
      </c>
      <c r="Q41" s="17">
        <f t="shared" si="14"/>
        <v>-1.4955399999999998E-4</v>
      </c>
      <c r="R41" s="3">
        <f t="shared" si="15"/>
        <v>423.80700000000002</v>
      </c>
      <c r="S41" s="24">
        <f t="shared" si="16"/>
        <v>4.3172499999999996</v>
      </c>
      <c r="T41" s="3">
        <f t="shared" si="17"/>
        <v>426.38900000000001</v>
      </c>
      <c r="U41" s="24">
        <f t="shared" si="18"/>
        <v>0.325714</v>
      </c>
      <c r="V41" s="22">
        <f t="shared" si="19"/>
        <v>0.31484373191841525</v>
      </c>
      <c r="W41" s="49">
        <f t="shared" si="10"/>
        <v>3.3373659350180697E-2</v>
      </c>
    </row>
    <row r="42" spans="2:23" x14ac:dyDescent="0.6">
      <c r="B42" s="2">
        <v>450.327</v>
      </c>
      <c r="C42" s="1">
        <v>13.951700000000001</v>
      </c>
      <c r="D42" s="2"/>
      <c r="E42" s="1"/>
      <c r="F42" s="2">
        <v>454.762</v>
      </c>
      <c r="G42" s="1">
        <v>-153.571</v>
      </c>
      <c r="H42" s="2">
        <v>449.58199999999999</v>
      </c>
      <c r="I42" s="1">
        <v>4.2134400000000003</v>
      </c>
      <c r="J42" s="2">
        <v>448.61099999999999</v>
      </c>
      <c r="K42" s="1">
        <v>0.36571399999999998</v>
      </c>
      <c r="N42" s="3">
        <f t="shared" si="11"/>
        <v>450.327</v>
      </c>
      <c r="O42" s="21">
        <f t="shared" si="12"/>
        <v>139517</v>
      </c>
      <c r="P42" s="3">
        <f t="shared" si="13"/>
        <v>454.762</v>
      </c>
      <c r="Q42" s="17">
        <f t="shared" si="14"/>
        <v>-1.53571E-4</v>
      </c>
      <c r="R42" s="3">
        <f t="shared" si="15"/>
        <v>449.58199999999999</v>
      </c>
      <c r="S42" s="24">
        <f t="shared" si="16"/>
        <v>4.2134400000000003</v>
      </c>
      <c r="T42" s="3">
        <f t="shared" si="17"/>
        <v>448.61099999999999</v>
      </c>
      <c r="U42" s="24">
        <f t="shared" si="18"/>
        <v>0.36571399999999998</v>
      </c>
      <c r="V42" s="22">
        <f t="shared" si="19"/>
        <v>0.35033107208027575</v>
      </c>
      <c r="W42" s="49">
        <f t="shared" si="10"/>
        <v>4.206272639200094E-2</v>
      </c>
    </row>
    <row r="43" spans="2:23" x14ac:dyDescent="0.6">
      <c r="B43" s="2">
        <v>474.83699999999999</v>
      </c>
      <c r="C43" s="1">
        <v>13.683999999999999</v>
      </c>
      <c r="D43" s="2"/>
      <c r="E43" s="1"/>
      <c r="F43" s="2">
        <v>475.17</v>
      </c>
      <c r="G43" s="1">
        <v>-158.036</v>
      </c>
      <c r="H43" s="2">
        <v>475.346</v>
      </c>
      <c r="I43" s="1">
        <v>4.1304600000000002</v>
      </c>
      <c r="J43" s="2">
        <v>475</v>
      </c>
      <c r="K43" s="1">
        <v>0.40857100000000002</v>
      </c>
      <c r="N43" s="3">
        <f t="shared" si="11"/>
        <v>474.83699999999999</v>
      </c>
      <c r="O43" s="21">
        <f t="shared" si="12"/>
        <v>136840</v>
      </c>
      <c r="P43" s="3">
        <f t="shared" si="13"/>
        <v>475.17</v>
      </c>
      <c r="Q43" s="17">
        <f t="shared" si="14"/>
        <v>-1.5803599999999999E-4</v>
      </c>
      <c r="R43" s="3">
        <f t="shared" si="15"/>
        <v>475.346</v>
      </c>
      <c r="S43" s="24">
        <f t="shared" si="16"/>
        <v>4.1304600000000002</v>
      </c>
      <c r="T43" s="3">
        <f t="shared" si="17"/>
        <v>475</v>
      </c>
      <c r="U43" s="24">
        <f t="shared" si="18"/>
        <v>0.40857100000000002</v>
      </c>
      <c r="V43" s="22">
        <f t="shared" si="19"/>
        <v>0.39302512283443092</v>
      </c>
      <c r="W43" s="49">
        <f t="shared" si="10"/>
        <v>3.8049389617885503E-2</v>
      </c>
    </row>
    <row r="44" spans="2:23" x14ac:dyDescent="0.6">
      <c r="B44" s="2">
        <v>500.98</v>
      </c>
      <c r="C44" s="1">
        <v>13.382899999999999</v>
      </c>
      <c r="D44" s="2"/>
      <c r="E44" s="1"/>
      <c r="F44" s="2">
        <v>505.78199999999998</v>
      </c>
      <c r="G44" s="1">
        <v>-162.054</v>
      </c>
      <c r="H44" s="2">
        <v>501.096</v>
      </c>
      <c r="I44" s="1">
        <v>4.0683199999999999</v>
      </c>
      <c r="J44" s="2">
        <v>498.61099999999999</v>
      </c>
      <c r="K44" s="1">
        <v>0.442857</v>
      </c>
      <c r="N44" s="3">
        <f t="shared" si="11"/>
        <v>500.98</v>
      </c>
      <c r="O44" s="21">
        <f t="shared" si="12"/>
        <v>133829</v>
      </c>
      <c r="P44" s="3">
        <f t="shared" si="13"/>
        <v>505.78199999999998</v>
      </c>
      <c r="Q44" s="17">
        <f t="shared" si="14"/>
        <v>-1.6205399999999999E-4</v>
      </c>
      <c r="R44" s="3">
        <f t="shared" si="15"/>
        <v>501.096</v>
      </c>
      <c r="S44" s="24">
        <f t="shared" si="16"/>
        <v>4.0683199999999999</v>
      </c>
      <c r="T44" s="3">
        <f t="shared" si="17"/>
        <v>498.61099999999999</v>
      </c>
      <c r="U44" s="24">
        <f t="shared" si="18"/>
        <v>0.442857</v>
      </c>
      <c r="V44" s="22">
        <f t="shared" si="19"/>
        <v>0.43074127872743623</v>
      </c>
      <c r="W44" s="49">
        <f t="shared" si="10"/>
        <v>2.7358089118075978E-2</v>
      </c>
    </row>
    <row r="45" spans="2:23" x14ac:dyDescent="0.6">
      <c r="B45" s="2">
        <v>523.85599999999999</v>
      </c>
      <c r="C45" s="1">
        <v>13.1487</v>
      </c>
      <c r="D45" s="2"/>
      <c r="E45" s="1"/>
      <c r="F45" s="2">
        <v>529.59199999999998</v>
      </c>
      <c r="G45" s="1">
        <v>-166.071</v>
      </c>
      <c r="H45" s="2">
        <v>525.423</v>
      </c>
      <c r="I45" s="1">
        <v>3.9992100000000002</v>
      </c>
      <c r="J45" s="2">
        <v>520.83299999999997</v>
      </c>
      <c r="K45" s="1">
        <v>0.48857099999999998</v>
      </c>
      <c r="N45" s="3">
        <f t="shared" si="11"/>
        <v>523.85599999999999</v>
      </c>
      <c r="O45" s="21">
        <f t="shared" si="12"/>
        <v>131487</v>
      </c>
      <c r="P45" s="3">
        <f t="shared" si="13"/>
        <v>529.59199999999998</v>
      </c>
      <c r="Q45" s="17">
        <f t="shared" si="14"/>
        <v>-1.66071E-4</v>
      </c>
      <c r="R45" s="3">
        <f t="shared" si="15"/>
        <v>525.423</v>
      </c>
      <c r="S45" s="24">
        <f t="shared" si="16"/>
        <v>3.9992100000000002</v>
      </c>
      <c r="T45" s="3">
        <f t="shared" si="17"/>
        <v>520.83299999999997</v>
      </c>
      <c r="U45" s="24">
        <f t="shared" si="18"/>
        <v>0.48857099999999998</v>
      </c>
      <c r="V45" s="22">
        <f t="shared" si="19"/>
        <v>0.47227472289347783</v>
      </c>
      <c r="W45" s="49">
        <f t="shared" si="10"/>
        <v>3.3354982400760895E-2</v>
      </c>
    </row>
    <row r="46" spans="2:23" x14ac:dyDescent="0.6">
      <c r="B46" s="2">
        <v>551.63400000000001</v>
      </c>
      <c r="C46" s="1">
        <v>12.881</v>
      </c>
      <c r="D46" s="2"/>
      <c r="E46" s="1"/>
      <c r="F46" s="2">
        <v>555.10199999999998</v>
      </c>
      <c r="G46" s="1">
        <v>-169.196</v>
      </c>
      <c r="H46" s="2">
        <v>546.89200000000005</v>
      </c>
      <c r="I46" s="1">
        <v>3.9300600000000001</v>
      </c>
      <c r="J46" s="2">
        <v>550</v>
      </c>
      <c r="K46" s="1">
        <v>0.52285700000000002</v>
      </c>
      <c r="N46" s="3">
        <f t="shared" si="11"/>
        <v>551.63400000000001</v>
      </c>
      <c r="O46" s="21">
        <f t="shared" si="12"/>
        <v>128810</v>
      </c>
      <c r="P46" s="3">
        <f t="shared" si="13"/>
        <v>555.10199999999998</v>
      </c>
      <c r="Q46" s="17">
        <f t="shared" si="14"/>
        <v>-1.6919599999999998E-4</v>
      </c>
      <c r="R46" s="3">
        <f t="shared" si="15"/>
        <v>546.89200000000005</v>
      </c>
      <c r="S46" s="24">
        <f t="shared" si="16"/>
        <v>3.9300600000000001</v>
      </c>
      <c r="T46" s="3">
        <f t="shared" si="17"/>
        <v>550</v>
      </c>
      <c r="U46" s="24">
        <f t="shared" si="18"/>
        <v>0.52285700000000002</v>
      </c>
      <c r="V46" s="22">
        <f t="shared" si="19"/>
        <v>0.51605177014720582</v>
      </c>
      <c r="W46" s="49">
        <f t="shared" si="10"/>
        <v>1.3015470487713069E-2</v>
      </c>
    </row>
    <row r="47" spans="2:23" x14ac:dyDescent="0.6">
      <c r="B47" s="2">
        <v>576.14400000000001</v>
      </c>
      <c r="C47" s="1">
        <v>12.646800000000001</v>
      </c>
      <c r="D47" s="2"/>
      <c r="E47" s="1"/>
      <c r="F47" s="2">
        <v>577.21100000000001</v>
      </c>
      <c r="G47" s="1">
        <v>-174.554</v>
      </c>
      <c r="H47" s="2">
        <v>575.5</v>
      </c>
      <c r="I47" s="1">
        <v>3.8679600000000001</v>
      </c>
      <c r="J47" s="2">
        <v>573.61099999999999</v>
      </c>
      <c r="K47" s="1">
        <v>0.57714299999999996</v>
      </c>
      <c r="N47" s="3">
        <f t="shared" si="11"/>
        <v>576.14400000000001</v>
      </c>
      <c r="O47" s="21">
        <f t="shared" si="12"/>
        <v>126468</v>
      </c>
      <c r="P47" s="3">
        <f t="shared" si="13"/>
        <v>577.21100000000001</v>
      </c>
      <c r="Q47" s="17">
        <f t="shared" si="14"/>
        <v>-1.74554E-4</v>
      </c>
      <c r="R47" s="3">
        <f t="shared" si="15"/>
        <v>575.5</v>
      </c>
      <c r="S47" s="24">
        <f t="shared" si="16"/>
        <v>3.8679600000000001</v>
      </c>
      <c r="T47" s="3">
        <f t="shared" si="17"/>
        <v>573.61099999999999</v>
      </c>
      <c r="U47" s="24">
        <f t="shared" si="18"/>
        <v>0.57714299999999996</v>
      </c>
      <c r="V47" s="22">
        <f t="shared" si="19"/>
        <v>0.57144673823051995</v>
      </c>
      <c r="W47" s="49">
        <f t="shared" si="10"/>
        <v>9.8697580486638761E-3</v>
      </c>
    </row>
    <row r="48" spans="2:23" x14ac:dyDescent="0.6">
      <c r="B48" s="2">
        <v>599.02</v>
      </c>
      <c r="C48" s="1">
        <v>12.412599999999999</v>
      </c>
      <c r="D48" s="2"/>
      <c r="E48" s="1"/>
      <c r="F48" s="2">
        <v>601.02</v>
      </c>
      <c r="G48" s="1">
        <v>-178.571</v>
      </c>
      <c r="H48" s="2">
        <v>598.38499999999999</v>
      </c>
      <c r="I48" s="1">
        <v>3.8196599999999998</v>
      </c>
      <c r="J48" s="2">
        <v>600</v>
      </c>
      <c r="K48" s="1">
        <v>0.62571399999999999</v>
      </c>
      <c r="N48" s="3">
        <f t="shared" si="11"/>
        <v>599.02</v>
      </c>
      <c r="O48" s="21">
        <f t="shared" si="12"/>
        <v>124126</v>
      </c>
      <c r="P48" s="3">
        <f t="shared" si="13"/>
        <v>601.02</v>
      </c>
      <c r="Q48" s="17">
        <f t="shared" si="14"/>
        <v>-1.7857099999999998E-4</v>
      </c>
      <c r="R48" s="3">
        <f t="shared" si="15"/>
        <v>598.38499999999999</v>
      </c>
      <c r="S48" s="24">
        <f t="shared" si="16"/>
        <v>3.8196599999999998</v>
      </c>
      <c r="T48" s="3">
        <f t="shared" si="17"/>
        <v>600</v>
      </c>
      <c r="U48" s="24">
        <f t="shared" si="18"/>
        <v>0.62571399999999999</v>
      </c>
      <c r="V48" s="22">
        <f t="shared" si="19"/>
        <v>0.62174337364181609</v>
      </c>
      <c r="W48" s="49">
        <f t="shared" si="10"/>
        <v>6.3457527851125337E-3</v>
      </c>
    </row>
    <row r="49" spans="2:23" x14ac:dyDescent="0.6">
      <c r="B49" s="2">
        <v>623.529</v>
      </c>
      <c r="C49" s="1">
        <v>12.145</v>
      </c>
      <c r="D49" s="2"/>
      <c r="E49" s="1"/>
      <c r="F49" s="2">
        <v>626.53099999999995</v>
      </c>
      <c r="G49" s="1">
        <v>-181.696</v>
      </c>
      <c r="H49" s="2">
        <v>624.13199999999995</v>
      </c>
      <c r="I49" s="1">
        <v>3.7644700000000002</v>
      </c>
      <c r="J49" s="2">
        <v>625</v>
      </c>
      <c r="K49" s="1">
        <v>0.68</v>
      </c>
      <c r="N49" s="3">
        <f t="shared" si="11"/>
        <v>623.529</v>
      </c>
      <c r="O49" s="21">
        <f t="shared" si="12"/>
        <v>121450</v>
      </c>
      <c r="P49" s="3">
        <f t="shared" si="13"/>
        <v>626.53099999999995</v>
      </c>
      <c r="Q49" s="17">
        <f t="shared" si="14"/>
        <v>-1.8169599999999999E-4</v>
      </c>
      <c r="R49" s="3">
        <f t="shared" si="15"/>
        <v>624.13199999999995</v>
      </c>
      <c r="S49" s="24">
        <f t="shared" si="16"/>
        <v>3.7644700000000002</v>
      </c>
      <c r="T49" s="3">
        <f t="shared" si="17"/>
        <v>625</v>
      </c>
      <c r="U49" s="24">
        <f t="shared" si="18"/>
        <v>0.68</v>
      </c>
      <c r="V49" s="22">
        <f t="shared" si="19"/>
        <v>0.66567834461477959</v>
      </c>
      <c r="W49" s="49">
        <f t="shared" si="10"/>
        <v>2.1061257919441845E-2</v>
      </c>
    </row>
    <row r="50" spans="2:23" x14ac:dyDescent="0.6">
      <c r="B50" s="2">
        <v>646.40499999999997</v>
      </c>
      <c r="C50" s="1">
        <v>11.9108</v>
      </c>
      <c r="D50" s="2"/>
      <c r="E50" s="1"/>
      <c r="F50" s="2">
        <v>648.63900000000001</v>
      </c>
      <c r="G50" s="1">
        <v>-184.375</v>
      </c>
      <c r="H50" s="2">
        <v>648.45000000000005</v>
      </c>
      <c r="I50" s="1">
        <v>3.7092499999999999</v>
      </c>
      <c r="J50" s="2">
        <v>650</v>
      </c>
      <c r="K50" s="1">
        <v>0.72285699999999997</v>
      </c>
      <c r="N50" s="3">
        <f t="shared" si="11"/>
        <v>646.40499999999997</v>
      </c>
      <c r="O50" s="21">
        <f t="shared" si="12"/>
        <v>119108</v>
      </c>
      <c r="P50" s="3">
        <f t="shared" si="13"/>
        <v>648.63900000000001</v>
      </c>
      <c r="Q50" s="17">
        <f t="shared" si="14"/>
        <v>-1.84375E-4</v>
      </c>
      <c r="R50" s="3">
        <f t="shared" si="15"/>
        <v>648.45000000000005</v>
      </c>
      <c r="S50" s="24">
        <f t="shared" si="16"/>
        <v>3.7092499999999999</v>
      </c>
      <c r="T50" s="3">
        <f t="shared" si="17"/>
        <v>650</v>
      </c>
      <c r="U50" s="24">
        <f t="shared" si="18"/>
        <v>0.72285699999999997</v>
      </c>
      <c r="V50" s="22">
        <f t="shared" si="19"/>
        <v>0.70953243001027844</v>
      </c>
      <c r="W50" s="49">
        <f t="shared" si="10"/>
        <v>1.8433203233449404E-2</v>
      </c>
    </row>
    <row r="51" spans="2:23" x14ac:dyDescent="0.6">
      <c r="B51" s="2">
        <v>674.18299999999999</v>
      </c>
      <c r="C51" s="1">
        <v>11.6431</v>
      </c>
      <c r="D51" s="2"/>
      <c r="E51" s="1"/>
      <c r="F51" s="2">
        <v>677.55100000000004</v>
      </c>
      <c r="G51" s="1">
        <v>-189.732</v>
      </c>
      <c r="H51" s="2">
        <v>672.76400000000001</v>
      </c>
      <c r="I51" s="1">
        <v>3.6609699999999998</v>
      </c>
      <c r="J51" s="2">
        <v>676.38900000000001</v>
      </c>
      <c r="K51" s="1">
        <v>0.77142900000000003</v>
      </c>
      <c r="N51" s="3">
        <f t="shared" si="11"/>
        <v>674.18299999999999</v>
      </c>
      <c r="O51" s="21">
        <f t="shared" si="12"/>
        <v>116431</v>
      </c>
      <c r="P51" s="3">
        <f t="shared" si="13"/>
        <v>677.55100000000004</v>
      </c>
      <c r="Q51" s="17">
        <f t="shared" si="14"/>
        <v>-1.8973199999999999E-4</v>
      </c>
      <c r="R51" s="3">
        <f t="shared" si="15"/>
        <v>672.76400000000001</v>
      </c>
      <c r="S51" s="24">
        <f t="shared" si="16"/>
        <v>3.6609699999999998</v>
      </c>
      <c r="T51" s="3">
        <f t="shared" si="17"/>
        <v>676.38900000000001</v>
      </c>
      <c r="U51" s="24">
        <f t="shared" si="18"/>
        <v>0.77142900000000003</v>
      </c>
      <c r="V51" s="22">
        <f t="shared" si="19"/>
        <v>0.77437293044807043</v>
      </c>
      <c r="W51" s="49">
        <f t="shared" si="10"/>
        <v>-3.81620401627421E-3</v>
      </c>
    </row>
    <row r="52" spans="2:23" x14ac:dyDescent="0.6">
      <c r="B52" s="2">
        <v>698.69299999999998</v>
      </c>
      <c r="C52" s="1">
        <v>11.442399999999999</v>
      </c>
      <c r="D52" s="2"/>
      <c r="E52" s="1"/>
      <c r="F52" s="2">
        <v>703.06100000000004</v>
      </c>
      <c r="G52" s="1">
        <v>-192.857</v>
      </c>
      <c r="H52" s="2">
        <v>699.91499999999996</v>
      </c>
      <c r="I52" s="1">
        <v>3.6474600000000001</v>
      </c>
      <c r="J52" s="2">
        <v>700</v>
      </c>
      <c r="K52" s="1">
        <v>0.81714299999999995</v>
      </c>
      <c r="N52" s="3">
        <f t="shared" si="11"/>
        <v>698.69299999999998</v>
      </c>
      <c r="O52" s="21">
        <f t="shared" si="12"/>
        <v>114423.99999999999</v>
      </c>
      <c r="P52" s="3">
        <f t="shared" si="13"/>
        <v>703.06100000000004</v>
      </c>
      <c r="Q52" s="17">
        <f t="shared" si="14"/>
        <v>-1.92857E-4</v>
      </c>
      <c r="R52" s="3">
        <f t="shared" si="15"/>
        <v>699.91499999999996</v>
      </c>
      <c r="S52" s="24">
        <f t="shared" si="16"/>
        <v>3.6474600000000001</v>
      </c>
      <c r="T52" s="3">
        <f t="shared" si="17"/>
        <v>700</v>
      </c>
      <c r="U52" s="24">
        <f t="shared" si="18"/>
        <v>0.81714299999999995</v>
      </c>
      <c r="V52" s="22">
        <f t="shared" si="19"/>
        <v>0.81676184466260437</v>
      </c>
      <c r="W52" s="49">
        <f t="shared" si="10"/>
        <v>4.664487579231271E-4</v>
      </c>
    </row>
    <row r="53" spans="2:23" x14ac:dyDescent="0.6">
      <c r="B53" s="2">
        <v>723.20299999999997</v>
      </c>
      <c r="C53" s="1">
        <v>11.2082</v>
      </c>
      <c r="D53" s="2"/>
      <c r="E53" s="1"/>
      <c r="F53" s="2">
        <v>725.17</v>
      </c>
      <c r="G53" s="1">
        <v>-194.643</v>
      </c>
      <c r="H53" s="2">
        <v>722.78800000000001</v>
      </c>
      <c r="I53" s="1">
        <v>3.62</v>
      </c>
      <c r="J53" s="2">
        <v>726.38900000000001</v>
      </c>
      <c r="K53" s="1">
        <v>0.86285699999999999</v>
      </c>
      <c r="N53" s="3">
        <f t="shared" si="11"/>
        <v>723.20299999999997</v>
      </c>
      <c r="O53" s="21">
        <f t="shared" si="12"/>
        <v>112082</v>
      </c>
      <c r="P53" s="3">
        <f t="shared" si="13"/>
        <v>725.17</v>
      </c>
      <c r="Q53" s="17">
        <f t="shared" si="14"/>
        <v>-1.9464299999999999E-4</v>
      </c>
      <c r="R53" s="3">
        <f t="shared" si="15"/>
        <v>722.78800000000001</v>
      </c>
      <c r="S53" s="24">
        <f t="shared" si="16"/>
        <v>3.62</v>
      </c>
      <c r="T53" s="3">
        <f t="shared" si="17"/>
        <v>726.38900000000001</v>
      </c>
      <c r="U53" s="24">
        <f t="shared" si="18"/>
        <v>0.86285699999999999</v>
      </c>
      <c r="V53" s="22">
        <f t="shared" si="19"/>
        <v>0.85206777289625302</v>
      </c>
      <c r="W53" s="49">
        <f t="shared" si="10"/>
        <v>1.2504073216937415E-2</v>
      </c>
    </row>
    <row r="54" spans="2:23" x14ac:dyDescent="0.6">
      <c r="B54" s="2">
        <v>749.346</v>
      </c>
      <c r="C54" s="1">
        <v>10.974</v>
      </c>
      <c r="D54" s="2"/>
      <c r="E54" s="1"/>
      <c r="F54" s="2">
        <v>750.68</v>
      </c>
      <c r="G54" s="1">
        <v>-196.875</v>
      </c>
      <c r="H54" s="2">
        <v>749.923</v>
      </c>
      <c r="I54" s="1">
        <v>3.6342699999999999</v>
      </c>
      <c r="J54" s="2">
        <v>750</v>
      </c>
      <c r="K54" s="1">
        <v>0.89142900000000003</v>
      </c>
      <c r="N54" s="3">
        <f t="shared" si="11"/>
        <v>749.346</v>
      </c>
      <c r="O54" s="21">
        <f t="shared" si="12"/>
        <v>109740</v>
      </c>
      <c r="P54" s="3">
        <f t="shared" si="13"/>
        <v>750.68</v>
      </c>
      <c r="Q54" s="17">
        <f t="shared" si="14"/>
        <v>-1.96875E-4</v>
      </c>
      <c r="R54" s="3">
        <f t="shared" si="15"/>
        <v>749.923</v>
      </c>
      <c r="S54" s="24">
        <f t="shared" si="16"/>
        <v>3.6342699999999999</v>
      </c>
      <c r="T54" s="3">
        <f t="shared" si="17"/>
        <v>750</v>
      </c>
      <c r="U54" s="24">
        <f t="shared" si="18"/>
        <v>0.89142900000000003</v>
      </c>
      <c r="V54" s="22">
        <f t="shared" si="19"/>
        <v>0.87778907724677158</v>
      </c>
      <c r="W54" s="49">
        <f t="shared" si="10"/>
        <v>1.530118803990946E-2</v>
      </c>
    </row>
    <row r="55" spans="2:23" x14ac:dyDescent="0.6">
      <c r="B55" s="2">
        <v>773.85599999999999</v>
      </c>
      <c r="C55" s="1">
        <v>10.773199999999999</v>
      </c>
      <c r="D55" s="2"/>
      <c r="E55" s="1"/>
      <c r="F55" s="2">
        <v>779.59199999999998</v>
      </c>
      <c r="G55" s="1">
        <v>-198.661</v>
      </c>
      <c r="H55" s="2">
        <v>774.20399999999995</v>
      </c>
      <c r="I55" s="1">
        <v>3.6415500000000001</v>
      </c>
      <c r="J55" s="2">
        <v>772.22199999999998</v>
      </c>
      <c r="K55" s="1">
        <v>0.92</v>
      </c>
      <c r="N55" s="3">
        <f t="shared" si="11"/>
        <v>773.85599999999999</v>
      </c>
      <c r="O55" s="21">
        <f t="shared" si="12"/>
        <v>107731.99999999999</v>
      </c>
      <c r="P55" s="3">
        <f t="shared" si="13"/>
        <v>779.59199999999998</v>
      </c>
      <c r="Q55" s="17">
        <f t="shared" si="14"/>
        <v>-1.9866099999999999E-4</v>
      </c>
      <c r="R55" s="3">
        <f t="shared" si="15"/>
        <v>774.20399999999995</v>
      </c>
      <c r="S55" s="24">
        <f t="shared" si="16"/>
        <v>3.6415500000000001</v>
      </c>
      <c r="T55" s="3">
        <f t="shared" si="17"/>
        <v>772.22199999999998</v>
      </c>
      <c r="U55" s="24">
        <f t="shared" si="18"/>
        <v>0.92</v>
      </c>
      <c r="V55" s="22">
        <f t="shared" si="19"/>
        <v>0.90162480177165549</v>
      </c>
      <c r="W55" s="49">
        <f t="shared" si="10"/>
        <v>1.9973041552548421E-2</v>
      </c>
    </row>
    <row r="56" spans="2:23" x14ac:dyDescent="0.6">
      <c r="B56" s="28"/>
      <c r="C56" s="29"/>
      <c r="D56" s="28"/>
      <c r="E56" s="29"/>
      <c r="F56" s="28">
        <v>803.40099999999995</v>
      </c>
      <c r="G56" s="29">
        <v>-200.893</v>
      </c>
      <c r="H56" s="28">
        <v>798.49</v>
      </c>
      <c r="I56" s="29">
        <v>3.6418900000000001</v>
      </c>
      <c r="J56" s="28">
        <v>798.61099999999999</v>
      </c>
      <c r="K56" s="29">
        <v>0.95142899999999997</v>
      </c>
      <c r="N56" s="32"/>
      <c r="O56" s="33"/>
      <c r="P56" s="32">
        <f t="shared" si="13"/>
        <v>803.40099999999995</v>
      </c>
      <c r="Q56" s="34">
        <f t="shared" si="14"/>
        <v>-2.00893E-4</v>
      </c>
      <c r="R56" s="32">
        <f t="shared" si="15"/>
        <v>798.49</v>
      </c>
      <c r="S56" s="35">
        <f t="shared" si="16"/>
        <v>3.6418900000000001</v>
      </c>
      <c r="T56" s="32">
        <f t="shared" si="17"/>
        <v>798.61099999999999</v>
      </c>
      <c r="U56" s="35">
        <f t="shared" si="18"/>
        <v>0.95142899999999997</v>
      </c>
      <c r="V56" s="22">
        <f t="shared" si="19"/>
        <v>0</v>
      </c>
      <c r="W56" s="49">
        <f t="shared" si="10"/>
        <v>1</v>
      </c>
    </row>
    <row r="57" spans="2:23" x14ac:dyDescent="0.6">
      <c r="O57"/>
      <c r="Q57"/>
      <c r="S57"/>
      <c r="U57"/>
      <c r="V57"/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A1:W4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31"/>
      <c r="C7" s="31"/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31"/>
      <c r="C8" s="31"/>
      <c r="D8" s="11" t="s">
        <v>4</v>
      </c>
      <c r="E8" s="10" t="s">
        <v>32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1"/>
      <c r="C9" s="31"/>
      <c r="D9" s="3">
        <v>298.67500000000001</v>
      </c>
      <c r="E9" s="4">
        <v>3.8835600000000001</v>
      </c>
      <c r="F9" s="3">
        <v>297.83600000000001</v>
      </c>
      <c r="G9" s="4">
        <v>-108.199</v>
      </c>
      <c r="H9" s="3">
        <v>299.77499999999998</v>
      </c>
      <c r="I9" s="4">
        <v>4.5000200000000001</v>
      </c>
      <c r="J9" s="3">
        <v>299.50400000000002</v>
      </c>
      <c r="K9" s="4">
        <v>0.20182800000000001</v>
      </c>
      <c r="N9" s="3">
        <f>D9</f>
        <v>298.67500000000001</v>
      </c>
      <c r="O9" s="21">
        <f>1/(E9*(10^(-6)))</f>
        <v>257495.69982181297</v>
      </c>
      <c r="P9" s="3">
        <f>F9</f>
        <v>297.83600000000001</v>
      </c>
      <c r="Q9" s="17">
        <f>G9*(10^(-6))</f>
        <v>-1.08199E-4</v>
      </c>
      <c r="R9" s="3">
        <f>H9</f>
        <v>299.77499999999998</v>
      </c>
      <c r="S9" s="24">
        <f>I9</f>
        <v>4.5000200000000001</v>
      </c>
      <c r="T9" s="3">
        <f>J9</f>
        <v>299.50400000000002</v>
      </c>
      <c r="U9" s="51">
        <f>K9</f>
        <v>0.20182800000000001</v>
      </c>
      <c r="V9" s="42">
        <f>((O9*(Q9)^2)/S9)*T9</f>
        <v>0.20063405816117433</v>
      </c>
      <c r="W9" s="49">
        <f t="shared" ref="W9:W19" si="0">(U9-V9)/U9</f>
        <v>5.9156402423136507E-3</v>
      </c>
    </row>
    <row r="10" spans="1:23" x14ac:dyDescent="0.6">
      <c r="B10" s="31"/>
      <c r="C10" s="31"/>
      <c r="D10" s="3">
        <v>349.38099999999997</v>
      </c>
      <c r="E10" s="4">
        <v>4.2180499999999999</v>
      </c>
      <c r="F10" s="3">
        <v>346.89800000000002</v>
      </c>
      <c r="G10" s="4">
        <v>-116.04600000000001</v>
      </c>
      <c r="H10" s="3">
        <v>350.28199999999998</v>
      </c>
      <c r="I10" s="4">
        <v>4.3479999999999999</v>
      </c>
      <c r="J10" s="3">
        <v>348.85500000000002</v>
      </c>
      <c r="K10" s="4">
        <v>0.258164</v>
      </c>
      <c r="N10" s="3">
        <f t="shared" ref="N10:N19" si="1">D10</f>
        <v>349.38099999999997</v>
      </c>
      <c r="O10" s="21">
        <f t="shared" ref="O10:O19" si="2">1/(E10*(10^(-6)))</f>
        <v>237076.37415393372</v>
      </c>
      <c r="P10" s="3">
        <f t="shared" ref="P10:P19" si="3">F10</f>
        <v>346.89800000000002</v>
      </c>
      <c r="Q10" s="17">
        <f t="shared" ref="Q10:Q19" si="4">G10*(10^(-6))</f>
        <v>-1.1604600000000001E-4</v>
      </c>
      <c r="R10" s="3">
        <f t="shared" ref="R10:R19" si="5">H10</f>
        <v>350.28199999999998</v>
      </c>
      <c r="S10" s="24">
        <f t="shared" ref="S10:S19" si="6">I10</f>
        <v>4.3479999999999999</v>
      </c>
      <c r="T10" s="3">
        <f t="shared" ref="T10:T19" si="7">J10</f>
        <v>348.85500000000002</v>
      </c>
      <c r="U10" s="51">
        <f t="shared" ref="U10:U19" si="8">K10</f>
        <v>0.258164</v>
      </c>
      <c r="V10" s="42">
        <f t="shared" ref="V10:V19" si="9">((O10*(Q10)^2)/S10)*T10</f>
        <v>0.2561557114319668</v>
      </c>
      <c r="W10" s="49">
        <f t="shared" si="0"/>
        <v>7.7791193506189888E-3</v>
      </c>
    </row>
    <row r="11" spans="1:23" x14ac:dyDescent="0.6">
      <c r="B11" s="31"/>
      <c r="C11" s="31"/>
      <c r="D11" s="2">
        <v>399.39100000000002</v>
      </c>
      <c r="E11" s="1">
        <v>4.5244799999999996</v>
      </c>
      <c r="F11" s="2">
        <v>400.28899999999999</v>
      </c>
      <c r="G11" s="1">
        <v>-125.101</v>
      </c>
      <c r="H11" s="2">
        <v>400.12299999999999</v>
      </c>
      <c r="I11" s="1">
        <v>4.2310100000000004</v>
      </c>
      <c r="J11" s="2">
        <v>399.63</v>
      </c>
      <c r="K11" s="1">
        <v>0.32953500000000002</v>
      </c>
      <c r="N11" s="3">
        <f t="shared" si="1"/>
        <v>399.39100000000002</v>
      </c>
      <c r="O11" s="21">
        <f t="shared" si="2"/>
        <v>221019.87410707976</v>
      </c>
      <c r="P11" s="3">
        <f t="shared" si="3"/>
        <v>400.28899999999999</v>
      </c>
      <c r="Q11" s="17">
        <f t="shared" si="4"/>
        <v>-1.2510099999999999E-4</v>
      </c>
      <c r="R11" s="3">
        <f t="shared" si="5"/>
        <v>400.12299999999999</v>
      </c>
      <c r="S11" s="24">
        <f t="shared" si="6"/>
        <v>4.2310100000000004</v>
      </c>
      <c r="T11" s="3">
        <f t="shared" si="7"/>
        <v>399.63</v>
      </c>
      <c r="U11" s="51">
        <f t="shared" si="8"/>
        <v>0.32953500000000002</v>
      </c>
      <c r="V11" s="42">
        <f t="shared" si="9"/>
        <v>0.32671338023017149</v>
      </c>
      <c r="W11" s="49">
        <f t="shared" si="0"/>
        <v>8.5624281785805188E-3</v>
      </c>
    </row>
    <row r="12" spans="1:23" x14ac:dyDescent="0.6">
      <c r="B12" s="31"/>
      <c r="C12" s="31"/>
      <c r="D12" s="2">
        <v>448.70400000000001</v>
      </c>
      <c r="E12" s="1">
        <v>4.7465999999999999</v>
      </c>
      <c r="F12" s="2">
        <v>448.62900000000002</v>
      </c>
      <c r="G12" s="1">
        <v>-132.042</v>
      </c>
      <c r="H12" s="2">
        <v>448.584</v>
      </c>
      <c r="I12" s="1">
        <v>4.1240699999999997</v>
      </c>
      <c r="J12" s="2">
        <v>449.02300000000002</v>
      </c>
      <c r="K12" s="1">
        <v>0.428039</v>
      </c>
      <c r="N12" s="3">
        <f t="shared" si="1"/>
        <v>448.70400000000001</v>
      </c>
      <c r="O12" s="21">
        <f t="shared" si="2"/>
        <v>210677.11625163277</v>
      </c>
      <c r="P12" s="3">
        <f t="shared" si="3"/>
        <v>448.62900000000002</v>
      </c>
      <c r="Q12" s="17">
        <f t="shared" si="4"/>
        <v>-1.3204199999999999E-4</v>
      </c>
      <c r="R12" s="3">
        <f t="shared" si="5"/>
        <v>448.584</v>
      </c>
      <c r="S12" s="24">
        <f t="shared" si="6"/>
        <v>4.1240699999999997</v>
      </c>
      <c r="T12" s="3">
        <f t="shared" si="7"/>
        <v>449.02300000000002</v>
      </c>
      <c r="U12" s="51">
        <f t="shared" si="8"/>
        <v>0.428039</v>
      </c>
      <c r="V12" s="42">
        <f t="shared" si="9"/>
        <v>0.39993011841686466</v>
      </c>
      <c r="W12" s="49">
        <f t="shared" si="0"/>
        <v>6.5668973114915569E-2</v>
      </c>
    </row>
    <row r="13" spans="1:23" x14ac:dyDescent="0.6">
      <c r="D13" s="2">
        <v>500.10399999999998</v>
      </c>
      <c r="E13" s="1">
        <v>5.0529500000000001</v>
      </c>
      <c r="F13" s="2">
        <v>498.41300000000001</v>
      </c>
      <c r="G13" s="1">
        <v>-138.68199999999999</v>
      </c>
      <c r="H13" s="2">
        <v>501.89600000000002</v>
      </c>
      <c r="I13" s="1">
        <v>4.0119300000000004</v>
      </c>
      <c r="J13" s="2">
        <v>499.82799999999997</v>
      </c>
      <c r="K13" s="1">
        <v>0.52952999999999995</v>
      </c>
      <c r="N13" s="3">
        <f t="shared" si="1"/>
        <v>500.10399999999998</v>
      </c>
      <c r="O13" s="21">
        <f t="shared" si="2"/>
        <v>197904.19457940414</v>
      </c>
      <c r="P13" s="3">
        <f t="shared" si="3"/>
        <v>498.41300000000001</v>
      </c>
      <c r="Q13" s="17">
        <f t="shared" si="4"/>
        <v>-1.3868199999999997E-4</v>
      </c>
      <c r="R13" s="3">
        <f t="shared" si="5"/>
        <v>501.89600000000002</v>
      </c>
      <c r="S13" s="24">
        <f t="shared" si="6"/>
        <v>4.0119300000000004</v>
      </c>
      <c r="T13" s="3">
        <f t="shared" si="7"/>
        <v>499.82799999999997</v>
      </c>
      <c r="U13" s="51">
        <f t="shared" si="8"/>
        <v>0.52952999999999995</v>
      </c>
      <c r="V13" s="42">
        <f t="shared" si="9"/>
        <v>0.47420095693364211</v>
      </c>
      <c r="W13" s="49">
        <f t="shared" si="0"/>
        <v>0.10448707923320272</v>
      </c>
    </row>
    <row r="14" spans="1:23" x14ac:dyDescent="0.6">
      <c r="D14" s="2">
        <v>549.41999999999996</v>
      </c>
      <c r="E14" s="1">
        <v>5.3594099999999996</v>
      </c>
      <c r="F14" s="2">
        <v>548.91800000000001</v>
      </c>
      <c r="G14" s="1">
        <v>-146.83099999999999</v>
      </c>
      <c r="H14" s="2">
        <v>550.36099999999999</v>
      </c>
      <c r="I14" s="1">
        <v>3.9099900000000001</v>
      </c>
      <c r="J14" s="2">
        <v>549.21500000000003</v>
      </c>
      <c r="K14" s="1">
        <v>0.62200999999999995</v>
      </c>
      <c r="N14" s="3">
        <f t="shared" si="1"/>
        <v>549.41999999999996</v>
      </c>
      <c r="O14" s="21">
        <f t="shared" si="2"/>
        <v>186587.70275086252</v>
      </c>
      <c r="P14" s="3">
        <f t="shared" si="3"/>
        <v>548.91800000000001</v>
      </c>
      <c r="Q14" s="17">
        <f t="shared" si="4"/>
        <v>-1.4683099999999999E-4</v>
      </c>
      <c r="R14" s="3">
        <f t="shared" si="5"/>
        <v>550.36099999999999</v>
      </c>
      <c r="S14" s="24">
        <f t="shared" si="6"/>
        <v>3.9099900000000001</v>
      </c>
      <c r="T14" s="3">
        <f t="shared" si="7"/>
        <v>549.21500000000003</v>
      </c>
      <c r="U14" s="51">
        <f t="shared" si="8"/>
        <v>0.62200999999999995</v>
      </c>
      <c r="V14" s="42">
        <f t="shared" si="9"/>
        <v>0.56504791182681691</v>
      </c>
      <c r="W14" s="49">
        <f t="shared" si="0"/>
        <v>9.1577447586345964E-2</v>
      </c>
    </row>
    <row r="15" spans="1:23" x14ac:dyDescent="0.6">
      <c r="D15" s="2">
        <v>600.12199999999996</v>
      </c>
      <c r="E15" s="1">
        <v>5.5814599999999999</v>
      </c>
      <c r="F15" s="2">
        <v>598.70100000000002</v>
      </c>
      <c r="G15" s="1">
        <v>-154.97999999999999</v>
      </c>
      <c r="H15" s="2">
        <v>601.60799999999995</v>
      </c>
      <c r="I15" s="1">
        <v>3.8179400000000001</v>
      </c>
      <c r="J15" s="2">
        <v>600.721</v>
      </c>
      <c r="K15" s="1">
        <v>0.72047600000000001</v>
      </c>
      <c r="N15" s="3">
        <f t="shared" si="1"/>
        <v>600.12199999999996</v>
      </c>
      <c r="O15" s="21">
        <f t="shared" si="2"/>
        <v>179164.59134348363</v>
      </c>
      <c r="P15" s="3">
        <f t="shared" si="3"/>
        <v>598.70100000000002</v>
      </c>
      <c r="Q15" s="17">
        <f t="shared" si="4"/>
        <v>-1.5497999999999998E-4</v>
      </c>
      <c r="R15" s="3">
        <f t="shared" si="5"/>
        <v>601.60799999999995</v>
      </c>
      <c r="S15" s="24">
        <f t="shared" si="6"/>
        <v>3.8179400000000001</v>
      </c>
      <c r="T15" s="3">
        <f t="shared" si="7"/>
        <v>600.721</v>
      </c>
      <c r="U15" s="51">
        <f t="shared" si="8"/>
        <v>0.72047600000000001</v>
      </c>
      <c r="V15" s="42">
        <f t="shared" si="9"/>
        <v>0.67709126587020774</v>
      </c>
      <c r="W15" s="49">
        <f t="shared" si="0"/>
        <v>6.0216765207713054E-2</v>
      </c>
    </row>
    <row r="16" spans="1:23" x14ac:dyDescent="0.6">
      <c r="D16" s="2">
        <v>649.43799999999999</v>
      </c>
      <c r="E16" s="1">
        <v>5.8879200000000003</v>
      </c>
      <c r="F16" s="2">
        <v>650.649</v>
      </c>
      <c r="G16" s="1">
        <v>-161.62</v>
      </c>
      <c r="H16" s="2">
        <v>651.48299999999995</v>
      </c>
      <c r="I16" s="1">
        <v>3.7459500000000001</v>
      </c>
      <c r="J16" s="2">
        <v>650.81799999999998</v>
      </c>
      <c r="K16" s="1">
        <v>0.81896800000000003</v>
      </c>
      <c r="N16" s="3">
        <f t="shared" si="1"/>
        <v>649.43799999999999</v>
      </c>
      <c r="O16" s="21">
        <f t="shared" si="2"/>
        <v>169839.26412043642</v>
      </c>
      <c r="P16" s="3">
        <f t="shared" si="3"/>
        <v>650.649</v>
      </c>
      <c r="Q16" s="17">
        <f t="shared" si="4"/>
        <v>-1.6161999999999999E-4</v>
      </c>
      <c r="R16" s="3">
        <f t="shared" si="5"/>
        <v>651.48299999999995</v>
      </c>
      <c r="S16" s="24">
        <f t="shared" si="6"/>
        <v>3.7459500000000001</v>
      </c>
      <c r="T16" s="3">
        <f t="shared" si="7"/>
        <v>650.81799999999998</v>
      </c>
      <c r="U16" s="51">
        <f t="shared" si="8"/>
        <v>0.81896800000000003</v>
      </c>
      <c r="V16" s="42">
        <f t="shared" si="9"/>
        <v>0.77077191917111265</v>
      </c>
      <c r="W16" s="49">
        <f t="shared" si="0"/>
        <v>5.884977292017194E-2</v>
      </c>
    </row>
    <row r="17" spans="4:23" x14ac:dyDescent="0.6">
      <c r="D17" s="2">
        <v>701.53</v>
      </c>
      <c r="E17" s="1">
        <v>6.1379999999999999</v>
      </c>
      <c r="F17" s="2">
        <v>699.71100000000001</v>
      </c>
      <c r="G17" s="1">
        <v>-170.07</v>
      </c>
      <c r="H17" s="2">
        <v>701.34299999999996</v>
      </c>
      <c r="I17" s="1">
        <v>3.65395</v>
      </c>
      <c r="J17" s="2">
        <v>700.92100000000005</v>
      </c>
      <c r="K17" s="1">
        <v>0.92348300000000005</v>
      </c>
      <c r="N17" s="3">
        <f t="shared" si="1"/>
        <v>701.53</v>
      </c>
      <c r="O17" s="21">
        <f t="shared" si="2"/>
        <v>162919.51775822745</v>
      </c>
      <c r="P17" s="3">
        <f t="shared" si="3"/>
        <v>699.71100000000001</v>
      </c>
      <c r="Q17" s="17">
        <f t="shared" si="4"/>
        <v>-1.7006999999999998E-4</v>
      </c>
      <c r="R17" s="3">
        <f t="shared" si="5"/>
        <v>701.34299999999996</v>
      </c>
      <c r="S17" s="24">
        <f t="shared" si="6"/>
        <v>3.65395</v>
      </c>
      <c r="T17" s="3">
        <f t="shared" si="7"/>
        <v>700.92100000000005</v>
      </c>
      <c r="U17" s="51">
        <f t="shared" si="8"/>
        <v>0.92348300000000005</v>
      </c>
      <c r="V17" s="42">
        <f t="shared" si="9"/>
        <v>0.90393043874148304</v>
      </c>
      <c r="W17" s="49">
        <f t="shared" si="0"/>
        <v>2.1172627171823419E-2</v>
      </c>
    </row>
    <row r="18" spans="4:23" x14ac:dyDescent="0.6">
      <c r="D18" s="2">
        <v>749.45500000000004</v>
      </c>
      <c r="E18" s="1">
        <v>6.3883200000000002</v>
      </c>
      <c r="F18" s="2">
        <v>748.77300000000002</v>
      </c>
      <c r="G18" s="1">
        <v>-176.107</v>
      </c>
      <c r="H18" s="2">
        <v>750.55600000000004</v>
      </c>
      <c r="I18" s="1">
        <v>3.6219800000000002</v>
      </c>
      <c r="J18" s="2">
        <v>751.02700000000004</v>
      </c>
      <c r="K18" s="1">
        <v>1.03101</v>
      </c>
      <c r="N18" s="3">
        <f t="shared" si="1"/>
        <v>749.45500000000004</v>
      </c>
      <c r="O18" s="21">
        <f t="shared" si="2"/>
        <v>156535.67761164124</v>
      </c>
      <c r="P18" s="3">
        <f t="shared" si="3"/>
        <v>748.77300000000002</v>
      </c>
      <c r="Q18" s="17">
        <f t="shared" si="4"/>
        <v>-1.76107E-4</v>
      </c>
      <c r="R18" s="3">
        <f t="shared" si="5"/>
        <v>750.55600000000004</v>
      </c>
      <c r="S18" s="24">
        <f t="shared" si="6"/>
        <v>3.6219800000000002</v>
      </c>
      <c r="T18" s="3">
        <f t="shared" si="7"/>
        <v>751.02700000000004</v>
      </c>
      <c r="U18" s="51">
        <f t="shared" si="8"/>
        <v>1.03101</v>
      </c>
      <c r="V18" s="42">
        <f t="shared" si="9"/>
        <v>1.0066443909381426</v>
      </c>
      <c r="W18" s="49">
        <f t="shared" si="0"/>
        <v>2.3632757259248079E-2</v>
      </c>
    </row>
    <row r="19" spans="4:23" x14ac:dyDescent="0.6">
      <c r="D19" s="2">
        <v>800.85</v>
      </c>
      <c r="E19" s="1">
        <v>6.5541</v>
      </c>
      <c r="F19" s="2">
        <v>800</v>
      </c>
      <c r="G19" s="1">
        <v>-183.95400000000001</v>
      </c>
      <c r="H19" s="2">
        <v>800.43899999999996</v>
      </c>
      <c r="I19" s="1">
        <v>3.55999</v>
      </c>
      <c r="J19" s="2">
        <v>800.46500000000003</v>
      </c>
      <c r="K19" s="1">
        <v>1.17469</v>
      </c>
      <c r="N19" s="2">
        <f t="shared" si="1"/>
        <v>800.85</v>
      </c>
      <c r="O19" s="21">
        <f t="shared" si="2"/>
        <v>152576.24998092797</v>
      </c>
      <c r="P19" s="2">
        <f t="shared" si="3"/>
        <v>800</v>
      </c>
      <c r="Q19" s="17">
        <f t="shared" si="4"/>
        <v>-1.8395400000000001E-4</v>
      </c>
      <c r="R19" s="2">
        <f t="shared" si="5"/>
        <v>800.43899999999996</v>
      </c>
      <c r="S19" s="45">
        <f t="shared" si="6"/>
        <v>3.55999</v>
      </c>
      <c r="T19" s="2">
        <f t="shared" si="7"/>
        <v>800.46500000000003</v>
      </c>
      <c r="U19" s="54">
        <f t="shared" si="8"/>
        <v>1.17469</v>
      </c>
      <c r="V19" s="42">
        <f t="shared" si="9"/>
        <v>1.1609111369151024</v>
      </c>
      <c r="W19" s="49">
        <f t="shared" si="0"/>
        <v>1.1729786654264204E-2</v>
      </c>
    </row>
    <row r="20" spans="4:23" x14ac:dyDescent="0.6">
      <c r="O20"/>
      <c r="Q20"/>
      <c r="S20"/>
      <c r="U20"/>
      <c r="V20"/>
    </row>
    <row r="21" spans="4:23" x14ac:dyDescent="0.6">
      <c r="O21"/>
      <c r="Q21"/>
      <c r="S21"/>
      <c r="U21"/>
      <c r="V21"/>
    </row>
    <row r="22" spans="4:23" x14ac:dyDescent="0.6">
      <c r="O22"/>
      <c r="Q22"/>
      <c r="S22"/>
      <c r="U22"/>
      <c r="V22"/>
    </row>
    <row r="23" spans="4:23" x14ac:dyDescent="0.6">
      <c r="O23"/>
      <c r="Q23"/>
      <c r="S23"/>
      <c r="U23"/>
      <c r="V23"/>
    </row>
    <row r="24" spans="4:23" x14ac:dyDescent="0.6">
      <c r="O24"/>
      <c r="Q24"/>
      <c r="S24"/>
      <c r="U24"/>
      <c r="V24"/>
    </row>
    <row r="25" spans="4:23" x14ac:dyDescent="0.6">
      <c r="O25"/>
      <c r="Q25"/>
      <c r="S25"/>
      <c r="U25"/>
      <c r="V25"/>
    </row>
    <row r="26" spans="4:23" x14ac:dyDescent="0.6">
      <c r="O26"/>
      <c r="Q26"/>
      <c r="S26"/>
      <c r="U26"/>
      <c r="V26"/>
    </row>
    <row r="27" spans="4:23" x14ac:dyDescent="0.6">
      <c r="O27"/>
      <c r="Q27"/>
      <c r="S27"/>
      <c r="U27"/>
      <c r="V27"/>
    </row>
    <row r="28" spans="4:23" x14ac:dyDescent="0.6">
      <c r="O28"/>
      <c r="Q28"/>
      <c r="S28"/>
      <c r="U28"/>
      <c r="V28"/>
    </row>
    <row r="29" spans="4:23" x14ac:dyDescent="0.6">
      <c r="O29"/>
      <c r="Q29"/>
      <c r="S29"/>
      <c r="U29"/>
      <c r="V29"/>
    </row>
    <row r="30" spans="4:23" x14ac:dyDescent="0.6">
      <c r="O30"/>
      <c r="Q30"/>
      <c r="S30"/>
      <c r="U30"/>
      <c r="V30"/>
    </row>
    <row r="31" spans="4:23" x14ac:dyDescent="0.6">
      <c r="O31"/>
      <c r="Q31"/>
      <c r="S31"/>
      <c r="U31"/>
      <c r="V31"/>
    </row>
    <row r="32" spans="4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371.78699999999998</v>
      </c>
      <c r="C9" s="4">
        <v>1563.49</v>
      </c>
      <c r="D9" s="3"/>
      <c r="E9" s="4"/>
      <c r="F9" s="3">
        <v>373.23059360730502</v>
      </c>
      <c r="G9" s="4">
        <v>37.491700735631198</v>
      </c>
      <c r="H9" s="3">
        <v>373.11599999999999</v>
      </c>
      <c r="I9" s="4">
        <v>3.7494800000000001</v>
      </c>
      <c r="J9" s="3">
        <v>374.71699999999998</v>
      </c>
      <c r="K9" s="4">
        <v>2.1857700000000001E-2</v>
      </c>
      <c r="N9" s="3">
        <f>B9</f>
        <v>371.78699999999998</v>
      </c>
      <c r="O9" s="21">
        <f>C9/(10^(-2))</f>
        <v>156349</v>
      </c>
      <c r="P9" s="3">
        <f>F9</f>
        <v>373.23059360730502</v>
      </c>
      <c r="Q9" s="17">
        <f>G9*(10^(-6))</f>
        <v>3.74917007356312E-5</v>
      </c>
      <c r="R9" s="3">
        <f>H9</f>
        <v>373.11599999999999</v>
      </c>
      <c r="S9" s="24">
        <f>I9</f>
        <v>3.7494800000000001</v>
      </c>
      <c r="T9" s="3">
        <f>J9</f>
        <v>374.71699999999998</v>
      </c>
      <c r="U9" s="51">
        <f>K9</f>
        <v>2.1857700000000001E-2</v>
      </c>
      <c r="V9" s="42">
        <f>((O9*(Q9)^2)/S9)*T9</f>
        <v>2.1963307723807033E-2</v>
      </c>
      <c r="W9" s="49">
        <f t="shared" ref="W9" si="0">(U9-V9)/U9</f>
        <v>-4.8316027673100228E-3</v>
      </c>
    </row>
    <row r="10" spans="1:23" x14ac:dyDescent="0.6">
      <c r="B10" s="3">
        <v>397.71699999999998</v>
      </c>
      <c r="C10" s="4">
        <v>1485.24</v>
      </c>
      <c r="D10" s="3"/>
      <c r="E10" s="4"/>
      <c r="F10" s="3">
        <v>397.203196347031</v>
      </c>
      <c r="G10" s="4">
        <v>40.7400392681146</v>
      </c>
      <c r="H10" s="3">
        <v>398.54500000000002</v>
      </c>
      <c r="I10" s="4">
        <v>3.64046</v>
      </c>
      <c r="J10" s="3">
        <v>399.435</v>
      </c>
      <c r="K10" s="4">
        <v>2.73913E-2</v>
      </c>
      <c r="N10" s="3">
        <f t="shared" ref="N10:N25" si="1">B10</f>
        <v>397.71699999999998</v>
      </c>
      <c r="O10" s="21">
        <f t="shared" ref="O10:O25" si="2">C10/(10^(-2))</f>
        <v>148524</v>
      </c>
      <c r="P10" s="3">
        <f t="shared" ref="P10:P25" si="3">F10</f>
        <v>397.203196347031</v>
      </c>
      <c r="Q10" s="17">
        <f t="shared" ref="Q10:Q25" si="4">G10*(10^(-6))</f>
        <v>4.0740039268114598E-5</v>
      </c>
      <c r="R10" s="3">
        <f t="shared" ref="R10:U25" si="5">H10</f>
        <v>398.54500000000002</v>
      </c>
      <c r="S10" s="24">
        <f t="shared" si="5"/>
        <v>3.64046</v>
      </c>
      <c r="T10" s="3">
        <f t="shared" si="5"/>
        <v>399.435</v>
      </c>
      <c r="U10" s="51">
        <f t="shared" si="5"/>
        <v>2.73913E-2</v>
      </c>
      <c r="V10" s="42">
        <f t="shared" ref="V10:V25" si="6">((O10*(Q10)^2)/S10)*T10</f>
        <v>2.7047639956023394E-2</v>
      </c>
      <c r="W10" s="49">
        <f t="shared" ref="W10:W25" si="7">(U10-V10)/U10</f>
        <v>1.2546321057292139E-2</v>
      </c>
    </row>
    <row r="11" spans="1:23" x14ac:dyDescent="0.6">
      <c r="B11" s="2">
        <v>421.42200000000003</v>
      </c>
      <c r="C11" s="1">
        <v>1401.44</v>
      </c>
      <c r="D11" s="2"/>
      <c r="E11" s="1"/>
      <c r="F11" s="2">
        <v>422.37442922374402</v>
      </c>
      <c r="G11" s="1">
        <v>44.412463751267403</v>
      </c>
      <c r="H11" s="2">
        <v>423.202</v>
      </c>
      <c r="I11" s="1">
        <v>3.53145</v>
      </c>
      <c r="J11" s="2">
        <v>424.15199999999999</v>
      </c>
      <c r="K11" s="1">
        <v>3.29249E-2</v>
      </c>
      <c r="N11" s="3">
        <f t="shared" si="1"/>
        <v>421.42200000000003</v>
      </c>
      <c r="O11" s="21">
        <f t="shared" si="2"/>
        <v>140144</v>
      </c>
      <c r="P11" s="3">
        <f t="shared" si="3"/>
        <v>422.37442922374402</v>
      </c>
      <c r="Q11" s="17">
        <f t="shared" si="4"/>
        <v>4.4412463751267403E-5</v>
      </c>
      <c r="R11" s="3">
        <f t="shared" si="5"/>
        <v>423.202</v>
      </c>
      <c r="S11" s="24">
        <f t="shared" si="5"/>
        <v>3.53145</v>
      </c>
      <c r="T11" s="3">
        <f t="shared" si="5"/>
        <v>424.15199999999999</v>
      </c>
      <c r="U11" s="51">
        <f t="shared" si="5"/>
        <v>3.29249E-2</v>
      </c>
      <c r="V11" s="42">
        <f t="shared" si="6"/>
        <v>3.3201117263209748E-2</v>
      </c>
      <c r="W11" s="49">
        <f t="shared" si="7"/>
        <v>-8.3893121379183498E-3</v>
      </c>
    </row>
    <row r="12" spans="1:23" x14ac:dyDescent="0.6">
      <c r="B12" s="2">
        <v>448.83800000000002</v>
      </c>
      <c r="C12" s="1">
        <v>1334.3</v>
      </c>
      <c r="D12" s="2"/>
      <c r="E12" s="1"/>
      <c r="F12" s="2">
        <v>447.945205479452</v>
      </c>
      <c r="G12" s="1">
        <v>47.872643428726398</v>
      </c>
      <c r="H12" s="2">
        <v>449.40100000000001</v>
      </c>
      <c r="I12" s="1">
        <v>3.4643600000000001</v>
      </c>
      <c r="J12" s="2">
        <v>450.32299999999998</v>
      </c>
      <c r="K12" s="1">
        <v>3.9565200000000002E-2</v>
      </c>
      <c r="N12" s="3">
        <f t="shared" si="1"/>
        <v>448.83800000000002</v>
      </c>
      <c r="O12" s="21">
        <f t="shared" si="2"/>
        <v>133430</v>
      </c>
      <c r="P12" s="3">
        <f t="shared" si="3"/>
        <v>447.945205479452</v>
      </c>
      <c r="Q12" s="17">
        <f t="shared" si="4"/>
        <v>4.7872643428726394E-5</v>
      </c>
      <c r="R12" s="3">
        <f t="shared" si="5"/>
        <v>449.40100000000001</v>
      </c>
      <c r="S12" s="24">
        <f t="shared" si="5"/>
        <v>3.4643600000000001</v>
      </c>
      <c r="T12" s="3">
        <f t="shared" si="5"/>
        <v>450.32299999999998</v>
      </c>
      <c r="U12" s="51">
        <f t="shared" si="5"/>
        <v>3.9565200000000002E-2</v>
      </c>
      <c r="V12" s="42">
        <f t="shared" si="6"/>
        <v>3.9749293811438963E-2</v>
      </c>
      <c r="W12" s="49">
        <f t="shared" si="7"/>
        <v>-4.6529225541374975E-3</v>
      </c>
    </row>
    <row r="13" spans="1:23" x14ac:dyDescent="0.6">
      <c r="B13" s="2">
        <v>473.286</v>
      </c>
      <c r="C13" s="1">
        <v>1261.6300000000001</v>
      </c>
      <c r="D13" s="2"/>
      <c r="E13" s="1"/>
      <c r="F13" s="2">
        <v>473.116438356164</v>
      </c>
      <c r="G13" s="1">
        <v>51.4036251961791</v>
      </c>
      <c r="H13" s="2">
        <v>472.517</v>
      </c>
      <c r="I13" s="1">
        <v>3.3972699999999998</v>
      </c>
      <c r="J13" s="2">
        <v>474.31299999999999</v>
      </c>
      <c r="K13" s="1">
        <v>4.5928900000000002E-2</v>
      </c>
      <c r="N13" s="3">
        <f t="shared" si="1"/>
        <v>473.286</v>
      </c>
      <c r="O13" s="21">
        <f t="shared" si="2"/>
        <v>126163.00000000001</v>
      </c>
      <c r="P13" s="3">
        <f t="shared" si="3"/>
        <v>473.116438356164</v>
      </c>
      <c r="Q13" s="17">
        <f t="shared" si="4"/>
        <v>5.1403625196179097E-5</v>
      </c>
      <c r="R13" s="3">
        <f t="shared" si="5"/>
        <v>472.517</v>
      </c>
      <c r="S13" s="24">
        <f t="shared" si="5"/>
        <v>3.3972699999999998</v>
      </c>
      <c r="T13" s="3">
        <f t="shared" si="5"/>
        <v>474.31299999999999</v>
      </c>
      <c r="U13" s="51">
        <f t="shared" si="5"/>
        <v>4.5928900000000002E-2</v>
      </c>
      <c r="V13" s="42">
        <f t="shared" si="6"/>
        <v>4.6543010185023721E-2</v>
      </c>
      <c r="W13" s="49">
        <f t="shared" si="7"/>
        <v>-1.3370888155904443E-2</v>
      </c>
    </row>
    <row r="14" spans="1:23" x14ac:dyDescent="0.6">
      <c r="B14" s="2">
        <v>499.21600000000001</v>
      </c>
      <c r="C14" s="1">
        <v>1183.3699999999999</v>
      </c>
      <c r="D14" s="2"/>
      <c r="E14" s="1"/>
      <c r="F14" s="2">
        <v>497.88812785388097</v>
      </c>
      <c r="G14" s="1">
        <v>55.429737200725903</v>
      </c>
      <c r="H14" s="2">
        <v>497.94499999999999</v>
      </c>
      <c r="I14" s="1">
        <v>3.3469600000000002</v>
      </c>
      <c r="J14" s="2">
        <v>499.03100000000001</v>
      </c>
      <c r="K14" s="1">
        <v>5.4229199999999998E-2</v>
      </c>
      <c r="N14" s="3">
        <f t="shared" si="1"/>
        <v>499.21600000000001</v>
      </c>
      <c r="O14" s="21">
        <f t="shared" si="2"/>
        <v>118336.99999999999</v>
      </c>
      <c r="P14" s="3">
        <f t="shared" si="3"/>
        <v>497.88812785388097</v>
      </c>
      <c r="Q14" s="17">
        <f t="shared" si="4"/>
        <v>5.54297372007259E-5</v>
      </c>
      <c r="R14" s="3">
        <f t="shared" si="5"/>
        <v>497.94499999999999</v>
      </c>
      <c r="S14" s="24">
        <f t="shared" si="5"/>
        <v>3.3469600000000002</v>
      </c>
      <c r="T14" s="3">
        <f t="shared" si="5"/>
        <v>499.03100000000001</v>
      </c>
      <c r="U14" s="51">
        <f t="shared" si="5"/>
        <v>5.4229199999999998E-2</v>
      </c>
      <c r="V14" s="42">
        <f t="shared" si="6"/>
        <v>5.4210473068720733E-2</v>
      </c>
      <c r="W14" s="49">
        <f t="shared" si="7"/>
        <v>3.4532929269223353E-4</v>
      </c>
    </row>
    <row r="15" spans="1:23" x14ac:dyDescent="0.6">
      <c r="B15" s="2">
        <v>523.66399999999999</v>
      </c>
      <c r="C15" s="1">
        <v>1105.1400000000001</v>
      </c>
      <c r="D15" s="2"/>
      <c r="E15" s="1"/>
      <c r="F15" s="2">
        <v>523.05936073059297</v>
      </c>
      <c r="G15" s="1">
        <v>58.8899976103285</v>
      </c>
      <c r="H15" s="2">
        <v>523.37300000000005</v>
      </c>
      <c r="I15" s="1">
        <v>3.2882600000000002</v>
      </c>
      <c r="J15" s="2">
        <v>524.47500000000002</v>
      </c>
      <c r="K15" s="1">
        <v>6.1976299999999998E-2</v>
      </c>
      <c r="N15" s="3">
        <f t="shared" si="1"/>
        <v>523.66399999999999</v>
      </c>
      <c r="O15" s="21">
        <f t="shared" si="2"/>
        <v>110514.00000000001</v>
      </c>
      <c r="P15" s="3">
        <f t="shared" si="3"/>
        <v>523.05936073059297</v>
      </c>
      <c r="Q15" s="17">
        <f t="shared" si="4"/>
        <v>5.8889997610328498E-5</v>
      </c>
      <c r="R15" s="3">
        <f t="shared" si="5"/>
        <v>523.37300000000005</v>
      </c>
      <c r="S15" s="24">
        <f t="shared" si="5"/>
        <v>3.2882600000000002</v>
      </c>
      <c r="T15" s="3">
        <f t="shared" si="5"/>
        <v>524.47500000000002</v>
      </c>
      <c r="U15" s="51">
        <f t="shared" si="5"/>
        <v>6.1976299999999998E-2</v>
      </c>
      <c r="V15" s="42">
        <f t="shared" si="6"/>
        <v>6.1130650015896473E-2</v>
      </c>
      <c r="W15" s="49">
        <f t="shared" si="7"/>
        <v>1.3644731681360855E-2</v>
      </c>
    </row>
    <row r="16" spans="1:23" x14ac:dyDescent="0.6">
      <c r="B16" s="2">
        <v>549.6</v>
      </c>
      <c r="C16" s="1">
        <v>1054.71</v>
      </c>
      <c r="D16" s="2"/>
      <c r="E16" s="1"/>
      <c r="F16" s="2">
        <v>548.23059360730599</v>
      </c>
      <c r="G16" s="1">
        <v>63.693963819082398</v>
      </c>
      <c r="H16" s="2">
        <v>548.03099999999995</v>
      </c>
      <c r="I16" s="1">
        <v>3.2295600000000002</v>
      </c>
      <c r="J16" s="2">
        <v>548.46500000000003</v>
      </c>
      <c r="K16" s="1">
        <v>7.1660100000000004E-2</v>
      </c>
      <c r="N16" s="3">
        <f t="shared" si="1"/>
        <v>549.6</v>
      </c>
      <c r="O16" s="21">
        <f t="shared" si="2"/>
        <v>105471</v>
      </c>
      <c r="P16" s="3">
        <f t="shared" si="3"/>
        <v>548.23059360730599</v>
      </c>
      <c r="Q16" s="17">
        <f t="shared" si="4"/>
        <v>6.3693963819082394E-5</v>
      </c>
      <c r="R16" s="3">
        <f t="shared" si="5"/>
        <v>548.03099999999995</v>
      </c>
      <c r="S16" s="24">
        <f t="shared" si="5"/>
        <v>3.2295600000000002</v>
      </c>
      <c r="T16" s="3">
        <f t="shared" si="5"/>
        <v>548.46500000000003</v>
      </c>
      <c r="U16" s="51">
        <f t="shared" si="5"/>
        <v>7.1660100000000004E-2</v>
      </c>
      <c r="V16" s="42">
        <f t="shared" si="6"/>
        <v>7.2666656560318579E-2</v>
      </c>
      <c r="W16" s="49">
        <f t="shared" si="7"/>
        <v>-1.4046262289873653E-2</v>
      </c>
    </row>
    <row r="17" spans="2:23" x14ac:dyDescent="0.6">
      <c r="B17" s="2">
        <v>574.04899999999998</v>
      </c>
      <c r="C17" s="1">
        <v>982.04100000000005</v>
      </c>
      <c r="D17" s="2"/>
      <c r="E17" s="1"/>
      <c r="F17" s="2">
        <v>573.40182648401799</v>
      </c>
      <c r="G17" s="1">
        <v>67.861437807185794</v>
      </c>
      <c r="H17" s="2">
        <v>573.45899999999995</v>
      </c>
      <c r="I17" s="1">
        <v>3.21279</v>
      </c>
      <c r="J17" s="2">
        <v>573.91</v>
      </c>
      <c r="K17" s="1">
        <v>8.1343899999999997E-2</v>
      </c>
      <c r="N17" s="3">
        <f t="shared" si="1"/>
        <v>574.04899999999998</v>
      </c>
      <c r="O17" s="21">
        <f t="shared" si="2"/>
        <v>98204.1</v>
      </c>
      <c r="P17" s="3">
        <f t="shared" si="3"/>
        <v>573.40182648401799</v>
      </c>
      <c r="Q17" s="17">
        <f t="shared" si="4"/>
        <v>6.7861437807185788E-5</v>
      </c>
      <c r="R17" s="3">
        <f t="shared" si="5"/>
        <v>573.45899999999995</v>
      </c>
      <c r="S17" s="24">
        <f t="shared" si="5"/>
        <v>3.21279</v>
      </c>
      <c r="T17" s="3">
        <f t="shared" si="5"/>
        <v>573.91</v>
      </c>
      <c r="U17" s="51">
        <f t="shared" si="5"/>
        <v>8.1343899999999997E-2</v>
      </c>
      <c r="V17" s="42">
        <f t="shared" si="6"/>
        <v>8.0786201149199127E-2</v>
      </c>
      <c r="W17" s="49">
        <f t="shared" si="7"/>
        <v>6.8560623574831009E-3</v>
      </c>
    </row>
    <row r="18" spans="2:23" x14ac:dyDescent="0.6">
      <c r="B18" s="2">
        <v>597.01800000000003</v>
      </c>
      <c r="C18" s="1">
        <v>926.08900000000006</v>
      </c>
      <c r="D18" s="2"/>
      <c r="E18" s="1"/>
      <c r="F18" s="2">
        <v>598.17351598173502</v>
      </c>
      <c r="G18" s="1">
        <v>71.887549811732598</v>
      </c>
      <c r="H18" s="2">
        <v>598.88699999999994</v>
      </c>
      <c r="I18" s="1">
        <v>3.1624699999999999</v>
      </c>
      <c r="J18" s="2">
        <v>599.35400000000004</v>
      </c>
      <c r="K18" s="1">
        <v>9.0197600000000003E-2</v>
      </c>
      <c r="N18" s="3">
        <f t="shared" si="1"/>
        <v>597.01800000000003</v>
      </c>
      <c r="O18" s="21">
        <f t="shared" si="2"/>
        <v>92608.900000000009</v>
      </c>
      <c r="P18" s="3">
        <f t="shared" si="3"/>
        <v>598.17351598173502</v>
      </c>
      <c r="Q18" s="17">
        <f t="shared" si="4"/>
        <v>7.1887549811732598E-5</v>
      </c>
      <c r="R18" s="3">
        <f t="shared" si="5"/>
        <v>598.88699999999994</v>
      </c>
      <c r="S18" s="24">
        <f t="shared" si="5"/>
        <v>3.1624699999999999</v>
      </c>
      <c r="T18" s="3">
        <f t="shared" si="5"/>
        <v>599.35400000000004</v>
      </c>
      <c r="U18" s="51">
        <f t="shared" si="5"/>
        <v>9.0197600000000003E-2</v>
      </c>
      <c r="V18" s="42">
        <f t="shared" si="6"/>
        <v>9.0702045747790588E-2</v>
      </c>
      <c r="W18" s="49">
        <f t="shared" si="7"/>
        <v>-5.5926737273562224E-3</v>
      </c>
    </row>
    <row r="19" spans="2:23" x14ac:dyDescent="0.6">
      <c r="B19" s="2">
        <v>623.69500000000005</v>
      </c>
      <c r="C19" s="1">
        <v>870.09100000000001</v>
      </c>
      <c r="D19" s="2"/>
      <c r="E19" s="1"/>
      <c r="F19" s="2">
        <v>622.54566210045596</v>
      </c>
      <c r="G19" s="1">
        <v>76.196627979823404</v>
      </c>
      <c r="H19" s="2">
        <v>622.774</v>
      </c>
      <c r="I19" s="1">
        <v>3.1373199999999999</v>
      </c>
      <c r="J19" s="2">
        <v>624.798</v>
      </c>
      <c r="K19" s="1">
        <v>0.100435</v>
      </c>
      <c r="N19" s="3">
        <f t="shared" si="1"/>
        <v>623.69500000000005</v>
      </c>
      <c r="O19" s="21">
        <f t="shared" si="2"/>
        <v>87009.1</v>
      </c>
      <c r="P19" s="3">
        <f t="shared" si="3"/>
        <v>622.54566210045596</v>
      </c>
      <c r="Q19" s="17">
        <f t="shared" si="4"/>
        <v>7.6196627979823402E-5</v>
      </c>
      <c r="R19" s="3">
        <f t="shared" si="5"/>
        <v>622.774</v>
      </c>
      <c r="S19" s="24">
        <f t="shared" si="5"/>
        <v>3.1373199999999999</v>
      </c>
      <c r="T19" s="3">
        <f t="shared" si="5"/>
        <v>624.798</v>
      </c>
      <c r="U19" s="51">
        <f t="shared" si="5"/>
        <v>0.100435</v>
      </c>
      <c r="V19" s="42">
        <f t="shared" si="6"/>
        <v>0.10060440430585607</v>
      </c>
      <c r="W19" s="49">
        <f t="shared" si="7"/>
        <v>-1.6867058879481713E-3</v>
      </c>
    </row>
    <row r="20" spans="2:23" x14ac:dyDescent="0.6">
      <c r="B20" s="2">
        <v>647.40800000000002</v>
      </c>
      <c r="C20" s="1">
        <v>825.26300000000003</v>
      </c>
      <c r="D20" s="2"/>
      <c r="E20" s="1"/>
      <c r="F20" s="2">
        <v>647.71689497716898</v>
      </c>
      <c r="G20" s="1">
        <v>80.3641019679267</v>
      </c>
      <c r="H20" s="2">
        <v>649.74300000000005</v>
      </c>
      <c r="I20" s="1">
        <v>3.1037699999999999</v>
      </c>
      <c r="J20" s="2">
        <v>649.51499999999999</v>
      </c>
      <c r="K20" s="1">
        <v>0.11011899999999999</v>
      </c>
      <c r="N20" s="3">
        <f t="shared" si="1"/>
        <v>647.40800000000002</v>
      </c>
      <c r="O20" s="21">
        <f t="shared" si="2"/>
        <v>82526.3</v>
      </c>
      <c r="P20" s="3">
        <f t="shared" si="3"/>
        <v>647.71689497716898</v>
      </c>
      <c r="Q20" s="17">
        <f t="shared" si="4"/>
        <v>8.0364101967926702E-5</v>
      </c>
      <c r="R20" s="3">
        <f t="shared" si="5"/>
        <v>649.74300000000005</v>
      </c>
      <c r="S20" s="24">
        <f t="shared" si="5"/>
        <v>3.1037699999999999</v>
      </c>
      <c r="T20" s="3">
        <f t="shared" si="5"/>
        <v>649.51499999999999</v>
      </c>
      <c r="U20" s="51">
        <f t="shared" si="5"/>
        <v>0.11011899999999999</v>
      </c>
      <c r="V20" s="42">
        <f t="shared" si="6"/>
        <v>0.11153629665111803</v>
      </c>
      <c r="W20" s="49">
        <f t="shared" si="7"/>
        <v>-1.2870591370408677E-2</v>
      </c>
    </row>
    <row r="21" spans="2:23" x14ac:dyDescent="0.6">
      <c r="B21" s="2">
        <v>673.34299999999996</v>
      </c>
      <c r="C21" s="1">
        <v>769.27300000000002</v>
      </c>
      <c r="D21" s="2"/>
      <c r="E21" s="1"/>
      <c r="F21" s="2">
        <v>672.88812785388097</v>
      </c>
      <c r="G21" s="1">
        <v>82.339213862677795</v>
      </c>
      <c r="H21" s="2">
        <v>673.63</v>
      </c>
      <c r="I21" s="1">
        <v>3.0534599999999998</v>
      </c>
      <c r="J21" s="2">
        <v>672.779</v>
      </c>
      <c r="K21" s="1">
        <v>0.113439</v>
      </c>
      <c r="N21" s="3">
        <f t="shared" si="1"/>
        <v>673.34299999999996</v>
      </c>
      <c r="O21" s="21">
        <f t="shared" si="2"/>
        <v>76927.3</v>
      </c>
      <c r="P21" s="3">
        <f t="shared" si="3"/>
        <v>672.88812785388097</v>
      </c>
      <c r="Q21" s="17">
        <f t="shared" si="4"/>
        <v>8.2339213862677796E-5</v>
      </c>
      <c r="R21" s="3">
        <f t="shared" si="5"/>
        <v>673.63</v>
      </c>
      <c r="S21" s="24">
        <f t="shared" si="5"/>
        <v>3.0534599999999998</v>
      </c>
      <c r="T21" s="3">
        <f t="shared" si="5"/>
        <v>672.779</v>
      </c>
      <c r="U21" s="51">
        <f t="shared" si="5"/>
        <v>0.113439</v>
      </c>
      <c r="V21" s="42">
        <f t="shared" si="6"/>
        <v>0.11491431011606847</v>
      </c>
      <c r="W21" s="49">
        <f t="shared" si="7"/>
        <v>-1.3005316655369564E-2</v>
      </c>
    </row>
    <row r="22" spans="2:23" x14ac:dyDescent="0.6">
      <c r="B22" s="2">
        <v>699.279</v>
      </c>
      <c r="C22" s="1">
        <v>718.851</v>
      </c>
      <c r="D22" s="2"/>
      <c r="E22" s="1"/>
      <c r="F22" s="2">
        <v>698.05936073059297</v>
      </c>
      <c r="G22" s="1">
        <v>82.899898600427505</v>
      </c>
      <c r="H22" s="2">
        <v>699.05799999999999</v>
      </c>
      <c r="I22" s="1">
        <v>3.0450699999999999</v>
      </c>
      <c r="J22" s="2">
        <v>699.67700000000002</v>
      </c>
      <c r="K22" s="1">
        <v>0.112055</v>
      </c>
      <c r="N22" s="3">
        <f t="shared" si="1"/>
        <v>699.279</v>
      </c>
      <c r="O22" s="21">
        <f t="shared" si="2"/>
        <v>71885.099999999991</v>
      </c>
      <c r="P22" s="3">
        <f t="shared" si="3"/>
        <v>698.05936073059297</v>
      </c>
      <c r="Q22" s="17">
        <f t="shared" si="4"/>
        <v>8.2899898600427501E-5</v>
      </c>
      <c r="R22" s="3">
        <f t="shared" si="5"/>
        <v>699.05799999999999</v>
      </c>
      <c r="S22" s="24">
        <f t="shared" si="5"/>
        <v>3.0450699999999999</v>
      </c>
      <c r="T22" s="3">
        <f t="shared" si="5"/>
        <v>699.67700000000002</v>
      </c>
      <c r="U22" s="51">
        <f t="shared" si="5"/>
        <v>0.112055</v>
      </c>
      <c r="V22" s="42">
        <f t="shared" si="6"/>
        <v>0.11351341702037135</v>
      </c>
      <c r="W22" s="49">
        <f t="shared" si="7"/>
        <v>-1.301518915150013E-2</v>
      </c>
    </row>
    <row r="23" spans="2:23" x14ac:dyDescent="0.6">
      <c r="B23" s="2">
        <v>724.47</v>
      </c>
      <c r="C23" s="1">
        <v>651.73699999999997</v>
      </c>
      <c r="D23" s="2"/>
      <c r="E23" s="1"/>
      <c r="F23" s="2">
        <v>723.23059360730599</v>
      </c>
      <c r="G23" s="1">
        <v>82.258320254726002</v>
      </c>
      <c r="H23" s="2">
        <v>722.94500000000005</v>
      </c>
      <c r="I23" s="1">
        <v>3.0534599999999998</v>
      </c>
      <c r="J23" s="2">
        <v>722.94</v>
      </c>
      <c r="K23" s="1">
        <v>0.10652200000000001</v>
      </c>
      <c r="N23" s="3">
        <f t="shared" si="1"/>
        <v>724.47</v>
      </c>
      <c r="O23" s="21">
        <f t="shared" si="2"/>
        <v>65173.7</v>
      </c>
      <c r="P23" s="3">
        <f t="shared" si="3"/>
        <v>723.23059360730599</v>
      </c>
      <c r="Q23" s="17">
        <f t="shared" si="4"/>
        <v>8.2258320254726002E-5</v>
      </c>
      <c r="R23" s="3">
        <f t="shared" si="5"/>
        <v>722.94500000000005</v>
      </c>
      <c r="S23" s="24">
        <f t="shared" si="5"/>
        <v>3.0534599999999998</v>
      </c>
      <c r="T23" s="3">
        <f t="shared" si="5"/>
        <v>722.94</v>
      </c>
      <c r="U23" s="51">
        <f t="shared" si="5"/>
        <v>0.10652200000000001</v>
      </c>
      <c r="V23" s="42">
        <f t="shared" si="6"/>
        <v>0.10440999390543867</v>
      </c>
      <c r="W23" s="49">
        <f t="shared" si="7"/>
        <v>1.9826947433969795E-2</v>
      </c>
    </row>
    <row r="24" spans="2:23" x14ac:dyDescent="0.6">
      <c r="B24" s="2">
        <v>748.18700000000001</v>
      </c>
      <c r="C24" s="1">
        <v>623.61</v>
      </c>
      <c r="D24" s="2"/>
      <c r="E24" s="1"/>
      <c r="F24" s="2">
        <v>748.002283105022</v>
      </c>
      <c r="G24" s="1">
        <v>79.707345979216299</v>
      </c>
      <c r="H24" s="2">
        <v>747.60299999999995</v>
      </c>
      <c r="I24" s="1">
        <v>3.0786199999999999</v>
      </c>
      <c r="J24" s="2">
        <v>749.11099999999999</v>
      </c>
      <c r="K24" s="1">
        <v>9.5454499999999998E-2</v>
      </c>
      <c r="N24" s="3">
        <f t="shared" si="1"/>
        <v>748.18700000000001</v>
      </c>
      <c r="O24" s="21">
        <f t="shared" si="2"/>
        <v>62361</v>
      </c>
      <c r="P24" s="3">
        <f t="shared" si="3"/>
        <v>748.002283105022</v>
      </c>
      <c r="Q24" s="17">
        <f t="shared" si="4"/>
        <v>7.9707345979216292E-5</v>
      </c>
      <c r="R24" s="3">
        <f t="shared" si="5"/>
        <v>747.60299999999995</v>
      </c>
      <c r="S24" s="24">
        <f t="shared" si="5"/>
        <v>3.0786199999999999</v>
      </c>
      <c r="T24" s="3">
        <f t="shared" si="5"/>
        <v>749.11099999999999</v>
      </c>
      <c r="U24" s="51">
        <f t="shared" si="5"/>
        <v>9.5454499999999998E-2</v>
      </c>
      <c r="V24" s="42">
        <f t="shared" si="6"/>
        <v>9.640506592978576E-2</v>
      </c>
      <c r="W24" s="49">
        <f t="shared" si="7"/>
        <v>-9.9583144826672684E-3</v>
      </c>
    </row>
    <row r="25" spans="2:23" x14ac:dyDescent="0.6">
      <c r="B25" s="28">
        <v>771.90099999999995</v>
      </c>
      <c r="C25" s="29">
        <v>578.78200000000004</v>
      </c>
      <c r="D25" s="28"/>
      <c r="E25" s="29"/>
      <c r="F25" s="28">
        <v>773.17351598173502</v>
      </c>
      <c r="G25" s="29">
        <v>74.751764804660496</v>
      </c>
      <c r="H25" s="28">
        <v>772.26</v>
      </c>
      <c r="I25" s="29">
        <v>3.0870000000000002</v>
      </c>
      <c r="J25" s="28">
        <v>775.28300000000002</v>
      </c>
      <c r="K25" s="29">
        <v>7.9407099999999994E-2</v>
      </c>
      <c r="N25" s="32">
        <f t="shared" si="1"/>
        <v>771.90099999999995</v>
      </c>
      <c r="O25" s="21">
        <f t="shared" si="2"/>
        <v>57878.200000000004</v>
      </c>
      <c r="P25" s="32">
        <f t="shared" si="3"/>
        <v>773.17351598173502</v>
      </c>
      <c r="Q25" s="17">
        <f t="shared" si="4"/>
        <v>7.4751764804660496E-5</v>
      </c>
      <c r="R25" s="32">
        <f t="shared" si="5"/>
        <v>772.26</v>
      </c>
      <c r="S25" s="35">
        <f t="shared" si="5"/>
        <v>3.0870000000000002</v>
      </c>
      <c r="T25" s="32">
        <f t="shared" si="5"/>
        <v>775.28300000000002</v>
      </c>
      <c r="U25" s="52">
        <f t="shared" si="5"/>
        <v>7.9407099999999994E-2</v>
      </c>
      <c r="V25" s="42">
        <f t="shared" si="6"/>
        <v>8.1223471704401085E-2</v>
      </c>
      <c r="W25" s="49">
        <f t="shared" si="7"/>
        <v>-2.2874172516073377E-2</v>
      </c>
    </row>
    <row r="26" spans="2:23" x14ac:dyDescent="0.6">
      <c r="B26" s="30"/>
      <c r="C26" s="30"/>
      <c r="D26" s="30"/>
      <c r="E26" s="30"/>
      <c r="F26" s="30"/>
      <c r="G26" s="30"/>
      <c r="H26" s="30"/>
      <c r="I26" s="30"/>
      <c r="J26" s="30"/>
      <c r="K26" s="30"/>
      <c r="N26" s="30"/>
      <c r="O26" s="39"/>
      <c r="P26" s="30"/>
      <c r="Q26" s="40"/>
      <c r="R26" s="30"/>
      <c r="S26" s="41"/>
      <c r="T26" s="30"/>
      <c r="U26" s="41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ht="17.25" thickBot="1" x14ac:dyDescent="0.65">
      <c r="B29" s="31" t="s">
        <v>79</v>
      </c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5" t="s">
        <v>3</v>
      </c>
      <c r="C30" s="6" t="s">
        <v>0</v>
      </c>
      <c r="D30" s="7" t="s">
        <v>3</v>
      </c>
      <c r="E30" s="6" t="s">
        <v>8</v>
      </c>
      <c r="F30" s="7" t="s">
        <v>3</v>
      </c>
      <c r="G30" s="6" t="s">
        <v>1</v>
      </c>
      <c r="H30" s="7" t="s">
        <v>3</v>
      </c>
      <c r="I30" s="6" t="s">
        <v>2</v>
      </c>
      <c r="J30" s="7" t="s">
        <v>3</v>
      </c>
      <c r="K30" s="8" t="s">
        <v>6</v>
      </c>
      <c r="N30" s="5" t="s">
        <v>3</v>
      </c>
      <c r="O30" s="19" t="s">
        <v>0</v>
      </c>
      <c r="P30" s="7" t="s">
        <v>3</v>
      </c>
      <c r="Q30" s="15" t="s">
        <v>1</v>
      </c>
      <c r="R30" s="7" t="s">
        <v>3</v>
      </c>
      <c r="S30" s="23" t="s">
        <v>2</v>
      </c>
      <c r="T30" s="7" t="s">
        <v>3</v>
      </c>
      <c r="U30" s="25" t="s">
        <v>6</v>
      </c>
    </row>
    <row r="31" spans="2:23" ht="17.25" thickBot="1" x14ac:dyDescent="0.65">
      <c r="B31" s="9" t="s">
        <v>4</v>
      </c>
      <c r="C31" s="10" t="s">
        <v>10</v>
      </c>
      <c r="D31" s="11" t="s">
        <v>4</v>
      </c>
      <c r="E31" s="10" t="s">
        <v>11</v>
      </c>
      <c r="F31" s="11" t="s">
        <v>4</v>
      </c>
      <c r="G31" s="27" t="s">
        <v>13</v>
      </c>
      <c r="H31" s="11" t="s">
        <v>4</v>
      </c>
      <c r="I31" s="10" t="s">
        <v>15</v>
      </c>
      <c r="J31" s="11" t="s">
        <v>4</v>
      </c>
      <c r="K31" s="12" t="s">
        <v>7</v>
      </c>
      <c r="N31" s="9" t="s">
        <v>4</v>
      </c>
      <c r="O31" s="20" t="s">
        <v>5</v>
      </c>
      <c r="P31" s="11" t="s">
        <v>4</v>
      </c>
      <c r="Q31" s="16" t="s">
        <v>14</v>
      </c>
      <c r="R31" s="11" t="s">
        <v>4</v>
      </c>
      <c r="S31" s="10" t="s">
        <v>15</v>
      </c>
      <c r="T31" s="11" t="s">
        <v>4</v>
      </c>
      <c r="U31" s="26" t="s">
        <v>7</v>
      </c>
      <c r="W31" t="s">
        <v>78</v>
      </c>
    </row>
    <row r="32" spans="2:23" x14ac:dyDescent="0.6">
      <c r="B32" s="3">
        <v>371.78699999999998</v>
      </c>
      <c r="C32" s="4">
        <v>1563.49</v>
      </c>
      <c r="D32" s="3"/>
      <c r="E32" s="4"/>
      <c r="F32" s="3">
        <v>373.38600000000002</v>
      </c>
      <c r="G32" s="4">
        <v>37.5379</v>
      </c>
      <c r="H32" s="3">
        <v>373.11599999999999</v>
      </c>
      <c r="I32" s="4">
        <v>3.7494800000000001</v>
      </c>
      <c r="J32" s="3">
        <v>374.71699999999998</v>
      </c>
      <c r="K32" s="4">
        <v>2.1857700000000001E-2</v>
      </c>
      <c r="N32" s="3">
        <f>B32</f>
        <v>371.78699999999998</v>
      </c>
      <c r="O32" s="21">
        <f>C32*100</f>
        <v>156349</v>
      </c>
      <c r="P32" s="3">
        <f>F32</f>
        <v>373.38600000000002</v>
      </c>
      <c r="Q32" s="17">
        <f>G32*0.000001</f>
        <v>3.7537899999999999E-5</v>
      </c>
      <c r="R32" s="3">
        <f>H32</f>
        <v>373.11599999999999</v>
      </c>
      <c r="S32" s="24">
        <f>I32</f>
        <v>3.7494800000000001</v>
      </c>
      <c r="T32" s="3">
        <f>J32</f>
        <v>374.71699999999998</v>
      </c>
      <c r="U32" s="24">
        <f>K32</f>
        <v>2.1857700000000001E-2</v>
      </c>
      <c r="V32" s="22">
        <f>((O32*(Q32)^2)/S32)*T32</f>
        <v>2.201746978189701E-2</v>
      </c>
      <c r="W32" s="49">
        <f t="shared" ref="W32:W48" si="8">(U32-V32)/U32</f>
        <v>-7.3095422618578128E-3</v>
      </c>
    </row>
    <row r="33" spans="2:23" x14ac:dyDescent="0.6">
      <c r="B33" s="3">
        <v>397.71699999999998</v>
      </c>
      <c r="C33" s="4">
        <v>1485.24</v>
      </c>
      <c r="D33" s="3"/>
      <c r="E33" s="4"/>
      <c r="F33" s="3">
        <v>397.565</v>
      </c>
      <c r="G33" s="4">
        <v>40.933799999999998</v>
      </c>
      <c r="H33" s="3">
        <v>398.54500000000002</v>
      </c>
      <c r="I33" s="4">
        <v>3.64046</v>
      </c>
      <c r="J33" s="3">
        <v>399.435</v>
      </c>
      <c r="K33" s="4">
        <v>2.73913E-2</v>
      </c>
      <c r="N33" s="3">
        <f t="shared" ref="N33:N48" si="9">B33</f>
        <v>397.71699999999998</v>
      </c>
      <c r="O33" s="21">
        <f t="shared" ref="O33:O48" si="10">C33*100</f>
        <v>148524</v>
      </c>
      <c r="P33" s="3">
        <f t="shared" ref="P33:P48" si="11">F33</f>
        <v>397.565</v>
      </c>
      <c r="Q33" s="17">
        <f t="shared" ref="Q33:Q48" si="12">G33*0.000001</f>
        <v>4.0933799999999998E-5</v>
      </c>
      <c r="R33" s="3">
        <f t="shared" ref="R33:R48" si="13">H33</f>
        <v>398.54500000000002</v>
      </c>
      <c r="S33" s="24">
        <f t="shared" ref="S33:S48" si="14">I33</f>
        <v>3.64046</v>
      </c>
      <c r="T33" s="3">
        <f t="shared" ref="T33:T48" si="15">J33</f>
        <v>399.435</v>
      </c>
      <c r="U33" s="24">
        <f t="shared" ref="U33:U48" si="16">K33</f>
        <v>2.73913E-2</v>
      </c>
      <c r="V33" s="22">
        <f t="shared" ref="V33:V48" si="17">((O33*(Q33)^2)/S33)*T33</f>
        <v>2.7305530386734209E-2</v>
      </c>
      <c r="W33" s="49">
        <f t="shared" si="8"/>
        <v>3.1312720924451102E-3</v>
      </c>
    </row>
    <row r="34" spans="2:23" x14ac:dyDescent="0.6">
      <c r="B34" s="2">
        <v>421.42200000000003</v>
      </c>
      <c r="C34" s="1">
        <v>1401.44</v>
      </c>
      <c r="D34" s="2"/>
      <c r="E34" s="1"/>
      <c r="F34" s="2">
        <v>423.16399999999999</v>
      </c>
      <c r="G34" s="1">
        <v>44.706600000000002</v>
      </c>
      <c r="H34" s="2">
        <v>423.202</v>
      </c>
      <c r="I34" s="1">
        <v>3.53145</v>
      </c>
      <c r="J34" s="2">
        <v>424.15199999999999</v>
      </c>
      <c r="K34" s="1">
        <v>3.29249E-2</v>
      </c>
      <c r="N34" s="3">
        <f t="shared" si="9"/>
        <v>421.42200000000003</v>
      </c>
      <c r="O34" s="21">
        <f t="shared" si="10"/>
        <v>140144</v>
      </c>
      <c r="P34" s="3">
        <f t="shared" si="11"/>
        <v>423.16399999999999</v>
      </c>
      <c r="Q34" s="17">
        <f t="shared" si="12"/>
        <v>4.4706599999999996E-5</v>
      </c>
      <c r="R34" s="3">
        <f t="shared" si="13"/>
        <v>423.202</v>
      </c>
      <c r="S34" s="24">
        <f t="shared" si="14"/>
        <v>3.53145</v>
      </c>
      <c r="T34" s="3">
        <f t="shared" si="15"/>
        <v>424.15199999999999</v>
      </c>
      <c r="U34" s="24">
        <f t="shared" si="16"/>
        <v>3.29249E-2</v>
      </c>
      <c r="V34" s="22">
        <f t="shared" si="17"/>
        <v>3.3642344314825712E-2</v>
      </c>
      <c r="W34" s="49">
        <f t="shared" si="8"/>
        <v>-2.1790326313085591E-2</v>
      </c>
    </row>
    <row r="35" spans="2:23" x14ac:dyDescent="0.6">
      <c r="B35" s="2">
        <v>448.83800000000002</v>
      </c>
      <c r="C35" s="1">
        <v>1334.3</v>
      </c>
      <c r="D35" s="2"/>
      <c r="E35" s="1"/>
      <c r="F35" s="2">
        <v>448.05500000000001</v>
      </c>
      <c r="G35" s="1">
        <v>47.9771</v>
      </c>
      <c r="H35" s="2">
        <v>449.40100000000001</v>
      </c>
      <c r="I35" s="1">
        <v>3.4643600000000001</v>
      </c>
      <c r="J35" s="2">
        <v>450.32299999999998</v>
      </c>
      <c r="K35" s="1">
        <v>3.9565200000000002E-2</v>
      </c>
      <c r="N35" s="3">
        <f t="shared" si="9"/>
        <v>448.83800000000002</v>
      </c>
      <c r="O35" s="21">
        <f t="shared" si="10"/>
        <v>133430</v>
      </c>
      <c r="P35" s="3">
        <f t="shared" si="11"/>
        <v>448.05500000000001</v>
      </c>
      <c r="Q35" s="17">
        <f t="shared" si="12"/>
        <v>4.7977099999999998E-5</v>
      </c>
      <c r="R35" s="3">
        <f t="shared" si="13"/>
        <v>449.40100000000001</v>
      </c>
      <c r="S35" s="24">
        <f t="shared" si="14"/>
        <v>3.4643600000000001</v>
      </c>
      <c r="T35" s="3">
        <f t="shared" si="15"/>
        <v>450.32299999999998</v>
      </c>
      <c r="U35" s="24">
        <f t="shared" si="16"/>
        <v>3.9565200000000002E-2</v>
      </c>
      <c r="V35" s="22">
        <f t="shared" si="17"/>
        <v>3.9922946423515855E-2</v>
      </c>
      <c r="W35" s="49">
        <f t="shared" si="8"/>
        <v>-9.0419465468607099E-3</v>
      </c>
    </row>
    <row r="36" spans="2:23" x14ac:dyDescent="0.6">
      <c r="B36" s="2">
        <v>473.286</v>
      </c>
      <c r="C36" s="1">
        <v>1261.6300000000001</v>
      </c>
      <c r="D36" s="2"/>
      <c r="E36" s="1"/>
      <c r="F36" s="2">
        <v>473.65600000000001</v>
      </c>
      <c r="G36" s="1">
        <v>51.624400000000001</v>
      </c>
      <c r="H36" s="2">
        <v>472.517</v>
      </c>
      <c r="I36" s="1">
        <v>3.3972699999999998</v>
      </c>
      <c r="J36" s="2">
        <v>474.31299999999999</v>
      </c>
      <c r="K36" s="1">
        <v>4.5928900000000002E-2</v>
      </c>
      <c r="N36" s="3">
        <f t="shared" si="9"/>
        <v>473.286</v>
      </c>
      <c r="O36" s="21">
        <f t="shared" si="10"/>
        <v>126163.00000000001</v>
      </c>
      <c r="P36" s="3">
        <f t="shared" si="11"/>
        <v>473.65600000000001</v>
      </c>
      <c r="Q36" s="17">
        <f t="shared" si="12"/>
        <v>5.16244E-5</v>
      </c>
      <c r="R36" s="3">
        <f t="shared" si="13"/>
        <v>472.517</v>
      </c>
      <c r="S36" s="24">
        <f t="shared" si="14"/>
        <v>3.3972699999999998</v>
      </c>
      <c r="T36" s="3">
        <f t="shared" si="15"/>
        <v>474.31299999999999</v>
      </c>
      <c r="U36" s="24">
        <f t="shared" si="16"/>
        <v>4.5928900000000002E-2</v>
      </c>
      <c r="V36" s="22">
        <f t="shared" si="17"/>
        <v>4.6943666372782876E-2</v>
      </c>
      <c r="W36" s="49">
        <f t="shared" si="8"/>
        <v>-2.2094288624000886E-2</v>
      </c>
    </row>
    <row r="37" spans="2:23" x14ac:dyDescent="0.6">
      <c r="B37" s="2">
        <v>499.21600000000001</v>
      </c>
      <c r="C37" s="1">
        <v>1183.3699999999999</v>
      </c>
      <c r="D37" s="2"/>
      <c r="E37" s="1"/>
      <c r="F37" s="2">
        <v>499.255</v>
      </c>
      <c r="G37" s="1">
        <v>55.397300000000001</v>
      </c>
      <c r="H37" s="2">
        <v>497.94499999999999</v>
      </c>
      <c r="I37" s="1">
        <v>3.3469600000000002</v>
      </c>
      <c r="J37" s="2">
        <v>499.03100000000001</v>
      </c>
      <c r="K37" s="1">
        <v>5.4229199999999998E-2</v>
      </c>
      <c r="N37" s="3">
        <f t="shared" si="9"/>
        <v>499.21600000000001</v>
      </c>
      <c r="O37" s="21">
        <f t="shared" si="10"/>
        <v>118336.99999999999</v>
      </c>
      <c r="P37" s="3">
        <f t="shared" si="11"/>
        <v>499.255</v>
      </c>
      <c r="Q37" s="17">
        <f t="shared" si="12"/>
        <v>5.5397299999999999E-5</v>
      </c>
      <c r="R37" s="3">
        <f t="shared" si="13"/>
        <v>497.94499999999999</v>
      </c>
      <c r="S37" s="24">
        <f t="shared" si="14"/>
        <v>3.3469600000000002</v>
      </c>
      <c r="T37" s="3">
        <f t="shared" si="15"/>
        <v>499.03100000000001</v>
      </c>
      <c r="U37" s="24">
        <f t="shared" si="16"/>
        <v>5.4229199999999998E-2</v>
      </c>
      <c r="V37" s="22">
        <f t="shared" si="17"/>
        <v>5.414704424617002E-2</v>
      </c>
      <c r="W37" s="49">
        <f t="shared" si="8"/>
        <v>1.5149726315338975E-3</v>
      </c>
    </row>
    <row r="38" spans="2:23" x14ac:dyDescent="0.6">
      <c r="B38" s="2">
        <v>523.66399999999999</v>
      </c>
      <c r="C38" s="1">
        <v>1105.1400000000001</v>
      </c>
      <c r="D38" s="2"/>
      <c r="E38" s="1"/>
      <c r="F38" s="2">
        <v>524.14599999999996</v>
      </c>
      <c r="G38" s="1">
        <v>58.6678</v>
      </c>
      <c r="H38" s="2">
        <v>523.37300000000005</v>
      </c>
      <c r="I38" s="1">
        <v>3.2882600000000002</v>
      </c>
      <c r="J38" s="2">
        <v>524.47500000000002</v>
      </c>
      <c r="K38" s="1">
        <v>6.1976299999999998E-2</v>
      </c>
      <c r="N38" s="3">
        <f t="shared" si="9"/>
        <v>523.66399999999999</v>
      </c>
      <c r="O38" s="21">
        <f t="shared" si="10"/>
        <v>110514.00000000001</v>
      </c>
      <c r="P38" s="3">
        <f t="shared" si="11"/>
        <v>524.14599999999996</v>
      </c>
      <c r="Q38" s="17">
        <f t="shared" si="12"/>
        <v>5.8667799999999994E-5</v>
      </c>
      <c r="R38" s="3">
        <f t="shared" si="13"/>
        <v>523.37300000000005</v>
      </c>
      <c r="S38" s="24">
        <f t="shared" si="14"/>
        <v>3.2882600000000002</v>
      </c>
      <c r="T38" s="3">
        <f t="shared" si="15"/>
        <v>524.47500000000002</v>
      </c>
      <c r="U38" s="24">
        <f t="shared" si="16"/>
        <v>6.1976299999999998E-2</v>
      </c>
      <c r="V38" s="22">
        <f t="shared" si="17"/>
        <v>6.0670216673687001E-2</v>
      </c>
      <c r="W38" s="49">
        <f t="shared" si="8"/>
        <v>2.1073915776078873E-2</v>
      </c>
    </row>
    <row r="39" spans="2:23" x14ac:dyDescent="0.6">
      <c r="B39" s="2">
        <v>549.6</v>
      </c>
      <c r="C39" s="1">
        <v>1054.71</v>
      </c>
      <c r="D39" s="2"/>
      <c r="E39" s="1"/>
      <c r="F39" s="2">
        <v>549.01800000000003</v>
      </c>
      <c r="G39" s="1">
        <v>64.072199999999995</v>
      </c>
      <c r="H39" s="2">
        <v>548.03099999999995</v>
      </c>
      <c r="I39" s="1">
        <v>3.2295600000000002</v>
      </c>
      <c r="J39" s="2">
        <v>548.46500000000003</v>
      </c>
      <c r="K39" s="1">
        <v>7.1660100000000004E-2</v>
      </c>
      <c r="N39" s="3">
        <f t="shared" si="9"/>
        <v>549.6</v>
      </c>
      <c r="O39" s="21">
        <f t="shared" si="10"/>
        <v>105471</v>
      </c>
      <c r="P39" s="3">
        <f t="shared" si="11"/>
        <v>549.01800000000003</v>
      </c>
      <c r="Q39" s="17">
        <f t="shared" si="12"/>
        <v>6.4072199999999993E-5</v>
      </c>
      <c r="R39" s="3">
        <f t="shared" si="13"/>
        <v>548.03099999999995</v>
      </c>
      <c r="S39" s="24">
        <f t="shared" si="14"/>
        <v>3.2295600000000002</v>
      </c>
      <c r="T39" s="3">
        <f t="shared" si="15"/>
        <v>548.46500000000003</v>
      </c>
      <c r="U39" s="24">
        <f t="shared" si="16"/>
        <v>7.1660100000000004E-2</v>
      </c>
      <c r="V39" s="22">
        <f t="shared" si="17"/>
        <v>7.353225716241521E-2</v>
      </c>
      <c r="W39" s="49">
        <f t="shared" si="8"/>
        <v>-2.6125517022934735E-2</v>
      </c>
    </row>
    <row r="40" spans="2:23" x14ac:dyDescent="0.6">
      <c r="B40" s="2">
        <v>574.04899999999998</v>
      </c>
      <c r="C40" s="1">
        <v>982.04100000000005</v>
      </c>
      <c r="D40" s="2"/>
      <c r="E40" s="1"/>
      <c r="F40" s="2">
        <v>571.76700000000005</v>
      </c>
      <c r="G40" s="1">
        <v>68.095299999999995</v>
      </c>
      <c r="H40" s="2">
        <v>573.45899999999995</v>
      </c>
      <c r="I40" s="1">
        <v>3.21279</v>
      </c>
      <c r="J40" s="2">
        <v>573.91</v>
      </c>
      <c r="K40" s="1">
        <v>8.1343899999999997E-2</v>
      </c>
      <c r="N40" s="3">
        <f t="shared" si="9"/>
        <v>574.04899999999998</v>
      </c>
      <c r="O40" s="21">
        <f t="shared" si="10"/>
        <v>98204.1</v>
      </c>
      <c r="P40" s="3">
        <f t="shared" si="11"/>
        <v>571.76700000000005</v>
      </c>
      <c r="Q40" s="17">
        <f t="shared" si="12"/>
        <v>6.8095299999999985E-5</v>
      </c>
      <c r="R40" s="3">
        <f t="shared" si="13"/>
        <v>573.45899999999995</v>
      </c>
      <c r="S40" s="24">
        <f t="shared" si="14"/>
        <v>3.21279</v>
      </c>
      <c r="T40" s="3">
        <f t="shared" si="15"/>
        <v>573.91</v>
      </c>
      <c r="U40" s="24">
        <f t="shared" si="16"/>
        <v>8.1343899999999997E-2</v>
      </c>
      <c r="V40" s="22">
        <f t="shared" si="17"/>
        <v>8.1343966877340634E-2</v>
      </c>
      <c r="W40" s="49">
        <f t="shared" si="8"/>
        <v>-8.2215557205389007E-7</v>
      </c>
    </row>
    <row r="41" spans="2:23" x14ac:dyDescent="0.6">
      <c r="B41" s="2">
        <v>597.01800000000003</v>
      </c>
      <c r="C41" s="1">
        <v>926.08900000000006</v>
      </c>
      <c r="D41" s="2"/>
      <c r="E41" s="1"/>
      <c r="F41" s="2">
        <v>598.78599999999994</v>
      </c>
      <c r="G41" s="1">
        <v>72.370599999999996</v>
      </c>
      <c r="H41" s="2">
        <v>598.88699999999994</v>
      </c>
      <c r="I41" s="1">
        <v>3.1624699999999999</v>
      </c>
      <c r="J41" s="2">
        <v>599.35400000000004</v>
      </c>
      <c r="K41" s="1">
        <v>9.0197600000000003E-2</v>
      </c>
      <c r="N41" s="3">
        <f t="shared" si="9"/>
        <v>597.01800000000003</v>
      </c>
      <c r="O41" s="21">
        <f t="shared" si="10"/>
        <v>92608.900000000009</v>
      </c>
      <c r="P41" s="3">
        <f t="shared" si="11"/>
        <v>598.78599999999994</v>
      </c>
      <c r="Q41" s="17">
        <f t="shared" si="12"/>
        <v>7.2370599999999988E-5</v>
      </c>
      <c r="R41" s="3">
        <f t="shared" si="13"/>
        <v>598.88699999999994</v>
      </c>
      <c r="S41" s="24">
        <f t="shared" si="14"/>
        <v>3.1624699999999999</v>
      </c>
      <c r="T41" s="3">
        <f t="shared" si="15"/>
        <v>599.35400000000004</v>
      </c>
      <c r="U41" s="24">
        <f t="shared" si="16"/>
        <v>9.0197600000000003E-2</v>
      </c>
      <c r="V41" s="22">
        <f t="shared" si="17"/>
        <v>9.192509045624031E-2</v>
      </c>
      <c r="W41" s="49">
        <f t="shared" si="8"/>
        <v>-1.9152288489275852E-2</v>
      </c>
    </row>
    <row r="42" spans="2:23" x14ac:dyDescent="0.6">
      <c r="B42" s="2">
        <v>623.69500000000005</v>
      </c>
      <c r="C42" s="1">
        <v>870.09100000000001</v>
      </c>
      <c r="D42" s="2"/>
      <c r="E42" s="1"/>
      <c r="F42" s="2">
        <v>622.95699999999999</v>
      </c>
      <c r="G42" s="1">
        <v>76.519599999999997</v>
      </c>
      <c r="H42" s="2">
        <v>622.774</v>
      </c>
      <c r="I42" s="1">
        <v>3.1373199999999999</v>
      </c>
      <c r="J42" s="2">
        <v>624.798</v>
      </c>
      <c r="K42" s="1">
        <v>0.100435</v>
      </c>
      <c r="N42" s="3">
        <f t="shared" si="9"/>
        <v>623.69500000000005</v>
      </c>
      <c r="O42" s="21">
        <f t="shared" si="10"/>
        <v>87009.1</v>
      </c>
      <c r="P42" s="3">
        <f t="shared" si="11"/>
        <v>622.95699999999999</v>
      </c>
      <c r="Q42" s="17">
        <f t="shared" si="12"/>
        <v>7.6519599999999992E-5</v>
      </c>
      <c r="R42" s="3">
        <f t="shared" si="13"/>
        <v>622.774</v>
      </c>
      <c r="S42" s="24">
        <f t="shared" si="14"/>
        <v>3.1373199999999999</v>
      </c>
      <c r="T42" s="3">
        <f t="shared" si="15"/>
        <v>624.798</v>
      </c>
      <c r="U42" s="24">
        <f t="shared" si="16"/>
        <v>0.100435</v>
      </c>
      <c r="V42" s="22">
        <f t="shared" si="17"/>
        <v>0.10145906863378724</v>
      </c>
      <c r="W42" s="49">
        <f t="shared" si="8"/>
        <v>-1.0196332292400537E-2</v>
      </c>
    </row>
    <row r="43" spans="2:23" x14ac:dyDescent="0.6">
      <c r="B43" s="2">
        <v>647.40800000000002</v>
      </c>
      <c r="C43" s="1">
        <v>825.26300000000003</v>
      </c>
      <c r="D43" s="2"/>
      <c r="E43" s="1"/>
      <c r="F43" s="2">
        <v>649.26499999999999</v>
      </c>
      <c r="G43" s="1">
        <v>80.669200000000004</v>
      </c>
      <c r="H43" s="2">
        <v>649.74300000000005</v>
      </c>
      <c r="I43" s="1">
        <v>3.1037699999999999</v>
      </c>
      <c r="J43" s="2">
        <v>649.51499999999999</v>
      </c>
      <c r="K43" s="1">
        <v>0.11011899999999999</v>
      </c>
      <c r="N43" s="3">
        <f t="shared" si="9"/>
        <v>647.40800000000002</v>
      </c>
      <c r="O43" s="21">
        <f t="shared" si="10"/>
        <v>82526.3</v>
      </c>
      <c r="P43" s="3">
        <f t="shared" si="11"/>
        <v>649.26499999999999</v>
      </c>
      <c r="Q43" s="17">
        <f t="shared" si="12"/>
        <v>8.0669199999999997E-5</v>
      </c>
      <c r="R43" s="3">
        <f t="shared" si="13"/>
        <v>649.74300000000005</v>
      </c>
      <c r="S43" s="24">
        <f t="shared" si="14"/>
        <v>3.1037699999999999</v>
      </c>
      <c r="T43" s="3">
        <f t="shared" si="15"/>
        <v>649.51499999999999</v>
      </c>
      <c r="U43" s="24">
        <f t="shared" si="16"/>
        <v>0.11011899999999999</v>
      </c>
      <c r="V43" s="22">
        <f t="shared" si="17"/>
        <v>0.1123847874418781</v>
      </c>
      <c r="W43" s="49">
        <f t="shared" si="8"/>
        <v>-2.0575808369837256E-2</v>
      </c>
    </row>
    <row r="44" spans="2:23" x14ac:dyDescent="0.6">
      <c r="B44" s="2">
        <v>673.34299999999996</v>
      </c>
      <c r="C44" s="1">
        <v>769.27300000000002</v>
      </c>
      <c r="D44" s="2"/>
      <c r="E44" s="1"/>
      <c r="F44" s="2">
        <v>672.74400000000003</v>
      </c>
      <c r="G44" s="1">
        <v>82.684100000000001</v>
      </c>
      <c r="H44" s="2">
        <v>673.63</v>
      </c>
      <c r="I44" s="1">
        <v>3.0534599999999998</v>
      </c>
      <c r="J44" s="2">
        <v>672.779</v>
      </c>
      <c r="K44" s="1">
        <v>0.113439</v>
      </c>
      <c r="N44" s="3">
        <f t="shared" si="9"/>
        <v>673.34299999999996</v>
      </c>
      <c r="O44" s="21">
        <f t="shared" si="10"/>
        <v>76927.3</v>
      </c>
      <c r="P44" s="3">
        <f t="shared" si="11"/>
        <v>672.74400000000003</v>
      </c>
      <c r="Q44" s="17">
        <f t="shared" si="12"/>
        <v>8.2684100000000003E-5</v>
      </c>
      <c r="R44" s="3">
        <f t="shared" si="13"/>
        <v>673.63</v>
      </c>
      <c r="S44" s="24">
        <f t="shared" si="14"/>
        <v>3.0534599999999998</v>
      </c>
      <c r="T44" s="3">
        <f t="shared" si="15"/>
        <v>672.779</v>
      </c>
      <c r="U44" s="24">
        <f t="shared" si="16"/>
        <v>0.113439</v>
      </c>
      <c r="V44" s="22">
        <f t="shared" si="17"/>
        <v>0.11587898667143801</v>
      </c>
      <c r="W44" s="49">
        <f t="shared" si="8"/>
        <v>-2.1509239956611109E-2</v>
      </c>
    </row>
    <row r="45" spans="2:23" x14ac:dyDescent="0.6">
      <c r="B45" s="2">
        <v>699.279</v>
      </c>
      <c r="C45" s="1">
        <v>718.851</v>
      </c>
      <c r="D45" s="2"/>
      <c r="E45" s="1"/>
      <c r="F45" s="2">
        <v>698.37</v>
      </c>
      <c r="G45" s="1">
        <v>83.444400000000002</v>
      </c>
      <c r="H45" s="2">
        <v>699.05799999999999</v>
      </c>
      <c r="I45" s="1">
        <v>3.0450699999999999</v>
      </c>
      <c r="J45" s="2">
        <v>699.67700000000002</v>
      </c>
      <c r="K45" s="1">
        <v>0.112055</v>
      </c>
      <c r="N45" s="3">
        <f t="shared" si="9"/>
        <v>699.279</v>
      </c>
      <c r="O45" s="21">
        <f t="shared" si="10"/>
        <v>71885.100000000006</v>
      </c>
      <c r="P45" s="3">
        <f t="shared" si="11"/>
        <v>698.37</v>
      </c>
      <c r="Q45" s="17">
        <f t="shared" si="12"/>
        <v>8.3444399999999997E-5</v>
      </c>
      <c r="R45" s="3">
        <f t="shared" si="13"/>
        <v>699.05799999999999</v>
      </c>
      <c r="S45" s="24">
        <f t="shared" si="14"/>
        <v>3.0450699999999999</v>
      </c>
      <c r="T45" s="3">
        <f t="shared" si="15"/>
        <v>699.67700000000002</v>
      </c>
      <c r="U45" s="24">
        <f t="shared" si="16"/>
        <v>0.112055</v>
      </c>
      <c r="V45" s="22">
        <f t="shared" si="17"/>
        <v>0.11500946705668472</v>
      </c>
      <c r="W45" s="49">
        <f t="shared" si="8"/>
        <v>-2.6366222450445894E-2</v>
      </c>
    </row>
    <row r="46" spans="2:23" x14ac:dyDescent="0.6">
      <c r="B46" s="2">
        <v>724.47</v>
      </c>
      <c r="C46" s="1">
        <v>651.73699999999997</v>
      </c>
      <c r="D46" s="2"/>
      <c r="E46" s="1"/>
      <c r="F46" s="2">
        <v>722.58299999999997</v>
      </c>
      <c r="G46" s="1">
        <v>82.949100000000001</v>
      </c>
      <c r="H46" s="2">
        <v>722.94500000000005</v>
      </c>
      <c r="I46" s="1">
        <v>3.0534599999999998</v>
      </c>
      <c r="J46" s="2">
        <v>722.94</v>
      </c>
      <c r="K46" s="1">
        <v>0.10652200000000001</v>
      </c>
      <c r="N46" s="3">
        <f t="shared" si="9"/>
        <v>724.47</v>
      </c>
      <c r="O46" s="21">
        <f t="shared" si="10"/>
        <v>65173.7</v>
      </c>
      <c r="P46" s="3">
        <f t="shared" si="11"/>
        <v>722.58299999999997</v>
      </c>
      <c r="Q46" s="17">
        <f t="shared" si="12"/>
        <v>8.2949100000000002E-5</v>
      </c>
      <c r="R46" s="3">
        <f t="shared" si="13"/>
        <v>722.94500000000005</v>
      </c>
      <c r="S46" s="24">
        <f t="shared" si="14"/>
        <v>3.0534599999999998</v>
      </c>
      <c r="T46" s="3">
        <f t="shared" si="15"/>
        <v>722.94</v>
      </c>
      <c r="U46" s="24">
        <f t="shared" si="16"/>
        <v>0.10652200000000001</v>
      </c>
      <c r="V46" s="22">
        <f t="shared" si="17"/>
        <v>0.10617096221862074</v>
      </c>
      <c r="W46" s="49">
        <f t="shared" si="8"/>
        <v>3.2954486526657902E-3</v>
      </c>
    </row>
    <row r="47" spans="2:23" x14ac:dyDescent="0.6">
      <c r="B47" s="2">
        <v>748.18700000000001</v>
      </c>
      <c r="C47" s="1">
        <v>623.61</v>
      </c>
      <c r="D47" s="2"/>
      <c r="E47" s="1"/>
      <c r="F47" s="2">
        <v>747.52800000000002</v>
      </c>
      <c r="G47" s="1">
        <v>80.320099999999996</v>
      </c>
      <c r="H47" s="2">
        <v>747.60299999999995</v>
      </c>
      <c r="I47" s="1">
        <v>3.0786199999999999</v>
      </c>
      <c r="J47" s="2">
        <v>749.11099999999999</v>
      </c>
      <c r="K47" s="1">
        <v>9.5454499999999998E-2</v>
      </c>
      <c r="N47" s="3">
        <f t="shared" si="9"/>
        <v>748.18700000000001</v>
      </c>
      <c r="O47" s="21">
        <f t="shared" si="10"/>
        <v>62361</v>
      </c>
      <c r="P47" s="3">
        <f t="shared" si="11"/>
        <v>747.52800000000002</v>
      </c>
      <c r="Q47" s="17">
        <f t="shared" si="12"/>
        <v>8.0320099999999997E-5</v>
      </c>
      <c r="R47" s="3">
        <f t="shared" si="13"/>
        <v>747.60299999999995</v>
      </c>
      <c r="S47" s="24">
        <f t="shared" si="14"/>
        <v>3.0786199999999999</v>
      </c>
      <c r="T47" s="3">
        <f t="shared" si="15"/>
        <v>749.11099999999999</v>
      </c>
      <c r="U47" s="24">
        <f t="shared" si="16"/>
        <v>9.5454499999999998E-2</v>
      </c>
      <c r="V47" s="22">
        <f t="shared" si="17"/>
        <v>9.7893000391185994E-2</v>
      </c>
      <c r="W47" s="49">
        <f t="shared" si="8"/>
        <v>-2.554620673918984E-2</v>
      </c>
    </row>
    <row r="48" spans="2:23" x14ac:dyDescent="0.6">
      <c r="B48" s="28">
        <v>771.90099999999995</v>
      </c>
      <c r="C48" s="29">
        <v>578.78200000000004</v>
      </c>
      <c r="D48" s="28"/>
      <c r="E48" s="29"/>
      <c r="F48" s="28"/>
      <c r="G48" s="29"/>
      <c r="H48" s="28">
        <v>772.26</v>
      </c>
      <c r="I48" s="29">
        <v>3.0870000000000002</v>
      </c>
      <c r="J48" s="28">
        <v>775.28300000000002</v>
      </c>
      <c r="K48" s="29">
        <v>7.9407099999999994E-2</v>
      </c>
      <c r="N48" s="32">
        <f t="shared" si="9"/>
        <v>771.90099999999995</v>
      </c>
      <c r="O48" s="33">
        <f t="shared" si="10"/>
        <v>57878.200000000004</v>
      </c>
      <c r="P48" s="32">
        <f t="shared" si="11"/>
        <v>0</v>
      </c>
      <c r="Q48" s="34">
        <f t="shared" si="12"/>
        <v>0</v>
      </c>
      <c r="R48" s="32">
        <f t="shared" si="13"/>
        <v>772.26</v>
      </c>
      <c r="S48" s="35">
        <f t="shared" si="14"/>
        <v>3.0870000000000002</v>
      </c>
      <c r="T48" s="32">
        <f t="shared" si="15"/>
        <v>775.28300000000002</v>
      </c>
      <c r="U48" s="35">
        <f t="shared" si="16"/>
        <v>7.9407099999999994E-2</v>
      </c>
      <c r="V48" s="22">
        <f t="shared" si="17"/>
        <v>0</v>
      </c>
      <c r="W48" s="49">
        <f t="shared" si="8"/>
        <v>1</v>
      </c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42</v>
      </c>
      <c r="D8" s="9" t="s">
        <v>33</v>
      </c>
      <c r="E8" s="10" t="s">
        <v>11</v>
      </c>
      <c r="F8" s="9" t="s">
        <v>33</v>
      </c>
      <c r="G8" s="27" t="s">
        <v>13</v>
      </c>
      <c r="H8" s="9" t="s">
        <v>33</v>
      </c>
      <c r="I8" s="10" t="s">
        <v>15</v>
      </c>
      <c r="J8" s="9" t="s">
        <v>33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34.7044</v>
      </c>
      <c r="C9" s="4">
        <v>7.4852299999999996</v>
      </c>
      <c r="D9" s="3"/>
      <c r="E9" s="4"/>
      <c r="F9" s="3">
        <v>31.174600000000002</v>
      </c>
      <c r="G9" s="4">
        <v>-110.642</v>
      </c>
      <c r="H9" s="3">
        <v>31.1236</v>
      </c>
      <c r="I9" s="4">
        <v>3.1409199999999999</v>
      </c>
      <c r="J9" s="3">
        <v>32.299700000000001</v>
      </c>
      <c r="K9" s="4">
        <v>9.375E-2</v>
      </c>
      <c r="N9" s="3">
        <f>B9+273</f>
        <v>307.70440000000002</v>
      </c>
      <c r="O9" s="21">
        <f>C9*(10^(4))</f>
        <v>74852.3</v>
      </c>
      <c r="P9" s="3">
        <f>F9+273</f>
        <v>304.1746</v>
      </c>
      <c r="Q9" s="17">
        <f>G9*(10^(-6))</f>
        <v>-1.1064199999999999E-4</v>
      </c>
      <c r="R9" s="3">
        <f>H9+273</f>
        <v>304.12360000000001</v>
      </c>
      <c r="S9" s="24">
        <f>I9</f>
        <v>3.1409199999999999</v>
      </c>
      <c r="T9" s="3">
        <f>J9+273</f>
        <v>305.29970000000003</v>
      </c>
      <c r="U9" s="51">
        <f>K9</f>
        <v>9.375E-2</v>
      </c>
      <c r="V9" s="42">
        <f>((O9*(Q9)^2)/S9)*T9</f>
        <v>8.9066561719281789E-2</v>
      </c>
      <c r="W9" s="49">
        <f t="shared" ref="W9:W16" si="0">(U9-V9)/U9</f>
        <v>4.9956674994327578E-2</v>
      </c>
    </row>
    <row r="10" spans="1:23" x14ac:dyDescent="0.6">
      <c r="B10" s="3">
        <v>96.400999999999996</v>
      </c>
      <c r="C10" s="4">
        <v>7.4557000000000002</v>
      </c>
      <c r="D10" s="3"/>
      <c r="E10" s="4"/>
      <c r="F10" s="3">
        <v>99.395300000000006</v>
      </c>
      <c r="G10" s="4">
        <v>-125.60899999999999</v>
      </c>
      <c r="H10" s="3">
        <v>99.362300000000005</v>
      </c>
      <c r="I10" s="4">
        <v>2.96983</v>
      </c>
      <c r="J10" s="3">
        <v>98.191199999999995</v>
      </c>
      <c r="K10" s="4">
        <v>0.16250000000000001</v>
      </c>
      <c r="N10" s="3">
        <f t="shared" ref="N10:N16" si="1">B10+273</f>
        <v>369.40100000000001</v>
      </c>
      <c r="O10" s="21">
        <f t="shared" ref="O10:O16" si="2">C10*(10^(4))</f>
        <v>74557</v>
      </c>
      <c r="P10" s="3">
        <f t="shared" ref="P10:P16" si="3">F10+273</f>
        <v>372.39530000000002</v>
      </c>
      <c r="Q10" s="17">
        <f t="shared" ref="Q10:Q16" si="4">G10*(10^(-6))</f>
        <v>-1.25609E-4</v>
      </c>
      <c r="R10" s="3">
        <f t="shared" ref="R10:R16" si="5">H10+273</f>
        <v>372.3623</v>
      </c>
      <c r="S10" s="24">
        <f t="shared" ref="S10:U16" si="6">I10</f>
        <v>2.96983</v>
      </c>
      <c r="T10" s="3">
        <f t="shared" ref="T10:T16" si="7">J10+273</f>
        <v>371.19119999999998</v>
      </c>
      <c r="U10" s="51">
        <f t="shared" si="6"/>
        <v>0.16250000000000001</v>
      </c>
      <c r="V10" s="42">
        <f t="shared" ref="V10:V16" si="8">((O10*(Q10)^2)/S10)*T10</f>
        <v>0.14702663667040558</v>
      </c>
      <c r="W10" s="49">
        <f t="shared" si="0"/>
        <v>9.5220697412888772E-2</v>
      </c>
    </row>
    <row r="11" spans="1:23" x14ac:dyDescent="0.6">
      <c r="B11" s="2">
        <v>197.94300000000001</v>
      </c>
      <c r="C11" s="1">
        <v>7.3670900000000001</v>
      </c>
      <c r="D11" s="2"/>
      <c r="E11" s="1"/>
      <c r="F11" s="2">
        <v>199.80199999999999</v>
      </c>
      <c r="G11" s="1">
        <v>-148.57400000000001</v>
      </c>
      <c r="H11" s="2">
        <v>198.50899999999999</v>
      </c>
      <c r="I11" s="1">
        <v>2.7415400000000001</v>
      </c>
      <c r="J11" s="2">
        <v>197.67400000000001</v>
      </c>
      <c r="K11" s="1">
        <v>0.29062500000000002</v>
      </c>
      <c r="N11" s="3">
        <f t="shared" si="1"/>
        <v>470.94299999999998</v>
      </c>
      <c r="O11" s="21">
        <f t="shared" si="2"/>
        <v>73670.899999999994</v>
      </c>
      <c r="P11" s="3">
        <f t="shared" si="3"/>
        <v>472.80200000000002</v>
      </c>
      <c r="Q11" s="17">
        <f t="shared" si="4"/>
        <v>-1.48574E-4</v>
      </c>
      <c r="R11" s="3">
        <f t="shared" si="5"/>
        <v>471.50900000000001</v>
      </c>
      <c r="S11" s="24">
        <f t="shared" si="6"/>
        <v>2.7415400000000001</v>
      </c>
      <c r="T11" s="3">
        <f t="shared" si="7"/>
        <v>470.67399999999998</v>
      </c>
      <c r="U11" s="51">
        <f t="shared" si="6"/>
        <v>0.29062500000000002</v>
      </c>
      <c r="V11" s="42">
        <f t="shared" si="8"/>
        <v>0.27919473806400125</v>
      </c>
      <c r="W11" s="49">
        <f t="shared" si="0"/>
        <v>3.932993354322159E-2</v>
      </c>
    </row>
    <row r="12" spans="1:23" x14ac:dyDescent="0.6">
      <c r="B12" s="2">
        <v>300.77100000000002</v>
      </c>
      <c r="C12" s="1">
        <v>7.3670900000000001</v>
      </c>
      <c r="D12" s="2"/>
      <c r="E12" s="1"/>
      <c r="F12" s="2">
        <v>298.87700000000001</v>
      </c>
      <c r="G12" s="1">
        <v>-164.43100000000001</v>
      </c>
      <c r="H12" s="2">
        <v>297.71499999999997</v>
      </c>
      <c r="I12" s="1">
        <v>2.6830699999999998</v>
      </c>
      <c r="J12" s="2">
        <v>298.45</v>
      </c>
      <c r="K12" s="1">
        <v>0.44374999999999998</v>
      </c>
      <c r="N12" s="3">
        <f t="shared" si="1"/>
        <v>573.77099999999996</v>
      </c>
      <c r="O12" s="21">
        <f t="shared" si="2"/>
        <v>73670.899999999994</v>
      </c>
      <c r="P12" s="3">
        <f t="shared" si="3"/>
        <v>571.87699999999995</v>
      </c>
      <c r="Q12" s="17">
        <f t="shared" si="4"/>
        <v>-1.6443100000000001E-4</v>
      </c>
      <c r="R12" s="3">
        <f t="shared" si="5"/>
        <v>570.71499999999992</v>
      </c>
      <c r="S12" s="24">
        <f t="shared" si="6"/>
        <v>2.6830699999999998</v>
      </c>
      <c r="T12" s="3">
        <f t="shared" si="7"/>
        <v>571.45000000000005</v>
      </c>
      <c r="U12" s="51">
        <f t="shared" si="6"/>
        <v>0.44374999999999998</v>
      </c>
      <c r="V12" s="42">
        <f t="shared" si="8"/>
        <v>0.42423803753711375</v>
      </c>
      <c r="W12" s="49">
        <f t="shared" si="0"/>
        <v>4.3970619634673185E-2</v>
      </c>
    </row>
    <row r="13" spans="1:23" x14ac:dyDescent="0.6">
      <c r="B13" s="2">
        <v>348.32900000000001</v>
      </c>
      <c r="C13" s="1">
        <v>7.4261600000000003</v>
      </c>
      <c r="D13" s="2"/>
      <c r="E13" s="1"/>
      <c r="F13" s="2">
        <v>346.47899999999998</v>
      </c>
      <c r="G13" s="1">
        <v>-171.352</v>
      </c>
      <c r="H13" s="2">
        <v>350.553</v>
      </c>
      <c r="I13" s="1">
        <v>2.6915</v>
      </c>
      <c r="J13" s="2">
        <v>347.54500000000002</v>
      </c>
      <c r="K13" s="1">
        <v>0.50937500000000002</v>
      </c>
      <c r="N13" s="3">
        <f t="shared" si="1"/>
        <v>621.32899999999995</v>
      </c>
      <c r="O13" s="21">
        <f t="shared" si="2"/>
        <v>74261.600000000006</v>
      </c>
      <c r="P13" s="3">
        <f t="shared" si="3"/>
        <v>619.47900000000004</v>
      </c>
      <c r="Q13" s="17">
        <f t="shared" si="4"/>
        <v>-1.71352E-4</v>
      </c>
      <c r="R13" s="3">
        <f t="shared" si="5"/>
        <v>623.553</v>
      </c>
      <c r="S13" s="24">
        <f t="shared" si="6"/>
        <v>2.6915</v>
      </c>
      <c r="T13" s="3">
        <f t="shared" si="7"/>
        <v>620.54500000000007</v>
      </c>
      <c r="U13" s="51">
        <f t="shared" si="6"/>
        <v>0.50937500000000002</v>
      </c>
      <c r="V13" s="42">
        <f t="shared" si="8"/>
        <v>0.50271466471044357</v>
      </c>
      <c r="W13" s="49">
        <f t="shared" si="0"/>
        <v>1.3075504862932911E-2</v>
      </c>
    </row>
    <row r="14" spans="1:23" x14ac:dyDescent="0.6">
      <c r="B14" s="2">
        <v>401.02800000000002</v>
      </c>
      <c r="C14" s="1">
        <v>7.4113899999999999</v>
      </c>
      <c r="D14" s="2"/>
      <c r="E14" s="1"/>
      <c r="F14" s="2">
        <v>397.93200000000002</v>
      </c>
      <c r="G14" s="1">
        <v>-177.24</v>
      </c>
      <c r="H14" s="2">
        <v>399.53199999999998</v>
      </c>
      <c r="I14" s="1">
        <v>2.71888</v>
      </c>
      <c r="J14" s="2">
        <v>400.517</v>
      </c>
      <c r="K14" s="1">
        <v>0.58437499999999998</v>
      </c>
      <c r="N14" s="3">
        <f t="shared" si="1"/>
        <v>674.02800000000002</v>
      </c>
      <c r="O14" s="21">
        <f t="shared" si="2"/>
        <v>74113.899999999994</v>
      </c>
      <c r="P14" s="3">
        <f t="shared" si="3"/>
        <v>670.93200000000002</v>
      </c>
      <c r="Q14" s="17">
        <f t="shared" si="4"/>
        <v>-1.7724E-4</v>
      </c>
      <c r="R14" s="3">
        <f t="shared" si="5"/>
        <v>672.53199999999993</v>
      </c>
      <c r="S14" s="24">
        <f t="shared" si="6"/>
        <v>2.71888</v>
      </c>
      <c r="T14" s="3">
        <f t="shared" si="7"/>
        <v>673.51700000000005</v>
      </c>
      <c r="U14" s="51">
        <f t="shared" si="6"/>
        <v>0.58437499999999998</v>
      </c>
      <c r="V14" s="42">
        <f t="shared" si="8"/>
        <v>0.57674212320908902</v>
      </c>
      <c r="W14" s="49">
        <f t="shared" si="0"/>
        <v>1.3061607342735331E-2</v>
      </c>
    </row>
    <row r="15" spans="1:23" x14ac:dyDescent="0.6">
      <c r="B15" s="2">
        <v>447.30099999999999</v>
      </c>
      <c r="C15" s="1">
        <v>7.3966200000000004</v>
      </c>
      <c r="D15" s="2"/>
      <c r="E15" s="1"/>
      <c r="F15" s="2">
        <v>448.08499999999998</v>
      </c>
      <c r="G15" s="1">
        <v>-181.101</v>
      </c>
      <c r="H15" s="2">
        <v>449.81900000000002</v>
      </c>
      <c r="I15" s="1">
        <v>2.8028400000000002</v>
      </c>
      <c r="J15" s="2">
        <v>452.19600000000003</v>
      </c>
      <c r="K15" s="1">
        <v>0.63749999999999996</v>
      </c>
      <c r="N15" s="3">
        <f t="shared" si="1"/>
        <v>720.30099999999993</v>
      </c>
      <c r="O15" s="21">
        <f t="shared" si="2"/>
        <v>73966.2</v>
      </c>
      <c r="P15" s="3">
        <f t="shared" si="3"/>
        <v>721.08500000000004</v>
      </c>
      <c r="Q15" s="17">
        <f t="shared" si="4"/>
        <v>-1.81101E-4</v>
      </c>
      <c r="R15" s="3">
        <f t="shared" si="5"/>
        <v>722.81899999999996</v>
      </c>
      <c r="S15" s="24">
        <f t="shared" si="6"/>
        <v>2.8028400000000002</v>
      </c>
      <c r="T15" s="3">
        <f t="shared" si="7"/>
        <v>725.19600000000003</v>
      </c>
      <c r="U15" s="51">
        <f t="shared" si="6"/>
        <v>0.63749999999999996</v>
      </c>
      <c r="V15" s="42">
        <f t="shared" si="8"/>
        <v>0.62767104893133796</v>
      </c>
      <c r="W15" s="49">
        <f t="shared" si="0"/>
        <v>1.5417962460646268E-2</v>
      </c>
    </row>
    <row r="16" spans="1:23" x14ac:dyDescent="0.6">
      <c r="B16" s="28">
        <v>501.28500000000003</v>
      </c>
      <c r="C16" s="29">
        <v>7.4409299999999998</v>
      </c>
      <c r="D16" s="28"/>
      <c r="E16" s="29"/>
      <c r="F16" s="28">
        <v>500.81599999999997</v>
      </c>
      <c r="G16" s="29">
        <v>-185.96799999999999</v>
      </c>
      <c r="H16" s="28">
        <v>502.68400000000003</v>
      </c>
      <c r="I16" s="29">
        <v>2.8867500000000001</v>
      </c>
      <c r="J16" s="28">
        <v>502.584</v>
      </c>
      <c r="K16" s="29">
        <v>0.68437499999999996</v>
      </c>
      <c r="N16" s="32">
        <f t="shared" si="1"/>
        <v>774.28500000000008</v>
      </c>
      <c r="O16" s="21">
        <f t="shared" si="2"/>
        <v>74409.3</v>
      </c>
      <c r="P16" s="32">
        <f t="shared" si="3"/>
        <v>773.81600000000003</v>
      </c>
      <c r="Q16" s="17">
        <f t="shared" si="4"/>
        <v>-1.8596799999999998E-4</v>
      </c>
      <c r="R16" s="32">
        <f t="shared" si="5"/>
        <v>775.68399999999997</v>
      </c>
      <c r="S16" s="35">
        <f t="shared" si="6"/>
        <v>2.8867500000000001</v>
      </c>
      <c r="T16" s="32">
        <f t="shared" si="7"/>
        <v>775.58400000000006</v>
      </c>
      <c r="U16" s="52">
        <f t="shared" si="6"/>
        <v>0.68437499999999996</v>
      </c>
      <c r="V16" s="42">
        <f t="shared" si="8"/>
        <v>0.69139037058918917</v>
      </c>
      <c r="W16" s="49">
        <f t="shared" si="0"/>
        <v>-1.0250769810687442E-2</v>
      </c>
    </row>
    <row r="17" spans="2:22" x14ac:dyDescent="0.6">
      <c r="B17" s="30"/>
      <c r="C17" s="30"/>
      <c r="D17" s="30"/>
      <c r="E17" s="30"/>
      <c r="F17" s="30"/>
      <c r="G17" s="30"/>
      <c r="H17" s="30"/>
      <c r="I17" s="30"/>
      <c r="J17" s="30"/>
      <c r="K17" s="30"/>
      <c r="N17" s="30"/>
      <c r="O17" s="39"/>
      <c r="P17" s="30"/>
      <c r="Q17" s="40"/>
      <c r="R17" s="30"/>
      <c r="S17" s="41"/>
      <c r="T17" s="30"/>
      <c r="U17" s="41"/>
    </row>
    <row r="18" spans="2:22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6"/>
      <c r="P18" s="31"/>
      <c r="Q18" s="37"/>
      <c r="R18" s="31"/>
      <c r="S18" s="38"/>
      <c r="T18" s="31"/>
      <c r="U18" s="38"/>
    </row>
    <row r="19" spans="2:22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</row>
    <row r="20" spans="2:22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</row>
    <row r="21" spans="2:22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</row>
    <row r="22" spans="2:22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</row>
    <row r="23" spans="2:22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</row>
    <row r="24" spans="2:22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</row>
    <row r="25" spans="2:22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</row>
    <row r="26" spans="2:22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</row>
    <row r="27" spans="2:22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</row>
    <row r="28" spans="2:22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2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2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2" x14ac:dyDescent="0.6">
      <c r="V31"/>
    </row>
    <row r="32" spans="2:22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W8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12" style="18" bestFit="1" customWidth="1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91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2">
        <v>83.870967741935402</v>
      </c>
      <c r="C9" s="1">
        <v>1.8047662694775399</v>
      </c>
      <c r="D9" s="3"/>
      <c r="E9" s="4"/>
      <c r="F9" s="2">
        <v>90.314769975786902</v>
      </c>
      <c r="G9" s="1">
        <v>80.066061106523406</v>
      </c>
      <c r="H9" s="3">
        <v>300.55248618784498</v>
      </c>
      <c r="I9" s="4">
        <v>4.3480113636363598</v>
      </c>
      <c r="J9" s="3">
        <v>300.17064846416298</v>
      </c>
      <c r="K9" s="4">
        <v>3.9957835558678802E-2</v>
      </c>
      <c r="N9" s="3">
        <f>B9</f>
        <v>83.870967741935402</v>
      </c>
      <c r="O9" s="59">
        <f>C9*(10^(4))</f>
        <v>18047.662694775398</v>
      </c>
      <c r="P9" s="3">
        <f>F9</f>
        <v>90.314769975786902</v>
      </c>
      <c r="Q9" s="17">
        <f>G9*(10^(-6))</f>
        <v>8.0066061106523408E-5</v>
      </c>
      <c r="R9" s="3">
        <f>H9</f>
        <v>300.55248618784498</v>
      </c>
      <c r="S9" s="24">
        <f>I9</f>
        <v>4.3480113636363598</v>
      </c>
      <c r="T9" s="3">
        <f>J9</f>
        <v>300.17064846416298</v>
      </c>
      <c r="U9" s="51">
        <f>K9</f>
        <v>3.9957835558678802E-2</v>
      </c>
      <c r="V9" s="42">
        <f>((O34*(Q28)^2)/S9)*T9</f>
        <v>4.0473423825483232E-2</v>
      </c>
      <c r="W9" s="49">
        <f t="shared" ref="W9" si="0">(U9-V9)/U9</f>
        <v>-1.2903308189636033E-2</v>
      </c>
    </row>
    <row r="10" spans="1:23" x14ac:dyDescent="0.6">
      <c r="B10" s="2">
        <v>89.919354838709694</v>
      </c>
      <c r="C10" s="1">
        <v>1.8487626031163999</v>
      </c>
      <c r="D10" s="3"/>
      <c r="E10" s="4"/>
      <c r="F10" s="2">
        <v>104.11622276029</v>
      </c>
      <c r="G10" s="1">
        <v>84.327002477291401</v>
      </c>
      <c r="H10" s="3">
        <v>322.33622730860299</v>
      </c>
      <c r="I10" s="4">
        <v>4.3181818181818103</v>
      </c>
      <c r="J10" s="3">
        <v>312.20136518771301</v>
      </c>
      <c r="K10" s="4">
        <v>4.3218552354181303E-2</v>
      </c>
      <c r="N10" s="3">
        <f t="shared" ref="N10:N56" si="1">B10</f>
        <v>89.919354838709694</v>
      </c>
      <c r="O10" s="59">
        <f t="shared" ref="O10:O56" si="2">C10*(10^(4))</f>
        <v>18487.626031164</v>
      </c>
      <c r="P10" s="3">
        <f t="shared" ref="P10:P48" si="3">F10</f>
        <v>104.11622276029</v>
      </c>
      <c r="Q10" s="17">
        <f t="shared" ref="Q10:Q50" si="4">G10*(10^(-6))</f>
        <v>8.4327002477291397E-5</v>
      </c>
      <c r="R10" s="3">
        <f t="shared" ref="R10:S19" si="5">H10</f>
        <v>322.33622730860299</v>
      </c>
      <c r="S10" s="24">
        <f t="shared" si="5"/>
        <v>4.3181818181818103</v>
      </c>
      <c r="T10" s="3">
        <f t="shared" ref="T10:T48" si="6">J10</f>
        <v>312.20136518771301</v>
      </c>
      <c r="U10" s="51">
        <f t="shared" ref="U10:U48" si="7">K10</f>
        <v>4.3218552354181303E-2</v>
      </c>
      <c r="V10" s="42">
        <f>((O35)*(AVERAGE(Q28,Q29))^2)/AVERAGE(S9,S10)*T10</f>
        <v>4.2876962121774699E-2</v>
      </c>
      <c r="W10" s="49">
        <f t="shared" ref="W10:W47" si="8">(U10-V10)/U10</f>
        <v>7.9037870034893831E-3</v>
      </c>
    </row>
    <row r="11" spans="1:23" x14ac:dyDescent="0.6">
      <c r="B11" s="2">
        <v>96.370967741935402</v>
      </c>
      <c r="C11" s="1">
        <v>1.9019248395966899</v>
      </c>
      <c r="D11" s="2"/>
      <c r="E11" s="1"/>
      <c r="F11" s="2">
        <v>110.65375302663401</v>
      </c>
      <c r="G11" s="1">
        <v>86.606110652353294</v>
      </c>
      <c r="H11" s="2">
        <v>372.05998421468001</v>
      </c>
      <c r="I11" s="1">
        <v>3.82386363636363</v>
      </c>
      <c r="J11" s="2">
        <v>324.48805460750799</v>
      </c>
      <c r="K11" s="1">
        <v>4.5748418833450398E-2</v>
      </c>
      <c r="N11" s="3">
        <f t="shared" si="1"/>
        <v>96.370967741935402</v>
      </c>
      <c r="O11" s="59">
        <f t="shared" si="2"/>
        <v>19019.248395966901</v>
      </c>
      <c r="P11" s="3">
        <f t="shared" si="3"/>
        <v>110.65375302663401</v>
      </c>
      <c r="Q11" s="17">
        <f t="shared" si="4"/>
        <v>8.6606110652353292E-5</v>
      </c>
      <c r="R11" s="3">
        <f t="shared" si="5"/>
        <v>372.05998421468001</v>
      </c>
      <c r="S11" s="24">
        <f t="shared" si="5"/>
        <v>3.82386363636363</v>
      </c>
      <c r="T11" s="3">
        <f t="shared" si="6"/>
        <v>324.48805460750799</v>
      </c>
      <c r="U11" s="51">
        <f t="shared" si="7"/>
        <v>4.5748418833450398E-2</v>
      </c>
      <c r="V11" s="42">
        <f>((AVERAGE(O35,O36)*(AVERAGE(Q29,Q30))^2)/S10)*T11</f>
        <v>4.6225270822251925E-2</v>
      </c>
      <c r="W11" s="49">
        <f t="shared" si="8"/>
        <v>-1.0423354532481935E-2</v>
      </c>
    </row>
    <row r="12" spans="1:23" x14ac:dyDescent="0.6">
      <c r="B12" s="2">
        <v>102.01612903225799</v>
      </c>
      <c r="C12" s="1">
        <v>1.94775435380385</v>
      </c>
      <c r="D12" s="2"/>
      <c r="E12" s="1"/>
      <c r="F12" s="2">
        <v>118.64406779661</v>
      </c>
      <c r="G12" s="1">
        <v>89.182493806771205</v>
      </c>
      <c r="H12" s="2">
        <v>422.73086029992101</v>
      </c>
      <c r="I12" s="1">
        <v>3.32386363636363</v>
      </c>
      <c r="J12" s="2">
        <v>336.26279863481199</v>
      </c>
      <c r="K12" s="1">
        <v>5.024595924104E-2</v>
      </c>
      <c r="N12" s="3">
        <f t="shared" si="1"/>
        <v>102.01612903225799</v>
      </c>
      <c r="O12" s="59">
        <f t="shared" si="2"/>
        <v>19477.543538038499</v>
      </c>
      <c r="P12" s="3">
        <f t="shared" si="3"/>
        <v>118.64406779661</v>
      </c>
      <c r="Q12" s="17">
        <f t="shared" si="4"/>
        <v>8.9182493806771204E-5</v>
      </c>
      <c r="R12" s="3">
        <f t="shared" si="5"/>
        <v>422.73086029992101</v>
      </c>
      <c r="S12" s="24">
        <f t="shared" si="5"/>
        <v>3.32386363636363</v>
      </c>
      <c r="T12" s="3">
        <f t="shared" si="6"/>
        <v>336.26279863481199</v>
      </c>
      <c r="U12" s="51">
        <f t="shared" si="7"/>
        <v>5.024595924104E-2</v>
      </c>
      <c r="V12" s="42"/>
      <c r="W12" s="49"/>
    </row>
    <row r="13" spans="1:23" x14ac:dyDescent="0.6">
      <c r="B13" s="2">
        <v>108.064516129032</v>
      </c>
      <c r="C13" s="1">
        <v>1.9990834097158501</v>
      </c>
      <c r="D13" s="2"/>
      <c r="E13" s="1"/>
      <c r="F13" s="2">
        <v>124.09200968523</v>
      </c>
      <c r="G13" s="1">
        <v>91.362510322047797</v>
      </c>
      <c r="H13" s="2">
        <v>475.05919494869698</v>
      </c>
      <c r="I13" s="1">
        <v>3.1463068181818099</v>
      </c>
      <c r="J13" s="2">
        <v>348.29351535836099</v>
      </c>
      <c r="K13" s="1">
        <v>5.41250878425861E-2</v>
      </c>
      <c r="N13" s="3">
        <f t="shared" si="1"/>
        <v>108.064516129032</v>
      </c>
      <c r="O13" s="59">
        <f t="shared" si="2"/>
        <v>19990.834097158502</v>
      </c>
      <c r="P13" s="3">
        <f t="shared" si="3"/>
        <v>124.09200968523</v>
      </c>
      <c r="Q13" s="17">
        <f t="shared" si="4"/>
        <v>9.1362510322047787E-5</v>
      </c>
      <c r="R13" s="3">
        <f t="shared" si="5"/>
        <v>475.05919494869698</v>
      </c>
      <c r="S13" s="24">
        <f t="shared" si="5"/>
        <v>3.1463068181818099</v>
      </c>
      <c r="T13" s="3">
        <f t="shared" si="6"/>
        <v>348.29351535836099</v>
      </c>
      <c r="U13" s="51">
        <f t="shared" si="7"/>
        <v>5.41250878425861E-2</v>
      </c>
      <c r="V13" s="42"/>
      <c r="W13" s="49"/>
    </row>
    <row r="14" spans="1:23" x14ac:dyDescent="0.6">
      <c r="B14" s="2">
        <v>115.322580645161</v>
      </c>
      <c r="C14" s="1">
        <v>2.0650779101741499</v>
      </c>
      <c r="D14" s="2"/>
      <c r="E14" s="1"/>
      <c r="F14" s="2">
        <v>128.813559322033</v>
      </c>
      <c r="G14" s="1">
        <v>93.047068538397895</v>
      </c>
      <c r="H14" s="2">
        <v>525.73007103393797</v>
      </c>
      <c r="I14" s="47">
        <v>2.9005681818181799</v>
      </c>
      <c r="J14" s="2">
        <v>360.32423208191102</v>
      </c>
      <c r="K14" s="1">
        <v>5.7498243148278297E-2</v>
      </c>
      <c r="N14" s="3">
        <f t="shared" si="1"/>
        <v>115.322580645161</v>
      </c>
      <c r="O14" s="59">
        <f t="shared" si="2"/>
        <v>20650.7791017415</v>
      </c>
      <c r="P14" s="3">
        <f t="shared" si="3"/>
        <v>128.813559322033</v>
      </c>
      <c r="Q14" s="17">
        <f t="shared" si="4"/>
        <v>9.304706853839789E-5</v>
      </c>
      <c r="R14" s="3">
        <f t="shared" si="5"/>
        <v>525.73007103393797</v>
      </c>
      <c r="S14" s="24">
        <f t="shared" si="5"/>
        <v>2.9005681818181799</v>
      </c>
      <c r="T14" s="3">
        <f t="shared" si="6"/>
        <v>360.32423208191102</v>
      </c>
      <c r="U14" s="51">
        <f t="shared" si="7"/>
        <v>5.7498243148278297E-2</v>
      </c>
      <c r="V14" s="42"/>
      <c r="W14" s="49"/>
    </row>
    <row r="15" spans="1:23" x14ac:dyDescent="0.6">
      <c r="B15" s="2">
        <v>123.790322580645</v>
      </c>
      <c r="C15" s="1">
        <v>2.1512373968835901</v>
      </c>
      <c r="D15" s="2"/>
      <c r="E15" s="1"/>
      <c r="F15" s="2">
        <v>141.88861985472099</v>
      </c>
      <c r="G15" s="1">
        <v>97.208918249380602</v>
      </c>
      <c r="H15" s="2">
        <v>575.453827940015</v>
      </c>
      <c r="I15" s="47">
        <v>2.6732954545454501</v>
      </c>
      <c r="J15" s="2">
        <v>372.35494880546003</v>
      </c>
      <c r="K15" s="1">
        <v>6.2614195361911401E-2</v>
      </c>
      <c r="N15" s="3">
        <f t="shared" si="1"/>
        <v>123.790322580645</v>
      </c>
      <c r="O15" s="59">
        <f t="shared" si="2"/>
        <v>21512.373968835902</v>
      </c>
      <c r="P15" s="3">
        <f t="shared" si="3"/>
        <v>141.88861985472099</v>
      </c>
      <c r="Q15" s="17">
        <f t="shared" si="4"/>
        <v>9.7208918249380594E-5</v>
      </c>
      <c r="R15" s="3">
        <f t="shared" si="5"/>
        <v>575.453827940015</v>
      </c>
      <c r="S15" s="24">
        <f t="shared" si="5"/>
        <v>2.6732954545454501</v>
      </c>
      <c r="T15" s="3">
        <f t="shared" si="6"/>
        <v>372.35494880546003</v>
      </c>
      <c r="U15" s="51">
        <f t="shared" si="7"/>
        <v>6.2614195361911401E-2</v>
      </c>
      <c r="V15" s="42">
        <f>((O38*(AVERAGE(Q32,Q33))^2)/S11)*T15</f>
        <v>6.3141831218327893E-2</v>
      </c>
      <c r="W15" s="49">
        <f t="shared" si="8"/>
        <v>-8.4267769212196236E-3</v>
      </c>
    </row>
    <row r="16" spans="1:23" x14ac:dyDescent="0.6">
      <c r="B16" s="2">
        <v>131.85483870967701</v>
      </c>
      <c r="C16" s="1">
        <v>2.2337305224564599</v>
      </c>
      <c r="D16" s="2"/>
      <c r="E16" s="1"/>
      <c r="F16" s="2">
        <v>154.963680387409</v>
      </c>
      <c r="G16" s="1">
        <v>100.776218001651</v>
      </c>
      <c r="H16" s="2">
        <v>625.17758484609305</v>
      </c>
      <c r="I16" s="47">
        <v>2.4573863636363602</v>
      </c>
      <c r="J16" s="2">
        <v>384.12969283276402</v>
      </c>
      <c r="K16" s="1">
        <v>6.7786366830639502E-2</v>
      </c>
      <c r="N16" s="3">
        <f t="shared" si="1"/>
        <v>131.85483870967701</v>
      </c>
      <c r="O16" s="59">
        <f t="shared" si="2"/>
        <v>22337.305224564599</v>
      </c>
      <c r="P16" s="3">
        <f t="shared" si="3"/>
        <v>154.963680387409</v>
      </c>
      <c r="Q16" s="17">
        <f t="shared" si="4"/>
        <v>1.00776218001651E-4</v>
      </c>
      <c r="R16" s="3">
        <f t="shared" si="5"/>
        <v>625.17758484609305</v>
      </c>
      <c r="S16" s="24">
        <f t="shared" si="5"/>
        <v>2.4573863636363602</v>
      </c>
      <c r="T16" s="3">
        <f t="shared" si="6"/>
        <v>384.12969283276402</v>
      </c>
      <c r="U16" s="51">
        <f t="shared" si="7"/>
        <v>6.7786366830639502E-2</v>
      </c>
      <c r="V16" s="42"/>
      <c r="W16" s="49"/>
    </row>
    <row r="17" spans="2:23" x14ac:dyDescent="0.6">
      <c r="B17" s="2">
        <v>138.70967741935399</v>
      </c>
      <c r="C17" s="1">
        <v>2.3052245646196101</v>
      </c>
      <c r="D17" s="2"/>
      <c r="E17" s="1"/>
      <c r="F17" s="2">
        <v>169.854721549636</v>
      </c>
      <c r="G17" s="1">
        <v>104.640792733278</v>
      </c>
      <c r="H17" s="2">
        <v>674.66456195737896</v>
      </c>
      <c r="I17" s="47">
        <v>2.2883522727272698</v>
      </c>
      <c r="J17" s="2">
        <v>396.16040955631399</v>
      </c>
      <c r="K17" s="1">
        <v>7.0878425860857297E-2</v>
      </c>
      <c r="N17" s="3">
        <f t="shared" si="1"/>
        <v>138.70967741935399</v>
      </c>
      <c r="O17" s="59">
        <f t="shared" si="2"/>
        <v>23052.245646196101</v>
      </c>
      <c r="P17" s="3">
        <f t="shared" si="3"/>
        <v>169.854721549636</v>
      </c>
      <c r="Q17" s="17">
        <f t="shared" si="4"/>
        <v>1.04640792733278E-4</v>
      </c>
      <c r="R17" s="3">
        <f t="shared" si="5"/>
        <v>674.66456195737896</v>
      </c>
      <c r="S17" s="24">
        <f t="shared" si="5"/>
        <v>2.2883522727272698</v>
      </c>
      <c r="T17" s="3">
        <f t="shared" si="6"/>
        <v>396.16040955631399</v>
      </c>
      <c r="U17" s="51">
        <f t="shared" si="7"/>
        <v>7.0878425860857297E-2</v>
      </c>
      <c r="V17" s="42">
        <f>((O39*(AVERAGE(Q33,Q34))^2)/AVERAGE(S11,S12)*T17)</f>
        <v>7.1481445900097362E-2</v>
      </c>
      <c r="W17" s="49">
        <f t="shared" si="8"/>
        <v>-8.5078080095043977E-3</v>
      </c>
    </row>
    <row r="18" spans="2:23" x14ac:dyDescent="0.6">
      <c r="B18" s="2">
        <v>145.16129032257999</v>
      </c>
      <c r="C18" s="1">
        <v>2.3712190650779101</v>
      </c>
      <c r="D18" s="2"/>
      <c r="E18" s="1"/>
      <c r="F18" s="2">
        <v>178.20823244552</v>
      </c>
      <c r="G18" s="1">
        <v>107.712634186622</v>
      </c>
      <c r="H18" s="2">
        <v>724.625098658247</v>
      </c>
      <c r="I18" s="47">
        <v>2.2357954545454501</v>
      </c>
      <c r="J18" s="2">
        <v>408.44709897610898</v>
      </c>
      <c r="K18" s="1">
        <v>7.4195361911454594E-2</v>
      </c>
      <c r="N18" s="3">
        <f t="shared" si="1"/>
        <v>145.16129032257999</v>
      </c>
      <c r="O18" s="59">
        <f t="shared" si="2"/>
        <v>23712.190650779103</v>
      </c>
      <c r="P18" s="3">
        <f t="shared" si="3"/>
        <v>178.20823244552</v>
      </c>
      <c r="Q18" s="17">
        <f t="shared" si="4"/>
        <v>1.0771263418662199E-4</v>
      </c>
      <c r="R18" s="3">
        <f t="shared" si="5"/>
        <v>724.625098658247</v>
      </c>
      <c r="S18" s="24">
        <f t="shared" si="5"/>
        <v>2.2357954545454501</v>
      </c>
      <c r="T18" s="3">
        <f t="shared" si="6"/>
        <v>408.44709897610898</v>
      </c>
      <c r="U18" s="51">
        <f t="shared" si="7"/>
        <v>7.4195361911454594E-2</v>
      </c>
      <c r="V18" s="42"/>
      <c r="W18" s="49"/>
    </row>
    <row r="19" spans="2:23" x14ac:dyDescent="0.6">
      <c r="B19" s="2">
        <v>151.61290322580601</v>
      </c>
      <c r="C19" s="1">
        <v>2.4372135655361999</v>
      </c>
      <c r="D19" s="2"/>
      <c r="E19" s="1"/>
      <c r="F19" s="2">
        <v>193.46246973365601</v>
      </c>
      <c r="G19" s="1">
        <v>111.379025598678</v>
      </c>
      <c r="H19" s="2">
        <v>774.34885556432505</v>
      </c>
      <c r="I19" s="47">
        <v>2.3451704545454501</v>
      </c>
      <c r="J19" s="2">
        <v>419.96587030716699</v>
      </c>
      <c r="K19" s="1">
        <v>7.8468025298664798E-2</v>
      </c>
      <c r="N19" s="3">
        <f t="shared" si="1"/>
        <v>151.61290322580601</v>
      </c>
      <c r="O19" s="59">
        <f t="shared" si="2"/>
        <v>24372.135655361999</v>
      </c>
      <c r="P19" s="3">
        <f t="shared" si="3"/>
        <v>193.46246973365601</v>
      </c>
      <c r="Q19" s="17">
        <f t="shared" si="4"/>
        <v>1.11379025598678E-4</v>
      </c>
      <c r="R19" s="3">
        <f t="shared" si="5"/>
        <v>774.34885556432505</v>
      </c>
      <c r="S19" s="24">
        <f t="shared" si="5"/>
        <v>2.3451704545454501</v>
      </c>
      <c r="T19" s="3">
        <f t="shared" si="6"/>
        <v>419.96587030716699</v>
      </c>
      <c r="U19" s="51">
        <f t="shared" si="7"/>
        <v>7.8468025298664798E-2</v>
      </c>
      <c r="V19" s="42">
        <f>((O40*(AVERAGE(Q34,Q35))^2)/S12)*T19</f>
        <v>7.8405719331946122E-2</v>
      </c>
      <c r="W19" s="49">
        <f t="shared" si="8"/>
        <v>7.9403000752888999E-4</v>
      </c>
    </row>
    <row r="20" spans="2:23" x14ac:dyDescent="0.6">
      <c r="B20" s="2">
        <v>156.85483870967701</v>
      </c>
      <c r="C20" s="1">
        <v>2.49404216315307</v>
      </c>
      <c r="D20" s="2"/>
      <c r="E20" s="1"/>
      <c r="F20" s="2">
        <v>199.27360774818399</v>
      </c>
      <c r="G20" s="1">
        <v>113.261767134599</v>
      </c>
      <c r="H20" s="31"/>
      <c r="I20" s="31"/>
      <c r="J20" s="2">
        <v>432.25255972696198</v>
      </c>
      <c r="K20" s="1">
        <v>8.1278988053408302E-2</v>
      </c>
      <c r="N20" s="3">
        <f t="shared" si="1"/>
        <v>156.85483870967701</v>
      </c>
      <c r="O20" s="59">
        <f t="shared" si="2"/>
        <v>24940.421631530702</v>
      </c>
      <c r="P20" s="3">
        <f t="shared" si="3"/>
        <v>199.27360774818399</v>
      </c>
      <c r="Q20" s="17">
        <f t="shared" si="4"/>
        <v>1.1326176713459899E-4</v>
      </c>
      <c r="R20" s="57"/>
      <c r="S20" s="61"/>
      <c r="T20" s="3">
        <f t="shared" si="6"/>
        <v>432.25255972696198</v>
      </c>
      <c r="U20" s="51">
        <f t="shared" si="7"/>
        <v>8.1278988053408302E-2</v>
      </c>
      <c r="V20" s="42"/>
      <c r="W20" s="49"/>
    </row>
    <row r="21" spans="2:23" x14ac:dyDescent="0.6">
      <c r="B21" s="2">
        <v>162.90322580645099</v>
      </c>
      <c r="C21" s="1">
        <v>2.5508707607699299</v>
      </c>
      <c r="D21" s="2"/>
      <c r="E21" s="1"/>
      <c r="F21" s="2">
        <v>209.07990314769901</v>
      </c>
      <c r="G21" s="1">
        <v>115.63996696944599</v>
      </c>
      <c r="H21" s="31"/>
      <c r="I21" s="31"/>
      <c r="J21" s="2">
        <v>444.02730375426597</v>
      </c>
      <c r="K21" s="1">
        <v>8.3134223471538995E-2</v>
      </c>
      <c r="N21" s="3">
        <f t="shared" si="1"/>
        <v>162.90322580645099</v>
      </c>
      <c r="O21" s="59">
        <f t="shared" si="2"/>
        <v>25508.7076076993</v>
      </c>
      <c r="P21" s="3">
        <f t="shared" si="3"/>
        <v>209.07990314769901</v>
      </c>
      <c r="Q21" s="17">
        <f t="shared" si="4"/>
        <v>1.1563996696944598E-4</v>
      </c>
      <c r="R21" s="62"/>
      <c r="S21" s="63"/>
      <c r="T21" s="3">
        <f t="shared" si="6"/>
        <v>444.02730375426597</v>
      </c>
      <c r="U21" s="51">
        <f t="shared" si="7"/>
        <v>8.3134223471538995E-2</v>
      </c>
      <c r="V21" s="42"/>
      <c r="W21" s="49"/>
    </row>
    <row r="22" spans="2:23" x14ac:dyDescent="0.6">
      <c r="B22" s="2">
        <v>171.370967741935</v>
      </c>
      <c r="C22" s="1">
        <v>2.6351970669110898</v>
      </c>
      <c r="D22" s="2"/>
      <c r="E22" s="1"/>
      <c r="F22" s="2">
        <v>219.61259079903101</v>
      </c>
      <c r="G22" s="1">
        <v>119.40545004128801</v>
      </c>
      <c r="H22" s="31"/>
      <c r="I22" s="31"/>
      <c r="J22" s="2">
        <v>456.05802047781498</v>
      </c>
      <c r="K22" s="1">
        <v>8.5495432185523496E-2</v>
      </c>
      <c r="N22" s="3">
        <f t="shared" si="1"/>
        <v>171.370967741935</v>
      </c>
      <c r="O22" s="59">
        <f t="shared" si="2"/>
        <v>26351.970669110899</v>
      </c>
      <c r="P22" s="3">
        <f t="shared" si="3"/>
        <v>219.61259079903101</v>
      </c>
      <c r="Q22" s="17">
        <f t="shared" si="4"/>
        <v>1.1940545004128799E-4</v>
      </c>
      <c r="R22" s="62"/>
      <c r="S22" s="63"/>
      <c r="T22" s="3">
        <f t="shared" si="6"/>
        <v>456.05802047781498</v>
      </c>
      <c r="U22" s="51">
        <f t="shared" si="7"/>
        <v>8.5495432185523496E-2</v>
      </c>
      <c r="V22" s="42">
        <f>((AVERAGE(O41,O42)*(Q36)^2)/AVERAGE(S12,S13))*T22</f>
        <v>8.1994954021502683E-2</v>
      </c>
      <c r="W22" s="49">
        <f t="shared" si="8"/>
        <v>4.0943452469189692E-2</v>
      </c>
    </row>
    <row r="23" spans="2:23" x14ac:dyDescent="0.6">
      <c r="B23" s="2">
        <v>181.451612903225</v>
      </c>
      <c r="C23" s="1">
        <v>2.72135655362053</v>
      </c>
      <c r="D23" s="2"/>
      <c r="E23" s="1"/>
      <c r="F23" s="2">
        <v>230.14527845036301</v>
      </c>
      <c r="G23" s="1">
        <v>122.279108175061</v>
      </c>
      <c r="H23" s="31"/>
      <c r="I23" s="31"/>
      <c r="J23" s="2">
        <v>468.08873720136501</v>
      </c>
      <c r="K23" s="1">
        <v>8.8137737174982397E-2</v>
      </c>
      <c r="N23" s="3">
        <f t="shared" si="1"/>
        <v>181.451612903225</v>
      </c>
      <c r="O23" s="59">
        <f t="shared" si="2"/>
        <v>27213.5655362053</v>
      </c>
      <c r="P23" s="3">
        <f t="shared" si="3"/>
        <v>230.14527845036301</v>
      </c>
      <c r="Q23" s="17">
        <f t="shared" si="4"/>
        <v>1.2227910817506099E-4</v>
      </c>
      <c r="R23" s="62"/>
      <c r="S23" s="63"/>
      <c r="T23" s="3">
        <f t="shared" si="6"/>
        <v>468.08873720136501</v>
      </c>
      <c r="U23" s="51">
        <f t="shared" si="7"/>
        <v>8.8137737174982397E-2</v>
      </c>
      <c r="V23" s="42">
        <f>((O42*(Q37)^2)/S13)*T23</f>
        <v>8.9331757292374248E-2</v>
      </c>
      <c r="W23" s="49">
        <f t="shared" si="8"/>
        <v>-1.3547206402875168E-2</v>
      </c>
    </row>
    <row r="24" spans="2:23" x14ac:dyDescent="0.6">
      <c r="B24" s="2">
        <v>192.33870967741899</v>
      </c>
      <c r="C24" s="1">
        <v>2.81484876260311</v>
      </c>
      <c r="D24" s="2"/>
      <c r="E24" s="1"/>
      <c r="F24" s="2">
        <v>241.40435835350999</v>
      </c>
      <c r="G24" s="1">
        <v>125.25185796862</v>
      </c>
      <c r="H24" s="31"/>
      <c r="I24" s="31"/>
      <c r="J24" s="2">
        <v>480.11945392491401</v>
      </c>
      <c r="K24" s="1">
        <v>9.0330288123682295E-2</v>
      </c>
      <c r="N24" s="3">
        <f t="shared" si="1"/>
        <v>192.33870967741899</v>
      </c>
      <c r="O24" s="59">
        <f t="shared" si="2"/>
        <v>28148.487626031099</v>
      </c>
      <c r="P24" s="3">
        <f t="shared" si="3"/>
        <v>241.40435835350999</v>
      </c>
      <c r="Q24" s="17">
        <f t="shared" si="4"/>
        <v>1.2525185796862E-4</v>
      </c>
      <c r="R24" s="62"/>
      <c r="S24" s="63"/>
      <c r="T24" s="3">
        <f t="shared" si="6"/>
        <v>480.11945392491401</v>
      </c>
      <c r="U24" s="51">
        <f t="shared" si="7"/>
        <v>9.0330288123682295E-2</v>
      </c>
      <c r="V24" s="42">
        <f>((AVERAGE(O42,O43)*(AVERAGE(Q37,Q38))^2)/S13)*T24</f>
        <v>8.9093143939968214E-2</v>
      </c>
      <c r="W24" s="49">
        <f t="shared" si="8"/>
        <v>1.3695784762915348E-2</v>
      </c>
    </row>
    <row r="25" spans="2:23" x14ac:dyDescent="0.6">
      <c r="B25" s="2">
        <v>205.64516129032199</v>
      </c>
      <c r="C25" s="1">
        <v>2.9083409715856998</v>
      </c>
      <c r="D25" s="2"/>
      <c r="E25" s="1"/>
      <c r="F25" s="2">
        <v>257.02179176755402</v>
      </c>
      <c r="G25" s="1">
        <v>128.918249380677</v>
      </c>
      <c r="H25" s="31"/>
      <c r="I25" s="31"/>
      <c r="J25" s="2">
        <v>492.15017064846398</v>
      </c>
      <c r="K25" s="1">
        <v>9.2410400562192505E-2</v>
      </c>
      <c r="N25" s="3">
        <f t="shared" si="1"/>
        <v>205.64516129032199</v>
      </c>
      <c r="O25" s="59">
        <f t="shared" si="2"/>
        <v>29083.409715856997</v>
      </c>
      <c r="P25" s="3">
        <f t="shared" si="3"/>
        <v>257.02179176755402</v>
      </c>
      <c r="Q25" s="17">
        <f t="shared" si="4"/>
        <v>1.28918249380677E-4</v>
      </c>
      <c r="R25" s="62"/>
      <c r="S25" s="63"/>
      <c r="T25" s="3">
        <f t="shared" si="6"/>
        <v>492.15017064846398</v>
      </c>
      <c r="U25" s="51">
        <f t="shared" si="7"/>
        <v>9.2410400562192505E-2</v>
      </c>
      <c r="V25" s="42"/>
      <c r="W25" s="49"/>
    </row>
    <row r="26" spans="2:23" x14ac:dyDescent="0.6">
      <c r="B26" s="28">
        <v>220.16129032257999</v>
      </c>
      <c r="C26" s="29">
        <v>2.99450045829514</v>
      </c>
      <c r="D26" s="28"/>
      <c r="E26" s="29"/>
      <c r="F26" s="2">
        <v>266.82808716707001</v>
      </c>
      <c r="G26" s="1">
        <v>132.28736581337699</v>
      </c>
      <c r="H26" s="31"/>
      <c r="I26" s="31"/>
      <c r="J26" s="2">
        <v>504.18088737201299</v>
      </c>
      <c r="K26" s="1">
        <v>9.4153197470133496E-2</v>
      </c>
      <c r="N26" s="3">
        <f t="shared" si="1"/>
        <v>220.16129032257999</v>
      </c>
      <c r="O26" s="59">
        <f t="shared" si="2"/>
        <v>29945.004582951398</v>
      </c>
      <c r="P26" s="3">
        <f t="shared" si="3"/>
        <v>266.82808716707001</v>
      </c>
      <c r="Q26" s="17">
        <f t="shared" si="4"/>
        <v>1.3228736581337699E-4</v>
      </c>
      <c r="R26" s="62"/>
      <c r="S26" s="63"/>
      <c r="T26" s="3">
        <f t="shared" si="6"/>
        <v>504.18088737201299</v>
      </c>
      <c r="U26" s="51">
        <f t="shared" si="7"/>
        <v>9.4153197470133496E-2</v>
      </c>
      <c r="V26" s="42">
        <f>((O43*(AVERAGE(Q38,Q39))^2)/AVERAGE(S13,S14))*T26</f>
        <v>9.8022108509621758E-2</v>
      </c>
      <c r="W26" s="49">
        <f t="shared" si="8"/>
        <v>-4.10916585250918E-2</v>
      </c>
    </row>
    <row r="27" spans="2:23" x14ac:dyDescent="0.6">
      <c r="B27" s="2">
        <v>237.09677419354799</v>
      </c>
      <c r="C27" s="1">
        <v>3.0568285976168599</v>
      </c>
      <c r="D27" s="2"/>
      <c r="E27" s="1"/>
      <c r="F27" s="2">
        <v>282.08232445520503</v>
      </c>
      <c r="G27" s="1">
        <v>135.557390586292</v>
      </c>
      <c r="H27" s="31"/>
      <c r="I27" s="31"/>
      <c r="J27" s="2">
        <v>516.21160409556296</v>
      </c>
      <c r="K27" s="1">
        <v>9.7413914265635906E-2</v>
      </c>
      <c r="N27" s="3">
        <f t="shared" si="1"/>
        <v>237.09677419354799</v>
      </c>
      <c r="O27" s="59">
        <f t="shared" si="2"/>
        <v>30568.285976168598</v>
      </c>
      <c r="P27" s="3">
        <f t="shared" si="3"/>
        <v>282.08232445520503</v>
      </c>
      <c r="Q27" s="17">
        <f t="shared" si="4"/>
        <v>1.35557390586292E-4</v>
      </c>
      <c r="R27" s="62"/>
      <c r="S27" s="63"/>
      <c r="T27" s="3">
        <f t="shared" si="6"/>
        <v>516.21160409556296</v>
      </c>
      <c r="U27" s="51">
        <f t="shared" si="7"/>
        <v>9.7413914265635906E-2</v>
      </c>
      <c r="V27" s="42"/>
      <c r="W27" s="49"/>
    </row>
    <row r="28" spans="2:23" x14ac:dyDescent="0.6">
      <c r="B28" s="2">
        <v>252.016129032257</v>
      </c>
      <c r="C28" s="1">
        <v>3.0751604032997202</v>
      </c>
      <c r="D28" s="2"/>
      <c r="E28" s="1"/>
      <c r="F28" s="2">
        <v>303.14769975786902</v>
      </c>
      <c r="G28" s="1">
        <v>141.800165152766</v>
      </c>
      <c r="H28" s="31"/>
      <c r="I28" s="31"/>
      <c r="J28" s="2">
        <v>528.24232081911202</v>
      </c>
      <c r="K28" s="1">
        <v>9.7526352775825706E-2</v>
      </c>
      <c r="N28" s="3">
        <f t="shared" si="1"/>
        <v>252.016129032257</v>
      </c>
      <c r="O28" s="59">
        <f t="shared" si="2"/>
        <v>30751.604032997202</v>
      </c>
      <c r="P28" s="3">
        <f t="shared" si="3"/>
        <v>303.14769975786902</v>
      </c>
      <c r="Q28" s="17">
        <f t="shared" si="4"/>
        <v>1.4180016515276598E-4</v>
      </c>
      <c r="R28" s="62"/>
      <c r="S28" s="63"/>
      <c r="T28" s="3">
        <f t="shared" si="6"/>
        <v>528.24232081911202</v>
      </c>
      <c r="U28" s="51">
        <f t="shared" si="7"/>
        <v>9.7526352775825706E-2</v>
      </c>
      <c r="V28" s="42">
        <f>((O44*(AVERAGE(Q39,Q40))^2)/S14)*T28</f>
        <v>0.10005976894977892</v>
      </c>
      <c r="W28" s="49">
        <f t="shared" si="8"/>
        <v>-2.5976734511712191E-2</v>
      </c>
    </row>
    <row r="29" spans="2:23" x14ac:dyDescent="0.6">
      <c r="B29" s="2">
        <v>263.306451612903</v>
      </c>
      <c r="C29" s="1">
        <v>3.0678276810265799</v>
      </c>
      <c r="D29" s="2"/>
      <c r="E29" s="1"/>
      <c r="F29" s="2">
        <v>319.12832929782002</v>
      </c>
      <c r="G29" s="1">
        <v>146.75474814203099</v>
      </c>
      <c r="H29" s="31"/>
      <c r="I29" s="31"/>
      <c r="J29" s="2">
        <v>540.273037542662</v>
      </c>
      <c r="K29" s="1">
        <v>9.8706957132818005E-2</v>
      </c>
      <c r="N29" s="3">
        <f t="shared" si="1"/>
        <v>263.306451612903</v>
      </c>
      <c r="O29" s="59">
        <f t="shared" si="2"/>
        <v>30678.276810265797</v>
      </c>
      <c r="P29" s="3">
        <f t="shared" si="3"/>
        <v>319.12832929782002</v>
      </c>
      <c r="Q29" s="17">
        <f t="shared" si="4"/>
        <v>1.4675474814203099E-4</v>
      </c>
      <c r="R29" s="62"/>
      <c r="S29" s="63"/>
      <c r="T29" s="3">
        <f t="shared" si="6"/>
        <v>540.273037542662</v>
      </c>
      <c r="U29" s="51">
        <f t="shared" si="7"/>
        <v>9.8706957132818005E-2</v>
      </c>
      <c r="V29" s="42"/>
      <c r="W29" s="49"/>
    </row>
    <row r="30" spans="2:23" x14ac:dyDescent="0.6">
      <c r="B30" s="2">
        <v>270.96774193548299</v>
      </c>
      <c r="C30" s="1">
        <v>3.0513290559119999</v>
      </c>
      <c r="D30" s="2"/>
      <c r="E30" s="1"/>
      <c r="F30" s="2">
        <v>329.29782082324402</v>
      </c>
      <c r="G30" s="1">
        <v>149.72749793559001</v>
      </c>
      <c r="H30" s="31"/>
      <c r="I30" s="31"/>
      <c r="J30" s="2">
        <v>552.04778156996497</v>
      </c>
      <c r="K30" s="1">
        <v>9.9718903724525604E-2</v>
      </c>
      <c r="N30" s="3">
        <f t="shared" si="1"/>
        <v>270.96774193548299</v>
      </c>
      <c r="O30" s="59">
        <f t="shared" si="2"/>
        <v>30513.29055912</v>
      </c>
      <c r="P30" s="3">
        <f t="shared" si="3"/>
        <v>329.29782082324402</v>
      </c>
      <c r="Q30" s="17">
        <f t="shared" si="4"/>
        <v>1.4972749793559E-4</v>
      </c>
      <c r="R30" s="62"/>
      <c r="S30" s="63"/>
      <c r="T30" s="3">
        <f t="shared" si="6"/>
        <v>552.04778156996497</v>
      </c>
      <c r="U30" s="51">
        <f t="shared" si="7"/>
        <v>9.9718903724525604E-2</v>
      </c>
      <c r="V30" s="42">
        <f>((O45*(AVERAGE(Q40,Q41))^2)/AVERAGE(S14,S15))*T30</f>
        <v>0.1006291100782143</v>
      </c>
      <c r="W30" s="49">
        <f t="shared" si="8"/>
        <v>-9.1277212212756923E-3</v>
      </c>
    </row>
    <row r="31" spans="2:23" x14ac:dyDescent="0.6">
      <c r="B31" s="2">
        <v>277.01612903225799</v>
      </c>
      <c r="C31" s="1">
        <v>3.0293308890925701</v>
      </c>
      <c r="D31" s="2"/>
      <c r="E31" s="1"/>
      <c r="F31" s="2">
        <v>341.28329297820801</v>
      </c>
      <c r="G31" s="1">
        <v>154.58298926507001</v>
      </c>
      <c r="H31" s="31"/>
      <c r="I31" s="31"/>
      <c r="J31" s="2">
        <v>564.33447098976103</v>
      </c>
      <c r="K31" s="1">
        <v>0.10050597329585299</v>
      </c>
      <c r="N31" s="3">
        <f t="shared" si="1"/>
        <v>277.01612903225799</v>
      </c>
      <c r="O31" s="59">
        <f t="shared" si="2"/>
        <v>30293.308890925702</v>
      </c>
      <c r="P31" s="3">
        <f t="shared" si="3"/>
        <v>341.28329297820801</v>
      </c>
      <c r="Q31" s="17">
        <f t="shared" si="4"/>
        <v>1.5458298926507001E-4</v>
      </c>
      <c r="R31" s="62"/>
      <c r="S31" s="63"/>
      <c r="T31" s="3">
        <f t="shared" si="6"/>
        <v>564.33447098976103</v>
      </c>
      <c r="U31" s="51">
        <f t="shared" si="7"/>
        <v>0.10050597329585299</v>
      </c>
      <c r="V31" s="42"/>
      <c r="W31" s="49"/>
    </row>
    <row r="32" spans="2:23" x14ac:dyDescent="0.6">
      <c r="B32" s="2">
        <v>281.85483870967698</v>
      </c>
      <c r="C32" s="1">
        <v>3.0146654445462802</v>
      </c>
      <c r="D32" s="2"/>
      <c r="E32" s="1"/>
      <c r="F32" s="2">
        <v>361.622276029055</v>
      </c>
      <c r="G32" s="1">
        <v>160.33030553261699</v>
      </c>
      <c r="H32" s="31"/>
      <c r="I32" s="31"/>
      <c r="J32" s="2">
        <v>576.109215017064</v>
      </c>
      <c r="K32" s="1">
        <v>0.10078706957132801</v>
      </c>
      <c r="N32" s="3">
        <f t="shared" si="1"/>
        <v>281.85483870967698</v>
      </c>
      <c r="O32" s="59">
        <f t="shared" si="2"/>
        <v>30146.654445462802</v>
      </c>
      <c r="P32" s="3">
        <f t="shared" si="3"/>
        <v>361.622276029055</v>
      </c>
      <c r="Q32" s="17">
        <f t="shared" si="4"/>
        <v>1.6033030553261698E-4</v>
      </c>
      <c r="R32" s="62"/>
      <c r="S32" s="63"/>
      <c r="T32" s="3">
        <f t="shared" si="6"/>
        <v>576.109215017064</v>
      </c>
      <c r="U32" s="51">
        <f t="shared" si="7"/>
        <v>0.10078706957132801</v>
      </c>
      <c r="V32" s="42">
        <f>((O46*(AVERAGE(Q41,Q42))^2)/S15)*T32</f>
        <v>0.10080044003138471</v>
      </c>
      <c r="W32" s="49">
        <f t="shared" si="8"/>
        <v>-1.3266047037152243E-4</v>
      </c>
    </row>
    <row r="33" spans="2:23" x14ac:dyDescent="0.6">
      <c r="B33" s="2">
        <v>295.16129032257999</v>
      </c>
      <c r="C33" s="1">
        <v>2.9541704857928499</v>
      </c>
      <c r="D33" s="2"/>
      <c r="E33" s="1"/>
      <c r="F33" s="2">
        <v>383.77723970944299</v>
      </c>
      <c r="G33" s="1">
        <v>171.42857142857099</v>
      </c>
      <c r="H33" s="31"/>
      <c r="I33" s="31"/>
      <c r="J33" s="2">
        <v>588.13993174061397</v>
      </c>
      <c r="K33" s="1">
        <v>0.10073085031623299</v>
      </c>
      <c r="N33" s="3">
        <f t="shared" si="1"/>
        <v>295.16129032257999</v>
      </c>
      <c r="O33" s="59">
        <f t="shared" si="2"/>
        <v>29541.7048579285</v>
      </c>
      <c r="P33" s="3">
        <f t="shared" si="3"/>
        <v>383.77723970944299</v>
      </c>
      <c r="Q33" s="17">
        <f t="shared" si="4"/>
        <v>1.7142857142857099E-4</v>
      </c>
      <c r="R33" s="62"/>
      <c r="S33" s="63"/>
      <c r="T33" s="3">
        <f t="shared" si="6"/>
        <v>588.13993174061397</v>
      </c>
      <c r="U33" s="51">
        <f t="shared" si="7"/>
        <v>0.10073085031623299</v>
      </c>
      <c r="V33" s="42"/>
      <c r="W33" s="49"/>
    </row>
    <row r="34" spans="2:23" x14ac:dyDescent="0.6">
      <c r="B34" s="2">
        <v>302.41935483870901</v>
      </c>
      <c r="C34" s="1">
        <v>2.9156736938588401</v>
      </c>
      <c r="D34" s="2"/>
      <c r="E34" s="1"/>
      <c r="F34" s="2">
        <v>405.569007263922</v>
      </c>
      <c r="G34" s="1">
        <v>177.07679603633301</v>
      </c>
      <c r="H34" s="31"/>
      <c r="I34" s="31"/>
      <c r="J34" s="2">
        <v>599.91467576791797</v>
      </c>
      <c r="K34" s="1">
        <v>0.100168657765284</v>
      </c>
      <c r="N34" s="3">
        <f t="shared" si="1"/>
        <v>302.41935483870901</v>
      </c>
      <c r="O34" s="59">
        <f t="shared" si="2"/>
        <v>29156.736938588401</v>
      </c>
      <c r="P34" s="3">
        <f t="shared" si="3"/>
        <v>405.569007263922</v>
      </c>
      <c r="Q34" s="17">
        <f t="shared" si="4"/>
        <v>1.7707679603633301E-4</v>
      </c>
      <c r="R34" s="62"/>
      <c r="S34" s="63"/>
      <c r="T34" s="3">
        <f t="shared" si="6"/>
        <v>599.91467576791797</v>
      </c>
      <c r="U34" s="51">
        <f t="shared" si="7"/>
        <v>0.100168657765284</v>
      </c>
      <c r="V34" s="42">
        <f>((O47*(Q43)^2)/AVERAGE(S15,S16))*T34</f>
        <v>0.10093834163826147</v>
      </c>
      <c r="W34" s="49">
        <f t="shared" si="8"/>
        <v>-7.6838792707096528E-3</v>
      </c>
    </row>
    <row r="35" spans="2:23" x14ac:dyDescent="0.6">
      <c r="B35" s="2">
        <v>312.09677419354801</v>
      </c>
      <c r="C35" s="1">
        <v>2.8588450962419798</v>
      </c>
      <c r="D35" s="2"/>
      <c r="E35" s="1"/>
      <c r="F35" s="2">
        <v>428.45036319612501</v>
      </c>
      <c r="G35" s="1">
        <v>186.29232039636599</v>
      </c>
      <c r="H35" s="31"/>
      <c r="I35" s="31"/>
      <c r="J35" s="2">
        <v>611.94539249146703</v>
      </c>
      <c r="K35" s="1">
        <v>9.8875614898102607E-2</v>
      </c>
      <c r="N35" s="3">
        <f t="shared" si="1"/>
        <v>312.09677419354801</v>
      </c>
      <c r="O35" s="59">
        <f t="shared" si="2"/>
        <v>28588.450962419796</v>
      </c>
      <c r="P35" s="3">
        <f t="shared" si="3"/>
        <v>428.45036319612501</v>
      </c>
      <c r="Q35" s="17">
        <f t="shared" si="4"/>
        <v>1.86292320396366E-4</v>
      </c>
      <c r="R35" s="62"/>
      <c r="S35" s="63"/>
      <c r="T35" s="3">
        <f t="shared" si="6"/>
        <v>611.94539249146703</v>
      </c>
      <c r="U35" s="51">
        <f t="shared" si="7"/>
        <v>9.8875614898102607E-2</v>
      </c>
      <c r="V35" s="42"/>
      <c r="W35" s="49"/>
    </row>
    <row r="36" spans="2:23" x14ac:dyDescent="0.6">
      <c r="B36" s="2">
        <v>328.629032258064</v>
      </c>
      <c r="C36" s="1">
        <v>2.7396883593033898</v>
      </c>
      <c r="D36" s="2"/>
      <c r="E36" s="1"/>
      <c r="F36" s="2">
        <v>449.87893462469702</v>
      </c>
      <c r="G36" s="1">
        <v>194.81420313790201</v>
      </c>
      <c r="H36" s="31"/>
      <c r="I36" s="31"/>
      <c r="J36" s="2">
        <v>623.976109215017</v>
      </c>
      <c r="K36" s="1">
        <v>9.6683063949402598E-2</v>
      </c>
      <c r="N36" s="3">
        <f t="shared" si="1"/>
        <v>328.629032258064</v>
      </c>
      <c r="O36" s="59">
        <f t="shared" si="2"/>
        <v>27396.883593033897</v>
      </c>
      <c r="P36" s="3">
        <f t="shared" si="3"/>
        <v>449.87893462469702</v>
      </c>
      <c r="Q36" s="17">
        <f t="shared" si="4"/>
        <v>1.94814203137902E-4</v>
      </c>
      <c r="R36" s="62"/>
      <c r="S36" s="63"/>
      <c r="T36" s="3">
        <f t="shared" si="6"/>
        <v>623.976109215017</v>
      </c>
      <c r="U36" s="51">
        <f t="shared" si="7"/>
        <v>9.6683063949402598E-2</v>
      </c>
      <c r="V36" s="42">
        <f>((O48*(AVERAGE(Q43,Q44))^2)/S16)*T36</f>
        <v>9.6147096093086401E-2</v>
      </c>
      <c r="W36" s="49">
        <f t="shared" si="8"/>
        <v>5.543554728433992E-3</v>
      </c>
    </row>
    <row r="37" spans="2:23" x14ac:dyDescent="0.6">
      <c r="B37" s="2">
        <v>348.79032258064501</v>
      </c>
      <c r="C37" s="1">
        <v>2.5655362053162198</v>
      </c>
      <c r="D37" s="2"/>
      <c r="E37" s="1"/>
      <c r="F37" s="2">
        <v>472.03389830508399</v>
      </c>
      <c r="G37" s="1">
        <v>205.51610239471501</v>
      </c>
      <c r="H37" s="31"/>
      <c r="I37" s="31"/>
      <c r="J37" s="2">
        <v>636.00682593856595</v>
      </c>
      <c r="K37" s="1">
        <v>9.3366127898805301E-2</v>
      </c>
      <c r="N37" s="3">
        <f t="shared" si="1"/>
        <v>348.79032258064501</v>
      </c>
      <c r="O37" s="59">
        <f t="shared" si="2"/>
        <v>25655.3620531622</v>
      </c>
      <c r="P37" s="3">
        <f t="shared" si="3"/>
        <v>472.03389830508399</v>
      </c>
      <c r="Q37" s="17">
        <f t="shared" si="4"/>
        <v>2.0551610239471498E-4</v>
      </c>
      <c r="R37" s="62"/>
      <c r="S37" s="63"/>
      <c r="T37" s="3">
        <f t="shared" si="6"/>
        <v>636.00682593856595</v>
      </c>
      <c r="U37" s="51">
        <f t="shared" si="7"/>
        <v>9.3366127898805301E-2</v>
      </c>
      <c r="V37" s="42"/>
      <c r="W37" s="49"/>
    </row>
    <row r="38" spans="2:23" x14ac:dyDescent="0.6">
      <c r="B38" s="2">
        <v>370.56451612903197</v>
      </c>
      <c r="C38" s="1">
        <v>2.3565536205316202</v>
      </c>
      <c r="D38" s="2"/>
      <c r="E38" s="1"/>
      <c r="F38" s="2">
        <v>493.82566585956403</v>
      </c>
      <c r="G38" s="1">
        <v>214.83071841453301</v>
      </c>
      <c r="H38" s="31"/>
      <c r="I38" s="31"/>
      <c r="J38" s="2">
        <v>648.03754266211604</v>
      </c>
      <c r="K38" s="1">
        <v>8.9374560787069499E-2</v>
      </c>
      <c r="N38" s="3">
        <f t="shared" si="1"/>
        <v>370.56451612903197</v>
      </c>
      <c r="O38" s="59">
        <f t="shared" si="2"/>
        <v>23565.536205316203</v>
      </c>
      <c r="P38" s="3">
        <f t="shared" si="3"/>
        <v>493.82566585956403</v>
      </c>
      <c r="Q38" s="17">
        <f t="shared" si="4"/>
        <v>2.14830718414533E-4</v>
      </c>
      <c r="R38" s="62"/>
      <c r="S38" s="63"/>
      <c r="T38" s="3">
        <f t="shared" si="6"/>
        <v>648.03754266211604</v>
      </c>
      <c r="U38" s="51">
        <f t="shared" si="7"/>
        <v>8.9374560787069499E-2</v>
      </c>
      <c r="V38" s="42">
        <f>((O49*(Q45)^2)/AVERAGE(S16,S17))*T38</f>
        <v>8.7297248277538375E-2</v>
      </c>
      <c r="W38" s="49">
        <f t="shared" si="8"/>
        <v>2.3242771670567628E-2</v>
      </c>
    </row>
    <row r="39" spans="2:23" x14ac:dyDescent="0.6">
      <c r="B39" s="2">
        <v>393.951612903225</v>
      </c>
      <c r="C39" s="1">
        <v>2.1237396883592998</v>
      </c>
      <c r="D39" s="2"/>
      <c r="E39" s="1"/>
      <c r="F39" s="2">
        <v>515.980629539951</v>
      </c>
      <c r="G39" s="1">
        <v>223.848059454995</v>
      </c>
      <c r="H39" s="31"/>
      <c r="I39" s="31"/>
      <c r="J39" s="2">
        <v>660.06825938566499</v>
      </c>
      <c r="K39" s="1">
        <v>8.4652143359100498E-2</v>
      </c>
      <c r="N39" s="3">
        <f t="shared" si="1"/>
        <v>393.951612903225</v>
      </c>
      <c r="O39" s="59">
        <f t="shared" si="2"/>
        <v>21237.396883592999</v>
      </c>
      <c r="P39" s="3">
        <f t="shared" si="3"/>
        <v>515.980629539951</v>
      </c>
      <c r="Q39" s="17">
        <f t="shared" si="4"/>
        <v>2.2384805945499498E-4</v>
      </c>
      <c r="R39" s="62"/>
      <c r="S39" s="63"/>
      <c r="T39" s="3">
        <f t="shared" si="6"/>
        <v>660.06825938566499</v>
      </c>
      <c r="U39" s="51">
        <f t="shared" si="7"/>
        <v>8.4652143359100498E-2</v>
      </c>
      <c r="V39" s="42"/>
      <c r="W39" s="49"/>
    </row>
    <row r="40" spans="2:23" x14ac:dyDescent="0.6">
      <c r="B40" s="2">
        <v>418.951612903225</v>
      </c>
      <c r="C40" s="1">
        <v>1.8799266727772601</v>
      </c>
      <c r="D40" s="2"/>
      <c r="E40" s="1"/>
      <c r="F40" s="2">
        <v>539.22518159806305</v>
      </c>
      <c r="G40" s="1">
        <v>231.77539223781901</v>
      </c>
      <c r="H40" s="31"/>
      <c r="I40" s="31"/>
      <c r="J40" s="2">
        <v>672.09897610921496</v>
      </c>
      <c r="K40" s="1">
        <v>8.2459592410400503E-2</v>
      </c>
      <c r="N40" s="3">
        <f t="shared" si="1"/>
        <v>418.951612903225</v>
      </c>
      <c r="O40" s="59">
        <f t="shared" si="2"/>
        <v>18799.2667277726</v>
      </c>
      <c r="P40" s="3">
        <f t="shared" si="3"/>
        <v>539.22518159806305</v>
      </c>
      <c r="Q40" s="17">
        <f t="shared" si="4"/>
        <v>2.31775392237819E-4</v>
      </c>
      <c r="R40" s="62"/>
      <c r="S40" s="63"/>
      <c r="T40" s="3">
        <f t="shared" si="6"/>
        <v>672.09897610921496</v>
      </c>
      <c r="U40" s="51">
        <f t="shared" si="7"/>
        <v>8.2459592410400503E-2</v>
      </c>
      <c r="V40" s="42">
        <f>((O50*(Q46)^2)/S17)*T40</f>
        <v>7.9152909234459487E-2</v>
      </c>
      <c r="W40" s="49">
        <f t="shared" si="8"/>
        <v>4.0100649048611471E-2</v>
      </c>
    </row>
    <row r="41" spans="2:23" x14ac:dyDescent="0.6">
      <c r="B41" s="2">
        <v>443.951612903225</v>
      </c>
      <c r="C41" s="1">
        <v>1.64344637946837</v>
      </c>
      <c r="D41" s="2"/>
      <c r="E41" s="1"/>
      <c r="F41" s="2">
        <v>561.38014527844996</v>
      </c>
      <c r="G41" s="1">
        <v>239.30635838150201</v>
      </c>
      <c r="H41" s="31"/>
      <c r="I41" s="31"/>
      <c r="J41" s="2">
        <v>683.87372013651805</v>
      </c>
      <c r="K41" s="1">
        <v>7.47575544624033E-2</v>
      </c>
      <c r="N41" s="3">
        <f t="shared" si="1"/>
        <v>443.951612903225</v>
      </c>
      <c r="O41" s="59">
        <f t="shared" si="2"/>
        <v>16434.463794683699</v>
      </c>
      <c r="P41" s="3">
        <f t="shared" si="3"/>
        <v>561.38014527844996</v>
      </c>
      <c r="Q41" s="17">
        <f t="shared" si="4"/>
        <v>2.3930635838150199E-4</v>
      </c>
      <c r="R41" s="62"/>
      <c r="S41" s="63"/>
      <c r="T41" s="3">
        <f t="shared" si="6"/>
        <v>683.87372013651805</v>
      </c>
      <c r="U41" s="51">
        <f t="shared" si="7"/>
        <v>7.47575544624033E-2</v>
      </c>
      <c r="V41" s="42"/>
      <c r="W41" s="49"/>
    </row>
    <row r="42" spans="2:23" x14ac:dyDescent="0.6">
      <c r="B42" s="2">
        <v>469.75806451612902</v>
      </c>
      <c r="C42" s="1">
        <v>1.4216315307057701</v>
      </c>
      <c r="D42" s="2"/>
      <c r="E42" s="1"/>
      <c r="F42" s="2">
        <v>584.62469733656201</v>
      </c>
      <c r="G42" s="1">
        <v>245.350949628406</v>
      </c>
      <c r="H42" s="31"/>
      <c r="I42" s="31"/>
      <c r="J42" s="2">
        <v>695.90443686006802</v>
      </c>
      <c r="K42" s="1">
        <v>6.7167955024595896E-2</v>
      </c>
      <c r="N42" s="3">
        <f t="shared" si="1"/>
        <v>469.75806451612902</v>
      </c>
      <c r="O42" s="59">
        <f t="shared" si="2"/>
        <v>14216.315307057701</v>
      </c>
      <c r="P42" s="3">
        <f t="shared" si="3"/>
        <v>584.62469733656201</v>
      </c>
      <c r="Q42" s="17">
        <f t="shared" si="4"/>
        <v>2.4535094962840599E-4</v>
      </c>
      <c r="R42" s="62"/>
      <c r="S42" s="63"/>
      <c r="T42" s="3">
        <f t="shared" si="6"/>
        <v>695.90443686006802</v>
      </c>
      <c r="U42" s="51">
        <f t="shared" si="7"/>
        <v>6.7167955024595896E-2</v>
      </c>
      <c r="V42" s="42">
        <f>((O51*(Q47)^2)/AVERAGE(S17,S18))*T42</f>
        <v>6.3648376028856771E-2</v>
      </c>
      <c r="W42" s="49">
        <f t="shared" si="8"/>
        <v>5.2399674732546322E-2</v>
      </c>
    </row>
    <row r="43" spans="2:23" x14ac:dyDescent="0.6">
      <c r="B43" s="2">
        <v>495.96774193548299</v>
      </c>
      <c r="C43" s="1">
        <v>1.2218148487625999</v>
      </c>
      <c r="D43" s="2"/>
      <c r="E43" s="1"/>
      <c r="F43" s="2">
        <v>607.50605326876496</v>
      </c>
      <c r="G43" s="1">
        <v>249.41370767960299</v>
      </c>
      <c r="H43" s="31"/>
      <c r="I43" s="31"/>
      <c r="J43" s="2">
        <v>707.93515358361697</v>
      </c>
      <c r="K43" s="1">
        <v>5.9184820801124298E-2</v>
      </c>
      <c r="N43" s="3">
        <f t="shared" si="1"/>
        <v>495.96774193548299</v>
      </c>
      <c r="O43" s="59">
        <f t="shared" si="2"/>
        <v>12218.148487626</v>
      </c>
      <c r="P43" s="3">
        <f t="shared" si="3"/>
        <v>607.50605326876496</v>
      </c>
      <c r="Q43" s="17">
        <f t="shared" si="4"/>
        <v>2.4941370767960299E-4</v>
      </c>
      <c r="R43" s="62"/>
      <c r="S43" s="63"/>
      <c r="T43" s="3">
        <f t="shared" si="6"/>
        <v>707.93515358361697</v>
      </c>
      <c r="U43" s="51">
        <f t="shared" si="7"/>
        <v>5.9184820801124298E-2</v>
      </c>
      <c r="V43" s="42">
        <f>((O51*(Q47)^2)/AVERAGE(S17,S18))*T43</f>
        <v>6.4748721911650847E-2</v>
      </c>
      <c r="W43" s="49">
        <f t="shared" si="8"/>
        <v>-9.4008920449765984E-2</v>
      </c>
    </row>
    <row r="44" spans="2:23" x14ac:dyDescent="0.6">
      <c r="B44" s="2">
        <v>522.58064516129002</v>
      </c>
      <c r="C44" s="1">
        <v>1.0586617781851499</v>
      </c>
      <c r="D44" s="2"/>
      <c r="E44" s="1"/>
      <c r="F44" s="2">
        <v>630.75060532687598</v>
      </c>
      <c r="G44" s="1">
        <v>248.32369942196499</v>
      </c>
      <c r="H44" s="31"/>
      <c r="I44" s="31"/>
      <c r="J44" s="2">
        <v>720.22184300341303</v>
      </c>
      <c r="K44" s="1">
        <v>5.1089248067463101E-2</v>
      </c>
      <c r="N44" s="3">
        <f t="shared" si="1"/>
        <v>522.58064516129002</v>
      </c>
      <c r="O44" s="59">
        <f t="shared" si="2"/>
        <v>10586.617781851499</v>
      </c>
      <c r="P44" s="3">
        <f t="shared" si="3"/>
        <v>630.75060532687598</v>
      </c>
      <c r="Q44" s="17">
        <f t="shared" si="4"/>
        <v>2.4832369942196495E-4</v>
      </c>
      <c r="R44" s="62"/>
      <c r="S44" s="63"/>
      <c r="T44" s="3">
        <f t="shared" si="6"/>
        <v>720.22184300341303</v>
      </c>
      <c r="U44" s="51">
        <f t="shared" si="7"/>
        <v>5.1089248067463101E-2</v>
      </c>
      <c r="V44" s="42">
        <f>((O52*(Q48)^2)/S18)*T44</f>
        <v>4.7101034020520141E-2</v>
      </c>
      <c r="W44" s="49">
        <f t="shared" si="8"/>
        <v>7.8063666971111875E-2</v>
      </c>
    </row>
    <row r="45" spans="2:23" x14ac:dyDescent="0.6">
      <c r="B45" s="2">
        <v>548.79032258064501</v>
      </c>
      <c r="C45" s="1">
        <v>0.91567369385884501</v>
      </c>
      <c r="D45" s="2"/>
      <c r="E45" s="1"/>
      <c r="F45" s="2">
        <v>653.99515738498803</v>
      </c>
      <c r="G45" s="1">
        <v>241.28819157720801</v>
      </c>
      <c r="H45" s="31"/>
      <c r="I45" s="31"/>
      <c r="J45" s="2">
        <v>731.996587030716</v>
      </c>
      <c r="K45" s="1">
        <v>4.2543921293042797E-2</v>
      </c>
      <c r="N45" s="3">
        <f t="shared" si="1"/>
        <v>548.79032258064501</v>
      </c>
      <c r="O45" s="59">
        <f t="shared" si="2"/>
        <v>9156.7369385884504</v>
      </c>
      <c r="P45" s="3">
        <f t="shared" si="3"/>
        <v>653.99515738498803</v>
      </c>
      <c r="Q45" s="17">
        <f t="shared" si="4"/>
        <v>2.4128819157720799E-4</v>
      </c>
      <c r="R45" s="62"/>
      <c r="S45" s="63"/>
      <c r="T45" s="3">
        <f t="shared" si="6"/>
        <v>731.996587030716</v>
      </c>
      <c r="U45" s="51">
        <f t="shared" si="7"/>
        <v>4.2543921293042797E-2</v>
      </c>
      <c r="V45" s="42">
        <f>((O52*(Q48)^2)/S18)*T45</f>
        <v>4.7871078173444125E-2</v>
      </c>
      <c r="W45" s="49">
        <f t="shared" si="8"/>
        <v>-0.12521546483004795</v>
      </c>
    </row>
    <row r="46" spans="2:23" x14ac:dyDescent="0.6">
      <c r="B46" s="2">
        <v>574.59677419354796</v>
      </c>
      <c r="C46" s="1">
        <v>0.79651695692025504</v>
      </c>
      <c r="D46" s="2"/>
      <c r="E46" s="1"/>
      <c r="F46" s="2">
        <v>677.96610169491498</v>
      </c>
      <c r="G46" s="1">
        <v>226.52353426919899</v>
      </c>
      <c r="H46" s="31"/>
      <c r="I46" s="31"/>
      <c r="J46" s="2">
        <v>744.02730375426597</v>
      </c>
      <c r="K46" s="1">
        <v>3.4054813773717399E-2</v>
      </c>
      <c r="N46" s="3">
        <f t="shared" si="1"/>
        <v>574.59677419354796</v>
      </c>
      <c r="O46" s="59">
        <f t="shared" si="2"/>
        <v>7965.1695692025505</v>
      </c>
      <c r="P46" s="3">
        <f t="shared" si="3"/>
        <v>677.96610169491498</v>
      </c>
      <c r="Q46" s="17">
        <f t="shared" si="4"/>
        <v>2.2652353426919899E-4</v>
      </c>
      <c r="R46" s="62"/>
      <c r="S46" s="63"/>
      <c r="T46" s="3">
        <f t="shared" si="6"/>
        <v>744.02730375426597</v>
      </c>
      <c r="U46" s="51">
        <f t="shared" si="7"/>
        <v>3.4054813773717399E-2</v>
      </c>
      <c r="V46" s="42"/>
      <c r="W46" s="49"/>
    </row>
    <row r="47" spans="2:23" x14ac:dyDescent="0.6">
      <c r="B47" s="2">
        <v>600.40322580645102</v>
      </c>
      <c r="C47" s="50">
        <v>0.69385884509624196</v>
      </c>
      <c r="D47" s="2"/>
      <c r="E47" s="50"/>
      <c r="F47" s="2">
        <v>702.30024213075001</v>
      </c>
      <c r="G47" s="50">
        <v>203.137902559867</v>
      </c>
      <c r="H47" s="31"/>
      <c r="I47" s="31"/>
      <c r="J47" s="2">
        <v>756.05802047781503</v>
      </c>
      <c r="K47" s="50">
        <v>2.6015460295151002E-2</v>
      </c>
      <c r="N47" s="3">
        <f t="shared" si="1"/>
        <v>600.40322580645102</v>
      </c>
      <c r="O47" s="59">
        <f t="shared" si="2"/>
        <v>6938.5884509624193</v>
      </c>
      <c r="P47" s="3">
        <f t="shared" si="3"/>
        <v>702.30024213075001</v>
      </c>
      <c r="Q47" s="17">
        <f t="shared" si="4"/>
        <v>2.03137902559867E-4</v>
      </c>
      <c r="R47" s="62"/>
      <c r="S47" s="63"/>
      <c r="T47" s="3">
        <f t="shared" si="6"/>
        <v>756.05802047781503</v>
      </c>
      <c r="U47" s="51">
        <f t="shared" si="7"/>
        <v>2.6015460295151002E-2</v>
      </c>
      <c r="V47" s="42">
        <f>((O53*(Q49)^2)/AVERAGE(S18,S19))*T47</f>
        <v>3.0094358182520996E-2</v>
      </c>
      <c r="W47" s="49">
        <f t="shared" si="8"/>
        <v>-0.1567874579613053</v>
      </c>
    </row>
    <row r="48" spans="2:23" x14ac:dyDescent="0.6">
      <c r="B48" s="2">
        <v>626.20967741935397</v>
      </c>
      <c r="C48" s="50">
        <v>0.61136571952337204</v>
      </c>
      <c r="D48" s="2"/>
      <c r="E48" s="50"/>
      <c r="F48" s="2">
        <v>726.63438256658605</v>
      </c>
      <c r="G48" s="50">
        <v>169.84310487200599</v>
      </c>
      <c r="H48" s="31"/>
      <c r="I48" s="31"/>
      <c r="J48" s="2">
        <v>767.83276450511903</v>
      </c>
      <c r="K48" s="50">
        <v>1.85945186226282E-2</v>
      </c>
      <c r="N48" s="3">
        <f t="shared" si="1"/>
        <v>626.20967741935397</v>
      </c>
      <c r="O48" s="59">
        <f t="shared" si="2"/>
        <v>6113.6571952337208</v>
      </c>
      <c r="P48" s="3">
        <f t="shared" si="3"/>
        <v>726.63438256658605</v>
      </c>
      <c r="Q48" s="17">
        <f t="shared" si="4"/>
        <v>1.69843104872006E-4</v>
      </c>
      <c r="R48" s="62"/>
      <c r="S48" s="63"/>
      <c r="T48" s="3">
        <f t="shared" si="6"/>
        <v>767.83276450511903</v>
      </c>
      <c r="U48" s="51">
        <f t="shared" si="7"/>
        <v>1.85945186226282E-2</v>
      </c>
      <c r="V48" s="42"/>
      <c r="W48" s="49"/>
    </row>
    <row r="49" spans="2:23" x14ac:dyDescent="0.6">
      <c r="B49" s="2">
        <v>651.20967741935397</v>
      </c>
      <c r="C49" s="50">
        <v>0.54903758020165006</v>
      </c>
      <c r="D49" s="2"/>
      <c r="E49" s="50"/>
      <c r="F49" s="2">
        <v>751.33171912832904</v>
      </c>
      <c r="G49" s="50">
        <v>131.29644921552401</v>
      </c>
      <c r="H49" s="31"/>
      <c r="I49" s="31"/>
      <c r="J49" s="31"/>
      <c r="K49" s="31"/>
      <c r="L49" s="31"/>
      <c r="M49" s="31"/>
      <c r="N49" s="3">
        <f t="shared" si="1"/>
        <v>651.20967741935397</v>
      </c>
      <c r="O49" s="59">
        <f t="shared" si="2"/>
        <v>5490.3758020165005</v>
      </c>
      <c r="P49" s="3">
        <f t="shared" ref="P49:P50" si="9">F49</f>
        <v>751.33171912832904</v>
      </c>
      <c r="Q49" s="17">
        <f t="shared" si="4"/>
        <v>1.31296449215524E-4</v>
      </c>
      <c r="R49" s="62"/>
      <c r="S49" s="38"/>
      <c r="T49" s="31"/>
      <c r="U49" s="38"/>
      <c r="V49" s="60"/>
    </row>
    <row r="50" spans="2:23" x14ac:dyDescent="0.6">
      <c r="B50" s="2">
        <v>676.20967741935397</v>
      </c>
      <c r="C50" s="50">
        <v>0.52520623281393197</v>
      </c>
      <c r="D50" s="28"/>
      <c r="E50" s="56"/>
      <c r="F50" s="2">
        <v>775.66585956416395</v>
      </c>
      <c r="G50" s="50">
        <v>87.200660611065103</v>
      </c>
      <c r="H50" s="31"/>
      <c r="I50" s="31"/>
      <c r="J50" s="31"/>
      <c r="K50" s="31"/>
      <c r="L50" s="31"/>
      <c r="M50" s="31"/>
      <c r="N50" s="3">
        <f t="shared" si="1"/>
        <v>676.20967741935397</v>
      </c>
      <c r="O50" s="59">
        <f t="shared" si="2"/>
        <v>5252.06232813932</v>
      </c>
      <c r="P50" s="3">
        <f t="shared" si="9"/>
        <v>775.66585956416395</v>
      </c>
      <c r="Q50" s="17">
        <f t="shared" si="4"/>
        <v>8.7200660611065097E-5</v>
      </c>
      <c r="R50" s="31"/>
      <c r="S50" s="38"/>
      <c r="T50" s="31"/>
      <c r="U50" s="38"/>
      <c r="V50" s="60"/>
    </row>
    <row r="51" spans="2:23" x14ac:dyDescent="0.6">
      <c r="B51" s="2">
        <v>701.20967741935397</v>
      </c>
      <c r="C51" s="55">
        <v>0.501374885426214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">
        <f t="shared" si="1"/>
        <v>701.20967741935397</v>
      </c>
      <c r="O51" s="59">
        <f t="shared" si="2"/>
        <v>5013.7488542621404</v>
      </c>
      <c r="P51" s="31"/>
      <c r="Q51" s="37"/>
      <c r="R51" s="31"/>
      <c r="S51" s="38"/>
      <c r="T51" s="31"/>
      <c r="U51" s="38"/>
      <c r="V51" s="60"/>
    </row>
    <row r="52" spans="2:23" x14ac:dyDescent="0.6">
      <c r="B52" s="2">
        <v>725.80645161290295</v>
      </c>
      <c r="C52" s="55">
        <v>0.506874427131072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">
        <f t="shared" si="1"/>
        <v>725.80645161290295</v>
      </c>
      <c r="O52" s="59">
        <f t="shared" si="2"/>
        <v>5068.7442713107203</v>
      </c>
      <c r="P52" s="31"/>
      <c r="Q52" s="37"/>
      <c r="R52" s="31"/>
      <c r="S52" s="38"/>
      <c r="T52" s="31"/>
      <c r="U52" s="38"/>
      <c r="V52" s="60"/>
    </row>
    <row r="53" spans="2:23" x14ac:dyDescent="0.6">
      <c r="B53" s="2">
        <v>750.40322580645102</v>
      </c>
      <c r="C53" s="55">
        <v>0.52887259395050501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">
        <f t="shared" si="1"/>
        <v>750.40322580645102</v>
      </c>
      <c r="O53" s="59">
        <f t="shared" si="2"/>
        <v>5288.7259395050505</v>
      </c>
      <c r="P53" s="31"/>
      <c r="Q53" s="37"/>
      <c r="R53" s="31"/>
      <c r="S53" s="38"/>
      <c r="T53" s="31"/>
      <c r="U53" s="38"/>
      <c r="V53"/>
    </row>
    <row r="54" spans="2:23" x14ac:dyDescent="0.6">
      <c r="B54" s="2">
        <v>775</v>
      </c>
      <c r="C54" s="50">
        <v>0.58020164986251099</v>
      </c>
      <c r="D54" s="31"/>
      <c r="E54" s="31"/>
      <c r="F54" s="31"/>
      <c r="G54" s="31"/>
      <c r="H54" s="31"/>
      <c r="I54" s="31"/>
      <c r="J54" s="31"/>
      <c r="K54" s="31"/>
      <c r="N54" s="3">
        <f t="shared" si="1"/>
        <v>775</v>
      </c>
      <c r="O54" s="59">
        <f t="shared" si="2"/>
        <v>5802.0164986251102</v>
      </c>
      <c r="P54" s="31"/>
      <c r="Q54" s="37"/>
      <c r="R54" s="31"/>
      <c r="S54" s="38"/>
      <c r="T54" s="31"/>
      <c r="U54" s="38"/>
      <c r="V54"/>
    </row>
    <row r="55" spans="2:23" x14ac:dyDescent="0.6">
      <c r="B55" s="2">
        <v>799.19354838709603</v>
      </c>
      <c r="C55" s="50">
        <v>0.64252978918423398</v>
      </c>
      <c r="D55" s="31"/>
      <c r="E55" s="31"/>
      <c r="F55" s="31"/>
      <c r="G55" s="31"/>
      <c r="H55" s="31"/>
      <c r="I55" s="31"/>
      <c r="J55" s="31"/>
      <c r="K55" s="31"/>
      <c r="N55" s="3">
        <f t="shared" si="1"/>
        <v>799.19354838709603</v>
      </c>
      <c r="O55" s="59">
        <f t="shared" si="2"/>
        <v>6425.2978918423396</v>
      </c>
      <c r="P55" s="31"/>
      <c r="Q55" s="37"/>
      <c r="R55" s="31"/>
      <c r="S55" s="38"/>
      <c r="T55" s="31"/>
      <c r="U55" s="38"/>
      <c r="V55"/>
    </row>
    <row r="56" spans="2:23" x14ac:dyDescent="0.6">
      <c r="B56" s="2">
        <v>821.77419354838696</v>
      </c>
      <c r="C56" s="1">
        <v>0.72502291475710301</v>
      </c>
      <c r="N56" s="3">
        <f t="shared" si="1"/>
        <v>821.77419354838696</v>
      </c>
      <c r="O56" s="59">
        <f t="shared" si="2"/>
        <v>7250.2291475710299</v>
      </c>
      <c r="V56"/>
    </row>
    <row r="57" spans="2:23" x14ac:dyDescent="0.6">
      <c r="V57"/>
    </row>
    <row r="58" spans="2:23" x14ac:dyDescent="0.6">
      <c r="V58"/>
    </row>
    <row r="59" spans="2:23" x14ac:dyDescent="0.6">
      <c r="O59"/>
      <c r="Q59"/>
      <c r="S59"/>
      <c r="U59"/>
      <c r="V59"/>
    </row>
    <row r="60" spans="2:23" ht="17.25" thickBot="1" x14ac:dyDescent="0.65">
      <c r="B60" t="s">
        <v>79</v>
      </c>
      <c r="O60"/>
      <c r="Q60"/>
      <c r="S60"/>
      <c r="U60"/>
      <c r="V60"/>
    </row>
    <row r="61" spans="2:23" x14ac:dyDescent="0.6">
      <c r="B61" s="5" t="s">
        <v>3</v>
      </c>
      <c r="C61" s="6" t="s">
        <v>0</v>
      </c>
      <c r="D61" s="7" t="s">
        <v>3</v>
      </c>
      <c r="E61" s="6" t="s">
        <v>8</v>
      </c>
      <c r="F61" s="7" t="s">
        <v>3</v>
      </c>
      <c r="G61" s="6" t="s">
        <v>1</v>
      </c>
      <c r="H61" s="7" t="s">
        <v>3</v>
      </c>
      <c r="I61" s="6" t="s">
        <v>2</v>
      </c>
      <c r="J61" s="7" t="s">
        <v>3</v>
      </c>
      <c r="K61" s="8" t="s">
        <v>6</v>
      </c>
      <c r="N61" s="5" t="s">
        <v>3</v>
      </c>
      <c r="O61" s="19" t="s">
        <v>0</v>
      </c>
      <c r="P61" s="7" t="s">
        <v>3</v>
      </c>
      <c r="Q61" s="15" t="s">
        <v>1</v>
      </c>
      <c r="R61" s="7" t="s">
        <v>3</v>
      </c>
      <c r="S61" s="23" t="s">
        <v>2</v>
      </c>
      <c r="T61" s="7" t="s">
        <v>3</v>
      </c>
      <c r="U61" s="25" t="s">
        <v>6</v>
      </c>
    </row>
    <row r="62" spans="2:23" ht="17.25" thickBot="1" x14ac:dyDescent="0.65">
      <c r="B62" s="9" t="s">
        <v>4</v>
      </c>
      <c r="C62" s="10" t="s">
        <v>5</v>
      </c>
      <c r="D62" s="11" t="s">
        <v>4</v>
      </c>
      <c r="E62" s="10" t="s">
        <v>11</v>
      </c>
      <c r="F62" s="11" t="s">
        <v>4</v>
      </c>
      <c r="G62" s="27" t="s">
        <v>13</v>
      </c>
      <c r="H62" s="11" t="s">
        <v>4</v>
      </c>
      <c r="I62" s="10" t="s">
        <v>15</v>
      </c>
      <c r="J62" s="11" t="s">
        <v>4</v>
      </c>
      <c r="K62" s="12" t="s">
        <v>7</v>
      </c>
      <c r="N62" s="9" t="s">
        <v>4</v>
      </c>
      <c r="O62" s="20" t="s">
        <v>5</v>
      </c>
      <c r="P62" s="11" t="s">
        <v>4</v>
      </c>
      <c r="Q62" s="16" t="s">
        <v>14</v>
      </c>
      <c r="R62" s="11" t="s">
        <v>4</v>
      </c>
      <c r="S62" s="10" t="s">
        <v>15</v>
      </c>
      <c r="T62" s="11" t="s">
        <v>4</v>
      </c>
      <c r="U62" s="26" t="s">
        <v>7</v>
      </c>
      <c r="W62" t="s">
        <v>78</v>
      </c>
    </row>
    <row r="63" spans="2:23" x14ac:dyDescent="0.6">
      <c r="B63" s="2">
        <v>298.32299999999998</v>
      </c>
      <c r="C63" s="1">
        <v>29962.400000000001</v>
      </c>
      <c r="D63" s="3"/>
      <c r="E63" s="4"/>
      <c r="F63" s="2">
        <v>266.16000000000003</v>
      </c>
      <c r="G63" s="1">
        <v>133.08600000000001</v>
      </c>
      <c r="H63" s="3">
        <v>300</v>
      </c>
      <c r="I63" s="4">
        <v>4.3511100000000003</v>
      </c>
      <c r="J63" s="3">
        <v>300.40699999999998</v>
      </c>
      <c r="K63" s="4">
        <v>4.1057900000000001E-2</v>
      </c>
      <c r="N63" s="3">
        <f>B63</f>
        <v>298.32299999999998</v>
      </c>
      <c r="O63" s="21">
        <f>C63</f>
        <v>29962.400000000001</v>
      </c>
      <c r="P63" s="3">
        <f>F63</f>
        <v>266.16000000000003</v>
      </c>
      <c r="Q63" s="17">
        <f>G63*0.000001</f>
        <v>1.3308600000000001E-4</v>
      </c>
      <c r="R63" s="3">
        <f>H63</f>
        <v>300</v>
      </c>
      <c r="S63" s="24">
        <f>I63</f>
        <v>4.3511100000000003</v>
      </c>
      <c r="T63" s="3">
        <f>J63</f>
        <v>300.40699999999998</v>
      </c>
      <c r="U63" s="51">
        <f>K63</f>
        <v>4.1057900000000001E-2</v>
      </c>
      <c r="V63" s="42">
        <f>((O63*(AVERAGE(Q63,Q64))^2)/S63)*T63</f>
        <v>4.1191567811245867E-2</v>
      </c>
      <c r="W63" s="49">
        <f t="shared" ref="W63:W80" si="10">(U63-V63)/U63</f>
        <v>-3.2555929856584514E-3</v>
      </c>
    </row>
    <row r="64" spans="2:23" x14ac:dyDescent="0.6">
      <c r="B64" s="2">
        <v>334.58100000000002</v>
      </c>
      <c r="C64" s="1">
        <v>27069.5</v>
      </c>
      <c r="D64" s="3"/>
      <c r="E64" s="4"/>
      <c r="F64" s="2">
        <v>323.19400000000002</v>
      </c>
      <c r="G64" s="1">
        <v>149.136</v>
      </c>
      <c r="H64" s="3">
        <v>325.07400000000001</v>
      </c>
      <c r="I64" s="4">
        <v>4.3155599999999996</v>
      </c>
      <c r="J64" s="3">
        <v>319.584</v>
      </c>
      <c r="K64" s="4">
        <v>4.72367E-2</v>
      </c>
      <c r="N64" s="3">
        <f t="shared" ref="N64:N74" si="11">B64</f>
        <v>334.58100000000002</v>
      </c>
      <c r="O64" s="21">
        <f t="shared" ref="O64:O74" si="12">C64</f>
        <v>27069.5</v>
      </c>
      <c r="P64" s="3">
        <f t="shared" ref="P64:P78" si="13">F64</f>
        <v>323.19400000000002</v>
      </c>
      <c r="Q64" s="17">
        <f t="shared" ref="Q64:Q78" si="14">G64*0.000001</f>
        <v>1.4913599999999999E-4</v>
      </c>
      <c r="R64" s="3">
        <f t="shared" ref="R64:R73" si="15">H64</f>
        <v>325.07400000000001</v>
      </c>
      <c r="S64" s="24">
        <f t="shared" ref="S64:S73" si="16">I64</f>
        <v>4.3155599999999996</v>
      </c>
      <c r="T64" s="3">
        <f t="shared" ref="T64:T80" si="17">J64</f>
        <v>319.584</v>
      </c>
      <c r="U64" s="51">
        <f t="shared" ref="U64:U80" si="18">K64</f>
        <v>4.72367E-2</v>
      </c>
      <c r="V64" s="42">
        <f>((AVERAGE(O63,O64)*(Q64)^2)/S64)*T64</f>
        <v>4.6967851575338934E-2</v>
      </c>
      <c r="W64" s="49">
        <f t="shared" si="10"/>
        <v>5.6915158057414114E-3</v>
      </c>
    </row>
    <row r="65" spans="2:23" x14ac:dyDescent="0.6">
      <c r="B65" s="2">
        <v>368.57600000000002</v>
      </c>
      <c r="C65" s="1">
        <v>24383.200000000001</v>
      </c>
      <c r="D65" s="2"/>
      <c r="E65" s="1"/>
      <c r="F65" s="2">
        <v>377.947</v>
      </c>
      <c r="G65" s="1">
        <v>170.74100000000001</v>
      </c>
      <c r="H65" s="2">
        <v>367.84699999999998</v>
      </c>
      <c r="I65" s="1">
        <v>3.8355600000000001</v>
      </c>
      <c r="J65" s="2">
        <v>340.20400000000001</v>
      </c>
      <c r="K65" s="1">
        <v>5.5036700000000001E-2</v>
      </c>
      <c r="N65" s="3">
        <f t="shared" si="11"/>
        <v>368.57600000000002</v>
      </c>
      <c r="O65" s="21">
        <f t="shared" si="12"/>
        <v>24383.200000000001</v>
      </c>
      <c r="P65" s="3">
        <f t="shared" si="13"/>
        <v>377.947</v>
      </c>
      <c r="Q65" s="17">
        <f t="shared" si="14"/>
        <v>1.70741E-4</v>
      </c>
      <c r="R65" s="3">
        <f t="shared" si="15"/>
        <v>367.84699999999998</v>
      </c>
      <c r="S65" s="24">
        <f t="shared" si="16"/>
        <v>3.8355600000000001</v>
      </c>
      <c r="T65" s="3">
        <f t="shared" si="17"/>
        <v>340.20400000000001</v>
      </c>
      <c r="U65" s="51">
        <f t="shared" si="18"/>
        <v>5.5036700000000001E-2</v>
      </c>
      <c r="V65" s="42">
        <f>((O64*(AVERAGE(Q64,Q65))^2)/AVERAGE(S64,S65))*T65</f>
        <v>5.7801405076419628E-2</v>
      </c>
      <c r="W65" s="49">
        <f t="shared" si="10"/>
        <v>-5.0233845350822759E-2</v>
      </c>
    </row>
    <row r="66" spans="2:23" x14ac:dyDescent="0.6">
      <c r="B66" s="2">
        <v>393.45400000000001</v>
      </c>
      <c r="C66" s="1">
        <v>21801.599999999999</v>
      </c>
      <c r="D66" s="2"/>
      <c r="E66" s="1"/>
      <c r="F66" s="2">
        <v>432.7</v>
      </c>
      <c r="G66" s="1">
        <v>189.87700000000001</v>
      </c>
      <c r="H66" s="2">
        <v>422.41899999999998</v>
      </c>
      <c r="I66" s="1">
        <v>3.34667</v>
      </c>
      <c r="J66" s="2">
        <v>365.31400000000002</v>
      </c>
      <c r="K66" s="1">
        <v>6.1871000000000002E-2</v>
      </c>
      <c r="N66" s="3">
        <f t="shared" si="11"/>
        <v>393.45400000000001</v>
      </c>
      <c r="O66" s="21">
        <f t="shared" si="12"/>
        <v>21801.599999999999</v>
      </c>
      <c r="P66" s="3">
        <f t="shared" si="13"/>
        <v>432.7</v>
      </c>
      <c r="Q66" s="17">
        <f t="shared" si="14"/>
        <v>1.89877E-4</v>
      </c>
      <c r="R66" s="3">
        <f t="shared" si="15"/>
        <v>422.41899999999998</v>
      </c>
      <c r="S66" s="24">
        <f t="shared" si="16"/>
        <v>3.34667</v>
      </c>
      <c r="T66" s="3">
        <f t="shared" si="17"/>
        <v>365.31400000000002</v>
      </c>
      <c r="U66" s="51">
        <f t="shared" si="18"/>
        <v>6.1871000000000002E-2</v>
      </c>
      <c r="V66" s="42">
        <f>((O65*(Q65)^2)/S65)*T66</f>
        <v>6.7702370870869943E-2</v>
      </c>
      <c r="W66" s="49">
        <f t="shared" si="10"/>
        <v>-9.4250470670749473E-2</v>
      </c>
    </row>
    <row r="67" spans="2:23" x14ac:dyDescent="0.6">
      <c r="B67" s="2">
        <v>427.36200000000002</v>
      </c>
      <c r="C67" s="1">
        <v>18084.400000000001</v>
      </c>
      <c r="D67" s="2"/>
      <c r="E67" s="1"/>
      <c r="F67" s="2">
        <v>469.202</v>
      </c>
      <c r="G67" s="1">
        <v>207.16</v>
      </c>
      <c r="H67" s="2">
        <v>474.041</v>
      </c>
      <c r="I67" s="1">
        <v>3.14222</v>
      </c>
      <c r="J67" s="2">
        <v>390.37200000000001</v>
      </c>
      <c r="K67" s="1">
        <v>7.0648500000000003E-2</v>
      </c>
      <c r="N67" s="3">
        <f t="shared" si="11"/>
        <v>427.36200000000002</v>
      </c>
      <c r="O67" s="21">
        <f t="shared" si="12"/>
        <v>18084.400000000001</v>
      </c>
      <c r="P67" s="3">
        <f t="shared" si="13"/>
        <v>469.202</v>
      </c>
      <c r="Q67" s="17">
        <f t="shared" si="14"/>
        <v>2.0715999999999999E-4</v>
      </c>
      <c r="R67" s="3">
        <f t="shared" si="15"/>
        <v>474.041</v>
      </c>
      <c r="S67" s="24">
        <f t="shared" si="16"/>
        <v>3.14222</v>
      </c>
      <c r="T67" s="3">
        <f t="shared" si="17"/>
        <v>390.37200000000001</v>
      </c>
      <c r="U67" s="51">
        <f t="shared" si="18"/>
        <v>7.0648500000000003E-2</v>
      </c>
      <c r="V67" s="42">
        <f>((O66*(AVERAGE(Q65,Q66))^2)/AVERAGE(S65,S66))*T67</f>
        <v>7.7049978797606222E-2</v>
      </c>
      <c r="W67" s="49">
        <f t="shared" si="10"/>
        <v>-9.0610257791831655E-2</v>
      </c>
    </row>
    <row r="68" spans="2:23" x14ac:dyDescent="0.6">
      <c r="B68" s="2">
        <v>461.33</v>
      </c>
      <c r="C68" s="1">
        <v>15088.8</v>
      </c>
      <c r="D68" s="2"/>
      <c r="E68" s="1"/>
      <c r="F68" s="2">
        <v>507.98500000000001</v>
      </c>
      <c r="G68" s="1">
        <v>221.97499999999999</v>
      </c>
      <c r="H68" s="2">
        <v>522.71400000000006</v>
      </c>
      <c r="I68" s="1">
        <v>2.9022199999999998</v>
      </c>
      <c r="J68" s="2">
        <v>415.47399999999999</v>
      </c>
      <c r="K68" s="1">
        <v>7.7806600000000004E-2</v>
      </c>
      <c r="N68" s="3">
        <f t="shared" si="11"/>
        <v>461.33</v>
      </c>
      <c r="O68" s="21">
        <f t="shared" si="12"/>
        <v>15088.8</v>
      </c>
      <c r="P68" s="3">
        <f t="shared" si="13"/>
        <v>507.98500000000001</v>
      </c>
      <c r="Q68" s="17">
        <f t="shared" si="14"/>
        <v>2.2197499999999999E-4</v>
      </c>
      <c r="R68" s="3">
        <f t="shared" si="15"/>
        <v>522.71400000000006</v>
      </c>
      <c r="S68" s="24">
        <f t="shared" si="16"/>
        <v>2.9022199999999998</v>
      </c>
      <c r="T68" s="3">
        <f t="shared" si="17"/>
        <v>415.47399999999999</v>
      </c>
      <c r="U68" s="51">
        <f t="shared" si="18"/>
        <v>7.7806600000000004E-2</v>
      </c>
      <c r="V68" s="42">
        <f>((O67*(Q66)^2)/S66)*T68</f>
        <v>8.0943091522200417E-2</v>
      </c>
      <c r="W68" s="49">
        <f t="shared" si="10"/>
        <v>-4.0311381324982881E-2</v>
      </c>
    </row>
    <row r="69" spans="2:23" x14ac:dyDescent="0.6">
      <c r="B69" s="2">
        <v>506.67899999999997</v>
      </c>
      <c r="C69" s="1">
        <v>11782</v>
      </c>
      <c r="D69" s="2"/>
      <c r="E69" s="1"/>
      <c r="F69" s="2">
        <v>555.89400000000001</v>
      </c>
      <c r="G69" s="1">
        <v>239.25899999999999</v>
      </c>
      <c r="H69" s="2">
        <v>577.28599999999994</v>
      </c>
      <c r="I69" s="1">
        <v>2.68</v>
      </c>
      <c r="J69" s="2">
        <v>445.04</v>
      </c>
      <c r="K69" s="1">
        <v>8.4970500000000004E-2</v>
      </c>
      <c r="N69" s="3">
        <f t="shared" si="11"/>
        <v>506.67899999999997</v>
      </c>
      <c r="O69" s="21">
        <f t="shared" si="12"/>
        <v>11782</v>
      </c>
      <c r="P69" s="3">
        <f t="shared" si="13"/>
        <v>555.89400000000001</v>
      </c>
      <c r="Q69" s="17">
        <f t="shared" si="14"/>
        <v>2.3925899999999997E-4</v>
      </c>
      <c r="R69" s="3">
        <f t="shared" si="15"/>
        <v>577.28599999999994</v>
      </c>
      <c r="S69" s="24">
        <f t="shared" si="16"/>
        <v>2.68</v>
      </c>
      <c r="T69" s="3">
        <f t="shared" si="17"/>
        <v>445.04</v>
      </c>
      <c r="U69" s="51">
        <f t="shared" si="18"/>
        <v>8.4970500000000004E-2</v>
      </c>
      <c r="V69" s="42">
        <f>((AVERAGE(O67,O68)*(AVERAGE(Q66,Q67))^2)/AVERAGE(S66,S67))*T69</f>
        <v>8.966397166020347E-2</v>
      </c>
      <c r="W69" s="49">
        <f t="shared" si="10"/>
        <v>-5.5236483958591105E-2</v>
      </c>
    </row>
    <row r="70" spans="2:23" x14ac:dyDescent="0.6">
      <c r="B70" s="2">
        <v>552.08900000000006</v>
      </c>
      <c r="C70" s="1">
        <v>9196.82</v>
      </c>
      <c r="D70" s="2"/>
      <c r="E70" s="1"/>
      <c r="F70" s="2">
        <v>617.49</v>
      </c>
      <c r="G70" s="1">
        <v>250.988</v>
      </c>
      <c r="H70" s="2">
        <v>628.90899999999999</v>
      </c>
      <c r="I70" s="1">
        <v>2.44889</v>
      </c>
      <c r="J70" s="2">
        <v>476.12</v>
      </c>
      <c r="K70" s="1">
        <v>9.1164700000000001E-2</v>
      </c>
      <c r="N70" s="3">
        <f t="shared" si="11"/>
        <v>552.08900000000006</v>
      </c>
      <c r="O70" s="21">
        <f t="shared" si="12"/>
        <v>9196.82</v>
      </c>
      <c r="P70" s="3">
        <f t="shared" si="13"/>
        <v>617.49</v>
      </c>
      <c r="Q70" s="17">
        <f t="shared" si="14"/>
        <v>2.50988E-4</v>
      </c>
      <c r="R70" s="3">
        <f t="shared" si="15"/>
        <v>628.90899999999999</v>
      </c>
      <c r="S70" s="24">
        <f t="shared" si="16"/>
        <v>2.44889</v>
      </c>
      <c r="T70" s="3">
        <f t="shared" si="17"/>
        <v>476.12</v>
      </c>
      <c r="U70" s="51">
        <f t="shared" si="18"/>
        <v>9.1164700000000001E-2</v>
      </c>
      <c r="V70" s="42">
        <f>((O68*(Q67)^2)/S67)*T70</f>
        <v>9.8117470433560811E-2</v>
      </c>
      <c r="W70" s="49">
        <f t="shared" si="10"/>
        <v>-7.6266037551385668E-2</v>
      </c>
    </row>
    <row r="71" spans="2:23" x14ac:dyDescent="0.6">
      <c r="B71" s="2">
        <v>611.19600000000003</v>
      </c>
      <c r="C71" s="1">
        <v>6712.4</v>
      </c>
      <c r="D71" s="2"/>
      <c r="E71" s="1"/>
      <c r="F71" s="2">
        <v>669.96199999999999</v>
      </c>
      <c r="G71" s="1">
        <v>235.55600000000001</v>
      </c>
      <c r="H71" s="2">
        <v>673.15599999999995</v>
      </c>
      <c r="I71" s="1">
        <v>2.2888899999999999</v>
      </c>
      <c r="J71" s="2">
        <v>508.68900000000002</v>
      </c>
      <c r="K71" s="1">
        <v>9.7360799999999997E-2</v>
      </c>
      <c r="N71" s="3">
        <f t="shared" si="11"/>
        <v>611.19600000000003</v>
      </c>
      <c r="O71" s="21">
        <f t="shared" si="12"/>
        <v>6712.4</v>
      </c>
      <c r="P71" s="3">
        <f t="shared" si="13"/>
        <v>669.96199999999999</v>
      </c>
      <c r="Q71" s="17">
        <f t="shared" si="14"/>
        <v>2.3555599999999999E-4</v>
      </c>
      <c r="R71" s="3">
        <f t="shared" si="15"/>
        <v>673.15599999999995</v>
      </c>
      <c r="S71" s="24">
        <f t="shared" si="16"/>
        <v>2.2888899999999999</v>
      </c>
      <c r="T71" s="3">
        <f t="shared" si="17"/>
        <v>508.68900000000002</v>
      </c>
      <c r="U71" s="51">
        <f t="shared" si="18"/>
        <v>9.7360799999999997E-2</v>
      </c>
      <c r="V71" s="42">
        <f>((O69*(Q68)^2)/AVERAGE(S67,S68))*T71</f>
        <v>9.7713241113265348E-2</v>
      </c>
      <c r="W71" s="49">
        <f t="shared" si="10"/>
        <v>-3.6199488219627453E-3</v>
      </c>
    </row>
    <row r="72" spans="2:23" x14ac:dyDescent="0.6">
      <c r="B72" s="2">
        <v>665.84400000000005</v>
      </c>
      <c r="C72" s="1">
        <v>5465.88</v>
      </c>
      <c r="D72" s="2"/>
      <c r="E72" s="1"/>
      <c r="F72" s="2">
        <v>692.77599999999995</v>
      </c>
      <c r="G72" s="1">
        <v>218.27199999999999</v>
      </c>
      <c r="H72" s="2">
        <v>723.30399999999997</v>
      </c>
      <c r="I72" s="1">
        <v>2.24444</v>
      </c>
      <c r="J72" s="2">
        <v>553.26</v>
      </c>
      <c r="K72" s="1">
        <v>0.10001</v>
      </c>
      <c r="N72" s="3">
        <f t="shared" si="11"/>
        <v>665.84400000000005</v>
      </c>
      <c r="O72" s="21">
        <f t="shared" si="12"/>
        <v>5465.88</v>
      </c>
      <c r="P72" s="3">
        <f t="shared" si="13"/>
        <v>692.77599999999995</v>
      </c>
      <c r="Q72" s="17">
        <f t="shared" si="14"/>
        <v>2.1827199999999999E-4</v>
      </c>
      <c r="R72" s="3">
        <f t="shared" si="15"/>
        <v>723.30399999999997</v>
      </c>
      <c r="S72" s="24">
        <f t="shared" si="16"/>
        <v>2.24444</v>
      </c>
      <c r="T72" s="3">
        <f t="shared" si="17"/>
        <v>553.26</v>
      </c>
      <c r="U72" s="51">
        <f t="shared" si="18"/>
        <v>0.10001</v>
      </c>
      <c r="V72" s="42">
        <f>((O70*(Q69)^2)/AVERAGE(S68,S69))*T72</f>
        <v>0.1043581983301288</v>
      </c>
      <c r="W72" s="49">
        <f t="shared" si="10"/>
        <v>-4.3477635537734191E-2</v>
      </c>
    </row>
    <row r="73" spans="2:23" x14ac:dyDescent="0.6">
      <c r="B73" s="2">
        <v>725.11500000000001</v>
      </c>
      <c r="C73" s="1">
        <v>4940.22</v>
      </c>
      <c r="D73" s="2"/>
      <c r="E73" s="1"/>
      <c r="F73" s="2">
        <v>715.58900000000006</v>
      </c>
      <c r="G73" s="1">
        <v>198.51900000000001</v>
      </c>
      <c r="H73" s="2">
        <v>770.50099999999998</v>
      </c>
      <c r="I73" s="1">
        <v>2.3511099999999998</v>
      </c>
      <c r="J73" s="2">
        <v>594.90700000000004</v>
      </c>
      <c r="K73" s="1">
        <v>0.10071099999999999</v>
      </c>
      <c r="N73" s="3">
        <f t="shared" si="11"/>
        <v>725.11500000000001</v>
      </c>
      <c r="O73" s="21">
        <f t="shared" si="12"/>
        <v>4940.22</v>
      </c>
      <c r="P73" s="3">
        <f t="shared" si="13"/>
        <v>715.58900000000006</v>
      </c>
      <c r="Q73" s="17">
        <f t="shared" si="14"/>
        <v>1.98519E-4</v>
      </c>
      <c r="R73" s="3">
        <f t="shared" si="15"/>
        <v>770.50099999999998</v>
      </c>
      <c r="S73" s="24">
        <f t="shared" si="16"/>
        <v>2.3511099999999998</v>
      </c>
      <c r="T73" s="3">
        <f t="shared" si="17"/>
        <v>594.90700000000004</v>
      </c>
      <c r="U73" s="51">
        <f t="shared" si="18"/>
        <v>0.10071099999999999</v>
      </c>
      <c r="V73" s="42">
        <f>((AVERAGE(O70,O71)*(AVERAGE(Q69,Q70))^2)/AVERAGE(S69,S70))*T73</f>
        <v>0.11087776929653377</v>
      </c>
      <c r="W73" s="49">
        <f t="shared" si="10"/>
        <v>-0.10094993889976046</v>
      </c>
    </row>
    <row r="74" spans="2:23" x14ac:dyDescent="0.6">
      <c r="B74" s="2">
        <v>818.84900000000005</v>
      </c>
      <c r="C74" s="1">
        <v>7295.28</v>
      </c>
      <c r="D74" s="2"/>
      <c r="E74" s="1"/>
      <c r="F74" s="2">
        <v>726.99599999999998</v>
      </c>
      <c r="G74" s="1">
        <v>175.679</v>
      </c>
      <c r="H74" s="2"/>
      <c r="I74" s="1"/>
      <c r="J74" s="2">
        <v>627.79399999999998</v>
      </c>
      <c r="K74" s="1">
        <v>9.5247799999999994E-2</v>
      </c>
      <c r="N74" s="3">
        <f t="shared" si="11"/>
        <v>818.84900000000005</v>
      </c>
      <c r="O74" s="21">
        <f t="shared" si="12"/>
        <v>7295.28</v>
      </c>
      <c r="P74" s="3">
        <f t="shared" si="13"/>
        <v>726.99599999999998</v>
      </c>
      <c r="Q74" s="17">
        <f t="shared" si="14"/>
        <v>1.7567899999999998E-4</v>
      </c>
      <c r="R74" s="3"/>
      <c r="S74" s="24"/>
      <c r="T74" s="3">
        <f t="shared" si="17"/>
        <v>627.79399999999998</v>
      </c>
      <c r="U74" s="51">
        <f t="shared" si="18"/>
        <v>9.5247799999999994E-2</v>
      </c>
      <c r="V74" s="42">
        <f>((O71*(Q70)^2)/S70)*T74</f>
        <v>0.10840058537593845</v>
      </c>
      <c r="W74" s="49">
        <f t="shared" si="10"/>
        <v>-0.1380901750585154</v>
      </c>
    </row>
    <row r="75" spans="2:23" x14ac:dyDescent="0.6">
      <c r="B75" s="2"/>
      <c r="C75" s="1"/>
      <c r="D75" s="2"/>
      <c r="E75" s="1"/>
      <c r="F75" s="2">
        <v>740.68399999999997</v>
      </c>
      <c r="G75" s="1">
        <v>154.691</v>
      </c>
      <c r="H75" s="2"/>
      <c r="I75" s="1"/>
      <c r="J75" s="2">
        <v>654.80999999999995</v>
      </c>
      <c r="K75" s="1">
        <v>8.68617E-2</v>
      </c>
      <c r="N75" s="3"/>
      <c r="O75" s="21"/>
      <c r="P75" s="3">
        <f t="shared" si="13"/>
        <v>740.68399999999997</v>
      </c>
      <c r="Q75" s="17">
        <f t="shared" si="14"/>
        <v>1.5469099999999999E-4</v>
      </c>
      <c r="R75" s="3"/>
      <c r="S75" s="24"/>
      <c r="T75" s="3">
        <f t="shared" si="17"/>
        <v>654.80999999999995</v>
      </c>
      <c r="U75" s="51">
        <f t="shared" si="18"/>
        <v>8.68617E-2</v>
      </c>
      <c r="V75" s="42">
        <f>((O72*(Q71)^2)/AVERAGE(S70,S71))*T75</f>
        <v>8.3833740344128868E-2</v>
      </c>
      <c r="W75" s="49">
        <f t="shared" si="10"/>
        <v>3.4859548637329596E-2</v>
      </c>
    </row>
    <row r="76" spans="2:23" x14ac:dyDescent="0.6">
      <c r="B76" s="2"/>
      <c r="C76" s="1"/>
      <c r="D76" s="2"/>
      <c r="E76" s="1"/>
      <c r="F76" s="2">
        <v>749.81</v>
      </c>
      <c r="G76" s="1">
        <v>134.321</v>
      </c>
      <c r="H76" s="2"/>
      <c r="I76" s="1"/>
      <c r="J76" s="2">
        <v>680.35400000000004</v>
      </c>
      <c r="K76" s="1">
        <v>7.7825900000000003E-2</v>
      </c>
      <c r="N76" s="3"/>
      <c r="O76" s="21"/>
      <c r="P76" s="3">
        <f t="shared" si="13"/>
        <v>749.81</v>
      </c>
      <c r="Q76" s="17">
        <f t="shared" si="14"/>
        <v>1.3432099999999999E-4</v>
      </c>
      <c r="R76" s="3"/>
      <c r="S76" s="24"/>
      <c r="T76" s="3">
        <f t="shared" si="17"/>
        <v>680.35400000000004</v>
      </c>
      <c r="U76" s="51">
        <f t="shared" si="18"/>
        <v>7.7825900000000003E-2</v>
      </c>
      <c r="V76" s="42">
        <f>((O72*(Q72)^2)/S71)*T76</f>
        <v>7.7404492798145944E-2</v>
      </c>
      <c r="W76" s="49">
        <f t="shared" si="10"/>
        <v>5.4147424167797593E-3</v>
      </c>
    </row>
    <row r="77" spans="2:23" x14ac:dyDescent="0.6">
      <c r="B77" s="2"/>
      <c r="C77" s="1"/>
      <c r="D77" s="2"/>
      <c r="E77" s="1"/>
      <c r="F77" s="2">
        <v>765.779</v>
      </c>
      <c r="G77" s="1">
        <v>112.71599999999999</v>
      </c>
      <c r="H77" s="2"/>
      <c r="I77" s="1"/>
      <c r="J77" s="2">
        <v>704.43799999999999</v>
      </c>
      <c r="K77" s="1">
        <v>6.7816500000000002E-2</v>
      </c>
      <c r="N77" s="3"/>
      <c r="O77" s="21"/>
      <c r="P77" s="3">
        <f t="shared" si="13"/>
        <v>765.779</v>
      </c>
      <c r="Q77" s="17">
        <f t="shared" si="14"/>
        <v>1.1271599999999998E-4</v>
      </c>
      <c r="R77" s="3"/>
      <c r="S77" s="24"/>
      <c r="T77" s="3">
        <f t="shared" si="17"/>
        <v>704.43799999999999</v>
      </c>
      <c r="U77" s="51">
        <f t="shared" si="18"/>
        <v>6.7816500000000002E-2</v>
      </c>
      <c r="V77" s="42">
        <f>((AVERAGE(O72,O73)*(AVERAGE(Q72,Q73))^2)/AVERAGE(S71,S72))*T77</f>
        <v>7.0224735099740573E-2</v>
      </c>
      <c r="W77" s="49">
        <f t="shared" si="10"/>
        <v>-3.5511049666977379E-2</v>
      </c>
    </row>
    <row r="78" spans="2:23" x14ac:dyDescent="0.6">
      <c r="B78" s="2"/>
      <c r="C78" s="1"/>
      <c r="D78" s="2"/>
      <c r="E78" s="1"/>
      <c r="F78" s="2">
        <v>774.90499999999997</v>
      </c>
      <c r="G78" s="1">
        <v>89.876499999999993</v>
      </c>
      <c r="H78" s="2"/>
      <c r="I78" s="1"/>
      <c r="J78" s="2">
        <v>719.65499999999997</v>
      </c>
      <c r="K78" s="1">
        <v>5.5528399999999999E-2</v>
      </c>
      <c r="N78" s="3"/>
      <c r="O78" s="21"/>
      <c r="P78" s="3">
        <f t="shared" si="13"/>
        <v>774.90499999999997</v>
      </c>
      <c r="Q78" s="17">
        <f t="shared" si="14"/>
        <v>8.9876499999999986E-5</v>
      </c>
      <c r="R78" s="3"/>
      <c r="S78" s="24"/>
      <c r="T78" s="3">
        <f t="shared" si="17"/>
        <v>719.65499999999997</v>
      </c>
      <c r="U78" s="51">
        <f t="shared" si="18"/>
        <v>5.5528399999999999E-2</v>
      </c>
      <c r="V78" s="42">
        <f>((O73*(Q73)^2)/S72)*T78</f>
        <v>6.242618489941576E-2</v>
      </c>
      <c r="W78" s="49">
        <f t="shared" si="10"/>
        <v>-0.12422084733966333</v>
      </c>
    </row>
    <row r="79" spans="2:23" x14ac:dyDescent="0.6">
      <c r="B79" s="2"/>
      <c r="C79" s="1"/>
      <c r="D79" s="2"/>
      <c r="E79" s="1"/>
      <c r="F79" s="2"/>
      <c r="G79" s="1"/>
      <c r="H79" s="2"/>
      <c r="I79" s="1"/>
      <c r="J79" s="2">
        <v>736.37699999999995</v>
      </c>
      <c r="K79" s="1">
        <v>4.2594399999999998E-2</v>
      </c>
      <c r="N79" s="3"/>
      <c r="O79" s="21"/>
      <c r="P79" s="3"/>
      <c r="Q79" s="17"/>
      <c r="R79" s="3"/>
      <c r="S79" s="24"/>
      <c r="T79" s="3">
        <f t="shared" si="17"/>
        <v>736.37699999999995</v>
      </c>
      <c r="U79" s="51">
        <f t="shared" si="18"/>
        <v>4.2594399999999998E-2</v>
      </c>
      <c r="V79" s="42">
        <f>((O73*(AVERAGE(Q74,Q75))^2)/S72)*T79</f>
        <v>4.4226209634487215E-2</v>
      </c>
      <c r="W79" s="49">
        <f t="shared" si="10"/>
        <v>-3.8310426593336631E-2</v>
      </c>
    </row>
    <row r="80" spans="2:23" x14ac:dyDescent="0.6">
      <c r="B80" s="28"/>
      <c r="C80" s="29"/>
      <c r="D80" s="28"/>
      <c r="E80" s="29"/>
      <c r="F80" s="28"/>
      <c r="G80" s="29"/>
      <c r="H80" s="28"/>
      <c r="I80" s="29"/>
      <c r="J80" s="28">
        <v>756.09400000000005</v>
      </c>
      <c r="K80" s="29">
        <v>2.90166E-2</v>
      </c>
      <c r="N80" s="32"/>
      <c r="O80" s="33"/>
      <c r="P80" s="32"/>
      <c r="Q80" s="34"/>
      <c r="R80" s="32"/>
      <c r="S80" s="35"/>
      <c r="T80" s="32">
        <f t="shared" si="17"/>
        <v>756.09400000000005</v>
      </c>
      <c r="U80" s="52">
        <f t="shared" si="18"/>
        <v>2.90166E-2</v>
      </c>
      <c r="V80" s="42">
        <f>((AVERAGE(O73,O74)*(Q77)^2)/S73)*T80</f>
        <v>2.4995723132009592E-2</v>
      </c>
      <c r="W80" s="49">
        <f t="shared" si="10"/>
        <v>0.13857160618371581</v>
      </c>
    </row>
    <row r="81" customFormat="1" x14ac:dyDescent="0.6"/>
    <row r="82" customFormat="1" x14ac:dyDescent="0.6"/>
    <row r="83" customFormat="1" x14ac:dyDescent="0.6"/>
    <row r="8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2" max="2" width="11.6875" bestFit="1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80</v>
      </c>
      <c r="C8" s="10" t="s">
        <v>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3.3321596244131402</v>
      </c>
      <c r="C9" s="4">
        <v>100686.62142613799</v>
      </c>
      <c r="D9" s="3"/>
      <c r="E9" s="4"/>
      <c r="F9" s="3">
        <v>298.76007439553598</v>
      </c>
      <c r="G9" s="4">
        <v>-123.8570241064</v>
      </c>
      <c r="H9" s="3">
        <v>299.40546967895301</v>
      </c>
      <c r="I9" s="4">
        <v>3.9603960396039701</v>
      </c>
      <c r="J9" s="3">
        <v>300.29904306220101</v>
      </c>
      <c r="K9" s="4">
        <v>0.116150081566068</v>
      </c>
      <c r="N9" s="3">
        <f>1000/B9</f>
        <v>300.10567101091982</v>
      </c>
      <c r="O9" s="21">
        <f>C9</f>
        <v>100686.62142613799</v>
      </c>
      <c r="P9" s="3">
        <f>F9</f>
        <v>298.76007439553598</v>
      </c>
      <c r="Q9" s="17">
        <f>G9*(10^(-6))</f>
        <v>-1.2385702410640001E-4</v>
      </c>
      <c r="R9" s="3">
        <f>H9</f>
        <v>299.40546967895301</v>
      </c>
      <c r="S9" s="24">
        <f>I9</f>
        <v>3.9603960396039701</v>
      </c>
      <c r="T9" s="3">
        <f>J9</f>
        <v>300.29904306220101</v>
      </c>
      <c r="U9" s="51">
        <f>K9</f>
        <v>0.116150081566068</v>
      </c>
      <c r="V9" s="42">
        <f>((O9*(Q9)^2)/S9)*T9</f>
        <v>0.11711927655082344</v>
      </c>
      <c r="W9" s="49">
        <f t="shared" ref="W9" si="0">(U9-V9)/U9</f>
        <v>-8.3443332254927692E-3</v>
      </c>
    </row>
    <row r="10" spans="1:23" x14ac:dyDescent="0.6">
      <c r="B10" s="2">
        <v>3.0481220657276999</v>
      </c>
      <c r="C10" s="1">
        <v>96636.492610703106</v>
      </c>
      <c r="D10" s="3"/>
      <c r="E10" s="4"/>
      <c r="F10" s="3">
        <v>326.65840049597</v>
      </c>
      <c r="G10" s="4">
        <v>-127.84704904405601</v>
      </c>
      <c r="H10" s="3">
        <v>327.05112960760999</v>
      </c>
      <c r="I10" s="4">
        <v>3.81930693069308</v>
      </c>
      <c r="J10" s="3">
        <v>328.11004784688998</v>
      </c>
      <c r="K10" s="4">
        <v>0.13311582381729201</v>
      </c>
      <c r="N10" s="3">
        <f t="shared" ref="N10:N29" si="1">1000/B10</f>
        <v>328.07085098190214</v>
      </c>
      <c r="O10" s="21">
        <f t="shared" ref="O10:O23" si="2">C10</f>
        <v>96636.492610703106</v>
      </c>
      <c r="P10" s="3">
        <f t="shared" ref="P10:P23" si="3">F10</f>
        <v>326.65840049597</v>
      </c>
      <c r="Q10" s="17">
        <f t="shared" ref="Q10:Q29" si="4">G10*(10^(-6))</f>
        <v>-1.27847049044056E-4</v>
      </c>
      <c r="R10" s="3">
        <f t="shared" ref="R10:U23" si="5">H10</f>
        <v>327.05112960760999</v>
      </c>
      <c r="S10" s="24">
        <f t="shared" si="5"/>
        <v>3.81930693069308</v>
      </c>
      <c r="T10" s="3">
        <f t="shared" si="5"/>
        <v>328.11004784688998</v>
      </c>
      <c r="U10" s="51">
        <f t="shared" si="5"/>
        <v>0.13311582381729201</v>
      </c>
      <c r="V10" s="42">
        <f t="shared" ref="V10:V29" si="6">((O10*(Q10)^2)/S10)*T10</f>
        <v>0.13569303130140331</v>
      </c>
      <c r="W10" s="49">
        <f t="shared" ref="W10:W29" si="7">(U10-V10)/U10</f>
        <v>-1.9360639555885167E-2</v>
      </c>
    </row>
    <row r="11" spans="1:23" x14ac:dyDescent="0.6">
      <c r="B11" s="2">
        <v>2.80868544600939</v>
      </c>
      <c r="C11" s="1">
        <v>93386.117040984798</v>
      </c>
      <c r="D11" s="2"/>
      <c r="E11" s="1"/>
      <c r="F11" s="2">
        <v>353.93676379417201</v>
      </c>
      <c r="G11" s="1">
        <v>-131.17206982543601</v>
      </c>
      <c r="H11" s="2">
        <v>354.99405469678902</v>
      </c>
      <c r="I11" s="1">
        <v>3.7004950495049602</v>
      </c>
      <c r="J11" s="2">
        <v>355.62200956937801</v>
      </c>
      <c r="K11" s="1">
        <v>0.15269168026101099</v>
      </c>
      <c r="N11" s="3">
        <f t="shared" si="1"/>
        <v>356.03844546594229</v>
      </c>
      <c r="O11" s="21">
        <f t="shared" si="2"/>
        <v>93386.117040984798</v>
      </c>
      <c r="P11" s="3">
        <f t="shared" si="3"/>
        <v>353.93676379417201</v>
      </c>
      <c r="Q11" s="17">
        <f t="shared" si="4"/>
        <v>-1.31172069825436E-4</v>
      </c>
      <c r="R11" s="3">
        <f t="shared" si="5"/>
        <v>354.99405469678902</v>
      </c>
      <c r="S11" s="24">
        <f t="shared" si="5"/>
        <v>3.7004950495049602</v>
      </c>
      <c r="T11" s="3">
        <f t="shared" si="5"/>
        <v>355.62200956937801</v>
      </c>
      <c r="U11" s="51">
        <f t="shared" si="5"/>
        <v>0.15269168026101099</v>
      </c>
      <c r="V11" s="42">
        <f t="shared" si="6"/>
        <v>0.15441655715183089</v>
      </c>
      <c r="W11" s="49">
        <f t="shared" si="7"/>
        <v>-1.1296469381117566E-2</v>
      </c>
    </row>
    <row r="12" spans="1:23" x14ac:dyDescent="0.6">
      <c r="B12" s="2">
        <v>2.60446009389671</v>
      </c>
      <c r="C12" s="1">
        <v>89936.833505370407</v>
      </c>
      <c r="D12" s="2"/>
      <c r="E12" s="1"/>
      <c r="F12" s="2">
        <v>381.83508989460603</v>
      </c>
      <c r="G12" s="1">
        <v>-135.162094763092</v>
      </c>
      <c r="H12" s="2">
        <v>382.93697978596902</v>
      </c>
      <c r="I12" s="1">
        <v>3.5891089108910998</v>
      </c>
      <c r="J12" s="2">
        <v>383.13397129186598</v>
      </c>
      <c r="K12" s="1">
        <v>0.172920065252854</v>
      </c>
      <c r="N12" s="3">
        <f t="shared" si="1"/>
        <v>383.95673726904067</v>
      </c>
      <c r="O12" s="21">
        <f t="shared" si="2"/>
        <v>89936.833505370407</v>
      </c>
      <c r="P12" s="3">
        <f t="shared" si="3"/>
        <v>381.83508989460603</v>
      </c>
      <c r="Q12" s="17">
        <f t="shared" si="4"/>
        <v>-1.3516209476309199E-4</v>
      </c>
      <c r="R12" s="3">
        <f t="shared" si="5"/>
        <v>382.93697978596902</v>
      </c>
      <c r="S12" s="24">
        <f t="shared" si="5"/>
        <v>3.5891089108910998</v>
      </c>
      <c r="T12" s="3">
        <f t="shared" si="5"/>
        <v>383.13397129186598</v>
      </c>
      <c r="U12" s="51">
        <f t="shared" si="5"/>
        <v>0.172920065252854</v>
      </c>
      <c r="V12" s="42">
        <f t="shared" si="6"/>
        <v>0.17539267218260249</v>
      </c>
      <c r="W12" s="49">
        <f t="shared" si="7"/>
        <v>-1.4299132527696516E-2</v>
      </c>
    </row>
    <row r="13" spans="1:23" x14ac:dyDescent="0.6">
      <c r="B13" s="2">
        <v>2.4295774647887298</v>
      </c>
      <c r="C13" s="1">
        <v>86614.951743017795</v>
      </c>
      <c r="D13" s="2"/>
      <c r="E13" s="1"/>
      <c r="F13" s="2">
        <v>409.42343459392401</v>
      </c>
      <c r="G13" s="1">
        <v>-138.487115544472</v>
      </c>
      <c r="H13" s="2">
        <v>410.58263971462497</v>
      </c>
      <c r="I13" s="1">
        <v>3.4925742574257499</v>
      </c>
      <c r="J13" s="2">
        <v>410.645933014354</v>
      </c>
      <c r="K13" s="1">
        <v>0.19510603588907</v>
      </c>
      <c r="N13" s="3">
        <f t="shared" si="1"/>
        <v>411.59420289855115</v>
      </c>
      <c r="O13" s="21">
        <f t="shared" si="2"/>
        <v>86614.951743017795</v>
      </c>
      <c r="P13" s="3">
        <f t="shared" si="3"/>
        <v>409.42343459392401</v>
      </c>
      <c r="Q13" s="17">
        <f t="shared" si="4"/>
        <v>-1.3848711554447201E-4</v>
      </c>
      <c r="R13" s="3">
        <f t="shared" si="5"/>
        <v>410.58263971462497</v>
      </c>
      <c r="S13" s="24">
        <f t="shared" si="5"/>
        <v>3.4925742574257499</v>
      </c>
      <c r="T13" s="3">
        <f t="shared" si="5"/>
        <v>410.645933014354</v>
      </c>
      <c r="U13" s="51">
        <f t="shared" si="5"/>
        <v>0.19510603588907</v>
      </c>
      <c r="V13" s="42">
        <f t="shared" si="6"/>
        <v>0.19531404954561796</v>
      </c>
      <c r="W13" s="49">
        <f t="shared" si="7"/>
        <v>-1.0661569520393033E-3</v>
      </c>
    </row>
    <row r="14" spans="1:23" x14ac:dyDescent="0.6">
      <c r="B14" s="2">
        <v>2.2758215962441302</v>
      </c>
      <c r="C14" s="1">
        <v>83701.651440905596</v>
      </c>
      <c r="D14" s="2"/>
      <c r="E14" s="1"/>
      <c r="F14" s="2">
        <v>436.70179789212602</v>
      </c>
      <c r="G14" s="1">
        <v>-141.81213632585099</v>
      </c>
      <c r="H14" s="2">
        <v>438.22829964328099</v>
      </c>
      <c r="I14" s="1">
        <v>3.4108910891089201</v>
      </c>
      <c r="J14" s="2">
        <v>438.45693779904298</v>
      </c>
      <c r="K14" s="1">
        <v>0.218597063621533</v>
      </c>
      <c r="N14" s="3">
        <f t="shared" si="1"/>
        <v>439.40175348117612</v>
      </c>
      <c r="O14" s="21">
        <f t="shared" si="2"/>
        <v>83701.651440905596</v>
      </c>
      <c r="P14" s="3">
        <f t="shared" si="3"/>
        <v>436.70179789212602</v>
      </c>
      <c r="Q14" s="17">
        <f t="shared" si="4"/>
        <v>-1.4181213632585097E-4</v>
      </c>
      <c r="R14" s="3">
        <f t="shared" si="5"/>
        <v>438.22829964328099</v>
      </c>
      <c r="S14" s="24">
        <f t="shared" si="5"/>
        <v>3.4108910891089201</v>
      </c>
      <c r="T14" s="3">
        <f t="shared" si="5"/>
        <v>438.45693779904298</v>
      </c>
      <c r="U14" s="51">
        <f t="shared" si="5"/>
        <v>0.218597063621533</v>
      </c>
      <c r="V14" s="42">
        <f t="shared" si="6"/>
        <v>0.21638139665918338</v>
      </c>
      <c r="W14" s="49">
        <f t="shared" si="7"/>
        <v>1.0135849611345678E-2</v>
      </c>
    </row>
    <row r="15" spans="1:23" x14ac:dyDescent="0.6">
      <c r="B15" s="2">
        <v>2.1420187793427199</v>
      </c>
      <c r="C15" s="1">
        <v>81441.723152426493</v>
      </c>
      <c r="D15" s="2"/>
      <c r="E15" s="1"/>
      <c r="F15" s="2">
        <v>464.29014259144401</v>
      </c>
      <c r="G15" s="1">
        <v>-145.13715710723099</v>
      </c>
      <c r="H15" s="2">
        <v>465.57669441141502</v>
      </c>
      <c r="I15" s="1">
        <v>3.3217821782178301</v>
      </c>
      <c r="J15" s="2">
        <v>465.968899521531</v>
      </c>
      <c r="K15" s="1">
        <v>0.242088091353996</v>
      </c>
      <c r="N15" s="3">
        <f t="shared" si="1"/>
        <v>466.84931506849381</v>
      </c>
      <c r="O15" s="21">
        <f t="shared" si="2"/>
        <v>81441.723152426493</v>
      </c>
      <c r="P15" s="3">
        <f t="shared" si="3"/>
        <v>464.29014259144401</v>
      </c>
      <c r="Q15" s="17">
        <f t="shared" si="4"/>
        <v>-1.45137157107231E-4</v>
      </c>
      <c r="R15" s="3">
        <f t="shared" si="5"/>
        <v>465.57669441141502</v>
      </c>
      <c r="S15" s="24">
        <f t="shared" si="5"/>
        <v>3.3217821782178301</v>
      </c>
      <c r="T15" s="3">
        <f t="shared" si="5"/>
        <v>465.968899521531</v>
      </c>
      <c r="U15" s="51">
        <f t="shared" si="5"/>
        <v>0.242088091353996</v>
      </c>
      <c r="V15" s="42">
        <f t="shared" si="6"/>
        <v>0.24065226773892789</v>
      </c>
      <c r="W15" s="49">
        <f t="shared" si="7"/>
        <v>5.930996469250366E-3</v>
      </c>
    </row>
    <row r="16" spans="1:23" x14ac:dyDescent="0.6">
      <c r="B16" s="2">
        <v>2.02112676056338</v>
      </c>
      <c r="C16" s="1">
        <v>78972.156415182006</v>
      </c>
      <c r="D16" s="2"/>
      <c r="E16" s="1"/>
      <c r="F16" s="2">
        <v>491.878487290762</v>
      </c>
      <c r="G16" s="1">
        <v>-149.12718204488701</v>
      </c>
      <c r="H16" s="2">
        <v>493.22235434007098</v>
      </c>
      <c r="I16" s="1">
        <v>3.2623762376237702</v>
      </c>
      <c r="J16" s="2">
        <v>493.18181818181802</v>
      </c>
      <c r="K16" s="1">
        <v>0.268189233278955</v>
      </c>
      <c r="N16" s="3">
        <f t="shared" si="1"/>
        <v>494.77351916376313</v>
      </c>
      <c r="O16" s="21">
        <f t="shared" si="2"/>
        <v>78972.156415182006</v>
      </c>
      <c r="P16" s="3">
        <f t="shared" si="3"/>
        <v>491.878487290762</v>
      </c>
      <c r="Q16" s="17">
        <f t="shared" si="4"/>
        <v>-1.4912718204488699E-4</v>
      </c>
      <c r="R16" s="3">
        <f t="shared" si="5"/>
        <v>493.22235434007098</v>
      </c>
      <c r="S16" s="24">
        <f t="shared" si="5"/>
        <v>3.2623762376237702</v>
      </c>
      <c r="T16" s="3">
        <f t="shared" si="5"/>
        <v>493.18181818181802</v>
      </c>
      <c r="U16" s="51">
        <f t="shared" si="5"/>
        <v>0.268189233278955</v>
      </c>
      <c r="V16" s="42">
        <f t="shared" si="6"/>
        <v>0.2654976198106157</v>
      </c>
      <c r="W16" s="49">
        <f t="shared" si="7"/>
        <v>1.003624729982964E-2</v>
      </c>
    </row>
    <row r="17" spans="2:23" x14ac:dyDescent="0.6">
      <c r="B17" s="2">
        <v>1.9143192488262899</v>
      </c>
      <c r="C17" s="1">
        <v>76577.474634120095</v>
      </c>
      <c r="D17" s="2"/>
      <c r="E17" s="1"/>
      <c r="F17" s="2">
        <v>516.36701797892101</v>
      </c>
      <c r="G17" s="1">
        <v>-152.45220282626701</v>
      </c>
      <c r="H17" s="2">
        <v>520.57074910820404</v>
      </c>
      <c r="I17" s="1">
        <v>3.1881188118811901</v>
      </c>
      <c r="J17" s="2">
        <v>520.69377990430598</v>
      </c>
      <c r="K17" s="1">
        <v>0.295595432300163</v>
      </c>
      <c r="N17" s="3">
        <f t="shared" si="1"/>
        <v>522.37890864500343</v>
      </c>
      <c r="O17" s="21">
        <f t="shared" si="2"/>
        <v>76577.474634120095</v>
      </c>
      <c r="P17" s="3">
        <f t="shared" si="3"/>
        <v>516.36701797892101</v>
      </c>
      <c r="Q17" s="17">
        <f t="shared" si="4"/>
        <v>-1.5245220282626701E-4</v>
      </c>
      <c r="R17" s="3">
        <f t="shared" si="5"/>
        <v>520.57074910820404</v>
      </c>
      <c r="S17" s="24">
        <f t="shared" si="5"/>
        <v>3.1881188118811901</v>
      </c>
      <c r="T17" s="3">
        <f t="shared" si="5"/>
        <v>520.69377990430598</v>
      </c>
      <c r="U17" s="51">
        <f t="shared" si="5"/>
        <v>0.295595432300163</v>
      </c>
      <c r="V17" s="42">
        <f t="shared" si="6"/>
        <v>0.29068079540962888</v>
      </c>
      <c r="W17" s="49">
        <f t="shared" si="7"/>
        <v>1.662622744976499E-2</v>
      </c>
    </row>
    <row r="18" spans="2:23" x14ac:dyDescent="0.6">
      <c r="B18" s="2">
        <v>1.81807511737089</v>
      </c>
      <c r="C18" s="1">
        <v>74509.897732030993</v>
      </c>
      <c r="D18" s="2"/>
      <c r="E18" s="1"/>
      <c r="F18" s="2">
        <v>546.74519528828205</v>
      </c>
      <c r="G18" s="1">
        <v>-157.10723192019901</v>
      </c>
      <c r="H18" s="2">
        <v>548.21640903686102</v>
      </c>
      <c r="I18" s="1">
        <v>3.13613861386139</v>
      </c>
      <c r="J18" s="2">
        <v>547.90669856459294</v>
      </c>
      <c r="K18" s="1">
        <v>0.32234910277324602</v>
      </c>
      <c r="N18" s="3">
        <f t="shared" si="1"/>
        <v>550.0322788896068</v>
      </c>
      <c r="O18" s="21">
        <f t="shared" si="2"/>
        <v>74509.897732030993</v>
      </c>
      <c r="P18" s="3">
        <f t="shared" si="3"/>
        <v>546.74519528828205</v>
      </c>
      <c r="Q18" s="17">
        <f t="shared" si="4"/>
        <v>-1.57107231920199E-4</v>
      </c>
      <c r="R18" s="3">
        <f t="shared" si="5"/>
        <v>548.21640903686102</v>
      </c>
      <c r="S18" s="24">
        <f t="shared" si="5"/>
        <v>3.13613861386139</v>
      </c>
      <c r="T18" s="3">
        <f t="shared" si="5"/>
        <v>547.90669856459294</v>
      </c>
      <c r="U18" s="51">
        <f t="shared" si="5"/>
        <v>0.32234910277324602</v>
      </c>
      <c r="V18" s="42">
        <f t="shared" si="6"/>
        <v>0.32130514600491206</v>
      </c>
      <c r="W18" s="49">
        <f t="shared" si="7"/>
        <v>3.2385905819267251E-3</v>
      </c>
    </row>
    <row r="19" spans="2:23" x14ac:dyDescent="0.6">
      <c r="B19" s="2">
        <v>1.7312206572769899</v>
      </c>
      <c r="C19" s="1">
        <v>73246.106955502604</v>
      </c>
      <c r="D19" s="2"/>
      <c r="E19" s="1"/>
      <c r="F19" s="2">
        <v>574.33353998760003</v>
      </c>
      <c r="G19" s="1">
        <v>-160.43225270157899</v>
      </c>
      <c r="H19" s="2">
        <v>575.86206896551698</v>
      </c>
      <c r="I19" s="1">
        <v>3.08415841584159</v>
      </c>
      <c r="J19" s="2">
        <v>575.71770334928203</v>
      </c>
      <c r="K19" s="1">
        <v>0.35171288743882501</v>
      </c>
      <c r="N19" s="3">
        <f t="shared" si="1"/>
        <v>577.62711864406958</v>
      </c>
      <c r="O19" s="21">
        <f t="shared" si="2"/>
        <v>73246.106955502604</v>
      </c>
      <c r="P19" s="3">
        <f t="shared" si="3"/>
        <v>574.33353998760003</v>
      </c>
      <c r="Q19" s="17">
        <f t="shared" si="4"/>
        <v>-1.6043225270157899E-4</v>
      </c>
      <c r="R19" s="3">
        <f t="shared" si="5"/>
        <v>575.86206896551698</v>
      </c>
      <c r="S19" s="24">
        <f t="shared" si="5"/>
        <v>3.08415841584159</v>
      </c>
      <c r="T19" s="3">
        <f t="shared" si="5"/>
        <v>575.71770334928203</v>
      </c>
      <c r="U19" s="51">
        <f t="shared" si="5"/>
        <v>0.35171288743882501</v>
      </c>
      <c r="V19" s="42">
        <f t="shared" si="6"/>
        <v>0.35191746222951514</v>
      </c>
      <c r="W19" s="49">
        <f t="shared" si="7"/>
        <v>-5.8165281397520581E-4</v>
      </c>
    </row>
    <row r="20" spans="2:23" x14ac:dyDescent="0.6">
      <c r="B20" s="2">
        <v>1.65023474178403</v>
      </c>
      <c r="C20" s="1">
        <v>71757.820960548896</v>
      </c>
      <c r="D20" s="2"/>
      <c r="E20" s="1"/>
      <c r="F20" s="2">
        <v>601.92188468691802</v>
      </c>
      <c r="G20" s="1">
        <v>-163.09226932668301</v>
      </c>
      <c r="H20" s="2">
        <v>602.91319857312703</v>
      </c>
      <c r="I20" s="1">
        <v>3.0470297029703</v>
      </c>
      <c r="J20" s="2">
        <v>602.93062200956899</v>
      </c>
      <c r="K20" s="1">
        <v>0.38368678629690001</v>
      </c>
      <c r="N20" s="3">
        <f t="shared" si="1"/>
        <v>605.97439544808242</v>
      </c>
      <c r="O20" s="21">
        <f t="shared" si="2"/>
        <v>71757.820960548896</v>
      </c>
      <c r="P20" s="3">
        <f t="shared" si="3"/>
        <v>601.92188468691802</v>
      </c>
      <c r="Q20" s="17">
        <f t="shared" si="4"/>
        <v>-1.6309226932668302E-4</v>
      </c>
      <c r="R20" s="3">
        <f t="shared" si="5"/>
        <v>602.91319857312703</v>
      </c>
      <c r="S20" s="24">
        <f t="shared" si="5"/>
        <v>3.0470297029703</v>
      </c>
      <c r="T20" s="3">
        <f t="shared" si="5"/>
        <v>602.93062200956899</v>
      </c>
      <c r="U20" s="51">
        <f t="shared" si="5"/>
        <v>0.38368678629690001</v>
      </c>
      <c r="V20" s="42">
        <f t="shared" si="6"/>
        <v>0.37768231325290907</v>
      </c>
      <c r="W20" s="49">
        <f t="shared" si="7"/>
        <v>1.5649413163122645E-2</v>
      </c>
    </row>
    <row r="21" spans="2:23" x14ac:dyDescent="0.6">
      <c r="B21" s="2">
        <v>1.57863849765258</v>
      </c>
      <c r="C21" s="1">
        <v>70540.709207156498</v>
      </c>
      <c r="D21" s="2"/>
      <c r="E21" s="1"/>
      <c r="F21" s="2">
        <v>629.82021078735204</v>
      </c>
      <c r="G21" s="1">
        <v>-167.74729842061501</v>
      </c>
      <c r="H21" s="2">
        <v>630.856123662306</v>
      </c>
      <c r="I21" s="1">
        <v>3.0173267326732698</v>
      </c>
      <c r="J21" s="2">
        <v>630.44258373205696</v>
      </c>
      <c r="K21" s="1">
        <v>0.41631321370309898</v>
      </c>
      <c r="N21" s="3">
        <f t="shared" si="1"/>
        <v>633.45724907063288</v>
      </c>
      <c r="O21" s="21">
        <f t="shared" si="2"/>
        <v>70540.709207156498</v>
      </c>
      <c r="P21" s="3">
        <f t="shared" si="3"/>
        <v>629.82021078735204</v>
      </c>
      <c r="Q21" s="17">
        <f t="shared" si="4"/>
        <v>-1.6774729842061501E-4</v>
      </c>
      <c r="R21" s="3">
        <f t="shared" si="5"/>
        <v>630.856123662306</v>
      </c>
      <c r="S21" s="24">
        <f t="shared" si="5"/>
        <v>3.0173267326732698</v>
      </c>
      <c r="T21" s="3">
        <f t="shared" si="5"/>
        <v>630.44258373205696</v>
      </c>
      <c r="U21" s="51">
        <f t="shared" si="5"/>
        <v>0.41631321370309898</v>
      </c>
      <c r="V21" s="42">
        <f t="shared" si="6"/>
        <v>0.41473824972932455</v>
      </c>
      <c r="W21" s="49">
        <f t="shared" si="7"/>
        <v>3.7831227112998813E-3</v>
      </c>
    </row>
    <row r="22" spans="2:23" x14ac:dyDescent="0.6">
      <c r="B22" s="2">
        <v>1.51173708920187</v>
      </c>
      <c r="C22" s="1">
        <v>69107.394128023501</v>
      </c>
      <c r="D22" s="2"/>
      <c r="E22" s="1"/>
      <c r="F22" s="2">
        <v>657.40855548667002</v>
      </c>
      <c r="G22" s="1">
        <v>-171.73732335827</v>
      </c>
      <c r="H22" s="2">
        <v>658.50178359096299</v>
      </c>
      <c r="I22" s="1">
        <v>3.0099009900990099</v>
      </c>
      <c r="J22" s="2">
        <v>658.25358851674605</v>
      </c>
      <c r="K22" s="1">
        <v>0.44959216965742199</v>
      </c>
      <c r="N22" s="3">
        <f t="shared" si="1"/>
        <v>661.49068322981714</v>
      </c>
      <c r="O22" s="21">
        <f t="shared" si="2"/>
        <v>69107.394128023501</v>
      </c>
      <c r="P22" s="3">
        <f t="shared" si="3"/>
        <v>657.40855548667002</v>
      </c>
      <c r="Q22" s="17">
        <f t="shared" si="4"/>
        <v>-1.7173732335827E-4</v>
      </c>
      <c r="R22" s="3">
        <f t="shared" si="5"/>
        <v>658.50178359096299</v>
      </c>
      <c r="S22" s="24">
        <f t="shared" si="5"/>
        <v>3.0099009900990099</v>
      </c>
      <c r="T22" s="3">
        <f t="shared" si="5"/>
        <v>658.25358851674605</v>
      </c>
      <c r="U22" s="51">
        <f t="shared" si="5"/>
        <v>0.44959216965742199</v>
      </c>
      <c r="V22" s="42">
        <f t="shared" si="6"/>
        <v>0.4457536646683537</v>
      </c>
      <c r="W22" s="49">
        <f t="shared" si="7"/>
        <v>8.537748760155537E-3</v>
      </c>
    </row>
    <row r="23" spans="2:23" x14ac:dyDescent="0.6">
      <c r="B23" s="2">
        <v>1.4495305164319201</v>
      </c>
      <c r="C23" s="1">
        <v>68168.067240511402</v>
      </c>
      <c r="D23" s="2"/>
      <c r="E23" s="1"/>
      <c r="F23" s="2">
        <v>684.99690018598801</v>
      </c>
      <c r="G23" s="1">
        <v>-175.72734829592599</v>
      </c>
      <c r="H23" s="2">
        <v>685.85017835909605</v>
      </c>
      <c r="I23" s="1">
        <v>2.9950495049504999</v>
      </c>
      <c r="J23" s="2">
        <v>685.76555023923402</v>
      </c>
      <c r="K23" s="1">
        <v>0.48482871125611698</v>
      </c>
      <c r="N23" s="3">
        <f t="shared" si="1"/>
        <v>689.87854251012368</v>
      </c>
      <c r="O23" s="21">
        <f t="shared" si="2"/>
        <v>68168.067240511402</v>
      </c>
      <c r="P23" s="3">
        <f t="shared" si="3"/>
        <v>684.99690018598801</v>
      </c>
      <c r="Q23" s="17">
        <f t="shared" si="4"/>
        <v>-1.7572734829592599E-4</v>
      </c>
      <c r="R23" s="3">
        <f t="shared" si="5"/>
        <v>685.85017835909605</v>
      </c>
      <c r="S23" s="24">
        <f t="shared" si="5"/>
        <v>2.9950495049504999</v>
      </c>
      <c r="T23" s="3">
        <f t="shared" si="5"/>
        <v>685.76555023923402</v>
      </c>
      <c r="U23" s="51">
        <f t="shared" si="5"/>
        <v>0.48482871125611698</v>
      </c>
      <c r="V23" s="42">
        <f t="shared" si="6"/>
        <v>0.48198258997975196</v>
      </c>
      <c r="W23" s="49">
        <f t="shared" si="7"/>
        <v>5.8703645437811567E-3</v>
      </c>
    </row>
    <row r="24" spans="2:23" x14ac:dyDescent="0.6">
      <c r="B24" s="2">
        <v>1.3943661971830901</v>
      </c>
      <c r="C24" s="1">
        <v>67703.2025456509</v>
      </c>
      <c r="D24" s="2"/>
      <c r="E24" s="1"/>
      <c r="F24" s="2">
        <v>712.89522628642203</v>
      </c>
      <c r="G24" s="1">
        <v>-178.38736492103001</v>
      </c>
      <c r="H24" s="2">
        <v>713.79310344827604</v>
      </c>
      <c r="I24" s="1">
        <v>2.9801980198019802</v>
      </c>
      <c r="J24" s="2">
        <v>713.875598086124</v>
      </c>
      <c r="K24" s="1">
        <v>0.52071778140293601</v>
      </c>
      <c r="N24" s="3">
        <f t="shared" si="1"/>
        <v>717.17171717172153</v>
      </c>
      <c r="O24" s="21">
        <f t="shared" ref="O24:O29" si="8">C24</f>
        <v>67703.2025456509</v>
      </c>
      <c r="P24" s="3">
        <f t="shared" ref="P24:P29" si="9">F24</f>
        <v>712.89522628642203</v>
      </c>
      <c r="Q24" s="17">
        <f t="shared" si="4"/>
        <v>-1.7838736492103001E-4</v>
      </c>
      <c r="R24" s="3">
        <f t="shared" ref="R24:R29" si="10">H24</f>
        <v>713.79310344827604</v>
      </c>
      <c r="S24" s="24">
        <f t="shared" ref="S24:S29" si="11">I24</f>
        <v>2.9801980198019802</v>
      </c>
      <c r="T24" s="3">
        <f t="shared" ref="T24:T29" si="12">J24</f>
        <v>713.875598086124</v>
      </c>
      <c r="U24" s="51">
        <f t="shared" ref="U24:U29" si="13">K24</f>
        <v>0.52071778140293601</v>
      </c>
      <c r="V24" s="42">
        <f t="shared" si="6"/>
        <v>0.51607736121565617</v>
      </c>
      <c r="W24" s="49">
        <f t="shared" si="7"/>
        <v>8.9115838809603436E-3</v>
      </c>
    </row>
    <row r="25" spans="2:23" x14ac:dyDescent="0.6">
      <c r="B25" s="28">
        <v>1.34154929577464</v>
      </c>
      <c r="C25" s="29">
        <v>67011.842668278594</v>
      </c>
      <c r="D25" s="28"/>
      <c r="E25" s="29"/>
      <c r="F25" s="28">
        <v>740.48357098574002</v>
      </c>
      <c r="G25" s="29">
        <v>-181.04738154613401</v>
      </c>
      <c r="H25" s="28">
        <v>741.73602853745501</v>
      </c>
      <c r="I25" s="29">
        <v>2.9876237623762401</v>
      </c>
      <c r="J25" s="28">
        <v>741.68660287081298</v>
      </c>
      <c r="K25" s="29">
        <v>0.55921696574225099</v>
      </c>
      <c r="N25" s="3">
        <f t="shared" si="1"/>
        <v>745.40682414698597</v>
      </c>
      <c r="O25" s="21">
        <f t="shared" si="8"/>
        <v>67011.842668278594</v>
      </c>
      <c r="P25" s="3">
        <f t="shared" si="9"/>
        <v>740.48357098574002</v>
      </c>
      <c r="Q25" s="17">
        <f t="shared" si="4"/>
        <v>-1.8104738154613401E-4</v>
      </c>
      <c r="R25" s="3">
        <f t="shared" si="10"/>
        <v>741.73602853745501</v>
      </c>
      <c r="S25" s="24">
        <f t="shared" si="11"/>
        <v>2.9876237623762401</v>
      </c>
      <c r="T25" s="3">
        <f t="shared" si="12"/>
        <v>741.68660287081298</v>
      </c>
      <c r="U25" s="51">
        <f t="shared" si="13"/>
        <v>0.55921696574225099</v>
      </c>
      <c r="V25" s="42">
        <f t="shared" si="6"/>
        <v>0.54529383260493425</v>
      </c>
      <c r="W25" s="49">
        <f t="shared" si="7"/>
        <v>2.4897551380324297E-2</v>
      </c>
    </row>
    <row r="26" spans="2:23" x14ac:dyDescent="0.6">
      <c r="B26" s="2">
        <v>1.29342723004694</v>
      </c>
      <c r="C26" s="50">
        <v>66554.862720701101</v>
      </c>
      <c r="D26" s="2"/>
      <c r="E26" s="50"/>
      <c r="F26" s="2">
        <v>768.38189708617404</v>
      </c>
      <c r="G26" s="50">
        <v>-185.03740648378999</v>
      </c>
      <c r="H26" s="2">
        <v>769.08442330558796</v>
      </c>
      <c r="I26" s="50">
        <v>2.9950495049504999</v>
      </c>
      <c r="J26" s="58">
        <v>769.49760765550195</v>
      </c>
      <c r="K26" s="50">
        <v>0.59967373572593796</v>
      </c>
      <c r="N26" s="3">
        <f t="shared" si="1"/>
        <v>773.13974591652038</v>
      </c>
      <c r="O26" s="21">
        <f t="shared" si="8"/>
        <v>66554.862720701101</v>
      </c>
      <c r="P26" s="3">
        <f t="shared" si="9"/>
        <v>768.38189708617404</v>
      </c>
      <c r="Q26" s="17">
        <f t="shared" si="4"/>
        <v>-1.8503740648379E-4</v>
      </c>
      <c r="R26" s="3">
        <f t="shared" si="10"/>
        <v>769.08442330558796</v>
      </c>
      <c r="S26" s="24">
        <f t="shared" si="11"/>
        <v>2.9950495049504999</v>
      </c>
      <c r="T26" s="3">
        <f t="shared" si="12"/>
        <v>769.49760765550195</v>
      </c>
      <c r="U26" s="51">
        <f t="shared" si="13"/>
        <v>0.59967373572593796</v>
      </c>
      <c r="V26" s="42">
        <f t="shared" si="6"/>
        <v>0.58546660241244497</v>
      </c>
      <c r="W26" s="49">
        <f t="shared" si="7"/>
        <v>2.3691438305688806E-2</v>
      </c>
    </row>
    <row r="27" spans="2:23" x14ac:dyDescent="0.6">
      <c r="B27" s="2">
        <v>1.24765258215962</v>
      </c>
      <c r="C27" s="50">
        <v>66327.542700364997</v>
      </c>
      <c r="D27" s="2"/>
      <c r="E27" s="50"/>
      <c r="F27" s="2">
        <v>796.28022318660896</v>
      </c>
      <c r="G27" s="50">
        <v>-188.36242726517</v>
      </c>
      <c r="H27" s="2">
        <v>797.32461355529097</v>
      </c>
      <c r="I27" s="50">
        <v>3.0247524752475301</v>
      </c>
      <c r="J27" s="58">
        <v>797.30861244019104</v>
      </c>
      <c r="K27" s="50">
        <v>0.64078303425774796</v>
      </c>
      <c r="N27" s="3">
        <f t="shared" si="1"/>
        <v>801.50517403575066</v>
      </c>
      <c r="O27" s="21">
        <f t="shared" si="8"/>
        <v>66327.542700364997</v>
      </c>
      <c r="P27" s="3">
        <f t="shared" si="9"/>
        <v>796.28022318660896</v>
      </c>
      <c r="Q27" s="17">
        <f t="shared" si="4"/>
        <v>-1.8836242726516999E-4</v>
      </c>
      <c r="R27" s="3">
        <f t="shared" si="10"/>
        <v>797.32461355529097</v>
      </c>
      <c r="S27" s="24">
        <f t="shared" si="11"/>
        <v>3.0247524752475301</v>
      </c>
      <c r="T27" s="3">
        <f t="shared" si="12"/>
        <v>797.30861244019104</v>
      </c>
      <c r="U27" s="51">
        <f t="shared" si="13"/>
        <v>0.64078303425774796</v>
      </c>
      <c r="V27" s="42">
        <f t="shared" si="6"/>
        <v>0.62032470655568106</v>
      </c>
      <c r="W27" s="49">
        <f t="shared" si="7"/>
        <v>3.1927074545231741E-2</v>
      </c>
    </row>
    <row r="28" spans="2:23" x14ac:dyDescent="0.6">
      <c r="B28" s="2">
        <v>1.20539906103286</v>
      </c>
      <c r="C28" s="50">
        <v>66554.862720701101</v>
      </c>
      <c r="D28" s="2"/>
      <c r="E28" s="50"/>
      <c r="F28" s="2">
        <v>824.17854928704196</v>
      </c>
      <c r="G28" s="50">
        <v>-192.35245220282599</v>
      </c>
      <c r="H28" s="2">
        <v>824.97027348394795</v>
      </c>
      <c r="I28" s="50">
        <v>3.0544554455445598</v>
      </c>
      <c r="J28" s="58">
        <v>825.11961722488002</v>
      </c>
      <c r="K28" s="50">
        <v>0.68515497553017901</v>
      </c>
      <c r="N28" s="3">
        <f t="shared" si="1"/>
        <v>829.60077896787027</v>
      </c>
      <c r="O28" s="21">
        <f t="shared" si="8"/>
        <v>66554.862720701101</v>
      </c>
      <c r="P28" s="3">
        <f t="shared" si="9"/>
        <v>824.17854928704196</v>
      </c>
      <c r="Q28" s="17">
        <f t="shared" si="4"/>
        <v>-1.9235245220282598E-4</v>
      </c>
      <c r="R28" s="3">
        <f t="shared" si="10"/>
        <v>824.97027348394795</v>
      </c>
      <c r="S28" s="24">
        <f t="shared" si="11"/>
        <v>3.0544554455445598</v>
      </c>
      <c r="T28" s="3">
        <f t="shared" si="12"/>
        <v>825.11961722488002</v>
      </c>
      <c r="U28" s="51">
        <f t="shared" si="13"/>
        <v>0.68515497553017901</v>
      </c>
      <c r="V28" s="42">
        <f t="shared" si="6"/>
        <v>0.66520938005096941</v>
      </c>
      <c r="W28" s="49">
        <f t="shared" si="7"/>
        <v>2.9111071497036886E-2</v>
      </c>
    </row>
    <row r="29" spans="2:23" x14ac:dyDescent="0.6">
      <c r="B29" s="2">
        <v>1.17018779342723</v>
      </c>
      <c r="C29" s="50">
        <v>67011.842668278594</v>
      </c>
      <c r="D29" s="2"/>
      <c r="E29" s="50"/>
      <c r="F29" s="2">
        <v>848.97706137631701</v>
      </c>
      <c r="G29" s="50">
        <v>-195.01246882793001</v>
      </c>
      <c r="H29" s="2">
        <v>849.94054696789499</v>
      </c>
      <c r="I29" s="50">
        <v>3.0693069306930698</v>
      </c>
      <c r="J29" s="58">
        <v>849.94019138755903</v>
      </c>
      <c r="K29" s="50">
        <v>0.72430668841761803</v>
      </c>
      <c r="N29" s="3">
        <f t="shared" si="1"/>
        <v>854.56369107321973</v>
      </c>
      <c r="O29" s="21">
        <f t="shared" si="8"/>
        <v>67011.842668278594</v>
      </c>
      <c r="P29" s="3">
        <f t="shared" si="9"/>
        <v>848.97706137631701</v>
      </c>
      <c r="Q29" s="17">
        <f t="shared" si="4"/>
        <v>-1.9501246882793001E-4</v>
      </c>
      <c r="R29" s="3">
        <f t="shared" si="10"/>
        <v>849.94054696789499</v>
      </c>
      <c r="S29" s="24">
        <f t="shared" si="11"/>
        <v>3.0693069306930698</v>
      </c>
      <c r="T29" s="3">
        <f t="shared" si="12"/>
        <v>849.94019138755903</v>
      </c>
      <c r="U29" s="51">
        <f t="shared" si="13"/>
        <v>0.72430668841761803</v>
      </c>
      <c r="V29" s="42">
        <f t="shared" si="6"/>
        <v>0.70570690586887264</v>
      </c>
      <c r="W29" s="49">
        <f t="shared" si="7"/>
        <v>2.5679429509866958E-2</v>
      </c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x14ac:dyDescent="0.6">
      <c r="O34"/>
      <c r="Q34"/>
      <c r="S34"/>
      <c r="U34"/>
      <c r="V34"/>
    </row>
    <row r="35" spans="2:23" x14ac:dyDescent="0.6">
      <c r="O35"/>
      <c r="Q35"/>
      <c r="S35"/>
      <c r="U35"/>
      <c r="V35"/>
    </row>
    <row r="36" spans="2:23" x14ac:dyDescent="0.6">
      <c r="O36"/>
      <c r="Q36"/>
      <c r="S36"/>
      <c r="U36"/>
      <c r="V36"/>
    </row>
    <row r="37" spans="2:23" x14ac:dyDescent="0.6">
      <c r="O37"/>
      <c r="Q37"/>
      <c r="S37"/>
      <c r="U37"/>
      <c r="V37"/>
    </row>
    <row r="38" spans="2:23" ht="17.25" thickBot="1" x14ac:dyDescent="0.65">
      <c r="B38" t="s">
        <v>79</v>
      </c>
      <c r="O38"/>
      <c r="Q38"/>
      <c r="S38"/>
      <c r="U38"/>
      <c r="V38"/>
    </row>
    <row r="39" spans="2:23" x14ac:dyDescent="0.6">
      <c r="B39" s="5" t="s">
        <v>3</v>
      </c>
      <c r="C39" s="6" t="s">
        <v>0</v>
      </c>
      <c r="D39" s="7" t="s">
        <v>3</v>
      </c>
      <c r="E39" s="6" t="s">
        <v>8</v>
      </c>
      <c r="F39" s="7" t="s">
        <v>3</v>
      </c>
      <c r="G39" s="6" t="s">
        <v>1</v>
      </c>
      <c r="H39" s="7" t="s">
        <v>3</v>
      </c>
      <c r="I39" s="6" t="s">
        <v>2</v>
      </c>
      <c r="J39" s="7" t="s">
        <v>3</v>
      </c>
      <c r="K39" s="8" t="s">
        <v>6</v>
      </c>
      <c r="N39" s="5" t="s">
        <v>3</v>
      </c>
      <c r="O39" s="19" t="s">
        <v>0</v>
      </c>
      <c r="P39" s="7" t="s">
        <v>3</v>
      </c>
      <c r="Q39" s="15" t="s">
        <v>1</v>
      </c>
      <c r="R39" s="7" t="s">
        <v>3</v>
      </c>
      <c r="S39" s="23" t="s">
        <v>2</v>
      </c>
      <c r="T39" s="7" t="s">
        <v>3</v>
      </c>
      <c r="U39" s="25" t="s">
        <v>6</v>
      </c>
    </row>
    <row r="40" spans="2:23" ht="17.25" thickBot="1" x14ac:dyDescent="0.65">
      <c r="B40" s="9" t="s">
        <v>4</v>
      </c>
      <c r="C40" s="10" t="s">
        <v>5</v>
      </c>
      <c r="D40" s="11" t="s">
        <v>4</v>
      </c>
      <c r="E40" s="10" t="s">
        <v>11</v>
      </c>
      <c r="F40" s="11" t="s">
        <v>4</v>
      </c>
      <c r="G40" s="27" t="s">
        <v>13</v>
      </c>
      <c r="H40" s="11" t="s">
        <v>4</v>
      </c>
      <c r="I40" s="10" t="s">
        <v>15</v>
      </c>
      <c r="J40" s="11" t="s">
        <v>4</v>
      </c>
      <c r="K40" s="12" t="s">
        <v>7</v>
      </c>
      <c r="N40" s="9" t="s">
        <v>4</v>
      </c>
      <c r="O40" s="20" t="s">
        <v>5</v>
      </c>
      <c r="P40" s="11" t="s">
        <v>4</v>
      </c>
      <c r="Q40" s="16" t="s">
        <v>14</v>
      </c>
      <c r="R40" s="11" t="s">
        <v>4</v>
      </c>
      <c r="S40" s="10" t="s">
        <v>15</v>
      </c>
      <c r="T40" s="11" t="s">
        <v>4</v>
      </c>
      <c r="U40" s="26" t="s">
        <v>7</v>
      </c>
      <c r="W40" t="s">
        <v>78</v>
      </c>
    </row>
    <row r="41" spans="2:23" x14ac:dyDescent="0.6">
      <c r="B41" s="3">
        <v>297.58699999999999</v>
      </c>
      <c r="C41" s="4">
        <v>99746.7</v>
      </c>
      <c r="D41" s="3"/>
      <c r="E41" s="4"/>
      <c r="F41" s="3">
        <v>297.81</v>
      </c>
      <c r="G41" s="4">
        <v>-119.642</v>
      </c>
      <c r="H41" s="3">
        <v>300.63299999999998</v>
      </c>
      <c r="I41" s="4">
        <v>4.0283600000000002</v>
      </c>
      <c r="J41" s="3">
        <v>298.65199999999999</v>
      </c>
      <c r="K41" s="4">
        <v>0.132743</v>
      </c>
      <c r="N41" s="3">
        <f>B41</f>
        <v>297.58699999999999</v>
      </c>
      <c r="O41" s="21">
        <f>C41</f>
        <v>99746.7</v>
      </c>
      <c r="P41" s="3">
        <f>F41</f>
        <v>297.81</v>
      </c>
      <c r="Q41" s="17">
        <f>G41*0.000001</f>
        <v>-1.1964199999999999E-4</v>
      </c>
      <c r="R41" s="3">
        <f>H41</f>
        <v>300.63299999999998</v>
      </c>
      <c r="S41" s="24">
        <f>I41</f>
        <v>4.0283600000000002</v>
      </c>
      <c r="T41" s="3">
        <f>J41</f>
        <v>298.65199999999999</v>
      </c>
      <c r="U41" s="51">
        <f>K41</f>
        <v>0.132743</v>
      </c>
      <c r="V41" s="42">
        <f>((O41*(Q41)^2)/S41)*T41</f>
        <v>0.10585296263109185</v>
      </c>
      <c r="W41" s="49">
        <f t="shared" ref="W41:W57" si="14">(U41-V41)/U41</f>
        <v>0.20257216854303539</v>
      </c>
    </row>
    <row r="42" spans="2:23" x14ac:dyDescent="0.6">
      <c r="B42" s="2">
        <v>356.33699999999999</v>
      </c>
      <c r="C42" s="1">
        <v>94212</v>
      </c>
      <c r="D42" s="3"/>
      <c r="E42" s="4"/>
      <c r="F42" s="3">
        <v>333.34800000000001</v>
      </c>
      <c r="G42" s="4">
        <v>-125.94499999999999</v>
      </c>
      <c r="H42" s="3">
        <v>343.82100000000003</v>
      </c>
      <c r="I42" s="4">
        <v>3.7966000000000002</v>
      </c>
      <c r="J42" s="3">
        <v>341.798</v>
      </c>
      <c r="K42" s="4">
        <v>0.153392</v>
      </c>
      <c r="N42" s="3">
        <f t="shared" ref="N42:N55" si="15">B42</f>
        <v>356.33699999999999</v>
      </c>
      <c r="O42" s="21">
        <f t="shared" ref="O42:O55" si="16">C42</f>
        <v>94212</v>
      </c>
      <c r="P42" s="3">
        <f t="shared" ref="P42:P57" si="17">F42</f>
        <v>333.34800000000001</v>
      </c>
      <c r="Q42" s="17">
        <f t="shared" ref="Q42:Q57" si="18">G42*0.000001</f>
        <v>-1.2594499999999997E-4</v>
      </c>
      <c r="R42" s="3">
        <f t="shared" ref="R42:R55" si="19">H42</f>
        <v>343.82100000000003</v>
      </c>
      <c r="S42" s="24">
        <f t="shared" ref="S42:S55" si="20">I42</f>
        <v>3.7966000000000002</v>
      </c>
      <c r="T42" s="3">
        <f t="shared" ref="T42:T57" si="21">J42</f>
        <v>341.798</v>
      </c>
      <c r="U42" s="51">
        <f t="shared" ref="U42:U57" si="22">K42</f>
        <v>0.153392</v>
      </c>
      <c r="V42" s="42">
        <f t="shared" ref="V42" si="23">((O42*(Q42)^2)/S42)*T42</f>
        <v>0.13453731579134301</v>
      </c>
      <c r="W42" s="49">
        <f t="shared" si="14"/>
        <v>0.12291830218431855</v>
      </c>
    </row>
    <row r="43" spans="2:23" x14ac:dyDescent="0.6">
      <c r="B43" s="2">
        <v>410.75900000000001</v>
      </c>
      <c r="C43" s="1">
        <v>93161.600000000006</v>
      </c>
      <c r="D43" s="2"/>
      <c r="E43" s="1"/>
      <c r="F43" s="2">
        <v>371.726</v>
      </c>
      <c r="G43" s="1">
        <v>-135.32499999999999</v>
      </c>
      <c r="H43" s="2">
        <v>385.654</v>
      </c>
      <c r="I43" s="1">
        <v>3.59849</v>
      </c>
      <c r="J43" s="2">
        <v>375.50599999999997</v>
      </c>
      <c r="K43" s="1">
        <v>0.17109099999999999</v>
      </c>
      <c r="N43" s="3">
        <f t="shared" si="15"/>
        <v>410.75900000000001</v>
      </c>
      <c r="O43" s="21">
        <f t="shared" si="16"/>
        <v>93161.600000000006</v>
      </c>
      <c r="P43" s="3">
        <f t="shared" si="17"/>
        <v>371.726</v>
      </c>
      <c r="Q43" s="17">
        <f t="shared" si="18"/>
        <v>-1.3532499999999997E-4</v>
      </c>
      <c r="R43" s="3">
        <f t="shared" si="19"/>
        <v>385.654</v>
      </c>
      <c r="S43" s="24">
        <f t="shared" si="20"/>
        <v>3.59849</v>
      </c>
      <c r="T43" s="3">
        <f t="shared" si="21"/>
        <v>375.50599999999997</v>
      </c>
      <c r="U43" s="51">
        <f t="shared" si="22"/>
        <v>0.17109099999999999</v>
      </c>
      <c r="V43" s="42">
        <f>((AVERAGE(O42,O43)*(Q43)^2)/S43)*T43</f>
        <v>0.1790321624754638</v>
      </c>
      <c r="W43" s="49">
        <f t="shared" si="14"/>
        <v>-4.6414846341793603E-2</v>
      </c>
    </row>
    <row r="44" spans="2:23" x14ac:dyDescent="0.6">
      <c r="B44" s="2">
        <v>452.315</v>
      </c>
      <c r="C44" s="1">
        <v>89239.9</v>
      </c>
      <c r="D44" s="2"/>
      <c r="E44" s="1"/>
      <c r="F44" s="2">
        <v>405.84899999999999</v>
      </c>
      <c r="G44" s="1">
        <v>-135.499</v>
      </c>
      <c r="H44" s="2">
        <v>423.43</v>
      </c>
      <c r="I44" s="1">
        <v>3.46753</v>
      </c>
      <c r="J44" s="2">
        <v>422.697</v>
      </c>
      <c r="K44" s="1">
        <v>0.20943999999999999</v>
      </c>
      <c r="N44" s="3">
        <f t="shared" si="15"/>
        <v>452.315</v>
      </c>
      <c r="O44" s="21">
        <f t="shared" si="16"/>
        <v>89239.9</v>
      </c>
      <c r="P44" s="3">
        <f t="shared" si="17"/>
        <v>405.84899999999999</v>
      </c>
      <c r="Q44" s="17">
        <f t="shared" si="18"/>
        <v>-1.35499E-4</v>
      </c>
      <c r="R44" s="3">
        <f t="shared" si="19"/>
        <v>423.43</v>
      </c>
      <c r="S44" s="24">
        <f t="shared" si="20"/>
        <v>3.46753</v>
      </c>
      <c r="T44" s="3">
        <f t="shared" si="21"/>
        <v>422.697</v>
      </c>
      <c r="U44" s="51">
        <f t="shared" si="22"/>
        <v>0.20943999999999999</v>
      </c>
      <c r="V44" s="42">
        <f>((O43*(Q44)^2)/S44)*T44</f>
        <v>0.20850576014971625</v>
      </c>
      <c r="W44" s="49">
        <f t="shared" si="14"/>
        <v>4.4606562752279207E-3</v>
      </c>
    </row>
    <row r="45" spans="2:23" x14ac:dyDescent="0.6">
      <c r="B45" s="2">
        <v>496.72500000000002</v>
      </c>
      <c r="C45" s="1">
        <v>86829.2</v>
      </c>
      <c r="D45" s="2"/>
      <c r="E45" s="1"/>
      <c r="F45" s="2">
        <v>442.80599999999998</v>
      </c>
      <c r="G45" s="1">
        <v>-144.87100000000001</v>
      </c>
      <c r="H45" s="2">
        <v>463.89699999999999</v>
      </c>
      <c r="I45" s="1">
        <v>3.3706800000000001</v>
      </c>
      <c r="J45" s="2">
        <v>459.101</v>
      </c>
      <c r="K45" s="1">
        <v>0.23893800000000001</v>
      </c>
      <c r="N45" s="3">
        <f t="shared" si="15"/>
        <v>496.72500000000002</v>
      </c>
      <c r="O45" s="21">
        <f t="shared" si="16"/>
        <v>86829.2</v>
      </c>
      <c r="P45" s="3">
        <f t="shared" si="17"/>
        <v>442.80599999999998</v>
      </c>
      <c r="Q45" s="17">
        <f t="shared" si="18"/>
        <v>-1.44871E-4</v>
      </c>
      <c r="R45" s="3">
        <f t="shared" si="19"/>
        <v>463.89699999999999</v>
      </c>
      <c r="S45" s="24">
        <f t="shared" si="20"/>
        <v>3.3706800000000001</v>
      </c>
      <c r="T45" s="3">
        <f t="shared" si="21"/>
        <v>459.101</v>
      </c>
      <c r="U45" s="51">
        <f t="shared" si="22"/>
        <v>0.23893800000000001</v>
      </c>
      <c r="V45" s="42">
        <f>((O44*(Q45)^2)/S45)*T45</f>
        <v>0.25510131974308592</v>
      </c>
      <c r="W45" s="49">
        <f t="shared" si="14"/>
        <v>-6.7646501364730216E-2</v>
      </c>
    </row>
    <row r="46" spans="2:23" x14ac:dyDescent="0.6">
      <c r="B46" s="2">
        <v>548.30399999999997</v>
      </c>
      <c r="C46" s="1">
        <v>83238.3</v>
      </c>
      <c r="D46" s="2"/>
      <c r="E46" s="1"/>
      <c r="F46" s="2">
        <v>485.46300000000002</v>
      </c>
      <c r="G46" s="1">
        <v>-142.02799999999999</v>
      </c>
      <c r="H46" s="2">
        <v>504.358</v>
      </c>
      <c r="I46" s="1">
        <v>3.3076300000000001</v>
      </c>
      <c r="J46" s="2">
        <v>495.50599999999997</v>
      </c>
      <c r="K46" s="1">
        <v>0.26548699999999997</v>
      </c>
      <c r="N46" s="3">
        <f t="shared" si="15"/>
        <v>548.30399999999997</v>
      </c>
      <c r="O46" s="21">
        <f t="shared" si="16"/>
        <v>83238.3</v>
      </c>
      <c r="P46" s="3">
        <f t="shared" si="17"/>
        <v>485.46300000000002</v>
      </c>
      <c r="Q46" s="17">
        <f t="shared" si="18"/>
        <v>-1.4202799999999999E-4</v>
      </c>
      <c r="R46" s="3">
        <f t="shared" si="19"/>
        <v>504.358</v>
      </c>
      <c r="S46" s="24">
        <f t="shared" si="20"/>
        <v>3.3076300000000001</v>
      </c>
      <c r="T46" s="3">
        <f t="shared" si="21"/>
        <v>495.50599999999997</v>
      </c>
      <c r="U46" s="51">
        <f t="shared" si="22"/>
        <v>0.26548699999999997</v>
      </c>
      <c r="V46" s="42">
        <f>((O45*(Q46)^2)/S46)*T46</f>
        <v>0.2623890686296097</v>
      </c>
      <c r="W46" s="49">
        <f t="shared" si="14"/>
        <v>1.1668862770645164E-2</v>
      </c>
    </row>
    <row r="47" spans="2:23" x14ac:dyDescent="0.6">
      <c r="B47" s="2">
        <v>592.73400000000004</v>
      </c>
      <c r="C47" s="1">
        <v>78533</v>
      </c>
      <c r="D47" s="2"/>
      <c r="E47" s="1"/>
      <c r="F47" s="2">
        <v>518.15800000000002</v>
      </c>
      <c r="G47" s="1">
        <v>-148.31700000000001</v>
      </c>
      <c r="H47" s="2">
        <v>544.81299999999999</v>
      </c>
      <c r="I47" s="1">
        <v>3.2783799999999998</v>
      </c>
      <c r="J47" s="2">
        <v>533.25800000000004</v>
      </c>
      <c r="K47" s="1">
        <v>0.30088500000000001</v>
      </c>
      <c r="N47" s="3">
        <f t="shared" si="15"/>
        <v>592.73400000000004</v>
      </c>
      <c r="O47" s="21">
        <f t="shared" si="16"/>
        <v>78533</v>
      </c>
      <c r="P47" s="3">
        <f t="shared" si="17"/>
        <v>518.15800000000002</v>
      </c>
      <c r="Q47" s="17">
        <f t="shared" si="18"/>
        <v>-1.48317E-4</v>
      </c>
      <c r="R47" s="3">
        <f t="shared" si="19"/>
        <v>544.81299999999999</v>
      </c>
      <c r="S47" s="24">
        <f t="shared" si="20"/>
        <v>3.2783799999999998</v>
      </c>
      <c r="T47" s="3">
        <f t="shared" si="21"/>
        <v>533.25800000000004</v>
      </c>
      <c r="U47" s="51">
        <f t="shared" si="22"/>
        <v>0.30088500000000001</v>
      </c>
      <c r="V47" s="42">
        <f>((O46*(AVERAGE(Q47,Q48))^2)/S47)*T47</f>
        <v>0.31063386920456326</v>
      </c>
      <c r="W47" s="49">
        <f t="shared" si="14"/>
        <v>-3.240064876801186E-2</v>
      </c>
    </row>
    <row r="48" spans="2:23" x14ac:dyDescent="0.6">
      <c r="B48" s="2">
        <v>632.83799999999997</v>
      </c>
      <c r="C48" s="1">
        <v>77571.8</v>
      </c>
      <c r="D48" s="2"/>
      <c r="E48" s="1"/>
      <c r="F48" s="2">
        <v>553.69600000000003</v>
      </c>
      <c r="G48" s="1">
        <v>-154.62100000000001</v>
      </c>
      <c r="H48" s="2">
        <v>586.64</v>
      </c>
      <c r="I48" s="1">
        <v>3.11408</v>
      </c>
      <c r="J48" s="2">
        <v>572.36</v>
      </c>
      <c r="K48" s="1">
        <v>0.34513300000000002</v>
      </c>
      <c r="N48" s="3">
        <f t="shared" si="15"/>
        <v>632.83799999999997</v>
      </c>
      <c r="O48" s="21">
        <f t="shared" si="16"/>
        <v>77571.8</v>
      </c>
      <c r="P48" s="3">
        <f t="shared" si="17"/>
        <v>553.69600000000003</v>
      </c>
      <c r="Q48" s="17">
        <f t="shared" si="18"/>
        <v>-1.54621E-4</v>
      </c>
      <c r="R48" s="3">
        <f t="shared" si="19"/>
        <v>586.64</v>
      </c>
      <c r="S48" s="24">
        <f t="shared" si="20"/>
        <v>3.11408</v>
      </c>
      <c r="T48" s="3">
        <f t="shared" si="21"/>
        <v>572.36</v>
      </c>
      <c r="U48" s="51">
        <f t="shared" si="22"/>
        <v>0.34513300000000002</v>
      </c>
      <c r="V48" s="42">
        <f>((AVERAGE(O46,O47)*(Q49)^2)/S48)*T48</f>
        <v>0.38489234403557793</v>
      </c>
      <c r="W48" s="49">
        <f t="shared" si="14"/>
        <v>-0.11520006500560045</v>
      </c>
    </row>
    <row r="49" spans="2:23" x14ac:dyDescent="0.6">
      <c r="B49" s="2">
        <v>672.96199999999999</v>
      </c>
      <c r="C49" s="1">
        <v>74298.2</v>
      </c>
      <c r="D49" s="2"/>
      <c r="E49" s="1"/>
      <c r="F49" s="2">
        <v>584.96799999999996</v>
      </c>
      <c r="G49" s="1">
        <v>-160.90299999999999</v>
      </c>
      <c r="H49" s="2">
        <v>625.75199999999995</v>
      </c>
      <c r="I49" s="1">
        <v>3.0508799999999998</v>
      </c>
      <c r="J49" s="2">
        <v>611.46100000000001</v>
      </c>
      <c r="K49" s="1">
        <v>0.38938099999999998</v>
      </c>
      <c r="N49" s="3">
        <f t="shared" si="15"/>
        <v>672.96199999999999</v>
      </c>
      <c r="O49" s="21">
        <f t="shared" si="16"/>
        <v>74298.2</v>
      </c>
      <c r="P49" s="3">
        <f t="shared" si="17"/>
        <v>584.96799999999996</v>
      </c>
      <c r="Q49" s="17">
        <f t="shared" si="18"/>
        <v>-1.6090299999999997E-4</v>
      </c>
      <c r="R49" s="3">
        <f t="shared" si="19"/>
        <v>625.75199999999995</v>
      </c>
      <c r="S49" s="24">
        <f t="shared" si="20"/>
        <v>3.0508799999999998</v>
      </c>
      <c r="T49" s="3">
        <f t="shared" si="21"/>
        <v>611.46100000000001</v>
      </c>
      <c r="U49" s="51">
        <f t="shared" si="22"/>
        <v>0.38938099999999998</v>
      </c>
      <c r="V49" s="42">
        <f>((AVERAGE(O47,O48)*(Q50)^2)/AVERAGE(S48,S49))*T49</f>
        <v>0.40157385338261165</v>
      </c>
      <c r="W49" s="49">
        <f t="shared" si="14"/>
        <v>-3.1313426650534229E-2</v>
      </c>
    </row>
    <row r="50" spans="2:23" x14ac:dyDescent="0.6">
      <c r="B50" s="2">
        <v>715.94</v>
      </c>
      <c r="C50" s="1">
        <v>72283.100000000006</v>
      </c>
      <c r="D50" s="2"/>
      <c r="E50" s="1"/>
      <c r="F50" s="2">
        <v>613.404</v>
      </c>
      <c r="G50" s="1">
        <v>-161.048</v>
      </c>
      <c r="H50" s="2">
        <v>667.54300000000001</v>
      </c>
      <c r="I50" s="1">
        <v>3.0893899999999999</v>
      </c>
      <c r="J50" s="2">
        <v>643.82000000000005</v>
      </c>
      <c r="K50" s="1">
        <v>0.42182900000000001</v>
      </c>
      <c r="N50" s="3">
        <f t="shared" si="15"/>
        <v>715.94</v>
      </c>
      <c r="O50" s="21">
        <f t="shared" si="16"/>
        <v>72283.100000000006</v>
      </c>
      <c r="P50" s="3">
        <f t="shared" si="17"/>
        <v>613.404</v>
      </c>
      <c r="Q50" s="17">
        <f t="shared" si="18"/>
        <v>-1.6104800000000001E-4</v>
      </c>
      <c r="R50" s="3">
        <f t="shared" si="19"/>
        <v>667.54300000000001</v>
      </c>
      <c r="S50" s="24">
        <f t="shared" si="20"/>
        <v>3.0893899999999999</v>
      </c>
      <c r="T50" s="3">
        <f t="shared" si="21"/>
        <v>643.82000000000005</v>
      </c>
      <c r="U50" s="51">
        <f t="shared" si="22"/>
        <v>0.42182900000000001</v>
      </c>
      <c r="V50" s="42">
        <f>((O48*(Q51)^2)/AVERAGE(S49,S50))*T50</f>
        <v>0.47212426306208127</v>
      </c>
      <c r="W50" s="49">
        <f t="shared" si="14"/>
        <v>-0.11923140197113348</v>
      </c>
    </row>
    <row r="51" spans="2:23" x14ac:dyDescent="0.6">
      <c r="B51" s="2">
        <v>754.60199999999998</v>
      </c>
      <c r="C51" s="1">
        <v>72498.7</v>
      </c>
      <c r="D51" s="2"/>
      <c r="E51" s="1"/>
      <c r="F51" s="2">
        <v>638.98599999999999</v>
      </c>
      <c r="G51" s="1">
        <v>-170.36199999999999</v>
      </c>
      <c r="H51" s="2">
        <v>702.61099999999999</v>
      </c>
      <c r="I51" s="1">
        <v>3.0257299999999998</v>
      </c>
      <c r="J51" s="2">
        <v>680.22500000000002</v>
      </c>
      <c r="K51" s="1">
        <v>0.47787600000000002</v>
      </c>
      <c r="N51" s="3">
        <f t="shared" si="15"/>
        <v>754.60199999999998</v>
      </c>
      <c r="O51" s="21">
        <f t="shared" si="16"/>
        <v>72498.7</v>
      </c>
      <c r="P51" s="3">
        <f t="shared" si="17"/>
        <v>638.98599999999999</v>
      </c>
      <c r="Q51" s="17">
        <f t="shared" si="18"/>
        <v>-1.7036199999999999E-4</v>
      </c>
      <c r="R51" s="3">
        <f t="shared" si="19"/>
        <v>702.61099999999999</v>
      </c>
      <c r="S51" s="24">
        <f t="shared" si="20"/>
        <v>3.0257299999999998</v>
      </c>
      <c r="T51" s="3">
        <f t="shared" si="21"/>
        <v>680.22500000000002</v>
      </c>
      <c r="U51" s="51">
        <f t="shared" si="22"/>
        <v>0.47787600000000002</v>
      </c>
      <c r="V51" s="42">
        <f>((O49*(AVERAGE(Q52,Q53))^2)/AVERAGE(S50,S51))*T51</f>
        <v>0.49842287488649095</v>
      </c>
      <c r="W51" s="49">
        <f t="shared" si="14"/>
        <v>-4.2996247743119401E-2</v>
      </c>
    </row>
    <row r="52" spans="2:23" x14ac:dyDescent="0.6">
      <c r="B52" s="2">
        <v>789.00800000000004</v>
      </c>
      <c r="C52" s="1">
        <v>68347.600000000006</v>
      </c>
      <c r="D52" s="2"/>
      <c r="E52" s="1"/>
      <c r="F52" s="2">
        <v>668.84400000000005</v>
      </c>
      <c r="G52" s="1">
        <v>-170.51499999999999</v>
      </c>
      <c r="H52" s="2">
        <v>743.053</v>
      </c>
      <c r="I52" s="1">
        <v>3.0640900000000002</v>
      </c>
      <c r="J52" s="2">
        <v>709.88800000000003</v>
      </c>
      <c r="K52" s="1">
        <v>0.50737500000000002</v>
      </c>
      <c r="N52" s="3">
        <f t="shared" si="15"/>
        <v>789.00800000000004</v>
      </c>
      <c r="O52" s="21">
        <f t="shared" si="16"/>
        <v>68347.600000000006</v>
      </c>
      <c r="P52" s="3">
        <f t="shared" si="17"/>
        <v>668.84400000000005</v>
      </c>
      <c r="Q52" s="17">
        <f t="shared" si="18"/>
        <v>-1.7051499999999999E-4</v>
      </c>
      <c r="R52" s="3">
        <f t="shared" si="19"/>
        <v>743.053</v>
      </c>
      <c r="S52" s="24">
        <f t="shared" si="20"/>
        <v>3.0640900000000002</v>
      </c>
      <c r="T52" s="3">
        <f t="shared" si="21"/>
        <v>709.88800000000003</v>
      </c>
      <c r="U52" s="51">
        <f t="shared" si="22"/>
        <v>0.50737500000000002</v>
      </c>
      <c r="V52" s="42">
        <f>((O50*(Q53)^2)/S51)*T52</f>
        <v>0.52999591139506397</v>
      </c>
      <c r="W52" s="49">
        <f t="shared" si="14"/>
        <v>-4.4584205755238131E-2</v>
      </c>
    </row>
    <row r="53" spans="2:23" x14ac:dyDescent="0.6">
      <c r="B53" s="2">
        <v>827.68</v>
      </c>
      <c r="C53" s="1">
        <v>67503.7</v>
      </c>
      <c r="D53" s="2"/>
      <c r="E53" s="1"/>
      <c r="F53" s="2">
        <v>697.27300000000002</v>
      </c>
      <c r="G53" s="1">
        <v>-176.78200000000001</v>
      </c>
      <c r="H53" s="2">
        <v>780.80499999999995</v>
      </c>
      <c r="I53" s="1">
        <v>3.0683500000000001</v>
      </c>
      <c r="J53" s="2">
        <v>739.55100000000004</v>
      </c>
      <c r="K53" s="1">
        <v>0.55457199999999995</v>
      </c>
      <c r="N53" s="3">
        <f t="shared" si="15"/>
        <v>827.68</v>
      </c>
      <c r="O53" s="21">
        <f t="shared" si="16"/>
        <v>67503.7</v>
      </c>
      <c r="P53" s="3">
        <f t="shared" si="17"/>
        <v>697.27300000000002</v>
      </c>
      <c r="Q53" s="17">
        <f t="shared" si="18"/>
        <v>-1.76782E-4</v>
      </c>
      <c r="R53" s="3">
        <f t="shared" si="19"/>
        <v>780.80499999999995</v>
      </c>
      <c r="S53" s="24">
        <f t="shared" si="20"/>
        <v>3.0683500000000001</v>
      </c>
      <c r="T53" s="3">
        <f t="shared" si="21"/>
        <v>739.55100000000004</v>
      </c>
      <c r="U53" s="51">
        <f t="shared" si="22"/>
        <v>0.55457199999999995</v>
      </c>
      <c r="V53" s="42">
        <f>((AVERAGE(O50,O51)*(Q54)^2)/S52)*T53</f>
        <v>0.58539915617429228</v>
      </c>
      <c r="W53" s="49">
        <f t="shared" si="14"/>
        <v>-5.5587292857000224E-2</v>
      </c>
    </row>
    <row r="54" spans="2:23" x14ac:dyDescent="0.6">
      <c r="B54" s="2">
        <v>857.75</v>
      </c>
      <c r="C54" s="1">
        <v>67660.2</v>
      </c>
      <c r="D54" s="2"/>
      <c r="E54" s="1"/>
      <c r="F54" s="2">
        <v>724.28099999999995</v>
      </c>
      <c r="G54" s="1">
        <v>-183.042</v>
      </c>
      <c r="H54" s="2">
        <v>815.86699999999996</v>
      </c>
      <c r="I54" s="1">
        <v>3.0384899999999999</v>
      </c>
      <c r="J54" s="2">
        <v>770.56200000000001</v>
      </c>
      <c r="K54" s="1">
        <v>0.60177000000000003</v>
      </c>
      <c r="N54" s="3">
        <f t="shared" si="15"/>
        <v>857.75</v>
      </c>
      <c r="O54" s="21">
        <f t="shared" si="16"/>
        <v>67660.2</v>
      </c>
      <c r="P54" s="3">
        <f t="shared" si="17"/>
        <v>724.28099999999995</v>
      </c>
      <c r="Q54" s="17">
        <f t="shared" si="18"/>
        <v>-1.8304199999999999E-4</v>
      </c>
      <c r="R54" s="3">
        <f t="shared" si="19"/>
        <v>815.86699999999996</v>
      </c>
      <c r="S54" s="24">
        <f t="shared" si="20"/>
        <v>3.0384899999999999</v>
      </c>
      <c r="T54" s="3">
        <f t="shared" si="21"/>
        <v>770.56200000000001</v>
      </c>
      <c r="U54" s="51">
        <f t="shared" si="22"/>
        <v>0.60177000000000003</v>
      </c>
      <c r="V54" s="42">
        <f>((AVERAGE(O51,O52)*(Q55)^2)/S53)*T54</f>
        <v>0.57404313383936667</v>
      </c>
      <c r="W54" s="49">
        <f t="shared" si="14"/>
        <v>4.6075520814652368E-2</v>
      </c>
    </row>
    <row r="55" spans="2:23" x14ac:dyDescent="0.6">
      <c r="B55" s="2">
        <v>883.51400000000001</v>
      </c>
      <c r="C55" s="1">
        <v>68846.899999999994</v>
      </c>
      <c r="D55" s="2"/>
      <c r="E55" s="1"/>
      <c r="F55" s="2">
        <v>759.82899999999995</v>
      </c>
      <c r="G55" s="1">
        <v>-180.16200000000001</v>
      </c>
      <c r="H55" s="2">
        <v>852.24599999999998</v>
      </c>
      <c r="I55" s="1">
        <v>3.17781</v>
      </c>
      <c r="J55" s="2">
        <v>801.57299999999998</v>
      </c>
      <c r="K55" s="1">
        <v>0.65191699999999997</v>
      </c>
      <c r="N55" s="3">
        <f t="shared" si="15"/>
        <v>883.51400000000001</v>
      </c>
      <c r="O55" s="21">
        <f t="shared" si="16"/>
        <v>68846.899999999994</v>
      </c>
      <c r="P55" s="3">
        <f t="shared" si="17"/>
        <v>759.82899999999995</v>
      </c>
      <c r="Q55" s="17">
        <f t="shared" si="18"/>
        <v>-1.8016199999999999E-4</v>
      </c>
      <c r="R55" s="3">
        <f t="shared" si="19"/>
        <v>852.24599999999998</v>
      </c>
      <c r="S55" s="24">
        <f t="shared" si="20"/>
        <v>3.17781</v>
      </c>
      <c r="T55" s="3">
        <f t="shared" si="21"/>
        <v>801.57299999999998</v>
      </c>
      <c r="U55" s="51">
        <f t="shared" si="22"/>
        <v>0.65191699999999997</v>
      </c>
      <c r="V55" s="42">
        <f>((AVERAGE(O52,O53)*(Q56)^2)/AVERAGE(S53,S54))*T55</f>
        <v>0.66153451678080655</v>
      </c>
      <c r="W55" s="49">
        <f t="shared" si="14"/>
        <v>-1.4752670632621298E-2</v>
      </c>
    </row>
    <row r="56" spans="2:23" x14ac:dyDescent="0.6">
      <c r="B56" s="2"/>
      <c r="C56" s="1"/>
      <c r="D56" s="2"/>
      <c r="E56" s="1"/>
      <c r="F56" s="2">
        <v>799.625</v>
      </c>
      <c r="G56" s="1">
        <v>-192.61099999999999</v>
      </c>
      <c r="H56" s="2"/>
      <c r="I56" s="1"/>
      <c r="J56" s="2">
        <v>823.14599999999996</v>
      </c>
      <c r="K56" s="1">
        <v>0.69026500000000002</v>
      </c>
      <c r="N56" s="3"/>
      <c r="O56" s="21"/>
      <c r="P56" s="3">
        <f t="shared" si="17"/>
        <v>799.625</v>
      </c>
      <c r="Q56" s="17">
        <f t="shared" si="18"/>
        <v>-1.9261099999999998E-4</v>
      </c>
      <c r="R56" s="3"/>
      <c r="S56" s="24"/>
      <c r="T56" s="3">
        <f t="shared" si="21"/>
        <v>823.14599999999996</v>
      </c>
      <c r="U56" s="51">
        <f t="shared" si="22"/>
        <v>0.69026500000000002</v>
      </c>
      <c r="V56" s="42">
        <f>((O53*(AVERAGE(Q56,Q57))^2)/AVERAGE(S54,S55))*T56</f>
        <v>0.65349788187075597</v>
      </c>
      <c r="W56" s="49">
        <f t="shared" si="14"/>
        <v>5.3265221515278981E-2</v>
      </c>
    </row>
    <row r="57" spans="2:23" x14ac:dyDescent="0.6">
      <c r="B57" s="28"/>
      <c r="C57" s="29"/>
      <c r="D57" s="28"/>
      <c r="E57" s="29"/>
      <c r="F57" s="28">
        <v>843.70399999999995</v>
      </c>
      <c r="G57" s="29">
        <v>-189.774</v>
      </c>
      <c r="H57" s="28"/>
      <c r="I57" s="29"/>
      <c r="J57" s="28">
        <v>855.50599999999997</v>
      </c>
      <c r="K57" s="29">
        <v>0.73746299999999998</v>
      </c>
      <c r="N57" s="32"/>
      <c r="O57" s="33"/>
      <c r="P57" s="32">
        <f t="shared" si="17"/>
        <v>843.70399999999995</v>
      </c>
      <c r="Q57" s="34">
        <f t="shared" si="18"/>
        <v>-1.89774E-4</v>
      </c>
      <c r="R57" s="32"/>
      <c r="S57" s="35"/>
      <c r="T57" s="32">
        <f t="shared" si="21"/>
        <v>855.50599999999997</v>
      </c>
      <c r="U57" s="52">
        <f t="shared" si="22"/>
        <v>0.73746299999999998</v>
      </c>
      <c r="V57" s="42">
        <f>((O54*(Q57)^2)/S55)*T57</f>
        <v>0.65599696917535222</v>
      </c>
      <c r="W57" s="49">
        <f t="shared" si="14"/>
        <v>0.11046795679871094</v>
      </c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W6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42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309.98502246629999</v>
      </c>
      <c r="C9" s="4">
        <v>14.8170631665299</v>
      </c>
      <c r="D9" s="3"/>
      <c r="E9" s="4"/>
      <c r="F9" s="3">
        <v>310.301507537688</v>
      </c>
      <c r="G9" s="4">
        <v>-128.470588235294</v>
      </c>
      <c r="H9" s="3">
        <v>310.13346515076603</v>
      </c>
      <c r="I9" s="4">
        <v>4.8207136640556998</v>
      </c>
      <c r="J9" s="3">
        <v>310.39089559623898</v>
      </c>
      <c r="K9" s="4">
        <v>0.15786113328012699</v>
      </c>
      <c r="N9" s="3">
        <f>B9</f>
        <v>309.98502246629999</v>
      </c>
      <c r="O9" s="21">
        <f>C9*(10^(4))</f>
        <v>148170.63166529901</v>
      </c>
      <c r="P9" s="3">
        <f>F9</f>
        <v>310.301507537688</v>
      </c>
      <c r="Q9" s="17">
        <f>G9*(10^(-6))</f>
        <v>-1.2847058823529399E-4</v>
      </c>
      <c r="R9" s="3">
        <f>H9</f>
        <v>310.13346515076603</v>
      </c>
      <c r="S9" s="24">
        <f>I9</f>
        <v>4.8207136640556998</v>
      </c>
      <c r="T9" s="3">
        <f>J9</f>
        <v>310.39089559623898</v>
      </c>
      <c r="U9" s="51">
        <f>K9</f>
        <v>0.15786113328012699</v>
      </c>
      <c r="V9" s="42">
        <f>((O9*(Q9)^2)/S9)*T9</f>
        <v>0.15745889348789746</v>
      </c>
      <c r="W9" s="49">
        <f t="shared" ref="W9" si="0">(U9-V9)/U9</f>
        <v>2.5480609689767651E-3</v>
      </c>
    </row>
    <row r="10" spans="1:23" x14ac:dyDescent="0.6">
      <c r="B10" s="3">
        <v>340.18971542685898</v>
      </c>
      <c r="C10" s="4">
        <v>14.3740771123872</v>
      </c>
      <c r="D10" s="3"/>
      <c r="E10" s="4"/>
      <c r="F10" s="3">
        <v>340.45226130653202</v>
      </c>
      <c r="G10" s="4">
        <v>-134.82352941176401</v>
      </c>
      <c r="H10" s="3">
        <v>340.039545229856</v>
      </c>
      <c r="I10" s="4">
        <v>4.6536118363794596</v>
      </c>
      <c r="J10" s="3">
        <v>340.326571004453</v>
      </c>
      <c r="K10" s="4">
        <v>0.190422984836392</v>
      </c>
      <c r="N10" s="3">
        <f t="shared" ref="N10:N26" si="1">B10</f>
        <v>340.18971542685898</v>
      </c>
      <c r="O10" s="21">
        <f t="shared" ref="O10:O26" si="2">C10*(10^(4))</f>
        <v>143740.77112387199</v>
      </c>
      <c r="P10" s="3">
        <f t="shared" ref="P10:P26" si="3">F10</f>
        <v>340.45226130653202</v>
      </c>
      <c r="Q10" s="17">
        <f t="shared" ref="Q10:Q26" si="4">G10*(10^(-6))</f>
        <v>-1.34823529411764E-4</v>
      </c>
      <c r="R10" s="3">
        <f t="shared" ref="R10:U26" si="5">H10</f>
        <v>340.039545229856</v>
      </c>
      <c r="S10" s="24">
        <f t="shared" si="5"/>
        <v>4.6536118363794596</v>
      </c>
      <c r="T10" s="3">
        <f t="shared" si="5"/>
        <v>340.326571004453</v>
      </c>
      <c r="U10" s="51">
        <f t="shared" si="5"/>
        <v>0.190422984836392</v>
      </c>
      <c r="V10" s="42">
        <f t="shared" ref="V10:V25" si="6">((O10*(Q10)^2)/S10)*T10</f>
        <v>0.19108080259244359</v>
      </c>
      <c r="W10" s="49">
        <f t="shared" ref="W10:W26" si="7">(U10-V10)/U10</f>
        <v>-3.454508165685842E-3</v>
      </c>
    </row>
    <row r="11" spans="1:23" x14ac:dyDescent="0.6">
      <c r="B11" s="2">
        <v>370.14478282576101</v>
      </c>
      <c r="C11" s="1">
        <v>13.9721082854799</v>
      </c>
      <c r="D11" s="2"/>
      <c r="E11" s="1"/>
      <c r="F11" s="2">
        <v>370.100502512562</v>
      </c>
      <c r="G11" s="1">
        <v>-140.70588235294099</v>
      </c>
      <c r="H11" s="2">
        <v>369.945625308947</v>
      </c>
      <c r="I11" s="1">
        <v>4.4830287206266304</v>
      </c>
      <c r="J11" s="2">
        <v>370.262246412666</v>
      </c>
      <c r="K11" s="1">
        <v>0.22809257781324799</v>
      </c>
      <c r="N11" s="3">
        <f t="shared" si="1"/>
        <v>370.14478282576101</v>
      </c>
      <c r="O11" s="21">
        <f t="shared" si="2"/>
        <v>139721.08285479899</v>
      </c>
      <c r="P11" s="3">
        <f t="shared" si="3"/>
        <v>370.100502512562</v>
      </c>
      <c r="Q11" s="17">
        <f t="shared" si="4"/>
        <v>-1.4070588235294099E-4</v>
      </c>
      <c r="R11" s="3">
        <f t="shared" si="5"/>
        <v>369.945625308947</v>
      </c>
      <c r="S11" s="24">
        <f t="shared" si="5"/>
        <v>4.4830287206266304</v>
      </c>
      <c r="T11" s="3">
        <f t="shared" si="5"/>
        <v>370.262246412666</v>
      </c>
      <c r="U11" s="51">
        <f t="shared" si="5"/>
        <v>0.22809257781324799</v>
      </c>
      <c r="V11" s="42">
        <f t="shared" si="6"/>
        <v>0.22846746409121044</v>
      </c>
      <c r="W11" s="49">
        <f t="shared" si="7"/>
        <v>-1.6435707007940858E-3</v>
      </c>
    </row>
    <row r="12" spans="1:23" x14ac:dyDescent="0.6">
      <c r="B12" s="2">
        <v>400.34947578632</v>
      </c>
      <c r="C12" s="1">
        <v>13.586546349466699</v>
      </c>
      <c r="D12" s="2"/>
      <c r="E12" s="1"/>
      <c r="F12" s="2">
        <v>400.251256281407</v>
      </c>
      <c r="G12" s="1">
        <v>-146.470588235294</v>
      </c>
      <c r="H12" s="2">
        <v>400.09886307464097</v>
      </c>
      <c r="I12" s="1">
        <v>4.3402959094865103</v>
      </c>
      <c r="J12" s="2">
        <v>400.19792182088003</v>
      </c>
      <c r="K12" s="1">
        <v>0.27150837988826798</v>
      </c>
      <c r="N12" s="3">
        <f t="shared" si="1"/>
        <v>400.34947578632</v>
      </c>
      <c r="O12" s="21">
        <f t="shared" si="2"/>
        <v>135865.463494667</v>
      </c>
      <c r="P12" s="3">
        <f t="shared" si="3"/>
        <v>400.251256281407</v>
      </c>
      <c r="Q12" s="17">
        <f t="shared" si="4"/>
        <v>-1.46470588235294E-4</v>
      </c>
      <c r="R12" s="3">
        <f t="shared" si="5"/>
        <v>400.09886307464097</v>
      </c>
      <c r="S12" s="24">
        <f t="shared" si="5"/>
        <v>4.3402959094865103</v>
      </c>
      <c r="T12" s="3">
        <f t="shared" si="5"/>
        <v>400.19792182088003</v>
      </c>
      <c r="U12" s="51">
        <f t="shared" si="5"/>
        <v>0.27150837988826798</v>
      </c>
      <c r="V12" s="42">
        <f t="shared" si="6"/>
        <v>0.26876048470444008</v>
      </c>
      <c r="W12" s="49">
        <f t="shared" si="7"/>
        <v>1.0120848516567778E-2</v>
      </c>
    </row>
    <row r="13" spans="1:23" x14ac:dyDescent="0.6">
      <c r="B13" s="2">
        <v>430.05491762356399</v>
      </c>
      <c r="C13" s="1">
        <v>13.2173913043478</v>
      </c>
      <c r="D13" s="2"/>
      <c r="E13" s="1"/>
      <c r="F13" s="2">
        <v>430.15075376884403</v>
      </c>
      <c r="G13" s="1">
        <v>-151.99999999999901</v>
      </c>
      <c r="H13" s="2">
        <v>430.25210084033603</v>
      </c>
      <c r="I13" s="1">
        <v>4.2184508268059098</v>
      </c>
      <c r="J13" s="2">
        <v>430.13359722909399</v>
      </c>
      <c r="K13" s="1">
        <v>0.314285714285714</v>
      </c>
      <c r="N13" s="3">
        <f t="shared" si="1"/>
        <v>430.05491762356399</v>
      </c>
      <c r="O13" s="21">
        <f t="shared" si="2"/>
        <v>132173.91304347801</v>
      </c>
      <c r="P13" s="3">
        <f t="shared" si="3"/>
        <v>430.15075376884403</v>
      </c>
      <c r="Q13" s="17">
        <f t="shared" si="4"/>
        <v>-1.5199999999999901E-4</v>
      </c>
      <c r="R13" s="3">
        <f t="shared" si="5"/>
        <v>430.25210084033603</v>
      </c>
      <c r="S13" s="24">
        <f t="shared" si="5"/>
        <v>4.2184508268059098</v>
      </c>
      <c r="T13" s="3">
        <f t="shared" si="5"/>
        <v>430.13359722909399</v>
      </c>
      <c r="U13" s="51">
        <f t="shared" si="5"/>
        <v>0.314285714285714</v>
      </c>
      <c r="V13" s="42">
        <f t="shared" si="6"/>
        <v>0.31137468310882688</v>
      </c>
      <c r="W13" s="49">
        <f t="shared" si="7"/>
        <v>9.2623719264590398E-3</v>
      </c>
    </row>
    <row r="14" spans="1:23" x14ac:dyDescent="0.6">
      <c r="B14" s="2">
        <v>460.00998502246603</v>
      </c>
      <c r="C14" s="1">
        <v>12.872846595570101</v>
      </c>
      <c r="D14" s="2"/>
      <c r="E14" s="1"/>
      <c r="F14" s="2">
        <v>460.301507537688</v>
      </c>
      <c r="G14" s="1">
        <v>-157.41176470588201</v>
      </c>
      <c r="H14" s="2">
        <v>460.158180919426</v>
      </c>
      <c r="I14" s="1">
        <v>4.1035683202784998</v>
      </c>
      <c r="J14" s="2">
        <v>460.31667491340897</v>
      </c>
      <c r="K14" s="1">
        <v>0.361532322426177</v>
      </c>
      <c r="N14" s="3">
        <f t="shared" si="1"/>
        <v>460.00998502246603</v>
      </c>
      <c r="O14" s="21">
        <f t="shared" si="2"/>
        <v>128728.465955701</v>
      </c>
      <c r="P14" s="3">
        <f t="shared" si="3"/>
        <v>460.301507537688</v>
      </c>
      <c r="Q14" s="17">
        <f t="shared" si="4"/>
        <v>-1.5741176470588199E-4</v>
      </c>
      <c r="R14" s="3">
        <f t="shared" si="5"/>
        <v>460.158180919426</v>
      </c>
      <c r="S14" s="24">
        <f t="shared" si="5"/>
        <v>4.1035683202784998</v>
      </c>
      <c r="T14" s="3">
        <f t="shared" si="5"/>
        <v>460.31667491340897</v>
      </c>
      <c r="U14" s="51">
        <f t="shared" si="5"/>
        <v>0.361532322426177</v>
      </c>
      <c r="V14" s="42">
        <f t="shared" si="6"/>
        <v>0.35780302532676905</v>
      </c>
      <c r="W14" s="49">
        <f t="shared" si="7"/>
        <v>1.0315252241850242E-2</v>
      </c>
    </row>
    <row r="15" spans="1:23" x14ac:dyDescent="0.6">
      <c r="B15" s="2">
        <v>490.21467798302501</v>
      </c>
      <c r="C15" s="1">
        <v>12.5365053322395</v>
      </c>
      <c r="D15" s="2"/>
      <c r="E15" s="1"/>
      <c r="F15" s="2">
        <v>490.20100502512503</v>
      </c>
      <c r="G15" s="1">
        <v>-162.588235294117</v>
      </c>
      <c r="H15" s="2">
        <v>490.064260998517</v>
      </c>
      <c r="I15" s="1">
        <v>3.9991296779808501</v>
      </c>
      <c r="J15" s="2">
        <v>490.252350321623</v>
      </c>
      <c r="K15" s="1">
        <v>0.40877893056664</v>
      </c>
      <c r="N15" s="3">
        <f t="shared" si="1"/>
        <v>490.21467798302501</v>
      </c>
      <c r="O15" s="21">
        <f t="shared" si="2"/>
        <v>125365.053322395</v>
      </c>
      <c r="P15" s="3">
        <f t="shared" si="3"/>
        <v>490.20100502512503</v>
      </c>
      <c r="Q15" s="17">
        <f t="shared" si="4"/>
        <v>-1.62588235294117E-4</v>
      </c>
      <c r="R15" s="3">
        <f t="shared" si="5"/>
        <v>490.064260998517</v>
      </c>
      <c r="S15" s="24">
        <f t="shared" si="5"/>
        <v>3.9991296779808501</v>
      </c>
      <c r="T15" s="3">
        <f t="shared" si="5"/>
        <v>490.252350321623</v>
      </c>
      <c r="U15" s="51">
        <f t="shared" si="5"/>
        <v>0.40877893056664</v>
      </c>
      <c r="V15" s="42">
        <f t="shared" si="6"/>
        <v>0.40626454402148093</v>
      </c>
      <c r="W15" s="49">
        <f t="shared" si="7"/>
        <v>6.150969037649957E-3</v>
      </c>
    </row>
    <row r="16" spans="1:23" x14ac:dyDescent="0.6">
      <c r="B16" s="2">
        <v>520.16974538192699</v>
      </c>
      <c r="C16" s="1">
        <v>12.2329778506972</v>
      </c>
      <c r="D16" s="2"/>
      <c r="E16" s="1"/>
      <c r="F16" s="2">
        <v>520.100502512562</v>
      </c>
      <c r="G16" s="1">
        <v>-167.529411764705</v>
      </c>
      <c r="H16" s="2">
        <v>520.21749876421097</v>
      </c>
      <c r="I16" s="1">
        <v>3.91906005221932</v>
      </c>
      <c r="J16" s="2">
        <v>520.188025729836</v>
      </c>
      <c r="K16" s="1">
        <v>0.45730247406225</v>
      </c>
      <c r="N16" s="3">
        <f t="shared" si="1"/>
        <v>520.16974538192699</v>
      </c>
      <c r="O16" s="21">
        <f t="shared" si="2"/>
        <v>122329.778506972</v>
      </c>
      <c r="P16" s="3">
        <f t="shared" si="3"/>
        <v>520.100502512562</v>
      </c>
      <c r="Q16" s="17">
        <f t="shared" si="4"/>
        <v>-1.6752941176470499E-4</v>
      </c>
      <c r="R16" s="3">
        <f t="shared" si="5"/>
        <v>520.21749876421097</v>
      </c>
      <c r="S16" s="24">
        <f t="shared" si="5"/>
        <v>3.91906005221932</v>
      </c>
      <c r="T16" s="3">
        <f t="shared" si="5"/>
        <v>520.188025729836</v>
      </c>
      <c r="U16" s="51">
        <f t="shared" si="5"/>
        <v>0.45730247406225</v>
      </c>
      <c r="V16" s="42">
        <f t="shared" si="6"/>
        <v>0.45571439709500056</v>
      </c>
      <c r="W16" s="49">
        <f t="shared" si="7"/>
        <v>3.4727058289067228E-3</v>
      </c>
    </row>
    <row r="17" spans="2:23" x14ac:dyDescent="0.6">
      <c r="B17" s="2">
        <v>550.12481278082805</v>
      </c>
      <c r="C17" s="1">
        <v>11.929450369154999</v>
      </c>
      <c r="D17" s="2"/>
      <c r="E17" s="1"/>
      <c r="F17" s="2">
        <v>550.251256281407</v>
      </c>
      <c r="G17" s="1">
        <v>-172.23529411764699</v>
      </c>
      <c r="H17" s="2">
        <v>550.12357884330197</v>
      </c>
      <c r="I17" s="1">
        <v>3.8424717145343701</v>
      </c>
      <c r="J17" s="2">
        <v>550.37110341415098</v>
      </c>
      <c r="K17" s="1">
        <v>0.509656823623304</v>
      </c>
      <c r="N17" s="3">
        <f t="shared" si="1"/>
        <v>550.12481278082805</v>
      </c>
      <c r="O17" s="21">
        <f t="shared" si="2"/>
        <v>119294.50369154999</v>
      </c>
      <c r="P17" s="3">
        <f t="shared" si="3"/>
        <v>550.251256281407</v>
      </c>
      <c r="Q17" s="17">
        <f t="shared" si="4"/>
        <v>-1.7223529411764698E-4</v>
      </c>
      <c r="R17" s="3">
        <f t="shared" si="5"/>
        <v>550.12357884330197</v>
      </c>
      <c r="S17" s="24">
        <f t="shared" si="5"/>
        <v>3.8424717145343701</v>
      </c>
      <c r="T17" s="3">
        <f t="shared" si="5"/>
        <v>550.37110341415098</v>
      </c>
      <c r="U17" s="51">
        <f t="shared" si="5"/>
        <v>0.509656823623304</v>
      </c>
      <c r="V17" s="42">
        <f t="shared" si="6"/>
        <v>0.50688528202614502</v>
      </c>
      <c r="W17" s="49">
        <f t="shared" si="7"/>
        <v>5.4380545274666445E-3</v>
      </c>
    </row>
    <row r="18" spans="2:23" x14ac:dyDescent="0.6">
      <c r="B18" s="2">
        <v>580.07988017973003</v>
      </c>
      <c r="C18" s="1">
        <v>11.6423297785069</v>
      </c>
      <c r="D18" s="2"/>
      <c r="E18" s="1"/>
      <c r="F18" s="2">
        <v>580.15075376884397</v>
      </c>
      <c r="G18" s="1">
        <v>-176.70588235294099</v>
      </c>
      <c r="H18" s="2">
        <v>580.02965892239195</v>
      </c>
      <c r="I18" s="1">
        <v>3.76588337684943</v>
      </c>
      <c r="J18" s="2">
        <v>580.306778822365</v>
      </c>
      <c r="K18" s="1">
        <v>0.56328810853950495</v>
      </c>
      <c r="N18" s="3">
        <f t="shared" si="1"/>
        <v>580.07988017973003</v>
      </c>
      <c r="O18" s="21">
        <f t="shared" si="2"/>
        <v>116423.29778506899</v>
      </c>
      <c r="P18" s="3">
        <f t="shared" si="3"/>
        <v>580.15075376884397</v>
      </c>
      <c r="Q18" s="17">
        <f t="shared" si="4"/>
        <v>-1.7670588235294099E-4</v>
      </c>
      <c r="R18" s="3">
        <f t="shared" si="5"/>
        <v>580.02965892239195</v>
      </c>
      <c r="S18" s="24">
        <f t="shared" si="5"/>
        <v>3.76588337684943</v>
      </c>
      <c r="T18" s="3">
        <f t="shared" si="5"/>
        <v>580.306778822365</v>
      </c>
      <c r="U18" s="51">
        <f t="shared" si="5"/>
        <v>0.56328810853950495</v>
      </c>
      <c r="V18" s="42">
        <f t="shared" si="6"/>
        <v>0.56018656391103672</v>
      </c>
      <c r="W18" s="49">
        <f t="shared" si="7"/>
        <v>5.5061425608822585E-3</v>
      </c>
    </row>
    <row r="19" spans="2:23" x14ac:dyDescent="0.6">
      <c r="B19" s="2">
        <v>610.034947578632</v>
      </c>
      <c r="C19" s="1">
        <v>11.355209187858801</v>
      </c>
      <c r="D19" s="2"/>
      <c r="E19" s="1"/>
      <c r="F19" s="2">
        <v>610.05025125628094</v>
      </c>
      <c r="G19" s="1">
        <v>-181.058823529411</v>
      </c>
      <c r="H19" s="2">
        <v>609.93573900148294</v>
      </c>
      <c r="I19" s="1">
        <v>3.70670147954743</v>
      </c>
      <c r="J19" s="2">
        <v>610.24245423057801</v>
      </c>
      <c r="K19" s="1">
        <v>0.62075019952114896</v>
      </c>
      <c r="N19" s="3">
        <f t="shared" si="1"/>
        <v>610.034947578632</v>
      </c>
      <c r="O19" s="21">
        <f t="shared" si="2"/>
        <v>113552.09187858801</v>
      </c>
      <c r="P19" s="3">
        <f t="shared" si="3"/>
        <v>610.05025125628094</v>
      </c>
      <c r="Q19" s="17">
        <f t="shared" si="4"/>
        <v>-1.8105882352941098E-4</v>
      </c>
      <c r="R19" s="3">
        <f t="shared" si="5"/>
        <v>609.93573900148294</v>
      </c>
      <c r="S19" s="24">
        <f t="shared" si="5"/>
        <v>3.70670147954743</v>
      </c>
      <c r="T19" s="3">
        <f t="shared" si="5"/>
        <v>610.24245423057801</v>
      </c>
      <c r="U19" s="51">
        <f t="shared" si="5"/>
        <v>0.62075019952114896</v>
      </c>
      <c r="V19" s="42">
        <f t="shared" si="6"/>
        <v>0.61284314710324295</v>
      </c>
      <c r="W19" s="49">
        <f t="shared" si="7"/>
        <v>1.2737897505317869E-2</v>
      </c>
    </row>
    <row r="20" spans="2:23" x14ac:dyDescent="0.6">
      <c r="B20" s="2">
        <v>639.99001497753295</v>
      </c>
      <c r="C20" s="1">
        <v>11.1009023789991</v>
      </c>
      <c r="D20" s="2"/>
      <c r="E20" s="1"/>
      <c r="F20" s="2">
        <v>640.20100502512503</v>
      </c>
      <c r="G20" s="1">
        <v>-185.058823529411</v>
      </c>
      <c r="H20" s="2">
        <v>640.08897676717697</v>
      </c>
      <c r="I20" s="1">
        <v>3.6510008703220098</v>
      </c>
      <c r="J20" s="2">
        <v>640.17812963879203</v>
      </c>
      <c r="K20" s="1">
        <v>0.67821229050279297</v>
      </c>
      <c r="N20" s="3">
        <f t="shared" si="1"/>
        <v>639.99001497753295</v>
      </c>
      <c r="O20" s="21">
        <f t="shared" si="2"/>
        <v>111009.023789991</v>
      </c>
      <c r="P20" s="3">
        <f t="shared" si="3"/>
        <v>640.20100502512503</v>
      </c>
      <c r="Q20" s="17">
        <f t="shared" si="4"/>
        <v>-1.8505882352941099E-4</v>
      </c>
      <c r="R20" s="3">
        <f t="shared" si="5"/>
        <v>640.08897676717697</v>
      </c>
      <c r="S20" s="24">
        <f t="shared" si="5"/>
        <v>3.6510008703220098</v>
      </c>
      <c r="T20" s="3">
        <f t="shared" si="5"/>
        <v>640.17812963879203</v>
      </c>
      <c r="U20" s="51">
        <f t="shared" si="5"/>
        <v>0.67821229050279297</v>
      </c>
      <c r="V20" s="42">
        <f t="shared" si="6"/>
        <v>0.6666022483358095</v>
      </c>
      <c r="W20" s="49">
        <f t="shared" si="7"/>
        <v>1.7118595946375964E-2</v>
      </c>
    </row>
    <row r="21" spans="2:23" x14ac:dyDescent="0.6">
      <c r="B21" s="2">
        <v>670.19470793809205</v>
      </c>
      <c r="C21" s="1">
        <v>10.846595570139399</v>
      </c>
      <c r="D21" s="2"/>
      <c r="E21" s="1"/>
      <c r="F21" s="2">
        <v>670.100502512562</v>
      </c>
      <c r="G21" s="1">
        <v>-188.70588235294099</v>
      </c>
      <c r="H21" s="2">
        <v>669.99505684626797</v>
      </c>
      <c r="I21" s="1">
        <v>3.5918189730200099</v>
      </c>
      <c r="J21" s="2">
        <v>670.36120732310701</v>
      </c>
      <c r="K21" s="1">
        <v>0.73439744612928903</v>
      </c>
      <c r="N21" s="3">
        <f t="shared" si="1"/>
        <v>670.19470793809205</v>
      </c>
      <c r="O21" s="21">
        <f t="shared" si="2"/>
        <v>108465.95570139399</v>
      </c>
      <c r="P21" s="3">
        <f t="shared" si="3"/>
        <v>670.100502512562</v>
      </c>
      <c r="Q21" s="17">
        <f t="shared" si="4"/>
        <v>-1.8870588235294099E-4</v>
      </c>
      <c r="R21" s="3">
        <f t="shared" si="5"/>
        <v>669.99505684626797</v>
      </c>
      <c r="S21" s="24">
        <f t="shared" si="5"/>
        <v>3.5918189730200099</v>
      </c>
      <c r="T21" s="3">
        <f t="shared" si="5"/>
        <v>670.36120732310701</v>
      </c>
      <c r="U21" s="51">
        <f t="shared" si="5"/>
        <v>0.73439744612928903</v>
      </c>
      <c r="V21" s="42">
        <f t="shared" si="6"/>
        <v>0.72087299740130895</v>
      </c>
      <c r="W21" s="49">
        <f t="shared" si="7"/>
        <v>1.8415707733274358E-2</v>
      </c>
    </row>
    <row r="22" spans="2:23" x14ac:dyDescent="0.6">
      <c r="B22" s="2">
        <v>700.14977533699403</v>
      </c>
      <c r="C22" s="1">
        <v>10.625102543068</v>
      </c>
      <c r="D22" s="2"/>
      <c r="E22" s="1"/>
      <c r="F22" s="2">
        <v>700.251256281407</v>
      </c>
      <c r="G22" s="1">
        <v>-192.470588235294</v>
      </c>
      <c r="H22" s="2">
        <v>699.90113692535795</v>
      </c>
      <c r="I22" s="1">
        <v>3.55700609225413</v>
      </c>
      <c r="J22" s="2">
        <v>700.04948045521996</v>
      </c>
      <c r="K22" s="1">
        <v>0.78164405426975203</v>
      </c>
      <c r="N22" s="3">
        <f t="shared" si="1"/>
        <v>700.14977533699403</v>
      </c>
      <c r="O22" s="21">
        <f t="shared" si="2"/>
        <v>106251.02543067999</v>
      </c>
      <c r="P22" s="3">
        <f t="shared" si="3"/>
        <v>700.251256281407</v>
      </c>
      <c r="Q22" s="17">
        <f t="shared" si="4"/>
        <v>-1.92470588235294E-4</v>
      </c>
      <c r="R22" s="3">
        <f t="shared" si="5"/>
        <v>699.90113692535795</v>
      </c>
      <c r="S22" s="24">
        <f t="shared" si="5"/>
        <v>3.55700609225413</v>
      </c>
      <c r="T22" s="3">
        <f t="shared" si="5"/>
        <v>700.04948045521996</v>
      </c>
      <c r="U22" s="51">
        <f t="shared" si="5"/>
        <v>0.78164405426975203</v>
      </c>
      <c r="V22" s="42">
        <f t="shared" si="6"/>
        <v>0.77465085753091689</v>
      </c>
      <c r="W22" s="49">
        <f t="shared" si="7"/>
        <v>8.9467791645501688E-3</v>
      </c>
    </row>
    <row r="23" spans="2:23" x14ac:dyDescent="0.6">
      <c r="B23" s="2">
        <v>730.104842735896</v>
      </c>
      <c r="C23" s="1">
        <v>10.395406070549599</v>
      </c>
      <c r="D23" s="2"/>
      <c r="E23" s="1"/>
      <c r="F23" s="2">
        <v>729.89949748743697</v>
      </c>
      <c r="G23" s="1">
        <v>-195.76470588235199</v>
      </c>
      <c r="H23" s="2">
        <v>729.80721700444803</v>
      </c>
      <c r="I23" s="1">
        <v>3.5256744995648299</v>
      </c>
      <c r="J23" s="2">
        <v>729.98515586343399</v>
      </c>
      <c r="K23" s="1">
        <v>0.82442138866719805</v>
      </c>
      <c r="N23" s="3">
        <f t="shared" si="1"/>
        <v>730.104842735896</v>
      </c>
      <c r="O23" s="21">
        <f t="shared" si="2"/>
        <v>103954.060705496</v>
      </c>
      <c r="P23" s="3">
        <f t="shared" si="3"/>
        <v>729.89949748743697</v>
      </c>
      <c r="Q23" s="17">
        <f t="shared" si="4"/>
        <v>-1.9576470588235199E-4</v>
      </c>
      <c r="R23" s="3">
        <f t="shared" si="5"/>
        <v>729.80721700444803</v>
      </c>
      <c r="S23" s="24">
        <f t="shared" si="5"/>
        <v>3.5256744995648299</v>
      </c>
      <c r="T23" s="3">
        <f t="shared" si="5"/>
        <v>729.98515586343399</v>
      </c>
      <c r="U23" s="51">
        <f t="shared" si="5"/>
        <v>0.82442138866719805</v>
      </c>
      <c r="V23" s="42">
        <f t="shared" si="6"/>
        <v>0.82486345992850552</v>
      </c>
      <c r="W23" s="49">
        <f t="shared" si="7"/>
        <v>-5.3622002944651772E-4</v>
      </c>
    </row>
    <row r="24" spans="2:23" x14ac:dyDescent="0.6">
      <c r="B24" s="2">
        <v>760.05991013479695</v>
      </c>
      <c r="C24" s="1">
        <v>10.173913043478199</v>
      </c>
      <c r="D24" s="2"/>
      <c r="E24" s="1"/>
      <c r="F24" s="2">
        <v>760.30150753768805</v>
      </c>
      <c r="G24" s="1">
        <v>-198.588235294117</v>
      </c>
      <c r="H24" s="2">
        <v>759.96045477014297</v>
      </c>
      <c r="I24" s="1">
        <v>3.4908616187989501</v>
      </c>
      <c r="J24" s="2">
        <v>760.16823354774795</v>
      </c>
      <c r="K24" s="1">
        <v>0.86975259377493996</v>
      </c>
      <c r="N24" s="3">
        <f t="shared" si="1"/>
        <v>760.05991013479695</v>
      </c>
      <c r="O24" s="21">
        <f t="shared" si="2"/>
        <v>101739.130434782</v>
      </c>
      <c r="P24" s="3">
        <f t="shared" si="3"/>
        <v>760.30150753768805</v>
      </c>
      <c r="Q24" s="17">
        <f t="shared" si="4"/>
        <v>-1.9858823529411698E-4</v>
      </c>
      <c r="R24" s="3">
        <f t="shared" si="5"/>
        <v>759.96045477014297</v>
      </c>
      <c r="S24" s="24">
        <f t="shared" si="5"/>
        <v>3.4908616187989501</v>
      </c>
      <c r="T24" s="3">
        <f t="shared" si="5"/>
        <v>760.16823354774795</v>
      </c>
      <c r="U24" s="51">
        <f t="shared" si="5"/>
        <v>0.86975259377493996</v>
      </c>
      <c r="V24" s="42">
        <f t="shared" si="6"/>
        <v>0.87371972073885162</v>
      </c>
      <c r="W24" s="49">
        <f t="shared" si="7"/>
        <v>-4.5612131453306214E-3</v>
      </c>
    </row>
    <row r="25" spans="2:23" x14ac:dyDescent="0.6">
      <c r="B25" s="2">
        <v>790.26460309535605</v>
      </c>
      <c r="C25" s="1">
        <v>9.9770303527481499</v>
      </c>
      <c r="D25" s="2"/>
      <c r="E25" s="1"/>
      <c r="F25" s="2">
        <v>789.94974874371803</v>
      </c>
      <c r="G25" s="1">
        <v>-201.529411764705</v>
      </c>
      <c r="H25" s="2">
        <v>790.113692535837</v>
      </c>
      <c r="I25" s="1">
        <v>3.4734551784160099</v>
      </c>
      <c r="J25" s="2">
        <v>790.10390895596197</v>
      </c>
      <c r="K25" s="1">
        <v>0.91699920191540296</v>
      </c>
      <c r="N25" s="3">
        <f t="shared" si="1"/>
        <v>790.26460309535605</v>
      </c>
      <c r="O25" s="21">
        <f t="shared" si="2"/>
        <v>99770.303527481505</v>
      </c>
      <c r="P25" s="3">
        <f t="shared" si="3"/>
        <v>789.94974874371803</v>
      </c>
      <c r="Q25" s="17">
        <f t="shared" si="4"/>
        <v>-2.01529411764705E-4</v>
      </c>
      <c r="R25" s="3">
        <f t="shared" si="5"/>
        <v>790.113692535837</v>
      </c>
      <c r="S25" s="24">
        <f t="shared" si="5"/>
        <v>3.4734551784160099</v>
      </c>
      <c r="T25" s="3">
        <f t="shared" si="5"/>
        <v>790.10390895596197</v>
      </c>
      <c r="U25" s="51">
        <f t="shared" si="5"/>
        <v>0.91699920191540296</v>
      </c>
      <c r="V25" s="42">
        <f t="shared" si="6"/>
        <v>0.92172354035303616</v>
      </c>
      <c r="W25" s="49">
        <f t="shared" si="7"/>
        <v>-5.1519547975234139E-3</v>
      </c>
    </row>
    <row r="26" spans="2:23" x14ac:dyDescent="0.6">
      <c r="B26" s="28">
        <v>819.97004493259999</v>
      </c>
      <c r="C26" s="29">
        <v>9.7883511074651306</v>
      </c>
      <c r="D26" s="28"/>
      <c r="E26" s="29"/>
      <c r="F26" s="28">
        <v>819.84924623115501</v>
      </c>
      <c r="G26" s="29">
        <v>-204.117647058823</v>
      </c>
      <c r="H26" s="28">
        <v>819.77261492832395</v>
      </c>
      <c r="I26" s="29">
        <v>3.46649260226283</v>
      </c>
      <c r="J26" s="28">
        <v>820.03958436417599</v>
      </c>
      <c r="K26" s="29">
        <v>0.97318435754189903</v>
      </c>
      <c r="N26" s="32">
        <f t="shared" si="1"/>
        <v>819.97004493259999</v>
      </c>
      <c r="O26" s="21">
        <f t="shared" si="2"/>
        <v>97883.511074651309</v>
      </c>
      <c r="P26" s="32">
        <f t="shared" si="3"/>
        <v>819.84924623115501</v>
      </c>
      <c r="Q26" s="17">
        <f t="shared" si="4"/>
        <v>-2.04117647058823E-4</v>
      </c>
      <c r="R26" s="32">
        <f t="shared" si="5"/>
        <v>819.77261492832395</v>
      </c>
      <c r="S26" s="35">
        <f t="shared" si="5"/>
        <v>3.46649260226283</v>
      </c>
      <c r="T26" s="32">
        <f t="shared" si="5"/>
        <v>820.03958436417599</v>
      </c>
      <c r="U26" s="52">
        <f t="shared" si="5"/>
        <v>0.97318435754189903</v>
      </c>
      <c r="V26" s="42">
        <f>((O26*(Q26)^2)/S26)*T26</f>
        <v>0.96475088362449102</v>
      </c>
      <c r="W26" s="49">
        <f t="shared" si="7"/>
        <v>8.6658543697820545E-3</v>
      </c>
    </row>
    <row r="27" spans="2:23" x14ac:dyDescent="0.6">
      <c r="B27" s="30"/>
      <c r="C27" s="30"/>
      <c r="D27" s="30"/>
      <c r="E27" s="30"/>
      <c r="F27" s="30"/>
      <c r="G27" s="30"/>
      <c r="H27" s="30"/>
      <c r="I27" s="30"/>
      <c r="J27" s="30"/>
      <c r="K27" s="30"/>
      <c r="N27" s="30"/>
      <c r="O27" s="39"/>
      <c r="P27" s="30"/>
      <c r="Q27" s="40"/>
      <c r="R27" s="30"/>
      <c r="S27" s="41"/>
      <c r="T27" s="30"/>
      <c r="U27" s="41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x14ac:dyDescent="0.6">
      <c r="O34"/>
      <c r="Q34"/>
      <c r="S34"/>
      <c r="U34"/>
      <c r="V34"/>
    </row>
    <row r="35" spans="2:23" x14ac:dyDescent="0.6">
      <c r="O35"/>
      <c r="Q35"/>
      <c r="S35"/>
      <c r="U35"/>
      <c r="V35"/>
    </row>
    <row r="36" spans="2:23" x14ac:dyDescent="0.6">
      <c r="O36"/>
      <c r="Q36"/>
      <c r="S36"/>
      <c r="U36"/>
      <c r="V36"/>
    </row>
    <row r="37" spans="2:23" x14ac:dyDescent="0.6">
      <c r="O37"/>
      <c r="Q37"/>
      <c r="S37"/>
      <c r="U37"/>
      <c r="V37"/>
    </row>
    <row r="38" spans="2:23" x14ac:dyDescent="0.6">
      <c r="O38"/>
      <c r="Q38"/>
      <c r="S38"/>
      <c r="U38"/>
      <c r="V38"/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  <row r="46" spans="2:23" ht="17.25" thickBot="1" x14ac:dyDescent="0.65">
      <c r="B46" t="s">
        <v>79</v>
      </c>
      <c r="O46"/>
      <c r="Q46"/>
      <c r="S46"/>
      <c r="U46"/>
      <c r="V46"/>
    </row>
    <row r="47" spans="2:23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6</v>
      </c>
      <c r="N47" s="5" t="s">
        <v>3</v>
      </c>
      <c r="O47" s="19" t="s">
        <v>0</v>
      </c>
      <c r="P47" s="7" t="s">
        <v>3</v>
      </c>
      <c r="Q47" s="15" t="s">
        <v>1</v>
      </c>
      <c r="R47" s="7" t="s">
        <v>3</v>
      </c>
      <c r="S47" s="23" t="s">
        <v>2</v>
      </c>
      <c r="T47" s="7" t="s">
        <v>3</v>
      </c>
      <c r="U47" s="25" t="s">
        <v>6</v>
      </c>
    </row>
    <row r="48" spans="2:23" ht="17.25" thickBot="1" x14ac:dyDescent="0.65">
      <c r="B48" s="9" t="s">
        <v>4</v>
      </c>
      <c r="C48" s="10" t="s">
        <v>41</v>
      </c>
      <c r="D48" s="11" t="s">
        <v>4</v>
      </c>
      <c r="E48" s="10" t="s">
        <v>11</v>
      </c>
      <c r="F48" s="11" t="s">
        <v>4</v>
      </c>
      <c r="G48" s="27" t="s">
        <v>13</v>
      </c>
      <c r="H48" s="11" t="s">
        <v>4</v>
      </c>
      <c r="I48" s="10" t="s">
        <v>15</v>
      </c>
      <c r="J48" s="11" t="s">
        <v>4</v>
      </c>
      <c r="K48" s="12" t="s">
        <v>7</v>
      </c>
      <c r="N48" s="9" t="s">
        <v>4</v>
      </c>
      <c r="O48" s="20" t="s">
        <v>5</v>
      </c>
      <c r="P48" s="11" t="s">
        <v>4</v>
      </c>
      <c r="Q48" s="16" t="s">
        <v>14</v>
      </c>
      <c r="R48" s="11" t="s">
        <v>4</v>
      </c>
      <c r="S48" s="10" t="s">
        <v>15</v>
      </c>
      <c r="T48" s="11" t="s">
        <v>4</v>
      </c>
      <c r="U48" s="26" t="s">
        <v>7</v>
      </c>
      <c r="W48" t="s">
        <v>78</v>
      </c>
    </row>
    <row r="49" spans="2:23" x14ac:dyDescent="0.6">
      <c r="B49" s="3">
        <v>304.755</v>
      </c>
      <c r="C49" s="4">
        <v>14.8339</v>
      </c>
      <c r="D49" s="3"/>
      <c r="E49" s="4"/>
      <c r="F49" s="3">
        <v>304.07499999999999</v>
      </c>
      <c r="G49" s="4">
        <v>-128.642</v>
      </c>
      <c r="H49" s="3">
        <v>307.96199999999999</v>
      </c>
      <c r="I49" s="4">
        <v>4.8588899999999997</v>
      </c>
      <c r="J49" s="3">
        <v>309.416</v>
      </c>
      <c r="K49" s="4">
        <v>0.16034699999999999</v>
      </c>
      <c r="N49" s="3">
        <f>B49</f>
        <v>304.755</v>
      </c>
      <c r="O49" s="21">
        <f>C49*10000</f>
        <v>148339</v>
      </c>
      <c r="P49" s="3">
        <f>F49</f>
        <v>304.07499999999999</v>
      </c>
      <c r="Q49" s="17">
        <f>G49*0.000001</f>
        <v>-1.2864199999999999E-4</v>
      </c>
      <c r="R49" s="3">
        <f>H49</f>
        <v>307.96199999999999</v>
      </c>
      <c r="S49" s="24">
        <f>I49</f>
        <v>4.8588899999999997</v>
      </c>
      <c r="T49" s="3">
        <f>J49</f>
        <v>309.416</v>
      </c>
      <c r="U49" s="51">
        <f>K49</f>
        <v>0.16034699999999999</v>
      </c>
      <c r="V49" s="42">
        <f>((O49*(Q49)^2)/S49)*T49</f>
        <v>0.15632434371388479</v>
      </c>
      <c r="W49" s="49">
        <f t="shared" ref="W49:W66" si="8">(U49-V49)/U49</f>
        <v>2.5087193936370499E-2</v>
      </c>
    </row>
    <row r="50" spans="2:23" x14ac:dyDescent="0.6">
      <c r="B50" s="3">
        <v>337.767</v>
      </c>
      <c r="C50" s="4">
        <v>14.297599999999999</v>
      </c>
      <c r="D50" s="3"/>
      <c r="E50" s="4"/>
      <c r="F50" s="3">
        <v>334.37</v>
      </c>
      <c r="G50" s="4">
        <v>-135.01499999999999</v>
      </c>
      <c r="H50" s="3">
        <v>336.90800000000002</v>
      </c>
      <c r="I50" s="4">
        <v>4.6886000000000001</v>
      </c>
      <c r="J50" s="3">
        <v>339.52300000000002</v>
      </c>
      <c r="K50" s="4">
        <v>0.189031</v>
      </c>
      <c r="N50" s="3">
        <f t="shared" ref="N50:N66" si="9">B50</f>
        <v>337.767</v>
      </c>
      <c r="O50" s="21">
        <f t="shared" ref="O50:O66" si="10">C50*10000</f>
        <v>142976</v>
      </c>
      <c r="P50" s="3">
        <f t="shared" ref="P50:P66" si="11">F50</f>
        <v>334.37</v>
      </c>
      <c r="Q50" s="17">
        <f t="shared" ref="Q50:Q66" si="12">G50*0.000001</f>
        <v>-1.3501499999999997E-4</v>
      </c>
      <c r="R50" s="3">
        <f t="shared" ref="R50:R66" si="13">H50</f>
        <v>336.90800000000002</v>
      </c>
      <c r="S50" s="24">
        <f t="shared" ref="S50:S66" si="14">I50</f>
        <v>4.6886000000000001</v>
      </c>
      <c r="T50" s="3">
        <f t="shared" ref="T50:T66" si="15">J50</f>
        <v>339.52300000000002</v>
      </c>
      <c r="U50" s="51">
        <f t="shared" ref="U50:U66" si="16">K50</f>
        <v>0.189031</v>
      </c>
      <c r="V50" s="42">
        <f t="shared" ref="V50:V65" si="17">((O50*(Q50)^2)/S50)*T50</f>
        <v>0.18873532820691316</v>
      </c>
      <c r="W50" s="49">
        <f t="shared" si="8"/>
        <v>1.5641444688270366E-3</v>
      </c>
    </row>
    <row r="51" spans="2:23" x14ac:dyDescent="0.6">
      <c r="B51" s="2">
        <v>369.38600000000002</v>
      </c>
      <c r="C51" s="1">
        <v>13.985799999999999</v>
      </c>
      <c r="D51" s="2"/>
      <c r="E51" s="1"/>
      <c r="F51" s="2">
        <v>367.39600000000002</v>
      </c>
      <c r="G51" s="1">
        <v>-140.09200000000001</v>
      </c>
      <c r="H51" s="2">
        <v>364.48099999999999</v>
      </c>
      <c r="I51" s="1">
        <v>4.5181500000000003</v>
      </c>
      <c r="J51" s="2">
        <v>372.35399999999998</v>
      </c>
      <c r="K51" s="1">
        <v>0.23197000000000001</v>
      </c>
      <c r="N51" s="3">
        <f t="shared" si="9"/>
        <v>369.38600000000002</v>
      </c>
      <c r="O51" s="21">
        <f t="shared" si="10"/>
        <v>139858</v>
      </c>
      <c r="P51" s="3">
        <f t="shared" si="11"/>
        <v>367.39600000000002</v>
      </c>
      <c r="Q51" s="17">
        <f t="shared" si="12"/>
        <v>-1.40092E-4</v>
      </c>
      <c r="R51" s="3">
        <f t="shared" si="13"/>
        <v>364.48099999999999</v>
      </c>
      <c r="S51" s="24">
        <f t="shared" si="14"/>
        <v>4.5181500000000003</v>
      </c>
      <c r="T51" s="3">
        <f t="shared" si="15"/>
        <v>372.35399999999998</v>
      </c>
      <c r="U51" s="51">
        <f t="shared" si="16"/>
        <v>0.23197000000000001</v>
      </c>
      <c r="V51" s="42">
        <f t="shared" si="17"/>
        <v>0.22620873068594982</v>
      </c>
      <c r="W51" s="49">
        <f t="shared" si="8"/>
        <v>2.4836268974652704E-2</v>
      </c>
    </row>
    <row r="52" spans="2:23" x14ac:dyDescent="0.6">
      <c r="B52" s="2">
        <v>398.26299999999998</v>
      </c>
      <c r="C52" s="1">
        <v>13.6288</v>
      </c>
      <c r="D52" s="2"/>
      <c r="E52" s="1"/>
      <c r="F52" s="2">
        <v>394.928</v>
      </c>
      <c r="G52" s="1">
        <v>-145.18199999999999</v>
      </c>
      <c r="H52" s="2">
        <v>396.16199999999998</v>
      </c>
      <c r="I52" s="1">
        <v>4.36747</v>
      </c>
      <c r="J52" s="2">
        <v>398.34</v>
      </c>
      <c r="K52" s="1">
        <v>0.27130100000000001</v>
      </c>
      <c r="N52" s="3">
        <f t="shared" si="9"/>
        <v>398.26299999999998</v>
      </c>
      <c r="O52" s="21">
        <f t="shared" si="10"/>
        <v>136288</v>
      </c>
      <c r="P52" s="3">
        <f t="shared" si="11"/>
        <v>394.928</v>
      </c>
      <c r="Q52" s="17">
        <f t="shared" si="12"/>
        <v>-1.4518199999999999E-4</v>
      </c>
      <c r="R52" s="3">
        <f t="shared" si="13"/>
        <v>396.16199999999998</v>
      </c>
      <c r="S52" s="24">
        <f t="shared" si="14"/>
        <v>4.36747</v>
      </c>
      <c r="T52" s="3">
        <f t="shared" si="15"/>
        <v>398.34</v>
      </c>
      <c r="U52" s="51">
        <f t="shared" si="16"/>
        <v>0.27130100000000001</v>
      </c>
      <c r="V52" s="42">
        <f t="shared" si="17"/>
        <v>0.26200353844347229</v>
      </c>
      <c r="W52" s="49">
        <f t="shared" si="8"/>
        <v>3.4269912593494753E-2</v>
      </c>
    </row>
    <row r="53" spans="2:23" x14ac:dyDescent="0.6">
      <c r="B53" s="2">
        <v>428.512</v>
      </c>
      <c r="C53" s="1">
        <v>13.272</v>
      </c>
      <c r="D53" s="2"/>
      <c r="E53" s="1"/>
      <c r="F53" s="2">
        <v>429.33600000000001</v>
      </c>
      <c r="G53" s="1">
        <v>-150.9</v>
      </c>
      <c r="H53" s="2">
        <v>429.19499999999999</v>
      </c>
      <c r="I53" s="1">
        <v>4.2555300000000003</v>
      </c>
      <c r="J53" s="2">
        <v>429.798</v>
      </c>
      <c r="K53" s="1">
        <v>0.31778899999999999</v>
      </c>
      <c r="N53" s="3">
        <f t="shared" si="9"/>
        <v>428.512</v>
      </c>
      <c r="O53" s="21">
        <f t="shared" si="10"/>
        <v>132720</v>
      </c>
      <c r="P53" s="3">
        <f t="shared" si="11"/>
        <v>429.33600000000001</v>
      </c>
      <c r="Q53" s="17">
        <f t="shared" si="12"/>
        <v>-1.5090000000000001E-4</v>
      </c>
      <c r="R53" s="3">
        <f t="shared" si="13"/>
        <v>429.19499999999999</v>
      </c>
      <c r="S53" s="24">
        <f t="shared" si="14"/>
        <v>4.2555300000000003</v>
      </c>
      <c r="T53" s="3">
        <f t="shared" si="15"/>
        <v>429.798</v>
      </c>
      <c r="U53" s="51">
        <f t="shared" si="16"/>
        <v>0.31778899999999999</v>
      </c>
      <c r="V53" s="42">
        <f t="shared" si="17"/>
        <v>0.30522885415249185</v>
      </c>
      <c r="W53" s="49">
        <f t="shared" si="8"/>
        <v>3.9523538723832928E-2</v>
      </c>
    </row>
    <row r="54" spans="2:23" x14ac:dyDescent="0.6">
      <c r="B54" s="2">
        <v>460.13600000000002</v>
      </c>
      <c r="C54" s="1">
        <v>12.9153</v>
      </c>
      <c r="D54" s="2"/>
      <c r="E54" s="1"/>
      <c r="F54" s="2">
        <v>455.52499999999998</v>
      </c>
      <c r="G54" s="1">
        <v>-158.57499999999999</v>
      </c>
      <c r="H54" s="2">
        <v>458.10700000000003</v>
      </c>
      <c r="I54" s="1">
        <v>4.1431199999999997</v>
      </c>
      <c r="J54" s="2">
        <v>458.51600000000002</v>
      </c>
      <c r="K54" s="1">
        <v>0.364257</v>
      </c>
      <c r="N54" s="3">
        <f t="shared" si="9"/>
        <v>460.13600000000002</v>
      </c>
      <c r="O54" s="21">
        <f t="shared" si="10"/>
        <v>129153</v>
      </c>
      <c r="P54" s="3">
        <f t="shared" si="11"/>
        <v>455.52499999999998</v>
      </c>
      <c r="Q54" s="17">
        <f t="shared" si="12"/>
        <v>-1.5857499999999999E-4</v>
      </c>
      <c r="R54" s="3">
        <f t="shared" si="13"/>
        <v>458.10700000000003</v>
      </c>
      <c r="S54" s="24">
        <f t="shared" si="14"/>
        <v>4.1431199999999997</v>
      </c>
      <c r="T54" s="3">
        <f t="shared" si="15"/>
        <v>458.51600000000002</v>
      </c>
      <c r="U54" s="51">
        <f t="shared" si="16"/>
        <v>0.364257</v>
      </c>
      <c r="V54" s="42">
        <f t="shared" si="17"/>
        <v>0.35941890892554751</v>
      </c>
      <c r="W54" s="49">
        <f t="shared" si="8"/>
        <v>1.3282081262549487E-2</v>
      </c>
    </row>
    <row r="55" spans="2:23" x14ac:dyDescent="0.6">
      <c r="B55" s="2">
        <v>489.00799999999998</v>
      </c>
      <c r="C55" s="1">
        <v>12.603300000000001</v>
      </c>
      <c r="D55" s="2"/>
      <c r="E55" s="1"/>
      <c r="F55" s="2">
        <v>489.90199999999999</v>
      </c>
      <c r="G55" s="1">
        <v>-161.71299999999999</v>
      </c>
      <c r="H55" s="2">
        <v>488.404</v>
      </c>
      <c r="I55" s="1">
        <v>4.0115699999999999</v>
      </c>
      <c r="J55" s="2">
        <v>491.34</v>
      </c>
      <c r="K55" s="1">
        <v>0.41431299999999999</v>
      </c>
      <c r="N55" s="3">
        <f t="shared" si="9"/>
        <v>489.00799999999998</v>
      </c>
      <c r="O55" s="21">
        <f t="shared" si="10"/>
        <v>126033.00000000001</v>
      </c>
      <c r="P55" s="3">
        <f t="shared" si="11"/>
        <v>489.90199999999999</v>
      </c>
      <c r="Q55" s="17">
        <f t="shared" si="12"/>
        <v>-1.6171299999999999E-4</v>
      </c>
      <c r="R55" s="3">
        <f t="shared" si="13"/>
        <v>488.404</v>
      </c>
      <c r="S55" s="24">
        <f t="shared" si="14"/>
        <v>4.0115699999999999</v>
      </c>
      <c r="T55" s="3">
        <f t="shared" si="15"/>
        <v>491.34</v>
      </c>
      <c r="U55" s="51">
        <f t="shared" si="16"/>
        <v>0.41431299999999999</v>
      </c>
      <c r="V55" s="42">
        <f t="shared" si="17"/>
        <v>0.40368432726156139</v>
      </c>
      <c r="W55" s="49">
        <f t="shared" si="8"/>
        <v>2.5653727347292009E-2</v>
      </c>
    </row>
    <row r="56" spans="2:23" x14ac:dyDescent="0.6">
      <c r="B56" s="2">
        <v>517.87699999999995</v>
      </c>
      <c r="C56" s="1">
        <v>12.3362</v>
      </c>
      <c r="D56" s="2"/>
      <c r="E56" s="1"/>
      <c r="F56" s="2">
        <v>518.79999999999995</v>
      </c>
      <c r="G56" s="1">
        <v>-166.154</v>
      </c>
      <c r="H56" s="2">
        <v>520.01800000000003</v>
      </c>
      <c r="I56" s="1">
        <v>3.9766400000000002</v>
      </c>
      <c r="J56" s="2">
        <v>518.68899999999996</v>
      </c>
      <c r="K56" s="1">
        <v>0.46077099999999999</v>
      </c>
      <c r="N56" s="3">
        <f t="shared" si="9"/>
        <v>517.87699999999995</v>
      </c>
      <c r="O56" s="21">
        <f t="shared" si="10"/>
        <v>123362</v>
      </c>
      <c r="P56" s="3">
        <f t="shared" si="11"/>
        <v>518.79999999999995</v>
      </c>
      <c r="Q56" s="17">
        <f t="shared" si="12"/>
        <v>-1.6615399999999998E-4</v>
      </c>
      <c r="R56" s="3">
        <f t="shared" si="13"/>
        <v>520.01800000000003</v>
      </c>
      <c r="S56" s="24">
        <f t="shared" si="14"/>
        <v>3.9766400000000002</v>
      </c>
      <c r="T56" s="3">
        <f t="shared" si="15"/>
        <v>518.68899999999996</v>
      </c>
      <c r="U56" s="51">
        <f t="shared" si="16"/>
        <v>0.46077099999999999</v>
      </c>
      <c r="V56" s="42">
        <f t="shared" si="17"/>
        <v>0.44421555788339989</v>
      </c>
      <c r="W56" s="49">
        <f t="shared" si="8"/>
        <v>3.5929869971417679E-2</v>
      </c>
    </row>
    <row r="57" spans="2:23" x14ac:dyDescent="0.6">
      <c r="B57" s="2">
        <v>548.11900000000003</v>
      </c>
      <c r="C57" s="1">
        <v>12.0692</v>
      </c>
      <c r="D57" s="2"/>
      <c r="E57" s="1"/>
      <c r="F57" s="2">
        <v>550.47500000000002</v>
      </c>
      <c r="G57" s="1">
        <v>-173.17</v>
      </c>
      <c r="H57" s="2">
        <v>546.17200000000003</v>
      </c>
      <c r="I57" s="1">
        <v>3.8832100000000001</v>
      </c>
      <c r="J57" s="2">
        <v>548.77300000000002</v>
      </c>
      <c r="K57" s="1">
        <v>0.51080800000000004</v>
      </c>
      <c r="N57" s="3">
        <f t="shared" si="9"/>
        <v>548.11900000000003</v>
      </c>
      <c r="O57" s="21">
        <f t="shared" si="10"/>
        <v>120692</v>
      </c>
      <c r="P57" s="3">
        <f t="shared" si="11"/>
        <v>550.47500000000002</v>
      </c>
      <c r="Q57" s="17">
        <f t="shared" si="12"/>
        <v>-1.7316999999999997E-4</v>
      </c>
      <c r="R57" s="3">
        <f t="shared" si="13"/>
        <v>546.17200000000003</v>
      </c>
      <c r="S57" s="24">
        <f t="shared" si="14"/>
        <v>3.8832100000000001</v>
      </c>
      <c r="T57" s="3">
        <f t="shared" si="15"/>
        <v>548.77300000000002</v>
      </c>
      <c r="U57" s="51">
        <f t="shared" si="16"/>
        <v>0.51080800000000004</v>
      </c>
      <c r="V57" s="42">
        <f t="shared" si="17"/>
        <v>0.5114764665358319</v>
      </c>
      <c r="W57" s="49">
        <f t="shared" si="8"/>
        <v>-1.3086453928518298E-3</v>
      </c>
    </row>
    <row r="58" spans="2:23" x14ac:dyDescent="0.6">
      <c r="B58" s="2">
        <v>579.74199999999996</v>
      </c>
      <c r="C58" s="1">
        <v>11.7125</v>
      </c>
      <c r="D58" s="2"/>
      <c r="E58" s="1"/>
      <c r="F58" s="2">
        <v>580.72500000000002</v>
      </c>
      <c r="G58" s="1">
        <v>-175.673</v>
      </c>
      <c r="H58" s="2">
        <v>577.80799999999999</v>
      </c>
      <c r="I58" s="1">
        <v>3.8096899999999998</v>
      </c>
      <c r="J58" s="2">
        <v>578.84900000000005</v>
      </c>
      <c r="K58" s="1">
        <v>0.56796199999999997</v>
      </c>
      <c r="N58" s="3">
        <f t="shared" si="9"/>
        <v>579.74199999999996</v>
      </c>
      <c r="O58" s="21">
        <f t="shared" si="10"/>
        <v>117125</v>
      </c>
      <c r="P58" s="3">
        <f t="shared" si="11"/>
        <v>580.72500000000002</v>
      </c>
      <c r="Q58" s="17">
        <f t="shared" si="12"/>
        <v>-1.75673E-4</v>
      </c>
      <c r="R58" s="3">
        <f t="shared" si="13"/>
        <v>577.80799999999999</v>
      </c>
      <c r="S58" s="24">
        <f t="shared" si="14"/>
        <v>3.8096899999999998</v>
      </c>
      <c r="T58" s="3">
        <f t="shared" si="15"/>
        <v>578.84900000000005</v>
      </c>
      <c r="U58" s="51">
        <f t="shared" si="16"/>
        <v>0.56796199999999997</v>
      </c>
      <c r="V58" s="42">
        <f t="shared" si="17"/>
        <v>0.54920602008721353</v>
      </c>
      <c r="W58" s="49">
        <f t="shared" si="8"/>
        <v>3.302330070107936E-2</v>
      </c>
    </row>
    <row r="59" spans="2:23" x14ac:dyDescent="0.6">
      <c r="B59" s="2">
        <v>608.60699999999997</v>
      </c>
      <c r="C59" s="1">
        <v>11.490399999999999</v>
      </c>
      <c r="D59" s="2"/>
      <c r="E59" s="1"/>
      <c r="F59" s="2">
        <v>609.63800000000003</v>
      </c>
      <c r="G59" s="1">
        <v>-181.405</v>
      </c>
      <c r="H59" s="2">
        <v>609.43399999999997</v>
      </c>
      <c r="I59" s="1">
        <v>3.7554699999999999</v>
      </c>
      <c r="J59" s="2">
        <v>608.92999999999995</v>
      </c>
      <c r="K59" s="1">
        <v>0.62155700000000003</v>
      </c>
      <c r="N59" s="3">
        <f t="shared" si="9"/>
        <v>608.60699999999997</v>
      </c>
      <c r="O59" s="21">
        <f t="shared" si="10"/>
        <v>114904</v>
      </c>
      <c r="P59" s="3">
        <f t="shared" si="11"/>
        <v>609.63800000000003</v>
      </c>
      <c r="Q59" s="17">
        <f t="shared" si="12"/>
        <v>-1.8140499999999999E-4</v>
      </c>
      <c r="R59" s="3">
        <f t="shared" si="13"/>
        <v>609.43399999999997</v>
      </c>
      <c r="S59" s="24">
        <f t="shared" si="14"/>
        <v>3.7554699999999999</v>
      </c>
      <c r="T59" s="3">
        <f t="shared" si="15"/>
        <v>608.92999999999995</v>
      </c>
      <c r="U59" s="51">
        <f t="shared" si="16"/>
        <v>0.62155700000000003</v>
      </c>
      <c r="V59" s="42">
        <f t="shared" si="17"/>
        <v>0.61310763960293047</v>
      </c>
      <c r="W59" s="49">
        <f t="shared" si="8"/>
        <v>1.3593862505079277E-2</v>
      </c>
    </row>
    <row r="60" spans="2:23" x14ac:dyDescent="0.6">
      <c r="B60" s="2">
        <v>634.73199999999997</v>
      </c>
      <c r="C60" s="1">
        <v>11.178100000000001</v>
      </c>
      <c r="D60" s="2"/>
      <c r="E60" s="1"/>
      <c r="F60" s="2">
        <v>641.26800000000003</v>
      </c>
      <c r="G60" s="1">
        <v>-184.54900000000001</v>
      </c>
      <c r="H60" s="2">
        <v>636.93799999999999</v>
      </c>
      <c r="I60" s="1">
        <v>3.70078</v>
      </c>
      <c r="J60" s="2">
        <v>637.64099999999996</v>
      </c>
      <c r="K60" s="1">
        <v>0.67514300000000005</v>
      </c>
      <c r="N60" s="3">
        <f t="shared" si="9"/>
        <v>634.73199999999997</v>
      </c>
      <c r="O60" s="21">
        <f t="shared" si="10"/>
        <v>111781</v>
      </c>
      <c r="P60" s="3">
        <f t="shared" si="11"/>
        <v>641.26800000000003</v>
      </c>
      <c r="Q60" s="17">
        <f t="shared" si="12"/>
        <v>-1.84549E-4</v>
      </c>
      <c r="R60" s="3">
        <f t="shared" si="13"/>
        <v>636.93799999999999</v>
      </c>
      <c r="S60" s="24">
        <f t="shared" si="14"/>
        <v>3.70078</v>
      </c>
      <c r="T60" s="3">
        <f t="shared" si="15"/>
        <v>637.64099999999996</v>
      </c>
      <c r="U60" s="51">
        <f t="shared" si="16"/>
        <v>0.67514300000000005</v>
      </c>
      <c r="V60" s="42">
        <f t="shared" si="17"/>
        <v>0.65595545622091678</v>
      </c>
      <c r="W60" s="49">
        <f t="shared" si="8"/>
        <v>2.8419969960561349E-2</v>
      </c>
    </row>
    <row r="61" spans="2:23" x14ac:dyDescent="0.6">
      <c r="B61" s="2">
        <v>670.46900000000005</v>
      </c>
      <c r="C61" s="1">
        <v>10.9117</v>
      </c>
      <c r="D61" s="2"/>
      <c r="E61" s="1"/>
      <c r="F61" s="2">
        <v>667.404</v>
      </c>
      <c r="G61" s="1">
        <v>-187.708</v>
      </c>
      <c r="H61" s="2">
        <v>663.04700000000003</v>
      </c>
      <c r="I61" s="1">
        <v>3.68451</v>
      </c>
      <c r="J61" s="2">
        <v>667.71699999999998</v>
      </c>
      <c r="K61" s="1">
        <v>0.73229699999999998</v>
      </c>
      <c r="N61" s="3">
        <f t="shared" si="9"/>
        <v>670.46900000000005</v>
      </c>
      <c r="O61" s="21">
        <f t="shared" si="10"/>
        <v>109117</v>
      </c>
      <c r="P61" s="3">
        <f t="shared" si="11"/>
        <v>667.404</v>
      </c>
      <c r="Q61" s="17">
        <f t="shared" si="12"/>
        <v>-1.87708E-4</v>
      </c>
      <c r="R61" s="3">
        <f t="shared" si="13"/>
        <v>663.04700000000003</v>
      </c>
      <c r="S61" s="24">
        <f t="shared" si="14"/>
        <v>3.68451</v>
      </c>
      <c r="T61" s="3">
        <f t="shared" si="15"/>
        <v>667.71699999999998</v>
      </c>
      <c r="U61" s="51">
        <f t="shared" si="16"/>
        <v>0.73229699999999998</v>
      </c>
      <c r="V61" s="42">
        <f t="shared" si="17"/>
        <v>0.69673989042659956</v>
      </c>
      <c r="W61" s="49">
        <f t="shared" si="8"/>
        <v>4.8555585470649767E-2</v>
      </c>
    </row>
    <row r="62" spans="2:23" x14ac:dyDescent="0.6">
      <c r="B62" s="2">
        <v>700.70299999999997</v>
      </c>
      <c r="C62" s="1">
        <v>10.7346</v>
      </c>
      <c r="D62" s="2"/>
      <c r="E62" s="1"/>
      <c r="F62" s="2">
        <v>699.04200000000003</v>
      </c>
      <c r="G62" s="1">
        <v>-191.49700000000001</v>
      </c>
      <c r="H62" s="2">
        <v>697.40800000000002</v>
      </c>
      <c r="I62" s="1">
        <v>3.6499000000000001</v>
      </c>
      <c r="J62" s="2">
        <v>696.42399999999998</v>
      </c>
      <c r="K62" s="1">
        <v>0.78944099999999995</v>
      </c>
      <c r="N62" s="3">
        <f t="shared" si="9"/>
        <v>700.70299999999997</v>
      </c>
      <c r="O62" s="21">
        <f t="shared" si="10"/>
        <v>107346</v>
      </c>
      <c r="P62" s="3">
        <f t="shared" si="11"/>
        <v>699.04200000000003</v>
      </c>
      <c r="Q62" s="17">
        <f t="shared" si="12"/>
        <v>-1.91497E-4</v>
      </c>
      <c r="R62" s="3">
        <f t="shared" si="13"/>
        <v>697.40800000000002</v>
      </c>
      <c r="S62" s="24">
        <f t="shared" si="14"/>
        <v>3.6499000000000001</v>
      </c>
      <c r="T62" s="3">
        <f t="shared" si="15"/>
        <v>696.42399999999998</v>
      </c>
      <c r="U62" s="51">
        <f t="shared" si="16"/>
        <v>0.78944099999999995</v>
      </c>
      <c r="V62" s="42">
        <f t="shared" si="17"/>
        <v>0.75110833077909245</v>
      </c>
      <c r="W62" s="49">
        <f t="shared" si="8"/>
        <v>4.8556724594881064E-2</v>
      </c>
    </row>
    <row r="63" spans="2:23" x14ac:dyDescent="0.6">
      <c r="B63" s="2">
        <v>732.31500000000005</v>
      </c>
      <c r="C63" s="1">
        <v>10.512700000000001</v>
      </c>
      <c r="D63" s="2"/>
      <c r="E63" s="1"/>
      <c r="F63" s="2">
        <v>727.92399999999998</v>
      </c>
      <c r="G63" s="1">
        <v>-194.649</v>
      </c>
      <c r="H63" s="2">
        <v>726.25199999999995</v>
      </c>
      <c r="I63" s="1">
        <v>3.6532399999999998</v>
      </c>
      <c r="J63" s="2">
        <v>726.52</v>
      </c>
      <c r="K63" s="1">
        <v>0.82880100000000001</v>
      </c>
      <c r="N63" s="3">
        <f t="shared" si="9"/>
        <v>732.31500000000005</v>
      </c>
      <c r="O63" s="21">
        <f t="shared" si="10"/>
        <v>105127</v>
      </c>
      <c r="P63" s="3">
        <f t="shared" si="11"/>
        <v>727.92399999999998</v>
      </c>
      <c r="Q63" s="17">
        <f t="shared" si="12"/>
        <v>-1.94649E-4</v>
      </c>
      <c r="R63" s="3">
        <f t="shared" si="13"/>
        <v>726.25199999999995</v>
      </c>
      <c r="S63" s="24">
        <f t="shared" si="14"/>
        <v>3.6532399999999998</v>
      </c>
      <c r="T63" s="3">
        <f t="shared" si="15"/>
        <v>726.52</v>
      </c>
      <c r="U63" s="51">
        <f t="shared" si="16"/>
        <v>0.82880100000000001</v>
      </c>
      <c r="V63" s="42">
        <f t="shared" si="17"/>
        <v>0.79211455788875729</v>
      </c>
      <c r="W63" s="49">
        <f t="shared" si="8"/>
        <v>4.4264476166465443E-2</v>
      </c>
    </row>
    <row r="64" spans="2:23" x14ac:dyDescent="0.6">
      <c r="B64" s="2">
        <v>762.55399999999997</v>
      </c>
      <c r="C64" s="1">
        <v>10.290699999999999</v>
      </c>
      <c r="D64" s="2"/>
      <c r="E64" s="1"/>
      <c r="F64" s="2">
        <v>758.17399999999998</v>
      </c>
      <c r="G64" s="1">
        <v>-197.15199999999999</v>
      </c>
      <c r="H64" s="2">
        <v>756.49199999999996</v>
      </c>
      <c r="I64" s="1">
        <v>3.61815</v>
      </c>
      <c r="J64" s="2">
        <v>759.34</v>
      </c>
      <c r="K64" s="1">
        <v>0.88241599999999998</v>
      </c>
      <c r="N64" s="3">
        <f t="shared" si="9"/>
        <v>762.55399999999997</v>
      </c>
      <c r="O64" s="21">
        <f t="shared" si="10"/>
        <v>102907</v>
      </c>
      <c r="P64" s="3">
        <f t="shared" si="11"/>
        <v>758.17399999999998</v>
      </c>
      <c r="Q64" s="17">
        <f t="shared" si="12"/>
        <v>-1.9715199999999997E-4</v>
      </c>
      <c r="R64" s="3">
        <f t="shared" si="13"/>
        <v>756.49199999999996</v>
      </c>
      <c r="S64" s="24">
        <f t="shared" si="14"/>
        <v>3.61815</v>
      </c>
      <c r="T64" s="3">
        <f t="shared" si="15"/>
        <v>759.34</v>
      </c>
      <c r="U64" s="51">
        <f t="shared" si="16"/>
        <v>0.88241599999999998</v>
      </c>
      <c r="V64" s="42">
        <f t="shared" si="17"/>
        <v>0.83945419172262137</v>
      </c>
      <c r="W64" s="49">
        <f t="shared" si="8"/>
        <v>4.8686569914165895E-2</v>
      </c>
    </row>
    <row r="65" spans="2:23" x14ac:dyDescent="0.6">
      <c r="B65" s="2">
        <v>791.41899999999998</v>
      </c>
      <c r="C65" s="1">
        <v>10.0686</v>
      </c>
      <c r="D65" s="2"/>
      <c r="E65" s="1"/>
      <c r="F65" s="2">
        <v>791.16200000000003</v>
      </c>
      <c r="G65" s="1">
        <v>-199.00200000000001</v>
      </c>
      <c r="H65" s="2">
        <v>789.45699999999999</v>
      </c>
      <c r="I65" s="1">
        <v>3.6219700000000001</v>
      </c>
      <c r="J65" s="2">
        <v>790.80499999999995</v>
      </c>
      <c r="K65" s="1">
        <v>0.92178599999999999</v>
      </c>
      <c r="N65" s="3">
        <f t="shared" si="9"/>
        <v>791.41899999999998</v>
      </c>
      <c r="O65" s="21">
        <f t="shared" si="10"/>
        <v>100686</v>
      </c>
      <c r="P65" s="3">
        <f t="shared" si="11"/>
        <v>791.16200000000003</v>
      </c>
      <c r="Q65" s="17">
        <f t="shared" si="12"/>
        <v>-1.9900199999999999E-4</v>
      </c>
      <c r="R65" s="3">
        <f t="shared" si="13"/>
        <v>789.45699999999999</v>
      </c>
      <c r="S65" s="24">
        <f t="shared" si="14"/>
        <v>3.6219700000000001</v>
      </c>
      <c r="T65" s="3">
        <f t="shared" si="15"/>
        <v>790.80499999999995</v>
      </c>
      <c r="U65" s="51">
        <f t="shared" si="16"/>
        <v>0.92178599999999999</v>
      </c>
      <c r="V65" s="42">
        <f t="shared" si="17"/>
        <v>0.87057968329956803</v>
      </c>
      <c r="W65" s="49">
        <f t="shared" si="8"/>
        <v>5.5551198109357228E-2</v>
      </c>
    </row>
    <row r="66" spans="2:23" x14ac:dyDescent="0.6">
      <c r="B66" s="28">
        <v>818.91</v>
      </c>
      <c r="C66" s="29">
        <v>9.8463200000000004</v>
      </c>
      <c r="D66" s="28"/>
      <c r="E66" s="29"/>
      <c r="F66" s="28">
        <v>822.77700000000004</v>
      </c>
      <c r="G66" s="29">
        <v>-200.85599999999999</v>
      </c>
      <c r="H66" s="28">
        <v>816.91600000000005</v>
      </c>
      <c r="I66" s="29">
        <v>3.6444399999999999</v>
      </c>
      <c r="J66" s="28">
        <v>818.15</v>
      </c>
      <c r="K66" s="29">
        <v>0.97180299999999997</v>
      </c>
      <c r="N66" s="32">
        <f t="shared" si="9"/>
        <v>818.91</v>
      </c>
      <c r="O66" s="33">
        <f t="shared" si="10"/>
        <v>98463.2</v>
      </c>
      <c r="P66" s="32">
        <f t="shared" si="11"/>
        <v>822.77700000000004</v>
      </c>
      <c r="Q66" s="34">
        <f t="shared" si="12"/>
        <v>-2.0085599999999999E-4</v>
      </c>
      <c r="R66" s="32">
        <f t="shared" si="13"/>
        <v>816.91600000000005</v>
      </c>
      <c r="S66" s="35">
        <f t="shared" si="14"/>
        <v>3.6444399999999999</v>
      </c>
      <c r="T66" s="32">
        <f t="shared" si="15"/>
        <v>818.15</v>
      </c>
      <c r="U66" s="52">
        <f t="shared" si="16"/>
        <v>0.97180299999999997</v>
      </c>
      <c r="V66" s="42">
        <f>((O66*(Q66)^2)/S66)*T66</f>
        <v>0.89175529187225933</v>
      </c>
      <c r="W66" s="49">
        <f t="shared" si="8"/>
        <v>8.2370303577721668E-2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10</v>
      </c>
      <c r="D8" s="9" t="s">
        <v>33</v>
      </c>
      <c r="E8" s="10" t="s">
        <v>32</v>
      </c>
      <c r="F8" s="9" t="s">
        <v>33</v>
      </c>
      <c r="G8" s="27" t="s">
        <v>13</v>
      </c>
      <c r="H8" s="9" t="s">
        <v>33</v>
      </c>
      <c r="I8" s="10" t="s">
        <v>15</v>
      </c>
      <c r="J8" s="9" t="s">
        <v>33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51.9131</v>
      </c>
      <c r="E9" s="4">
        <v>9.6041000000000007</v>
      </c>
      <c r="F9" s="3">
        <v>56.202500000000001</v>
      </c>
      <c r="G9" s="4">
        <v>-140.11799999999999</v>
      </c>
      <c r="H9" s="3">
        <v>52.224699999999999</v>
      </c>
      <c r="I9" s="4">
        <v>2.6630199999999999</v>
      </c>
      <c r="J9" s="3">
        <v>52.3202</v>
      </c>
      <c r="K9" s="4">
        <v>0.25529600000000002</v>
      </c>
      <c r="N9" s="3">
        <f>D9+273.15</f>
        <v>325.06309999999996</v>
      </c>
      <c r="O9" s="21">
        <f>1/(E9*(10^(-6)))</f>
        <v>104122.19781135141</v>
      </c>
      <c r="P9" s="3">
        <f>F9+273.15</f>
        <v>329.35249999999996</v>
      </c>
      <c r="Q9" s="17">
        <f>G9*(10^(-6))</f>
        <v>-1.4011799999999998E-4</v>
      </c>
      <c r="R9" s="3">
        <f>H9+273.15</f>
        <v>325.37469999999996</v>
      </c>
      <c r="S9" s="24">
        <f>I9</f>
        <v>2.6630199999999999</v>
      </c>
      <c r="T9" s="3">
        <f>J9+273.15</f>
        <v>325.47019999999998</v>
      </c>
      <c r="U9" s="24">
        <f>K9</f>
        <v>0.25529600000000002</v>
      </c>
      <c r="V9" s="42">
        <f>((O9*(Q9)^2)/S9)*T9</f>
        <v>0.24984346175032909</v>
      </c>
      <c r="W9" s="49">
        <f t="shared" ref="W9" si="0">(U9-V9)/U9</f>
        <v>2.1357711243697234E-2</v>
      </c>
    </row>
    <row r="10" spans="1:23" x14ac:dyDescent="0.6">
      <c r="B10" s="3"/>
      <c r="C10" s="4"/>
      <c r="D10" s="3">
        <v>102.166</v>
      </c>
      <c r="E10" s="4">
        <v>9.7774000000000001</v>
      </c>
      <c r="F10" s="3">
        <v>100.253</v>
      </c>
      <c r="G10" s="4">
        <v>-148.96799999999999</v>
      </c>
      <c r="H10" s="3">
        <v>99.339600000000004</v>
      </c>
      <c r="I10" s="4">
        <v>2.6800899999999999</v>
      </c>
      <c r="J10" s="3">
        <v>102.645</v>
      </c>
      <c r="K10" s="4">
        <v>0.32647799999999999</v>
      </c>
      <c r="N10" s="3">
        <f t="shared" ref="N10:N19" si="1">D10+273.15</f>
        <v>375.31599999999997</v>
      </c>
      <c r="O10" s="21">
        <f t="shared" ref="O10:O19" si="2">1/(E10*(10^(-6)))</f>
        <v>102276.67887168369</v>
      </c>
      <c r="P10" s="3">
        <f t="shared" ref="P10:P19" si="3">F10+273.15</f>
        <v>373.40299999999996</v>
      </c>
      <c r="Q10" s="17">
        <f t="shared" ref="Q10:Q19" si="4">G10*(10^(-6))</f>
        <v>-1.4896799999999997E-4</v>
      </c>
      <c r="R10" s="3">
        <f t="shared" ref="R10:R19" si="5">H10+273.15</f>
        <v>372.4896</v>
      </c>
      <c r="S10" s="24">
        <f t="shared" ref="S10:U19" si="6">I10</f>
        <v>2.6800899999999999</v>
      </c>
      <c r="T10" s="3">
        <f t="shared" ref="T10:T19" si="7">J10+273.15</f>
        <v>375.79499999999996</v>
      </c>
      <c r="U10" s="24">
        <f t="shared" si="6"/>
        <v>0.32647799999999999</v>
      </c>
      <c r="V10" s="42">
        <f t="shared" ref="V10:V19" si="8">((O10*(Q10)^2)/S10)*T10</f>
        <v>0.31824692094623486</v>
      </c>
      <c r="W10" s="49">
        <f t="shared" ref="W10:W19" si="9">(U10-V10)/U10</f>
        <v>2.5211741844060345E-2</v>
      </c>
    </row>
    <row r="11" spans="1:23" x14ac:dyDescent="0.6">
      <c r="B11" s="2"/>
      <c r="C11" s="1"/>
      <c r="D11" s="2">
        <v>147.99700000000001</v>
      </c>
      <c r="E11" s="1">
        <v>10.2227</v>
      </c>
      <c r="F11" s="2">
        <v>153.41800000000001</v>
      </c>
      <c r="G11" s="1">
        <v>-164.45400000000001</v>
      </c>
      <c r="H11" s="2">
        <v>151.42099999999999</v>
      </c>
      <c r="I11" s="1">
        <v>2.7146300000000001</v>
      </c>
      <c r="J11" s="2">
        <v>151.553</v>
      </c>
      <c r="K11" s="1">
        <v>0.418132</v>
      </c>
      <c r="N11" s="3">
        <f t="shared" si="1"/>
        <v>421.14699999999999</v>
      </c>
      <c r="O11" s="21">
        <f t="shared" si="2"/>
        <v>97821.514863979188</v>
      </c>
      <c r="P11" s="3">
        <f t="shared" si="3"/>
        <v>426.56799999999998</v>
      </c>
      <c r="Q11" s="17">
        <f t="shared" si="4"/>
        <v>-1.6445399999999999E-4</v>
      </c>
      <c r="R11" s="3">
        <f t="shared" si="5"/>
        <v>424.57099999999997</v>
      </c>
      <c r="S11" s="24">
        <f t="shared" si="6"/>
        <v>2.7146300000000001</v>
      </c>
      <c r="T11" s="3">
        <f t="shared" si="7"/>
        <v>424.70299999999997</v>
      </c>
      <c r="U11" s="24">
        <f t="shared" si="6"/>
        <v>0.418132</v>
      </c>
      <c r="V11" s="42">
        <f t="shared" si="8"/>
        <v>0.41390240606036266</v>
      </c>
      <c r="W11" s="49">
        <f t="shared" si="9"/>
        <v>1.0115451435521184E-2</v>
      </c>
    </row>
    <row r="12" spans="1:23" x14ac:dyDescent="0.6">
      <c r="B12" s="2"/>
      <c r="C12" s="1"/>
      <c r="D12" s="2">
        <v>198.24700000000001</v>
      </c>
      <c r="E12" s="1">
        <v>10.3056</v>
      </c>
      <c r="F12" s="2">
        <v>197.46799999999999</v>
      </c>
      <c r="G12" s="1">
        <v>-169.61699999999999</v>
      </c>
      <c r="H12" s="2">
        <v>198.536</v>
      </c>
      <c r="I12" s="1">
        <v>2.73169</v>
      </c>
      <c r="J12" s="2">
        <v>200.38200000000001</v>
      </c>
      <c r="K12" s="1">
        <v>0.481655</v>
      </c>
      <c r="N12" s="3">
        <f t="shared" si="1"/>
        <v>471.39699999999999</v>
      </c>
      <c r="O12" s="21">
        <f t="shared" si="2"/>
        <v>97034.621953112874</v>
      </c>
      <c r="P12" s="3">
        <f t="shared" si="3"/>
        <v>470.61799999999994</v>
      </c>
      <c r="Q12" s="17">
        <f t="shared" si="4"/>
        <v>-1.6961699999999997E-4</v>
      </c>
      <c r="R12" s="3">
        <f t="shared" si="5"/>
        <v>471.68599999999998</v>
      </c>
      <c r="S12" s="24">
        <f t="shared" si="6"/>
        <v>2.73169</v>
      </c>
      <c r="T12" s="3">
        <f t="shared" si="7"/>
        <v>473.53199999999998</v>
      </c>
      <c r="U12" s="24">
        <f t="shared" si="6"/>
        <v>0.481655</v>
      </c>
      <c r="V12" s="42">
        <f t="shared" si="8"/>
        <v>0.48393094429920075</v>
      </c>
      <c r="W12" s="49">
        <f t="shared" si="9"/>
        <v>-4.7252583263970053E-3</v>
      </c>
    </row>
    <row r="13" spans="1:23" x14ac:dyDescent="0.6">
      <c r="B13" s="2"/>
      <c r="C13" s="1"/>
      <c r="D13" s="2">
        <v>252.93</v>
      </c>
      <c r="E13" s="1">
        <v>10.3878</v>
      </c>
      <c r="F13" s="2">
        <v>252.15199999999999</v>
      </c>
      <c r="G13" s="1">
        <v>-175.51599999999999</v>
      </c>
      <c r="H13" s="2">
        <v>251.86199999999999</v>
      </c>
      <c r="I13" s="1">
        <v>2.7778999999999998</v>
      </c>
      <c r="J13" s="2">
        <v>252.166</v>
      </c>
      <c r="K13" s="1">
        <v>0.547709</v>
      </c>
      <c r="N13" s="3">
        <f t="shared" si="1"/>
        <v>526.07999999999993</v>
      </c>
      <c r="O13" s="21">
        <f t="shared" si="2"/>
        <v>96266.77448545408</v>
      </c>
      <c r="P13" s="3">
        <f t="shared" si="3"/>
        <v>525.30199999999991</v>
      </c>
      <c r="Q13" s="17">
        <f t="shared" si="4"/>
        <v>-1.7551599999999999E-4</v>
      </c>
      <c r="R13" s="3">
        <f t="shared" si="5"/>
        <v>525.01199999999994</v>
      </c>
      <c r="S13" s="24">
        <f t="shared" si="6"/>
        <v>2.7778999999999998</v>
      </c>
      <c r="T13" s="3">
        <f t="shared" si="7"/>
        <v>525.31600000000003</v>
      </c>
      <c r="U13" s="24">
        <f t="shared" si="6"/>
        <v>0.547709</v>
      </c>
      <c r="V13" s="42">
        <f t="shared" si="8"/>
        <v>0.56080756976711721</v>
      </c>
      <c r="W13" s="49">
        <f t="shared" si="9"/>
        <v>-2.3915199069427757E-2</v>
      </c>
    </row>
    <row r="14" spans="1:23" x14ac:dyDescent="0.6">
      <c r="B14" s="2"/>
      <c r="C14" s="1"/>
      <c r="D14" s="2">
        <v>304.66800000000001</v>
      </c>
      <c r="E14" s="1">
        <v>10.7417</v>
      </c>
      <c r="F14" s="2">
        <v>302.27800000000002</v>
      </c>
      <c r="G14" s="1">
        <v>-184.36600000000001</v>
      </c>
      <c r="H14" s="2">
        <v>305.18799999999999</v>
      </c>
      <c r="I14" s="1">
        <v>2.8241100000000001</v>
      </c>
      <c r="J14" s="2">
        <v>302.548</v>
      </c>
      <c r="K14" s="1">
        <v>0.639351</v>
      </c>
      <c r="N14" s="3">
        <f t="shared" si="1"/>
        <v>577.81799999999998</v>
      </c>
      <c r="O14" s="21">
        <f t="shared" si="2"/>
        <v>93095.133917350147</v>
      </c>
      <c r="P14" s="3">
        <f t="shared" si="3"/>
        <v>575.428</v>
      </c>
      <c r="Q14" s="17">
        <f t="shared" si="4"/>
        <v>-1.8436600000000002E-4</v>
      </c>
      <c r="R14" s="3">
        <f t="shared" si="5"/>
        <v>578.33799999999997</v>
      </c>
      <c r="S14" s="24">
        <f t="shared" si="6"/>
        <v>2.8241100000000001</v>
      </c>
      <c r="T14" s="3">
        <f t="shared" si="7"/>
        <v>575.69799999999998</v>
      </c>
      <c r="U14" s="24">
        <f t="shared" si="6"/>
        <v>0.639351</v>
      </c>
      <c r="V14" s="42">
        <f t="shared" si="8"/>
        <v>0.64506244708918359</v>
      </c>
      <c r="W14" s="49">
        <f t="shared" si="9"/>
        <v>-8.9331948947973579E-3</v>
      </c>
    </row>
    <row r="15" spans="1:23" x14ac:dyDescent="0.6">
      <c r="B15" s="2"/>
      <c r="C15" s="1"/>
      <c r="D15" s="2">
        <v>350.49200000000002</v>
      </c>
      <c r="E15" s="1">
        <v>11.0061</v>
      </c>
      <c r="F15" s="2">
        <v>350.88600000000002</v>
      </c>
      <c r="G15" s="1">
        <v>-189.52799999999999</v>
      </c>
      <c r="H15" s="2">
        <v>354.798</v>
      </c>
      <c r="I15" s="1">
        <v>2.8761999999999999</v>
      </c>
      <c r="J15" s="2">
        <v>352.89400000000001</v>
      </c>
      <c r="K15" s="1">
        <v>0.71820600000000001</v>
      </c>
      <c r="N15" s="3">
        <f t="shared" si="1"/>
        <v>623.64200000000005</v>
      </c>
      <c r="O15" s="21">
        <f t="shared" si="2"/>
        <v>90858.705626879644</v>
      </c>
      <c r="P15" s="3">
        <f t="shared" si="3"/>
        <v>624.03600000000006</v>
      </c>
      <c r="Q15" s="17">
        <f t="shared" si="4"/>
        <v>-1.8952799999999998E-4</v>
      </c>
      <c r="R15" s="3">
        <f t="shared" si="5"/>
        <v>627.94799999999998</v>
      </c>
      <c r="S15" s="24">
        <f t="shared" si="6"/>
        <v>2.8761999999999999</v>
      </c>
      <c r="T15" s="3">
        <f t="shared" si="7"/>
        <v>626.04399999999998</v>
      </c>
      <c r="U15" s="24">
        <f t="shared" si="6"/>
        <v>0.71820600000000001</v>
      </c>
      <c r="V15" s="42">
        <f t="shared" si="8"/>
        <v>0.71039366625607303</v>
      </c>
      <c r="W15" s="49">
        <f t="shared" si="9"/>
        <v>1.0877566803851513E-2</v>
      </c>
    </row>
    <row r="16" spans="1:23" x14ac:dyDescent="0.6">
      <c r="B16" s="2"/>
      <c r="C16" s="1"/>
      <c r="D16" s="2">
        <v>405.18200000000002</v>
      </c>
      <c r="E16" s="1">
        <v>11.2692</v>
      </c>
      <c r="F16" s="2">
        <v>401.01299999999998</v>
      </c>
      <c r="G16" s="1">
        <v>-193.953</v>
      </c>
      <c r="H16" s="2">
        <v>401.93</v>
      </c>
      <c r="I16" s="1">
        <v>2.9341499999999998</v>
      </c>
      <c r="J16" s="2">
        <v>400.22</v>
      </c>
      <c r="K16" s="1">
        <v>0.77151099999999995</v>
      </c>
      <c r="N16" s="3">
        <f t="shared" si="1"/>
        <v>678.33199999999999</v>
      </c>
      <c r="O16" s="21">
        <f t="shared" si="2"/>
        <v>88737.443651723297</v>
      </c>
      <c r="P16" s="3">
        <f t="shared" si="3"/>
        <v>674.16300000000001</v>
      </c>
      <c r="Q16" s="17">
        <f t="shared" si="4"/>
        <v>-1.9395299999999999E-4</v>
      </c>
      <c r="R16" s="3">
        <f t="shared" si="5"/>
        <v>675.07999999999993</v>
      </c>
      <c r="S16" s="24">
        <f t="shared" si="6"/>
        <v>2.9341499999999998</v>
      </c>
      <c r="T16" s="3">
        <f t="shared" si="7"/>
        <v>673.37</v>
      </c>
      <c r="U16" s="24">
        <f t="shared" si="6"/>
        <v>0.77151099999999995</v>
      </c>
      <c r="V16" s="42">
        <f t="shared" si="8"/>
        <v>0.7660751379695645</v>
      </c>
      <c r="W16" s="49">
        <f t="shared" si="9"/>
        <v>7.0457349674022092E-3</v>
      </c>
    </row>
    <row r="17" spans="2:23" x14ac:dyDescent="0.6">
      <c r="B17" s="2"/>
      <c r="C17" s="1"/>
      <c r="D17" s="2">
        <v>453.95800000000003</v>
      </c>
      <c r="E17" s="1">
        <v>11.4427</v>
      </c>
      <c r="F17" s="2">
        <v>449.62</v>
      </c>
      <c r="G17" s="1">
        <v>-198.37799999999999</v>
      </c>
      <c r="H17" s="2">
        <v>449.06599999999997</v>
      </c>
      <c r="I17" s="1">
        <v>2.9979399999999998</v>
      </c>
      <c r="J17" s="2">
        <v>453.45600000000002</v>
      </c>
      <c r="K17" s="1">
        <v>0.82987999999999995</v>
      </c>
      <c r="N17" s="3">
        <f t="shared" si="1"/>
        <v>727.10799999999995</v>
      </c>
      <c r="O17" s="21">
        <f t="shared" si="2"/>
        <v>87391.961687364004</v>
      </c>
      <c r="P17" s="3">
        <f t="shared" si="3"/>
        <v>722.77</v>
      </c>
      <c r="Q17" s="17">
        <f t="shared" si="4"/>
        <v>-1.9837799999999998E-4</v>
      </c>
      <c r="R17" s="3">
        <f t="shared" si="5"/>
        <v>722.21599999999989</v>
      </c>
      <c r="S17" s="24">
        <f t="shared" si="6"/>
        <v>2.9979399999999998</v>
      </c>
      <c r="T17" s="3">
        <f t="shared" si="7"/>
        <v>726.60599999999999</v>
      </c>
      <c r="U17" s="24">
        <f t="shared" si="6"/>
        <v>0.82987999999999995</v>
      </c>
      <c r="V17" s="42">
        <f t="shared" si="8"/>
        <v>0.83355554729173331</v>
      </c>
      <c r="W17" s="49">
        <f t="shared" si="9"/>
        <v>-4.4290105698816225E-3</v>
      </c>
    </row>
    <row r="18" spans="2:23" x14ac:dyDescent="0.6">
      <c r="B18" s="2"/>
      <c r="C18" s="1"/>
      <c r="D18" s="2">
        <v>501.24799999999999</v>
      </c>
      <c r="E18" s="1">
        <v>11.435600000000001</v>
      </c>
      <c r="F18" s="2">
        <v>495.19</v>
      </c>
      <c r="G18" s="1">
        <v>-199.85300000000001</v>
      </c>
      <c r="H18" s="2">
        <v>498.68099999999998</v>
      </c>
      <c r="I18" s="1">
        <v>3.0617100000000002</v>
      </c>
      <c r="J18" s="2">
        <v>500.767</v>
      </c>
      <c r="K18" s="1">
        <v>0.87807000000000002</v>
      </c>
      <c r="N18" s="3">
        <f t="shared" si="1"/>
        <v>774.39799999999991</v>
      </c>
      <c r="O18" s="21">
        <f t="shared" si="2"/>
        <v>87446.220574346764</v>
      </c>
      <c r="P18" s="3">
        <f t="shared" si="3"/>
        <v>768.33999999999992</v>
      </c>
      <c r="Q18" s="17">
        <f t="shared" si="4"/>
        <v>-1.99853E-4</v>
      </c>
      <c r="R18" s="3">
        <f t="shared" si="5"/>
        <v>771.8309999999999</v>
      </c>
      <c r="S18" s="24">
        <f t="shared" si="6"/>
        <v>3.0617100000000002</v>
      </c>
      <c r="T18" s="3">
        <f t="shared" si="7"/>
        <v>773.91699999999992</v>
      </c>
      <c r="U18" s="24">
        <f t="shared" si="6"/>
        <v>0.87807000000000002</v>
      </c>
      <c r="V18" s="42">
        <f t="shared" si="8"/>
        <v>0.88286179105186513</v>
      </c>
      <c r="W18" s="49">
        <f t="shared" si="9"/>
        <v>-5.4571857048585108E-3</v>
      </c>
    </row>
    <row r="19" spans="2:23" x14ac:dyDescent="0.6">
      <c r="B19" s="28"/>
      <c r="C19" s="29"/>
      <c r="D19" s="28">
        <v>548.52700000000004</v>
      </c>
      <c r="E19" s="29">
        <v>11.1571</v>
      </c>
      <c r="F19" s="28">
        <v>545.31600000000003</v>
      </c>
      <c r="G19" s="29">
        <v>-199.11500000000001</v>
      </c>
      <c r="H19" s="28">
        <v>548.30799999999999</v>
      </c>
      <c r="I19" s="29">
        <v>3.15469</v>
      </c>
      <c r="J19" s="28">
        <v>548.05600000000004</v>
      </c>
      <c r="K19" s="29">
        <v>0.91858799999999996</v>
      </c>
      <c r="N19" s="3">
        <f t="shared" si="1"/>
        <v>821.67700000000002</v>
      </c>
      <c r="O19" s="21">
        <f t="shared" si="2"/>
        <v>89629.025463606144</v>
      </c>
      <c r="P19" s="3">
        <f t="shared" si="3"/>
        <v>818.46600000000001</v>
      </c>
      <c r="Q19" s="17">
        <f t="shared" si="4"/>
        <v>-1.9911500000000001E-4</v>
      </c>
      <c r="R19" s="3">
        <f t="shared" si="5"/>
        <v>821.45799999999997</v>
      </c>
      <c r="S19" s="35">
        <f t="shared" si="6"/>
        <v>3.15469</v>
      </c>
      <c r="T19" s="3">
        <f t="shared" si="7"/>
        <v>821.20600000000002</v>
      </c>
      <c r="U19" s="35">
        <f t="shared" si="6"/>
        <v>0.91858799999999996</v>
      </c>
      <c r="V19" s="42">
        <f t="shared" si="8"/>
        <v>0.92502198615726994</v>
      </c>
      <c r="W19" s="49">
        <f t="shared" si="9"/>
        <v>-7.0042131589678697E-3</v>
      </c>
    </row>
    <row r="20" spans="2:23" x14ac:dyDescent="0.6">
      <c r="B20" s="30"/>
      <c r="C20" s="30"/>
      <c r="D20" s="30"/>
      <c r="E20" s="30"/>
      <c r="F20" s="30"/>
      <c r="G20" s="30"/>
      <c r="H20" s="30"/>
      <c r="I20" s="30"/>
      <c r="J20" s="30"/>
      <c r="K20" s="30"/>
      <c r="N20" s="30"/>
      <c r="O20" s="39"/>
      <c r="P20" s="30"/>
      <c r="Q20" s="40"/>
      <c r="R20" s="30"/>
      <c r="S20" s="41"/>
      <c r="T20" s="30"/>
      <c r="U20" s="41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B31" s="31"/>
      <c r="C31" s="31"/>
      <c r="D31" s="31"/>
      <c r="E31" s="31"/>
      <c r="F31" s="31"/>
      <c r="G31" s="31"/>
      <c r="H31" s="31"/>
      <c r="I31" s="31"/>
      <c r="J31" s="31"/>
      <c r="K31" s="31"/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323.15672275149802</v>
      </c>
      <c r="E9" s="4">
        <v>0.892285511855335</v>
      </c>
      <c r="F9" s="3">
        <v>322.66264375018</v>
      </c>
      <c r="G9" s="4">
        <v>-398.09104258443398</v>
      </c>
      <c r="H9" s="3">
        <v>318.78952122854503</v>
      </c>
      <c r="I9" s="4">
        <v>1.14530878851436</v>
      </c>
      <c r="J9" s="3">
        <v>324.38638225782802</v>
      </c>
      <c r="K9" s="4">
        <v>8.1795908027597602E-3</v>
      </c>
      <c r="N9" s="3">
        <f>D9</f>
        <v>323.15672275149802</v>
      </c>
      <c r="O9" s="21">
        <f>1/(E9*(10^(-2)))</f>
        <v>112.07175132998557</v>
      </c>
      <c r="P9" s="3">
        <f>F9</f>
        <v>322.66264375018</v>
      </c>
      <c r="Q9" s="17">
        <f>G9*(10^(-6))</f>
        <v>-3.9809104258443397E-4</v>
      </c>
      <c r="R9" s="3">
        <f>H9</f>
        <v>318.78952122854503</v>
      </c>
      <c r="S9" s="24">
        <f>I9</f>
        <v>1.14530878851436</v>
      </c>
      <c r="T9" s="3">
        <f>J9</f>
        <v>324.38638225782802</v>
      </c>
      <c r="U9" s="51">
        <f>K9</f>
        <v>8.1795908027597602E-3</v>
      </c>
      <c r="V9" s="42">
        <f>((O9*(Q9)^2)/S9)*T9</f>
        <v>5.030382288706595E-3</v>
      </c>
      <c r="W9" s="49">
        <f>(U9-V9)/U9</f>
        <v>0.38500807558620598</v>
      </c>
    </row>
    <row r="10" spans="1:23" x14ac:dyDescent="0.6">
      <c r="B10" s="3"/>
      <c r="C10" s="4"/>
      <c r="D10" s="3">
        <v>369.25346780487001</v>
      </c>
      <c r="E10" s="4">
        <v>0.53022996605588502</v>
      </c>
      <c r="F10" s="3">
        <v>368.61771689849797</v>
      </c>
      <c r="G10" s="4">
        <v>-399.26578560939703</v>
      </c>
      <c r="H10" s="3">
        <v>369.73803071364</v>
      </c>
      <c r="I10" s="4">
        <v>1.0107689187828499</v>
      </c>
      <c r="J10" s="3">
        <v>369.41311980240698</v>
      </c>
      <c r="K10" s="4">
        <v>1.19240344995468E-2</v>
      </c>
      <c r="N10" s="3">
        <f t="shared" ref="N10:N17" si="0">D10</f>
        <v>369.25346780487001</v>
      </c>
      <c r="O10" s="21">
        <f t="shared" ref="O10:O17" si="1">1/(E10*(10^(-2)))</f>
        <v>188.59741320138858</v>
      </c>
      <c r="P10" s="3">
        <f t="shared" ref="P10:P17" si="2">F10</f>
        <v>368.61771689849797</v>
      </c>
      <c r="Q10" s="17">
        <f t="shared" ref="Q10:Q17" si="3">G10*(10^(-6))</f>
        <v>-3.9926578560939703E-4</v>
      </c>
      <c r="R10" s="3">
        <f t="shared" ref="R10:U17" si="4">H10</f>
        <v>369.73803071364</v>
      </c>
      <c r="S10" s="24">
        <f t="shared" si="4"/>
        <v>1.0107689187828499</v>
      </c>
      <c r="T10" s="3">
        <f t="shared" si="4"/>
        <v>369.41311980240698</v>
      </c>
      <c r="U10" s="51">
        <f t="shared" si="4"/>
        <v>1.19240344995468E-2</v>
      </c>
      <c r="V10" s="42">
        <f>((O10*(AVERAGE(Q9,Q10)^2)/S10)*T10)</f>
        <v>1.095573735605219E-2</v>
      </c>
      <c r="W10" s="49">
        <f t="shared" ref="W10:W17" si="5">(U10-V10)/U10</f>
        <v>8.1205496640538277E-2</v>
      </c>
    </row>
    <row r="11" spans="1:23" x14ac:dyDescent="0.6">
      <c r="B11" s="2"/>
      <c r="C11" s="1"/>
      <c r="D11" s="2">
        <v>416.44139951946801</v>
      </c>
      <c r="E11" s="1">
        <v>0.169012172834205</v>
      </c>
      <c r="F11" s="2">
        <v>415.602618108907</v>
      </c>
      <c r="G11" s="1">
        <v>-376.94566813509499</v>
      </c>
      <c r="H11" s="2">
        <v>423.93857271906001</v>
      </c>
      <c r="I11" s="1">
        <v>0.87621883858817595</v>
      </c>
      <c r="J11" s="2">
        <v>419.68366179677798</v>
      </c>
      <c r="K11" s="1">
        <v>4.0929619499606197E-2</v>
      </c>
      <c r="N11" s="3">
        <f t="shared" si="0"/>
        <v>416.44139951946801</v>
      </c>
      <c r="O11" s="21">
        <f t="shared" si="1"/>
        <v>591.67335892484198</v>
      </c>
      <c r="P11" s="3">
        <f t="shared" si="2"/>
        <v>415.602618108907</v>
      </c>
      <c r="Q11" s="17">
        <f t="shared" si="3"/>
        <v>-3.76945668135095E-4</v>
      </c>
      <c r="R11" s="3">
        <f t="shared" si="4"/>
        <v>423.93857271906001</v>
      </c>
      <c r="S11" s="24">
        <f t="shared" si="4"/>
        <v>0.87621883858817595</v>
      </c>
      <c r="T11" s="3">
        <f t="shared" si="4"/>
        <v>419.68366179677798</v>
      </c>
      <c r="U11" s="51">
        <f t="shared" si="4"/>
        <v>4.0929619499606197E-2</v>
      </c>
      <c r="V11" s="42">
        <f t="shared" ref="V11:V17" si="6">((O11*(Q11)^2)/S11)*T11</f>
        <v>4.0266974968507493E-2</v>
      </c>
      <c r="W11" s="49">
        <f t="shared" si="5"/>
        <v>1.618985319678037E-2</v>
      </c>
    </row>
    <row r="12" spans="1:23" x14ac:dyDescent="0.6">
      <c r="B12" s="2"/>
      <c r="C12" s="1"/>
      <c r="D12" s="2">
        <v>463.25996711071099</v>
      </c>
      <c r="E12" s="1">
        <v>5.9766622659409498E-2</v>
      </c>
      <c r="F12" s="2">
        <v>462.63652049855801</v>
      </c>
      <c r="G12" s="1">
        <v>-372.54038179148301</v>
      </c>
      <c r="H12" s="2">
        <v>474.16440831074902</v>
      </c>
      <c r="I12" s="1">
        <v>0.83587276061143601</v>
      </c>
      <c r="J12" s="2">
        <v>469.554427032825</v>
      </c>
      <c r="K12" s="1">
        <v>0.135340265435935</v>
      </c>
      <c r="N12" s="3">
        <f t="shared" si="0"/>
        <v>463.25996711071099</v>
      </c>
      <c r="O12" s="21">
        <f t="shared" si="1"/>
        <v>1673.1746843027654</v>
      </c>
      <c r="P12" s="3">
        <f t="shared" si="2"/>
        <v>462.63652049855801</v>
      </c>
      <c r="Q12" s="17">
        <f t="shared" si="3"/>
        <v>-3.7254038179148301E-4</v>
      </c>
      <c r="R12" s="3">
        <f t="shared" si="4"/>
        <v>474.16440831074902</v>
      </c>
      <c r="S12" s="24">
        <f t="shared" si="4"/>
        <v>0.83587276061143601</v>
      </c>
      <c r="T12" s="3">
        <f t="shared" si="4"/>
        <v>469.554427032825</v>
      </c>
      <c r="U12" s="51">
        <f t="shared" si="4"/>
        <v>0.135340265435935</v>
      </c>
      <c r="V12" s="42">
        <f t="shared" si="6"/>
        <v>0.13044689987307961</v>
      </c>
      <c r="W12" s="49">
        <f t="shared" si="5"/>
        <v>3.6156021617762525E-2</v>
      </c>
    </row>
    <row r="13" spans="1:23" x14ac:dyDescent="0.6">
      <c r="B13" s="2"/>
      <c r="C13" s="1"/>
      <c r="D13" s="2">
        <v>511.21838931285902</v>
      </c>
      <c r="E13" s="1">
        <v>2.7786659053607402E-2</v>
      </c>
      <c r="F13" s="2">
        <v>510.154811594482</v>
      </c>
      <c r="G13" s="1">
        <v>-345.227606461086</v>
      </c>
      <c r="H13" s="2">
        <v>524.39024390243901</v>
      </c>
      <c r="I13" s="1">
        <v>0.799294343545214</v>
      </c>
      <c r="J13" s="2">
        <v>514.90573580693501</v>
      </c>
      <c r="K13" s="1">
        <v>0.27410238243198798</v>
      </c>
      <c r="N13" s="3">
        <f t="shared" si="0"/>
        <v>511.21838931285902</v>
      </c>
      <c r="O13" s="21">
        <f t="shared" si="1"/>
        <v>3598.8493545436691</v>
      </c>
      <c r="P13" s="3">
        <f t="shared" si="2"/>
        <v>510.154811594482</v>
      </c>
      <c r="Q13" s="17">
        <f t="shared" si="3"/>
        <v>-3.4522760646108597E-4</v>
      </c>
      <c r="R13" s="3">
        <f t="shared" si="4"/>
        <v>524.39024390243901</v>
      </c>
      <c r="S13" s="24">
        <f t="shared" si="4"/>
        <v>0.799294343545214</v>
      </c>
      <c r="T13" s="3">
        <f t="shared" si="4"/>
        <v>514.90573580693501</v>
      </c>
      <c r="U13" s="51">
        <f t="shared" si="4"/>
        <v>0.27410238243198798</v>
      </c>
      <c r="V13" s="42">
        <f t="shared" si="6"/>
        <v>0.27630942068519943</v>
      </c>
      <c r="W13" s="49">
        <f t="shared" si="5"/>
        <v>-8.0518754840048518E-3</v>
      </c>
    </row>
    <row r="14" spans="1:23" x14ac:dyDescent="0.6">
      <c r="B14" s="2"/>
      <c r="C14" s="1"/>
      <c r="D14" s="2">
        <v>558.06359620287503</v>
      </c>
      <c r="E14" s="1">
        <v>1.60506066755534E-2</v>
      </c>
      <c r="F14" s="2">
        <v>557.16461504352196</v>
      </c>
      <c r="G14" s="1">
        <v>-332.01174743024899</v>
      </c>
      <c r="H14" s="2">
        <v>573.89340560072196</v>
      </c>
      <c r="I14" s="1">
        <v>0.77653295214270801</v>
      </c>
      <c r="J14" s="2">
        <v>565.09790572393194</v>
      </c>
      <c r="K14" s="1">
        <v>0.51196955363539498</v>
      </c>
      <c r="N14" s="3">
        <f t="shared" si="0"/>
        <v>558.06359620287503</v>
      </c>
      <c r="O14" s="21">
        <f t="shared" si="1"/>
        <v>6230.2940955066515</v>
      </c>
      <c r="P14" s="3">
        <f t="shared" si="2"/>
        <v>557.16461504352196</v>
      </c>
      <c r="Q14" s="17">
        <f t="shared" si="3"/>
        <v>-3.3201174743024899E-4</v>
      </c>
      <c r="R14" s="3">
        <f t="shared" si="4"/>
        <v>573.89340560072196</v>
      </c>
      <c r="S14" s="24">
        <f t="shared" si="4"/>
        <v>0.77653295214270801</v>
      </c>
      <c r="T14" s="3">
        <f t="shared" si="4"/>
        <v>565.09790572393194</v>
      </c>
      <c r="U14" s="51">
        <f t="shared" si="4"/>
        <v>0.51196955363539498</v>
      </c>
      <c r="V14" s="42">
        <f t="shared" si="6"/>
        <v>0.49978044172513936</v>
      </c>
      <c r="W14" s="49">
        <f t="shared" si="5"/>
        <v>2.3808274972023511E-2</v>
      </c>
    </row>
    <row r="15" spans="1:23" x14ac:dyDescent="0.6">
      <c r="B15" s="2"/>
      <c r="C15" s="1"/>
      <c r="D15" s="2">
        <v>607.16289760434097</v>
      </c>
      <c r="E15" s="1">
        <v>9.9977590092307604E-3</v>
      </c>
      <c r="F15" s="2">
        <v>605.83322890458999</v>
      </c>
      <c r="G15" s="1">
        <v>-325.25697503671</v>
      </c>
      <c r="H15" s="2">
        <v>623.03523035230296</v>
      </c>
      <c r="I15" s="1">
        <v>0.75377269523610901</v>
      </c>
      <c r="J15" s="2">
        <v>614.872882865409</v>
      </c>
      <c r="K15" s="1">
        <v>0.86165547159803801</v>
      </c>
      <c r="N15" s="3">
        <f t="shared" si="0"/>
        <v>607.16289760434097</v>
      </c>
      <c r="O15" s="21">
        <f t="shared" si="1"/>
        <v>10002.241493085772</v>
      </c>
      <c r="P15" s="3">
        <f t="shared" si="2"/>
        <v>605.83322890458999</v>
      </c>
      <c r="Q15" s="17">
        <f t="shared" si="3"/>
        <v>-3.2525697503671001E-4</v>
      </c>
      <c r="R15" s="3">
        <f t="shared" si="4"/>
        <v>623.03523035230296</v>
      </c>
      <c r="S15" s="24">
        <f t="shared" si="4"/>
        <v>0.75377269523610901</v>
      </c>
      <c r="T15" s="3">
        <f t="shared" si="4"/>
        <v>614.872882865409</v>
      </c>
      <c r="U15" s="51">
        <f t="shared" si="4"/>
        <v>0.86165547159803801</v>
      </c>
      <c r="V15" s="42">
        <f t="shared" si="6"/>
        <v>0.86316835865017527</v>
      </c>
      <c r="W15" s="49">
        <f t="shared" si="5"/>
        <v>-1.7557911508777821E-3</v>
      </c>
    </row>
    <row r="16" spans="1:23" x14ac:dyDescent="0.6">
      <c r="B16" s="2"/>
      <c r="C16" s="1"/>
      <c r="D16" s="2">
        <v>654.01988726112097</v>
      </c>
      <c r="E16" s="1">
        <v>7.1749671716667797E-3</v>
      </c>
      <c r="F16" s="2">
        <v>652.82696639322398</v>
      </c>
      <c r="G16" s="1">
        <v>-306.16740088105701</v>
      </c>
      <c r="H16" s="2">
        <v>673.26106594399198</v>
      </c>
      <c r="I16" s="1">
        <v>0.74231201757334098</v>
      </c>
      <c r="J16" s="2">
        <v>664.65498474119397</v>
      </c>
      <c r="K16" s="1">
        <v>1.1923539726331001</v>
      </c>
      <c r="N16" s="3">
        <f t="shared" si="0"/>
        <v>654.01988726112097</v>
      </c>
      <c r="O16" s="21">
        <f t="shared" si="1"/>
        <v>13937.345998583784</v>
      </c>
      <c r="P16" s="3">
        <f t="shared" si="2"/>
        <v>652.82696639322398</v>
      </c>
      <c r="Q16" s="17">
        <f t="shared" si="3"/>
        <v>-3.0616740088105701E-4</v>
      </c>
      <c r="R16" s="3">
        <f t="shared" si="4"/>
        <v>673.26106594399198</v>
      </c>
      <c r="S16" s="24">
        <f t="shared" si="4"/>
        <v>0.74231201757334098</v>
      </c>
      <c r="T16" s="3">
        <f t="shared" si="4"/>
        <v>664.65498474119397</v>
      </c>
      <c r="U16" s="51">
        <f t="shared" si="4"/>
        <v>1.1923539726331001</v>
      </c>
      <c r="V16" s="42">
        <f t="shared" si="6"/>
        <v>1.1697895868717656</v>
      </c>
      <c r="W16" s="49">
        <f t="shared" si="5"/>
        <v>1.8924234144584648E-2</v>
      </c>
    </row>
    <row r="17" spans="2:23" x14ac:dyDescent="0.6">
      <c r="B17" s="2"/>
      <c r="C17" s="1"/>
      <c r="D17" s="2">
        <v>703.13097142935203</v>
      </c>
      <c r="E17" s="1">
        <v>5.5525600515029302E-3</v>
      </c>
      <c r="F17" s="2">
        <v>702.57842598572699</v>
      </c>
      <c r="G17" s="1">
        <v>-295.30102790014598</v>
      </c>
      <c r="H17" s="2">
        <v>709.75609756097504</v>
      </c>
      <c r="I17" s="1">
        <v>0.73591799863576801</v>
      </c>
      <c r="J17" s="2">
        <v>704.69836645675002</v>
      </c>
      <c r="K17" s="1">
        <v>1.47674170067407</v>
      </c>
      <c r="N17" s="3">
        <f t="shared" si="0"/>
        <v>703.13097142935203</v>
      </c>
      <c r="O17" s="21">
        <f t="shared" si="1"/>
        <v>18009.710669033226</v>
      </c>
      <c r="P17" s="3">
        <f t="shared" si="2"/>
        <v>702.57842598572699</v>
      </c>
      <c r="Q17" s="17">
        <f t="shared" si="3"/>
        <v>-2.9530102790014599E-4</v>
      </c>
      <c r="R17" s="3">
        <f t="shared" si="4"/>
        <v>709.75609756097504</v>
      </c>
      <c r="S17" s="24">
        <f t="shared" si="4"/>
        <v>0.73591799863576801</v>
      </c>
      <c r="T17" s="3">
        <f t="shared" si="4"/>
        <v>704.69836645675002</v>
      </c>
      <c r="U17" s="51">
        <f t="shared" si="4"/>
        <v>1.47674170067407</v>
      </c>
      <c r="V17" s="42">
        <f t="shared" si="6"/>
        <v>1.5038706832298505</v>
      </c>
      <c r="W17" s="49">
        <f t="shared" si="5"/>
        <v>-1.8370838003286104E-2</v>
      </c>
    </row>
    <row r="18" spans="2:23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  <c r="W18" s="49"/>
    </row>
    <row r="19" spans="2:23" x14ac:dyDescent="0.6">
      <c r="B19" s="28"/>
      <c r="C19" s="29"/>
      <c r="D19" s="28"/>
      <c r="E19" s="29"/>
      <c r="F19" s="28"/>
      <c r="G19" s="29"/>
      <c r="H19" s="28"/>
      <c r="I19" s="29"/>
      <c r="J19" s="28"/>
      <c r="K19" s="29"/>
      <c r="N19" s="32"/>
      <c r="O19" s="33"/>
      <c r="P19" s="32"/>
      <c r="Q19" s="34"/>
      <c r="R19" s="32"/>
      <c r="S19" s="35"/>
      <c r="T19" s="32"/>
      <c r="U19" s="35"/>
      <c r="W19" s="49"/>
    </row>
    <row r="20" spans="2:23" x14ac:dyDescent="0.6">
      <c r="B20" s="30"/>
      <c r="C20" s="30"/>
      <c r="D20" s="30"/>
      <c r="E20" s="30"/>
      <c r="F20" s="30"/>
      <c r="G20" s="30"/>
      <c r="H20" s="30"/>
      <c r="I20" s="30"/>
      <c r="J20" s="30"/>
      <c r="K20" s="30"/>
      <c r="N20" s="30"/>
      <c r="O20" s="39"/>
      <c r="P20" s="30"/>
      <c r="Q20" s="40"/>
      <c r="R20" s="30"/>
      <c r="S20" s="41"/>
      <c r="T20" s="30"/>
      <c r="U20" s="41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</row>
    <row r="22" spans="2:23" x14ac:dyDescent="0.6">
      <c r="B22" s="31"/>
      <c r="C22" s="31"/>
    </row>
    <row r="23" spans="2:23" ht="17.25" thickBot="1" x14ac:dyDescent="0.65">
      <c r="B23" s="31"/>
      <c r="C23" s="31"/>
      <c r="D23" t="s">
        <v>79</v>
      </c>
    </row>
    <row r="24" spans="2:23" x14ac:dyDescent="0.6">
      <c r="B24" s="31"/>
      <c r="C24" s="31"/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  <c r="V24"/>
    </row>
    <row r="25" spans="2:23" ht="17.25" thickBot="1" x14ac:dyDescent="0.65">
      <c r="B25" s="31"/>
      <c r="C25" s="31"/>
      <c r="D25" s="11" t="s">
        <v>4</v>
      </c>
      <c r="E25" s="10" t="s">
        <v>35</v>
      </c>
      <c r="F25" s="11" t="s">
        <v>4</v>
      </c>
      <c r="G25" s="27" t="s">
        <v>13</v>
      </c>
      <c r="H25" s="11" t="s">
        <v>4</v>
      </c>
      <c r="I25" s="10" t="s">
        <v>15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1"/>
      <c r="C26" s="31"/>
      <c r="D26" s="3">
        <v>319.83499999999998</v>
      </c>
      <c r="E26" s="4">
        <v>0.958256</v>
      </c>
      <c r="F26" s="3">
        <v>347.93400000000003</v>
      </c>
      <c r="G26" s="4">
        <v>-396</v>
      </c>
      <c r="H26" s="3">
        <v>315.471</v>
      </c>
      <c r="I26" s="4">
        <v>1.1416900000000001</v>
      </c>
      <c r="J26" s="3">
        <v>321.488</v>
      </c>
      <c r="K26" s="4">
        <v>2.8301900000000001E-2</v>
      </c>
      <c r="N26" s="3">
        <f>D26</f>
        <v>319.83499999999998</v>
      </c>
      <c r="O26" s="21">
        <f>(1/E26)*100</f>
        <v>104.35624718238132</v>
      </c>
      <c r="P26" s="3">
        <f>F26</f>
        <v>347.93400000000003</v>
      </c>
      <c r="Q26" s="17">
        <f>G26*0.000001</f>
        <v>-3.9599999999999998E-4</v>
      </c>
      <c r="R26" s="3">
        <f>H26</f>
        <v>315.471</v>
      </c>
      <c r="S26" s="24">
        <f>I26</f>
        <v>1.1416900000000001</v>
      </c>
      <c r="T26" s="3">
        <f>J26</f>
        <v>321.488</v>
      </c>
      <c r="U26" s="24">
        <f>K26</f>
        <v>2.8301900000000001E-2</v>
      </c>
      <c r="W26" s="49"/>
    </row>
    <row r="27" spans="2:23" x14ac:dyDescent="0.6">
      <c r="B27" s="31"/>
      <c r="C27" s="31"/>
      <c r="D27" s="3">
        <v>369.42099999999999</v>
      </c>
      <c r="E27" s="4">
        <v>0.57445900000000005</v>
      </c>
      <c r="F27" s="3">
        <v>377.68599999999998</v>
      </c>
      <c r="G27" s="4">
        <v>-398.66699999999997</v>
      </c>
      <c r="H27" s="3">
        <v>363.50200000000001</v>
      </c>
      <c r="I27" s="4">
        <v>1.01369</v>
      </c>
      <c r="J27" s="3">
        <v>366.11599999999999</v>
      </c>
      <c r="K27" s="4">
        <v>4.7169799999999998E-2</v>
      </c>
      <c r="N27" s="3">
        <f t="shared" ref="N27:N34" si="7">D27</f>
        <v>369.42099999999999</v>
      </c>
      <c r="O27" s="21">
        <f t="shared" ref="O27:O34" si="8">(1/E27)*100</f>
        <v>174.07682706685767</v>
      </c>
      <c r="P27" s="3">
        <f t="shared" ref="P27:P34" si="9">F27</f>
        <v>377.68599999999998</v>
      </c>
      <c r="Q27" s="17">
        <f t="shared" ref="Q27:Q34" si="10">G27*0.000001</f>
        <v>-3.9866699999999996E-4</v>
      </c>
      <c r="R27" s="3">
        <f t="shared" ref="R27:R34" si="11">H27</f>
        <v>363.50200000000001</v>
      </c>
      <c r="S27" s="24">
        <f t="shared" ref="S27:S34" si="12">I27</f>
        <v>1.01369</v>
      </c>
      <c r="T27" s="3">
        <f t="shared" ref="T27:T36" si="13">J27</f>
        <v>366.11599999999999</v>
      </c>
      <c r="U27" s="24">
        <f t="shared" ref="U27:U36" si="14">K27</f>
        <v>4.7169799999999998E-2</v>
      </c>
      <c r="V27" s="22">
        <f>((O27*(AVERAGE(Q26,Q27)^2)/S27)*T27)</f>
        <v>9.9257852427283161E-3</v>
      </c>
      <c r="W27" s="49">
        <f t="shared" ref="W27:W33" si="15">(U27-V27)/U27</f>
        <v>0.78957330235175227</v>
      </c>
    </row>
    <row r="28" spans="2:23" x14ac:dyDescent="0.6">
      <c r="B28" s="31"/>
      <c r="C28" s="31"/>
      <c r="D28" s="2">
        <v>410.74400000000003</v>
      </c>
      <c r="E28" s="1">
        <v>0.18165999999999999</v>
      </c>
      <c r="F28" s="2">
        <v>407.43799999999999</v>
      </c>
      <c r="G28" s="1">
        <v>-376</v>
      </c>
      <c r="H28" s="2">
        <v>416.45800000000003</v>
      </c>
      <c r="I28" s="1">
        <v>0.89171599999999995</v>
      </c>
      <c r="J28" s="2">
        <v>409.09100000000001</v>
      </c>
      <c r="K28" s="1">
        <v>5.6603800000000003E-2</v>
      </c>
      <c r="N28" s="3">
        <f t="shared" si="7"/>
        <v>410.74400000000003</v>
      </c>
      <c r="O28" s="21">
        <f t="shared" si="8"/>
        <v>550.47891665749205</v>
      </c>
      <c r="P28" s="3">
        <f t="shared" si="9"/>
        <v>407.43799999999999</v>
      </c>
      <c r="Q28" s="17">
        <f t="shared" si="10"/>
        <v>-3.7599999999999998E-4</v>
      </c>
      <c r="R28" s="3">
        <f t="shared" si="11"/>
        <v>416.45800000000003</v>
      </c>
      <c r="S28" s="24">
        <f t="shared" si="12"/>
        <v>0.89171599999999995</v>
      </c>
      <c r="T28" s="3">
        <f t="shared" si="13"/>
        <v>409.09100000000001</v>
      </c>
      <c r="U28" s="24">
        <f t="shared" si="14"/>
        <v>5.6603800000000003E-2</v>
      </c>
      <c r="V28" s="22">
        <f t="shared" ref="V28" si="16">((O28*(Q28)^2)/S28)*T28</f>
        <v>3.5703414006933158E-2</v>
      </c>
      <c r="W28" s="49">
        <f t="shared" si="15"/>
        <v>0.36923998023219012</v>
      </c>
    </row>
    <row r="29" spans="2:23" x14ac:dyDescent="0.6">
      <c r="B29" s="31"/>
      <c r="C29" s="31"/>
      <c r="D29" s="2">
        <v>460.33100000000002</v>
      </c>
      <c r="E29" s="1">
        <v>6.2559900000000002E-2</v>
      </c>
      <c r="F29" s="2">
        <v>442.149</v>
      </c>
      <c r="G29" s="1">
        <v>-370.66699999999997</v>
      </c>
      <c r="H29" s="2">
        <v>469.25099999999998</v>
      </c>
      <c r="I29" s="1">
        <v>0.84032700000000005</v>
      </c>
      <c r="J29" s="2">
        <v>450.41300000000001</v>
      </c>
      <c r="K29" s="1">
        <v>0.122642</v>
      </c>
      <c r="N29" s="3">
        <f t="shared" si="7"/>
        <v>460.33100000000002</v>
      </c>
      <c r="O29" s="21">
        <f t="shared" si="8"/>
        <v>1598.4680282417332</v>
      </c>
      <c r="P29" s="3">
        <f t="shared" si="9"/>
        <v>442.149</v>
      </c>
      <c r="Q29" s="17">
        <f t="shared" si="10"/>
        <v>-3.7066699999999998E-4</v>
      </c>
      <c r="R29" s="3">
        <f t="shared" si="11"/>
        <v>469.25099999999998</v>
      </c>
      <c r="S29" s="24">
        <f t="shared" si="12"/>
        <v>0.84032700000000005</v>
      </c>
      <c r="T29" s="3">
        <f t="shared" si="13"/>
        <v>450.41300000000001</v>
      </c>
      <c r="U29" s="24">
        <f t="shared" si="14"/>
        <v>0.122642</v>
      </c>
      <c r="V29" s="22">
        <f>((O29*(AVERAGE(Q29,A28))^2)/AVERAGE(S28,S29))*T29</f>
        <v>0.11422312640885161</v>
      </c>
      <c r="W29" s="49">
        <f t="shared" si="15"/>
        <v>6.8645925467200372E-2</v>
      </c>
    </row>
    <row r="30" spans="2:23" x14ac:dyDescent="0.6">
      <c r="B30" s="31"/>
      <c r="C30" s="31"/>
      <c r="D30" s="2">
        <v>506.61200000000002</v>
      </c>
      <c r="E30" s="1">
        <v>3.0302699999999998E-2</v>
      </c>
      <c r="F30" s="2">
        <v>473.55399999999997</v>
      </c>
      <c r="G30" s="1">
        <v>-345.33300000000003</v>
      </c>
      <c r="H30" s="2">
        <v>518.68499999999995</v>
      </c>
      <c r="I30" s="1">
        <v>0.81825099999999995</v>
      </c>
      <c r="J30" s="2">
        <v>500</v>
      </c>
      <c r="K30" s="1">
        <v>0.245283</v>
      </c>
      <c r="N30" s="3">
        <f t="shared" si="7"/>
        <v>506.61200000000002</v>
      </c>
      <c r="O30" s="21">
        <f t="shared" si="8"/>
        <v>3300.0359703920772</v>
      </c>
      <c r="P30" s="3">
        <f t="shared" si="9"/>
        <v>473.55399999999997</v>
      </c>
      <c r="Q30" s="17">
        <f t="shared" si="10"/>
        <v>-3.4533300000000002E-4</v>
      </c>
      <c r="R30" s="3">
        <f t="shared" si="11"/>
        <v>518.68499999999995</v>
      </c>
      <c r="S30" s="24">
        <f t="shared" si="12"/>
        <v>0.81825099999999995</v>
      </c>
      <c r="T30" s="3">
        <f t="shared" si="13"/>
        <v>500</v>
      </c>
      <c r="U30" s="24">
        <f t="shared" si="14"/>
        <v>0.245283</v>
      </c>
      <c r="V30" s="22">
        <f>((O30*(Q31)^2)/AVERAGE(S29,S30))*T30</f>
        <v>0.2175527030747339</v>
      </c>
      <c r="W30" s="49">
        <f t="shared" si="15"/>
        <v>0.11305429616103073</v>
      </c>
    </row>
    <row r="31" spans="2:23" x14ac:dyDescent="0.6">
      <c r="D31" s="2">
        <v>552.89300000000003</v>
      </c>
      <c r="E31" s="1">
        <v>1.7407700000000002E-2</v>
      </c>
      <c r="F31" s="2">
        <v>503.30599999999998</v>
      </c>
      <c r="G31" s="1">
        <v>-330.66699999999997</v>
      </c>
      <c r="H31" s="2">
        <v>566.47199999999998</v>
      </c>
      <c r="I31" s="1">
        <v>0.79612700000000003</v>
      </c>
      <c r="J31" s="2">
        <v>536.36400000000003</v>
      </c>
      <c r="K31" s="1">
        <v>0.40566000000000002</v>
      </c>
      <c r="N31" s="3">
        <f t="shared" si="7"/>
        <v>552.89300000000003</v>
      </c>
      <c r="O31" s="21">
        <f t="shared" si="8"/>
        <v>5744.5842931576253</v>
      </c>
      <c r="P31" s="3">
        <f t="shared" si="9"/>
        <v>503.30599999999998</v>
      </c>
      <c r="Q31" s="17">
        <f t="shared" si="10"/>
        <v>-3.3066699999999998E-4</v>
      </c>
      <c r="R31" s="3">
        <f t="shared" si="11"/>
        <v>566.47199999999998</v>
      </c>
      <c r="S31" s="24">
        <f t="shared" si="12"/>
        <v>0.79612700000000003</v>
      </c>
      <c r="T31" s="3">
        <f t="shared" si="13"/>
        <v>536.36400000000003</v>
      </c>
      <c r="U31" s="24">
        <f t="shared" si="14"/>
        <v>0.40566000000000002</v>
      </c>
      <c r="V31" s="22">
        <f>((AVERAGE(O30,O31)*(Q32)^2)/AVERAGE(S30,S31))*T31</f>
        <v>0.31805407489937548</v>
      </c>
      <c r="W31" s="49">
        <f t="shared" si="15"/>
        <v>0.21595899300060281</v>
      </c>
    </row>
    <row r="32" spans="2:23" x14ac:dyDescent="0.6">
      <c r="D32" s="2">
        <v>599.17399999999998</v>
      </c>
      <c r="E32" s="1">
        <v>1.0890199999999999E-2</v>
      </c>
      <c r="F32" s="2">
        <v>538.01700000000005</v>
      </c>
      <c r="G32" s="1">
        <v>-325.33300000000003</v>
      </c>
      <c r="H32" s="2">
        <v>614.26</v>
      </c>
      <c r="I32" s="1">
        <v>0.774003</v>
      </c>
      <c r="J32" s="2">
        <v>572.72699999999998</v>
      </c>
      <c r="K32" s="1">
        <v>0.62264200000000003</v>
      </c>
      <c r="N32" s="3">
        <f t="shared" si="7"/>
        <v>599.17399999999998</v>
      </c>
      <c r="O32" s="21">
        <f t="shared" si="8"/>
        <v>9182.567813263302</v>
      </c>
      <c r="P32" s="3">
        <f t="shared" si="9"/>
        <v>538.01700000000005</v>
      </c>
      <c r="Q32" s="17">
        <f t="shared" si="10"/>
        <v>-3.2533300000000002E-4</v>
      </c>
      <c r="R32" s="3">
        <f t="shared" si="11"/>
        <v>614.26</v>
      </c>
      <c r="S32" s="24">
        <f t="shared" si="12"/>
        <v>0.774003</v>
      </c>
      <c r="T32" s="3">
        <f t="shared" si="13"/>
        <v>572.72699999999998</v>
      </c>
      <c r="U32" s="24">
        <f t="shared" si="14"/>
        <v>0.62264200000000003</v>
      </c>
      <c r="V32" s="22">
        <f>((AVERAGE(O31,O32)*(Q33)^2)/S31)*T32</f>
        <v>0.49620305569103496</v>
      </c>
      <c r="W32" s="49">
        <f t="shared" si="15"/>
        <v>0.20306844753319736</v>
      </c>
    </row>
    <row r="33" spans="4:23" x14ac:dyDescent="0.6">
      <c r="D33" s="2">
        <v>647.10699999999997</v>
      </c>
      <c r="E33" s="1">
        <v>7.4194300000000003E-3</v>
      </c>
      <c r="F33" s="2">
        <v>571.07399999999996</v>
      </c>
      <c r="G33" s="1">
        <v>-304</v>
      </c>
      <c r="H33" s="2">
        <v>666.97199999999998</v>
      </c>
      <c r="I33" s="1">
        <v>0.75790599999999997</v>
      </c>
      <c r="J33" s="2">
        <v>602.47900000000004</v>
      </c>
      <c r="K33" s="1">
        <v>0.84905699999999995</v>
      </c>
      <c r="N33" s="3">
        <f t="shared" si="7"/>
        <v>647.10699999999997</v>
      </c>
      <c r="O33" s="21">
        <f t="shared" si="8"/>
        <v>13478.124330305698</v>
      </c>
      <c r="P33" s="3">
        <f t="shared" si="9"/>
        <v>571.07399999999996</v>
      </c>
      <c r="Q33" s="17">
        <f t="shared" si="10"/>
        <v>-3.0399999999999996E-4</v>
      </c>
      <c r="R33" s="3">
        <f t="shared" si="11"/>
        <v>666.97199999999998</v>
      </c>
      <c r="S33" s="24">
        <f t="shared" si="12"/>
        <v>0.75790599999999997</v>
      </c>
      <c r="T33" s="3">
        <f t="shared" si="13"/>
        <v>602.47900000000004</v>
      </c>
      <c r="U33" s="24">
        <f t="shared" si="14"/>
        <v>0.84905699999999995</v>
      </c>
      <c r="V33" s="22">
        <f>((O32*(Q34)^2)/S32)*T33</f>
        <v>0.61501436796043762</v>
      </c>
      <c r="W33" s="49">
        <f t="shared" si="15"/>
        <v>0.27565008243211275</v>
      </c>
    </row>
    <row r="34" spans="4:23" x14ac:dyDescent="0.6">
      <c r="D34" s="2">
        <v>693.38800000000003</v>
      </c>
      <c r="E34" s="1">
        <v>5.9948400000000004E-3</v>
      </c>
      <c r="F34" s="2">
        <v>604.13199999999995</v>
      </c>
      <c r="G34" s="1">
        <v>-293.33300000000003</v>
      </c>
      <c r="H34" s="2">
        <v>698.24599999999998</v>
      </c>
      <c r="I34" s="1">
        <v>0.758826</v>
      </c>
      <c r="J34" s="2">
        <v>637.19000000000005</v>
      </c>
      <c r="K34" s="1">
        <v>1.0660400000000001</v>
      </c>
      <c r="N34" s="3">
        <f t="shared" si="7"/>
        <v>693.38800000000003</v>
      </c>
      <c r="O34" s="21">
        <f t="shared" si="8"/>
        <v>16681.012337276723</v>
      </c>
      <c r="P34" s="3">
        <f t="shared" si="9"/>
        <v>604.13199999999995</v>
      </c>
      <c r="Q34" s="17">
        <f t="shared" si="10"/>
        <v>-2.9333300000000001E-4</v>
      </c>
      <c r="R34" s="3">
        <f t="shared" si="11"/>
        <v>698.24599999999998</v>
      </c>
      <c r="S34" s="24">
        <f t="shared" si="12"/>
        <v>0.758826</v>
      </c>
      <c r="T34" s="3">
        <f t="shared" si="13"/>
        <v>637.19000000000005</v>
      </c>
      <c r="U34" s="24">
        <f t="shared" si="14"/>
        <v>1.0660400000000001</v>
      </c>
      <c r="W34" s="49"/>
    </row>
    <row r="35" spans="4:23" x14ac:dyDescent="0.6">
      <c r="D35" s="2"/>
      <c r="E35" s="1"/>
      <c r="F35" s="2"/>
      <c r="G35" s="1"/>
      <c r="H35" s="2"/>
      <c r="I35" s="1"/>
      <c r="J35" s="2">
        <v>668.59500000000003</v>
      </c>
      <c r="K35" s="1">
        <v>1.28302</v>
      </c>
      <c r="N35" s="3"/>
      <c r="O35" s="21"/>
      <c r="P35" s="3"/>
      <c r="Q35" s="17"/>
      <c r="R35" s="3"/>
      <c r="S35" s="24"/>
      <c r="T35" s="3">
        <f t="shared" si="13"/>
        <v>668.59500000000003</v>
      </c>
      <c r="U35" s="24">
        <f t="shared" si="14"/>
        <v>1.28302</v>
      </c>
      <c r="W35" s="49"/>
    </row>
    <row r="36" spans="4:23" x14ac:dyDescent="0.6">
      <c r="D36" s="28"/>
      <c r="E36" s="29"/>
      <c r="F36" s="28"/>
      <c r="G36" s="29"/>
      <c r="H36" s="28"/>
      <c r="I36" s="29"/>
      <c r="J36" s="28">
        <v>696.69399999999996</v>
      </c>
      <c r="K36" s="29">
        <v>1.49057</v>
      </c>
      <c r="N36" s="32"/>
      <c r="O36" s="33"/>
      <c r="P36" s="32"/>
      <c r="Q36" s="34"/>
      <c r="R36" s="32"/>
      <c r="S36" s="35"/>
      <c r="T36" s="32">
        <f t="shared" si="13"/>
        <v>696.69399999999996</v>
      </c>
      <c r="U36" s="35">
        <f t="shared" si="14"/>
        <v>1.49057</v>
      </c>
      <c r="W36" s="49"/>
    </row>
    <row r="37" spans="4:23" x14ac:dyDescent="0.6">
      <c r="O37"/>
      <c r="Q37"/>
      <c r="S37"/>
      <c r="U37"/>
      <c r="V37"/>
    </row>
    <row r="38" spans="4:23" x14ac:dyDescent="0.6">
      <c r="O38"/>
      <c r="Q38"/>
      <c r="S38"/>
      <c r="U38"/>
      <c r="V38"/>
    </row>
    <row r="39" spans="4:23" x14ac:dyDescent="0.6">
      <c r="O39"/>
      <c r="Q39"/>
      <c r="S39"/>
      <c r="U39"/>
      <c r="V39"/>
    </row>
    <row r="40" spans="4:23" x14ac:dyDescent="0.6">
      <c r="O40"/>
      <c r="Q40"/>
      <c r="S40"/>
      <c r="U40"/>
      <c r="V40"/>
    </row>
    <row r="41" spans="4:23" x14ac:dyDescent="0.6">
      <c r="O41"/>
      <c r="Q41"/>
      <c r="S41"/>
      <c r="U41"/>
      <c r="V41"/>
    </row>
    <row r="42" spans="4:23" x14ac:dyDescent="0.6">
      <c r="O42"/>
      <c r="Q42"/>
      <c r="S42"/>
      <c r="U42"/>
      <c r="V42"/>
    </row>
    <row r="43" spans="4:23" x14ac:dyDescent="0.6">
      <c r="O43"/>
      <c r="Q43"/>
      <c r="S43"/>
      <c r="U43"/>
      <c r="V43"/>
    </row>
    <row r="44" spans="4:23" x14ac:dyDescent="0.6">
      <c r="O44"/>
      <c r="Q44"/>
      <c r="S44"/>
      <c r="U44"/>
      <c r="V44"/>
    </row>
    <row r="45" spans="4:23" x14ac:dyDescent="0.6">
      <c r="O45"/>
      <c r="Q45"/>
      <c r="S45"/>
      <c r="U45"/>
      <c r="V45"/>
    </row>
    <row r="46" spans="4:23" x14ac:dyDescent="0.6">
      <c r="O46"/>
      <c r="Q46"/>
      <c r="S46"/>
      <c r="U46"/>
      <c r="V46"/>
    </row>
    <row r="47" spans="4:23" x14ac:dyDescent="0.6">
      <c r="O47"/>
      <c r="Q47"/>
      <c r="S47"/>
      <c r="U47"/>
      <c r="V47"/>
    </row>
    <row r="48" spans="4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27" t="s">
        <v>13</v>
      </c>
      <c r="H8" s="11" t="s">
        <v>4</v>
      </c>
      <c r="I8" s="10" t="s">
        <v>43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299.60880195598997</v>
      </c>
      <c r="E9" s="4">
        <v>1.3909648734707701E-3</v>
      </c>
      <c r="F9" s="3">
        <v>300</v>
      </c>
      <c r="G9" s="4">
        <v>-178.82096069868999</v>
      </c>
      <c r="H9" s="3">
        <v>300</v>
      </c>
      <c r="I9" s="4">
        <v>2.20858895705521E-2</v>
      </c>
      <c r="J9" s="3">
        <v>300.19521717911101</v>
      </c>
      <c r="K9" s="4">
        <v>0.18408602150537601</v>
      </c>
      <c r="N9" s="3">
        <f>D9</f>
        <v>299.60880195598997</v>
      </c>
      <c r="O9" s="21">
        <f>(1/(E9*10^(-2)))</f>
        <v>71892.541578334407</v>
      </c>
      <c r="P9" s="3">
        <f>F9</f>
        <v>300</v>
      </c>
      <c r="Q9" s="17">
        <f>G9*(10^(-6))</f>
        <v>-1.7882096069868998E-4</v>
      </c>
      <c r="R9" s="3">
        <f>H9</f>
        <v>300</v>
      </c>
      <c r="S9" s="24">
        <f>I9/(10^(-2))</f>
        <v>2.20858895705521</v>
      </c>
      <c r="T9" s="3">
        <f>J9</f>
        <v>300.19521717911101</v>
      </c>
      <c r="U9" s="24">
        <f>K9</f>
        <v>0.18408602150537601</v>
      </c>
      <c r="V9" s="42">
        <f>((O9*(Q9)^2)/S9)*T9</f>
        <v>0.31247088470326267</v>
      </c>
      <c r="W9" s="49">
        <f t="shared" ref="W9" si="0">(U9-V9)/U9</f>
        <v>-0.69741777321282017</v>
      </c>
    </row>
    <row r="10" spans="1:23" x14ac:dyDescent="0.6">
      <c r="B10" s="3"/>
      <c r="C10" s="4"/>
      <c r="D10" s="3">
        <v>349.48655256723703</v>
      </c>
      <c r="E10" s="4">
        <v>1.4808902087011201E-3</v>
      </c>
      <c r="F10" s="3">
        <v>349.97540580422998</v>
      </c>
      <c r="G10" s="4">
        <v>-189.082969432314</v>
      </c>
      <c r="H10" s="3">
        <v>349.87822698489998</v>
      </c>
      <c r="I10" s="4">
        <v>1.72460804362644E-2</v>
      </c>
      <c r="J10" s="3">
        <v>350.17081503172199</v>
      </c>
      <c r="K10" s="4">
        <v>0.239139784946236</v>
      </c>
      <c r="N10" s="3">
        <f t="shared" ref="N10:N17" si="1">D10</f>
        <v>349.48655256723703</v>
      </c>
      <c r="O10" s="21">
        <f t="shared" ref="O10:O17" si="2">(1/(E10*10^(-2)))</f>
        <v>67526.950622294549</v>
      </c>
      <c r="P10" s="3">
        <f t="shared" ref="P10:P17" si="3">F10</f>
        <v>349.97540580422998</v>
      </c>
      <c r="Q10" s="17">
        <f t="shared" ref="Q10:Q17" si="4">G10*(10^(-6))</f>
        <v>-1.89082969432314E-4</v>
      </c>
      <c r="R10" s="3">
        <f t="shared" ref="R10:U17" si="5">H10</f>
        <v>349.87822698489998</v>
      </c>
      <c r="S10" s="24">
        <f t="shared" ref="S10:S17" si="6">I10/(10^(-2))</f>
        <v>1.7246080436264399</v>
      </c>
      <c r="T10" s="3">
        <f t="shared" si="5"/>
        <v>350.17081503172199</v>
      </c>
      <c r="U10" s="24">
        <f t="shared" si="5"/>
        <v>0.239139784946236</v>
      </c>
      <c r="V10" s="42">
        <f t="shared" ref="V10:V17" si="7">((O10*(Q10)^2)/S10)*T10</f>
        <v>0.49019796728368698</v>
      </c>
      <c r="W10" s="64">
        <f t="shared" ref="W10:W17" si="8">(U10-V10)/U10</f>
        <v>-1.0498386221844871</v>
      </c>
    </row>
    <row r="11" spans="1:23" x14ac:dyDescent="0.6">
      <c r="B11" s="2"/>
      <c r="C11" s="1"/>
      <c r="D11" s="2">
        <v>399.55990220048898</v>
      </c>
      <c r="E11" s="1">
        <v>1.55974430732762E-3</v>
      </c>
      <c r="F11" s="2">
        <v>399.95081160846001</v>
      </c>
      <c r="G11" s="1">
        <v>-205.89519650655001</v>
      </c>
      <c r="H11" s="2">
        <v>400.14612761811901</v>
      </c>
      <c r="I11" s="1">
        <v>1.73142467620995E-2</v>
      </c>
      <c r="J11" s="2">
        <v>400.341630063445</v>
      </c>
      <c r="K11" s="1">
        <v>0.33605734767024997</v>
      </c>
      <c r="N11" s="3">
        <f t="shared" si="1"/>
        <v>399.55990220048898</v>
      </c>
      <c r="O11" s="21">
        <f t="shared" si="2"/>
        <v>64113.0725915804</v>
      </c>
      <c r="P11" s="3">
        <f t="shared" si="3"/>
        <v>399.95081160846001</v>
      </c>
      <c r="Q11" s="17">
        <f t="shared" si="4"/>
        <v>-2.0589519650655001E-4</v>
      </c>
      <c r="R11" s="3">
        <f t="shared" si="5"/>
        <v>400.14612761811901</v>
      </c>
      <c r="S11" s="24">
        <f t="shared" si="6"/>
        <v>1.7314246762099499</v>
      </c>
      <c r="T11" s="3">
        <f t="shared" si="5"/>
        <v>400.341630063445</v>
      </c>
      <c r="U11" s="24">
        <f t="shared" si="5"/>
        <v>0.33605734767024997</v>
      </c>
      <c r="V11" s="42">
        <f t="shared" si="7"/>
        <v>0.62844340148673461</v>
      </c>
      <c r="W11" s="49">
        <f t="shared" si="8"/>
        <v>-0.87004809102815095</v>
      </c>
    </row>
    <row r="12" spans="1:23" x14ac:dyDescent="0.6">
      <c r="B12" s="2"/>
      <c r="C12" s="1"/>
      <c r="D12" s="2">
        <v>449.43765281173501</v>
      </c>
      <c r="E12" s="1">
        <v>1.5999489682677101E-3</v>
      </c>
      <c r="F12" s="2">
        <v>449.92621741268999</v>
      </c>
      <c r="G12" s="1">
        <v>-212.00873362445401</v>
      </c>
      <c r="H12" s="2">
        <v>450.02435460301899</v>
      </c>
      <c r="I12" s="1">
        <v>2.0654396728016299E-2</v>
      </c>
      <c r="J12" s="2">
        <v>450.12201073694399</v>
      </c>
      <c r="K12" s="1">
        <v>0.41863799283154102</v>
      </c>
      <c r="N12" s="3">
        <f t="shared" si="1"/>
        <v>449.43765281173501</v>
      </c>
      <c r="O12" s="21">
        <f t="shared" si="2"/>
        <v>62501.99349062462</v>
      </c>
      <c r="P12" s="3">
        <f t="shared" si="3"/>
        <v>449.92621741268999</v>
      </c>
      <c r="Q12" s="17">
        <f t="shared" si="4"/>
        <v>-2.1200873362445401E-4</v>
      </c>
      <c r="R12" s="3">
        <f t="shared" si="5"/>
        <v>450.02435460301899</v>
      </c>
      <c r="S12" s="24">
        <f t="shared" si="6"/>
        <v>2.06543967280163</v>
      </c>
      <c r="T12" s="3">
        <f t="shared" si="5"/>
        <v>450.12201073694399</v>
      </c>
      <c r="U12" s="24">
        <f t="shared" si="5"/>
        <v>0.41863799283154102</v>
      </c>
      <c r="V12" s="42">
        <f t="shared" si="7"/>
        <v>0.61223634651320336</v>
      </c>
      <c r="W12" s="49">
        <f t="shared" si="8"/>
        <v>-0.46244812223616283</v>
      </c>
    </row>
    <row r="13" spans="1:23" x14ac:dyDescent="0.6">
      <c r="B13" s="2"/>
      <c r="C13" s="1"/>
      <c r="D13" s="2">
        <v>499.51100244498701</v>
      </c>
      <c r="E13" s="1">
        <v>1.7000536237717901E-3</v>
      </c>
      <c r="F13" s="2">
        <v>499.90162321691997</v>
      </c>
      <c r="G13" s="1">
        <v>-216.81222707423501</v>
      </c>
      <c r="H13" s="2">
        <v>500.09741841207898</v>
      </c>
      <c r="I13" s="1">
        <v>2.15405589638718E-2</v>
      </c>
      <c r="J13" s="2">
        <v>500.09760858955502</v>
      </c>
      <c r="K13" s="1">
        <v>0.48802867383512499</v>
      </c>
      <c r="N13" s="3">
        <f t="shared" si="1"/>
        <v>499.51100244498701</v>
      </c>
      <c r="O13" s="21">
        <f t="shared" si="2"/>
        <v>58821.673976457867</v>
      </c>
      <c r="P13" s="3">
        <f t="shared" si="3"/>
        <v>499.90162321691997</v>
      </c>
      <c r="Q13" s="17">
        <f t="shared" si="4"/>
        <v>-2.16812227074235E-4</v>
      </c>
      <c r="R13" s="3">
        <f t="shared" si="5"/>
        <v>500.09741841207898</v>
      </c>
      <c r="S13" s="24">
        <f t="shared" si="6"/>
        <v>2.1540558963871801</v>
      </c>
      <c r="T13" s="3">
        <f t="shared" si="5"/>
        <v>500.09760858955502</v>
      </c>
      <c r="U13" s="24">
        <f t="shared" si="5"/>
        <v>0.48802867383512499</v>
      </c>
      <c r="V13" s="42">
        <f t="shared" si="7"/>
        <v>0.64195225644277709</v>
      </c>
      <c r="W13" s="49">
        <f t="shared" si="8"/>
        <v>-0.31539864532560941</v>
      </c>
    </row>
    <row r="14" spans="1:23" x14ac:dyDescent="0.6">
      <c r="B14" s="2"/>
      <c r="C14" s="1"/>
      <c r="D14" s="2">
        <v>549.58435207823902</v>
      </c>
      <c r="E14" s="1">
        <v>1.7714015341317099E-3</v>
      </c>
      <c r="F14" s="2">
        <v>550.07378258730898</v>
      </c>
      <c r="G14" s="1">
        <v>-223.799126637554</v>
      </c>
      <c r="H14" s="2">
        <v>549.97564539697998</v>
      </c>
      <c r="I14" s="1">
        <v>2.30402181322426E-2</v>
      </c>
      <c r="J14" s="2">
        <v>550.26842362127798</v>
      </c>
      <c r="K14" s="1">
        <v>0.57577060931899604</v>
      </c>
      <c r="N14" s="3">
        <f t="shared" si="1"/>
        <v>549.58435207823902</v>
      </c>
      <c r="O14" s="21">
        <f t="shared" si="2"/>
        <v>56452.474536789377</v>
      </c>
      <c r="P14" s="3">
        <f t="shared" si="3"/>
        <v>550.07378258730898</v>
      </c>
      <c r="Q14" s="17">
        <f t="shared" si="4"/>
        <v>-2.2379912663755399E-4</v>
      </c>
      <c r="R14" s="3">
        <f t="shared" si="5"/>
        <v>549.97564539697998</v>
      </c>
      <c r="S14" s="24">
        <f t="shared" si="6"/>
        <v>2.30402181322426</v>
      </c>
      <c r="T14" s="3">
        <f t="shared" si="5"/>
        <v>550.26842362127798</v>
      </c>
      <c r="U14" s="24">
        <f t="shared" si="5"/>
        <v>0.57577060931899604</v>
      </c>
      <c r="V14" s="42">
        <f t="shared" si="7"/>
        <v>0.67528602796658654</v>
      </c>
      <c r="W14" s="49">
        <f t="shared" si="8"/>
        <v>-0.17283865664017536</v>
      </c>
    </row>
    <row r="15" spans="1:23" x14ac:dyDescent="0.6">
      <c r="B15" s="2"/>
      <c r="C15" s="1"/>
      <c r="D15" s="2">
        <v>599.85330073349598</v>
      </c>
      <c r="E15" s="1">
        <v>1.83314019381035E-3</v>
      </c>
      <c r="F15" s="2">
        <v>599.85243482538101</v>
      </c>
      <c r="G15" s="1">
        <v>-230.13100436681199</v>
      </c>
      <c r="H15" s="2">
        <v>600.04870920603901</v>
      </c>
      <c r="I15" s="1">
        <v>2.733469665985E-2</v>
      </c>
      <c r="J15" s="2">
        <v>600.04880429477703</v>
      </c>
      <c r="K15" s="1">
        <v>0.66293906810035796</v>
      </c>
      <c r="N15" s="3">
        <f t="shared" si="1"/>
        <v>599.85330073349598</v>
      </c>
      <c r="O15" s="21">
        <f t="shared" si="2"/>
        <v>54551.201450741661</v>
      </c>
      <c r="P15" s="3">
        <f t="shared" si="3"/>
        <v>599.85243482538101</v>
      </c>
      <c r="Q15" s="17">
        <f t="shared" si="4"/>
        <v>-2.3013100436681199E-4</v>
      </c>
      <c r="R15" s="3">
        <f t="shared" si="5"/>
        <v>600.04870920603901</v>
      </c>
      <c r="S15" s="24">
        <f t="shared" si="6"/>
        <v>2.733469665985</v>
      </c>
      <c r="T15" s="3">
        <f t="shared" si="5"/>
        <v>600.04880429477703</v>
      </c>
      <c r="U15" s="24">
        <f t="shared" si="5"/>
        <v>0.66293906810035796</v>
      </c>
      <c r="V15" s="42">
        <f t="shared" si="7"/>
        <v>0.63420096964296457</v>
      </c>
      <c r="W15" s="49">
        <f t="shared" si="8"/>
        <v>4.3349532167024016E-2</v>
      </c>
    </row>
    <row r="16" spans="1:23" x14ac:dyDescent="0.6">
      <c r="B16" s="2"/>
      <c r="C16" s="1"/>
      <c r="D16" s="2">
        <v>649.73105134474304</v>
      </c>
      <c r="E16" s="1">
        <v>1.8914681356907699E-3</v>
      </c>
      <c r="F16" s="2">
        <v>650.02459419576905</v>
      </c>
      <c r="G16" s="1">
        <v>-234.06113537117801</v>
      </c>
      <c r="H16" s="2">
        <v>649.92693619093995</v>
      </c>
      <c r="I16" s="1">
        <v>2.733469665985E-2</v>
      </c>
      <c r="J16" s="2">
        <v>650.21961932650004</v>
      </c>
      <c r="K16" s="1">
        <v>0.73290322580645095</v>
      </c>
      <c r="N16" s="3">
        <f t="shared" si="1"/>
        <v>649.73105134474304</v>
      </c>
      <c r="O16" s="21">
        <f t="shared" si="2"/>
        <v>52868.984738925938</v>
      </c>
      <c r="P16" s="3">
        <f t="shared" si="3"/>
        <v>650.02459419576905</v>
      </c>
      <c r="Q16" s="17">
        <f t="shared" si="4"/>
        <v>-2.3406113537117801E-4</v>
      </c>
      <c r="R16" s="3">
        <f t="shared" si="5"/>
        <v>649.92693619093995</v>
      </c>
      <c r="S16" s="24">
        <f t="shared" si="6"/>
        <v>2.733469665985</v>
      </c>
      <c r="T16" s="3">
        <f t="shared" si="5"/>
        <v>650.21961932650004</v>
      </c>
      <c r="U16" s="24">
        <f t="shared" si="5"/>
        <v>0.73290322580645095</v>
      </c>
      <c r="V16" s="42">
        <f t="shared" si="7"/>
        <v>0.68897806581033305</v>
      </c>
      <c r="W16" s="49">
        <f t="shared" si="8"/>
        <v>5.9933096825689092E-2</v>
      </c>
    </row>
    <row r="17" spans="2:23" x14ac:dyDescent="0.6">
      <c r="B17" s="28"/>
      <c r="C17" s="29"/>
      <c r="D17" s="28">
        <v>699.80440097799499</v>
      </c>
      <c r="E17" s="29">
        <v>1.9194446781430599E-3</v>
      </c>
      <c r="F17" s="28">
        <v>700</v>
      </c>
      <c r="G17" s="29">
        <v>-234.93449781659299</v>
      </c>
      <c r="H17" s="28">
        <v>700</v>
      </c>
      <c r="I17" s="29">
        <v>2.5835037491479199E-2</v>
      </c>
      <c r="J17" s="28">
        <v>700</v>
      </c>
      <c r="K17" s="29">
        <v>0.78107526881720402</v>
      </c>
      <c r="N17" s="32">
        <f t="shared" si="1"/>
        <v>699.80440097799499</v>
      </c>
      <c r="O17" s="21">
        <f t="shared" si="2"/>
        <v>52098.40176104664</v>
      </c>
      <c r="P17" s="32">
        <f t="shared" si="3"/>
        <v>700</v>
      </c>
      <c r="Q17" s="17">
        <f t="shared" si="4"/>
        <v>-2.3493449781659297E-4</v>
      </c>
      <c r="R17" s="32">
        <f t="shared" si="5"/>
        <v>700</v>
      </c>
      <c r="S17" s="24">
        <f t="shared" si="6"/>
        <v>2.58350374914792</v>
      </c>
      <c r="T17" s="32">
        <f t="shared" si="5"/>
        <v>700</v>
      </c>
      <c r="U17" s="35">
        <f t="shared" si="5"/>
        <v>0.78107526881720402</v>
      </c>
      <c r="V17" s="42">
        <f t="shared" si="7"/>
        <v>0.77912462533852433</v>
      </c>
      <c r="W17" s="49">
        <f t="shared" si="8"/>
        <v>2.4973822070100552E-3</v>
      </c>
    </row>
    <row r="18" spans="2:23" x14ac:dyDescent="0.6">
      <c r="B18" s="30"/>
      <c r="C18" s="30"/>
      <c r="D18" s="30"/>
      <c r="E18" s="30"/>
      <c r="F18" s="30"/>
      <c r="G18" s="30"/>
      <c r="H18" s="30"/>
      <c r="I18" s="30"/>
      <c r="J18" s="30"/>
      <c r="K18" s="30"/>
      <c r="N18" s="30"/>
      <c r="O18" s="39"/>
      <c r="P18" s="30"/>
      <c r="Q18" s="40"/>
      <c r="R18" s="30"/>
      <c r="S18" s="41"/>
      <c r="T18" s="30"/>
      <c r="U18" s="41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ht="17.25" thickBot="1" x14ac:dyDescent="0.65">
      <c r="B21" s="31" t="s">
        <v>79</v>
      </c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5" t="s">
        <v>3</v>
      </c>
      <c r="C22" s="6" t="s">
        <v>0</v>
      </c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9" t="s">
        <v>4</v>
      </c>
      <c r="C23" s="10" t="s">
        <v>10</v>
      </c>
      <c r="D23" s="11" t="s">
        <v>4</v>
      </c>
      <c r="E23" s="10" t="s">
        <v>35</v>
      </c>
      <c r="F23" s="11" t="s">
        <v>4</v>
      </c>
      <c r="G23" s="27" t="s">
        <v>13</v>
      </c>
      <c r="H23" s="11" t="s">
        <v>4</v>
      </c>
      <c r="I23" s="10" t="s">
        <v>43</v>
      </c>
      <c r="J23" s="11" t="s">
        <v>4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</row>
    <row r="24" spans="2:23" x14ac:dyDescent="0.6">
      <c r="B24" s="3"/>
      <c r="C24" s="4"/>
      <c r="D24" s="3">
        <v>299.64</v>
      </c>
      <c r="E24" s="4">
        <v>1.4690700000000001E-3</v>
      </c>
      <c r="F24" s="3">
        <v>299.88799999999998</v>
      </c>
      <c r="G24" s="4">
        <v>-178.41300000000001</v>
      </c>
      <c r="H24" s="3">
        <v>298.43099999999998</v>
      </c>
      <c r="I24" s="4">
        <v>2.2468399999999999E-2</v>
      </c>
      <c r="J24" s="3">
        <v>299.017</v>
      </c>
      <c r="K24" s="4">
        <v>0.19082399999999999</v>
      </c>
      <c r="N24" s="3">
        <f>D24</f>
        <v>299.64</v>
      </c>
      <c r="O24" s="21">
        <f>(1/E24)*100</f>
        <v>68070.27575268707</v>
      </c>
      <c r="P24" s="3">
        <f>F24</f>
        <v>299.88799999999998</v>
      </c>
      <c r="Q24" s="17">
        <f>G24*0.000001</f>
        <v>-1.7841300000000001E-4</v>
      </c>
      <c r="R24" s="3">
        <f>H24</f>
        <v>298.43099999999998</v>
      </c>
      <c r="S24" s="24">
        <f>I24*100</f>
        <v>2.2468399999999997</v>
      </c>
      <c r="T24" s="3">
        <f>J24</f>
        <v>299.017</v>
      </c>
      <c r="U24" s="24">
        <f>K24</f>
        <v>0.19082399999999999</v>
      </c>
      <c r="V24" s="22">
        <f t="shared" ref="V24:V32" si="9">((O24*(Q24)^2)/S24)*T24</f>
        <v>0.2883594807235364</v>
      </c>
    </row>
    <row r="25" spans="2:23" x14ac:dyDescent="0.6">
      <c r="B25" s="3"/>
      <c r="C25" s="4"/>
      <c r="D25" s="3">
        <v>350.952</v>
      </c>
      <c r="E25" s="4">
        <v>1.57391E-3</v>
      </c>
      <c r="F25" s="3">
        <v>350.60599999999999</v>
      </c>
      <c r="G25" s="4">
        <v>-186.96199999999999</v>
      </c>
      <c r="H25" s="3">
        <v>349.88799999999998</v>
      </c>
      <c r="I25" s="4">
        <v>1.70119E-2</v>
      </c>
      <c r="J25" s="3">
        <v>347.99</v>
      </c>
      <c r="K25" s="4">
        <v>0.24460399999999999</v>
      </c>
      <c r="N25" s="3">
        <f t="shared" ref="N25:N32" si="10">D25</f>
        <v>350.952</v>
      </c>
      <c r="O25" s="21">
        <f t="shared" ref="O25:O32" si="11">(1/E25)*100</f>
        <v>63536.034461945099</v>
      </c>
      <c r="P25" s="3">
        <f t="shared" ref="P25:P32" si="12">F25</f>
        <v>350.60599999999999</v>
      </c>
      <c r="Q25" s="17">
        <f t="shared" ref="Q25:Q32" si="13">G25*0.000001</f>
        <v>-1.8696199999999999E-4</v>
      </c>
      <c r="R25" s="3">
        <f t="shared" ref="R25:R32" si="14">H25</f>
        <v>349.88799999999998</v>
      </c>
      <c r="S25" s="24">
        <f t="shared" ref="S25:S32" si="15">I25*100</f>
        <v>1.70119</v>
      </c>
      <c r="T25" s="3">
        <f t="shared" ref="T25:T32" si="16">J25</f>
        <v>347.99</v>
      </c>
      <c r="U25" s="24">
        <f t="shared" ref="U25:U32" si="17">K25</f>
        <v>0.24460399999999999</v>
      </c>
      <c r="V25" s="22">
        <f t="shared" si="9"/>
        <v>0.45429790972959583</v>
      </c>
    </row>
    <row r="26" spans="2:23" x14ac:dyDescent="0.6">
      <c r="B26" s="2"/>
      <c r="C26" s="1"/>
      <c r="D26" s="2">
        <v>397.98899999999998</v>
      </c>
      <c r="E26" s="1">
        <v>1.66307E-3</v>
      </c>
      <c r="F26" s="2">
        <v>399.93</v>
      </c>
      <c r="G26" s="1">
        <v>-204.946</v>
      </c>
      <c r="H26" s="2">
        <v>398.45499999999998</v>
      </c>
      <c r="I26" s="1">
        <v>1.77906E-2</v>
      </c>
      <c r="J26" s="2">
        <v>399.01499999999999</v>
      </c>
      <c r="K26" s="1">
        <v>0.33939000000000002</v>
      </c>
      <c r="N26" s="3">
        <f t="shared" si="10"/>
        <v>397.98899999999998</v>
      </c>
      <c r="O26" s="21">
        <f t="shared" si="11"/>
        <v>60129.760022127753</v>
      </c>
      <c r="P26" s="3">
        <f t="shared" si="12"/>
        <v>399.93</v>
      </c>
      <c r="Q26" s="17">
        <f t="shared" si="13"/>
        <v>-2.0494599999999999E-4</v>
      </c>
      <c r="R26" s="3">
        <f t="shared" si="14"/>
        <v>398.45499999999998</v>
      </c>
      <c r="S26" s="24">
        <f t="shared" si="15"/>
        <v>1.7790600000000001</v>
      </c>
      <c r="T26" s="3">
        <f t="shared" si="16"/>
        <v>399.01499999999999</v>
      </c>
      <c r="U26" s="24">
        <f t="shared" si="17"/>
        <v>0.33939000000000002</v>
      </c>
      <c r="V26" s="22">
        <f t="shared" si="9"/>
        <v>0.56645705553280545</v>
      </c>
    </row>
    <row r="27" spans="2:23" x14ac:dyDescent="0.6">
      <c r="B27" s="2"/>
      <c r="C27" s="1"/>
      <c r="D27" s="2">
        <v>449.31799999999998</v>
      </c>
      <c r="E27" s="1">
        <v>1.69499E-3</v>
      </c>
      <c r="F27" s="2">
        <v>449.23599999999999</v>
      </c>
      <c r="G27" s="1">
        <v>-211.13900000000001</v>
      </c>
      <c r="H27" s="2">
        <v>449.15300000000002</v>
      </c>
      <c r="I27" s="1">
        <v>2.1065500000000001E-2</v>
      </c>
      <c r="J27" s="2">
        <v>449.35399999999998</v>
      </c>
      <c r="K27" s="1">
        <v>0.421873</v>
      </c>
      <c r="N27" s="3">
        <f t="shared" si="10"/>
        <v>449.31799999999998</v>
      </c>
      <c r="O27" s="21">
        <f t="shared" si="11"/>
        <v>58997.398214738736</v>
      </c>
      <c r="P27" s="3">
        <f t="shared" si="12"/>
        <v>449.23599999999999</v>
      </c>
      <c r="Q27" s="17">
        <f t="shared" si="13"/>
        <v>-2.11139E-4</v>
      </c>
      <c r="R27" s="3">
        <f t="shared" si="14"/>
        <v>449.15300000000002</v>
      </c>
      <c r="S27" s="24">
        <f t="shared" si="15"/>
        <v>2.1065499999999999</v>
      </c>
      <c r="T27" s="3">
        <f t="shared" si="16"/>
        <v>449.35399999999998</v>
      </c>
      <c r="U27" s="24">
        <f t="shared" si="17"/>
        <v>0.421873</v>
      </c>
      <c r="V27" s="22">
        <f t="shared" si="9"/>
        <v>0.56103069186216503</v>
      </c>
    </row>
    <row r="28" spans="2:23" x14ac:dyDescent="0.6">
      <c r="B28" s="2"/>
      <c r="C28" s="1"/>
      <c r="D28" s="2">
        <v>499.91899999999998</v>
      </c>
      <c r="E28" s="1">
        <v>1.7894E-3</v>
      </c>
      <c r="F28" s="2">
        <v>499.24299999999999</v>
      </c>
      <c r="G28" s="1">
        <v>-215.75800000000001</v>
      </c>
      <c r="H28" s="2">
        <v>499.14699999999999</v>
      </c>
      <c r="I28" s="1">
        <v>2.2094599999999999E-2</v>
      </c>
      <c r="J28" s="2">
        <v>499.00700000000001</v>
      </c>
      <c r="K28" s="1">
        <v>0.49205500000000002</v>
      </c>
      <c r="N28" s="3">
        <f t="shared" si="10"/>
        <v>499.91899999999998</v>
      </c>
      <c r="O28" s="21">
        <f t="shared" si="11"/>
        <v>55884.654073991282</v>
      </c>
      <c r="P28" s="3">
        <f t="shared" si="12"/>
        <v>499.24299999999999</v>
      </c>
      <c r="Q28" s="17">
        <f t="shared" si="13"/>
        <v>-2.15758E-4</v>
      </c>
      <c r="R28" s="3">
        <f t="shared" si="14"/>
        <v>499.14699999999999</v>
      </c>
      <c r="S28" s="24">
        <f t="shared" si="15"/>
        <v>2.20946</v>
      </c>
      <c r="T28" s="3">
        <f t="shared" si="16"/>
        <v>499.00700000000001</v>
      </c>
      <c r="U28" s="24">
        <f t="shared" si="17"/>
        <v>0.49205500000000002</v>
      </c>
      <c r="V28" s="22">
        <f t="shared" si="9"/>
        <v>0.58755276824823266</v>
      </c>
    </row>
    <row r="29" spans="2:23" x14ac:dyDescent="0.6">
      <c r="B29" s="2"/>
      <c r="C29" s="1"/>
      <c r="D29" s="2">
        <v>547.67499999999995</v>
      </c>
      <c r="E29" s="1">
        <v>1.8525200000000001E-3</v>
      </c>
      <c r="F29" s="2">
        <v>547.14099999999996</v>
      </c>
      <c r="G29" s="1">
        <v>-222.739</v>
      </c>
      <c r="H29" s="2">
        <v>549.14</v>
      </c>
      <c r="I29" s="1">
        <v>2.36227E-2</v>
      </c>
      <c r="J29" s="2">
        <v>549.34400000000005</v>
      </c>
      <c r="K29" s="1">
        <v>0.57658699999999996</v>
      </c>
      <c r="N29" s="3">
        <f t="shared" si="10"/>
        <v>547.67499999999995</v>
      </c>
      <c r="O29" s="21">
        <f t="shared" si="11"/>
        <v>53980.523827003221</v>
      </c>
      <c r="P29" s="3">
        <f t="shared" si="12"/>
        <v>547.14099999999996</v>
      </c>
      <c r="Q29" s="17">
        <f t="shared" si="13"/>
        <v>-2.2273899999999998E-4</v>
      </c>
      <c r="R29" s="3">
        <f t="shared" si="14"/>
        <v>549.14</v>
      </c>
      <c r="S29" s="24">
        <f t="shared" si="15"/>
        <v>2.3622700000000001</v>
      </c>
      <c r="T29" s="3">
        <f t="shared" si="16"/>
        <v>549.34400000000005</v>
      </c>
      <c r="U29" s="24">
        <f t="shared" si="17"/>
        <v>0.57658699999999996</v>
      </c>
      <c r="V29" s="22">
        <f t="shared" si="9"/>
        <v>0.62279408123786151</v>
      </c>
    </row>
    <row r="30" spans="2:23" x14ac:dyDescent="0.6">
      <c r="B30" s="2"/>
      <c r="C30" s="1"/>
      <c r="D30" s="2">
        <v>599</v>
      </c>
      <c r="E30" s="1">
        <v>1.9000600000000001E-3</v>
      </c>
      <c r="F30" s="2">
        <v>598.55999999999995</v>
      </c>
      <c r="G30" s="1">
        <v>-228.92699999999999</v>
      </c>
      <c r="H30" s="2">
        <v>599.11900000000003</v>
      </c>
      <c r="I30" s="1">
        <v>2.76455E-2</v>
      </c>
      <c r="J30" s="2">
        <v>598.97500000000002</v>
      </c>
      <c r="K30" s="1">
        <v>0.665211</v>
      </c>
      <c r="N30" s="3">
        <f t="shared" si="10"/>
        <v>599</v>
      </c>
      <c r="O30" s="21">
        <f t="shared" si="11"/>
        <v>52629.916949991049</v>
      </c>
      <c r="P30" s="3">
        <f t="shared" si="12"/>
        <v>598.55999999999995</v>
      </c>
      <c r="Q30" s="17">
        <f t="shared" si="13"/>
        <v>-2.2892699999999997E-4</v>
      </c>
      <c r="R30" s="3">
        <f t="shared" si="14"/>
        <v>599.11900000000003</v>
      </c>
      <c r="S30" s="24">
        <f t="shared" si="15"/>
        <v>2.7645499999999998</v>
      </c>
      <c r="T30" s="3">
        <f t="shared" si="16"/>
        <v>598.97500000000002</v>
      </c>
      <c r="U30" s="24">
        <f t="shared" si="17"/>
        <v>0.665211</v>
      </c>
      <c r="V30" s="22">
        <f t="shared" si="9"/>
        <v>0.59760051895528743</v>
      </c>
    </row>
    <row r="31" spans="2:23" x14ac:dyDescent="0.6">
      <c r="B31" s="2"/>
      <c r="C31" s="1"/>
      <c r="D31" s="2">
        <v>648.18899999999996</v>
      </c>
      <c r="E31" s="1">
        <v>1.9371600000000001E-3</v>
      </c>
      <c r="F31" s="2">
        <v>647.86</v>
      </c>
      <c r="G31" s="1">
        <v>-231.97499999999999</v>
      </c>
      <c r="H31" s="2">
        <v>649.11699999999996</v>
      </c>
      <c r="I31" s="1">
        <v>2.7926200000000002E-2</v>
      </c>
      <c r="J31" s="2">
        <v>648.62300000000005</v>
      </c>
      <c r="K31" s="1">
        <v>0.73948999999999998</v>
      </c>
      <c r="N31" s="3">
        <f t="shared" si="10"/>
        <v>648.18899999999996</v>
      </c>
      <c r="O31" s="21">
        <f t="shared" si="11"/>
        <v>51621.962047533496</v>
      </c>
      <c r="P31" s="3">
        <f t="shared" si="12"/>
        <v>647.86</v>
      </c>
      <c r="Q31" s="17">
        <f t="shared" si="13"/>
        <v>-2.3197499999999999E-4</v>
      </c>
      <c r="R31" s="3">
        <f t="shared" si="14"/>
        <v>649.11699999999996</v>
      </c>
      <c r="S31" s="24">
        <f t="shared" si="15"/>
        <v>2.7926200000000003</v>
      </c>
      <c r="T31" s="3">
        <f t="shared" si="16"/>
        <v>648.62300000000005</v>
      </c>
      <c r="U31" s="24">
        <f t="shared" si="17"/>
        <v>0.73948999999999998</v>
      </c>
      <c r="V31" s="22">
        <f t="shared" si="9"/>
        <v>0.64520448043166767</v>
      </c>
    </row>
    <row r="32" spans="2:23" x14ac:dyDescent="0.6">
      <c r="B32" s="28"/>
      <c r="C32" s="29"/>
      <c r="D32" s="28">
        <v>699.52099999999996</v>
      </c>
      <c r="E32" s="29">
        <v>1.95867E-3</v>
      </c>
      <c r="F32" s="28">
        <v>698.56500000000005</v>
      </c>
      <c r="G32" s="29">
        <v>-232.661</v>
      </c>
      <c r="H32" s="28">
        <v>700.55499999999995</v>
      </c>
      <c r="I32" s="29">
        <v>2.62119E-2</v>
      </c>
      <c r="J32" s="28">
        <v>698.303</v>
      </c>
      <c r="K32" s="29">
        <v>0.78713100000000003</v>
      </c>
      <c r="N32" s="32">
        <f t="shared" si="10"/>
        <v>699.52099999999996</v>
      </c>
      <c r="O32" s="33">
        <f t="shared" si="11"/>
        <v>51055.052663286828</v>
      </c>
      <c r="P32" s="32">
        <f t="shared" si="12"/>
        <v>698.56500000000005</v>
      </c>
      <c r="Q32" s="34">
        <f t="shared" si="13"/>
        <v>-2.32661E-4</v>
      </c>
      <c r="R32" s="32">
        <f t="shared" si="14"/>
        <v>700.55499999999995</v>
      </c>
      <c r="S32" s="35">
        <f t="shared" si="15"/>
        <v>2.6211899999999999</v>
      </c>
      <c r="T32" s="32">
        <f t="shared" si="16"/>
        <v>698.303</v>
      </c>
      <c r="U32" s="35">
        <f t="shared" si="17"/>
        <v>0.78713100000000003</v>
      </c>
      <c r="V32" s="22">
        <f t="shared" si="9"/>
        <v>0.73626018346278332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/>
  </sheetPr>
  <dimension ref="A1:W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69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296.65178571428498</v>
      </c>
      <c r="E9" s="4">
        <v>35.8899456521739</v>
      </c>
      <c r="F9" s="3">
        <v>296.666666666666</v>
      </c>
      <c r="G9" s="4">
        <v>-213.03632625085601</v>
      </c>
      <c r="H9" s="3">
        <v>422.943125345113</v>
      </c>
      <c r="I9" s="4">
        <v>2.2928067700987298</v>
      </c>
      <c r="J9" s="3">
        <v>423.01541976013698</v>
      </c>
      <c r="K9" s="4">
        <v>0.32066171505739299</v>
      </c>
      <c r="N9" s="3">
        <f>D9</f>
        <v>296.65178571428498</v>
      </c>
      <c r="O9" s="21">
        <f>1/(E9*(10^(-6)))</f>
        <v>27862.95665341663</v>
      </c>
      <c r="P9" s="3">
        <f>F9</f>
        <v>296.666666666666</v>
      </c>
      <c r="Q9" s="17">
        <f>G9*(10^(-6))</f>
        <v>-2.13036326250856E-4</v>
      </c>
      <c r="R9" s="3">
        <f>H9</f>
        <v>422.943125345113</v>
      </c>
      <c r="S9" s="24">
        <f>I9</f>
        <v>2.2928067700987298</v>
      </c>
      <c r="T9" s="3">
        <f>J9</f>
        <v>423.01541976013698</v>
      </c>
      <c r="U9" s="24">
        <f>K9</f>
        <v>0.32066171505739299</v>
      </c>
      <c r="V9" s="42">
        <f>((O12*(Q12)^2)/S9)*T9</f>
        <v>0.32148688938473713</v>
      </c>
      <c r="W9" s="49">
        <f t="shared" ref="W9" si="0">(U9-V9)/U9</f>
        <v>-2.5733484497718843E-3</v>
      </c>
    </row>
    <row r="10" spans="1:23" x14ac:dyDescent="0.6">
      <c r="B10" s="3"/>
      <c r="C10" s="4"/>
      <c r="D10" s="3">
        <v>323.158482142857</v>
      </c>
      <c r="E10" s="4">
        <v>36.365489130434703</v>
      </c>
      <c r="F10" s="3">
        <v>323.33333333333297</v>
      </c>
      <c r="G10" s="4">
        <v>-220.91843728581199</v>
      </c>
      <c r="H10" s="3">
        <v>472.998343456653</v>
      </c>
      <c r="I10" s="4">
        <v>2.23526093088857</v>
      </c>
      <c r="J10" s="3">
        <v>472.98686464877198</v>
      </c>
      <c r="K10" s="4">
        <v>0.39358541525995899</v>
      </c>
      <c r="N10" s="3">
        <f t="shared" ref="N10:N20" si="1">D10</f>
        <v>323.158482142857</v>
      </c>
      <c r="O10" s="21">
        <f t="shared" ref="O10:O20" si="2">1/(E10*(10^(-6)))</f>
        <v>27498.598916495481</v>
      </c>
      <c r="P10" s="3">
        <f t="shared" ref="P10:P20" si="3">F10</f>
        <v>323.33333333333297</v>
      </c>
      <c r="Q10" s="17">
        <f t="shared" ref="Q10:Q20" si="4">G10*(10^(-6))</f>
        <v>-2.2091843728581199E-4</v>
      </c>
      <c r="R10" s="3">
        <f t="shared" ref="R10:R17" si="5">H10</f>
        <v>472.998343456653</v>
      </c>
      <c r="S10" s="24">
        <f t="shared" ref="S10:S17" si="6">I10</f>
        <v>2.23526093088857</v>
      </c>
      <c r="T10" s="3">
        <f t="shared" ref="T10:U17" si="7">J10</f>
        <v>472.98686464877198</v>
      </c>
      <c r="U10" s="24">
        <f t="shared" si="7"/>
        <v>0.39358541525995899</v>
      </c>
      <c r="V10" s="42">
        <f t="shared" ref="V10:V16" si="8">((O13*(Q13)^2)/S10)*T10</f>
        <v>0.39743848382872343</v>
      </c>
      <c r="W10" s="49">
        <f t="shared" ref="W10:W17" si="9">(U10-V10)/U10</f>
        <v>-9.7896629787959204E-3</v>
      </c>
    </row>
    <row r="11" spans="1:23" x14ac:dyDescent="0.6">
      <c r="B11" s="2"/>
      <c r="C11" s="1"/>
      <c r="D11" s="2">
        <v>372.82366071428498</v>
      </c>
      <c r="E11" s="1">
        <v>37.316576086956502</v>
      </c>
      <c r="F11" s="2">
        <v>373.05555555555497</v>
      </c>
      <c r="G11" s="1">
        <v>-239.972583961617</v>
      </c>
      <c r="H11" s="2">
        <v>523.05356156819403</v>
      </c>
      <c r="I11" s="1">
        <v>2.23638928067701</v>
      </c>
      <c r="J11" s="2">
        <v>522.95830953740699</v>
      </c>
      <c r="K11" s="1">
        <v>0.48838622552329503</v>
      </c>
      <c r="N11" s="3">
        <f t="shared" si="1"/>
        <v>372.82366071428498</v>
      </c>
      <c r="O11" s="21">
        <f t="shared" si="2"/>
        <v>26797.742581467337</v>
      </c>
      <c r="P11" s="3">
        <f t="shared" si="3"/>
        <v>373.05555555555497</v>
      </c>
      <c r="Q11" s="17">
        <f t="shared" si="4"/>
        <v>-2.3997258396161699E-4</v>
      </c>
      <c r="R11" s="3">
        <f t="shared" si="5"/>
        <v>523.05356156819403</v>
      </c>
      <c r="S11" s="24">
        <f t="shared" si="6"/>
        <v>2.23638928067701</v>
      </c>
      <c r="T11" s="3">
        <f t="shared" si="7"/>
        <v>522.95830953740699</v>
      </c>
      <c r="U11" s="24">
        <f t="shared" si="7"/>
        <v>0.48838622552329503</v>
      </c>
      <c r="V11" s="42">
        <f t="shared" si="8"/>
        <v>0.49256377050698341</v>
      </c>
      <c r="W11" s="49">
        <f t="shared" si="9"/>
        <v>-8.5537731520012438E-3</v>
      </c>
    </row>
    <row r="12" spans="1:23" x14ac:dyDescent="0.6">
      <c r="B12" s="2"/>
      <c r="C12" s="1"/>
      <c r="D12" s="2">
        <v>423.60491071428498</v>
      </c>
      <c r="E12" s="1">
        <v>38.199728260869499</v>
      </c>
      <c r="F12" s="2">
        <v>423.888888888888</v>
      </c>
      <c r="G12" s="1">
        <v>-257.99862919807998</v>
      </c>
      <c r="H12" s="2">
        <v>572.91551628934201</v>
      </c>
      <c r="I12" s="1">
        <v>2.2792665726375101</v>
      </c>
      <c r="J12" s="2">
        <v>572.929754426042</v>
      </c>
      <c r="K12" s="1">
        <v>0.53274814314652197</v>
      </c>
      <c r="N12" s="3">
        <f t="shared" si="1"/>
        <v>423.60491071428498</v>
      </c>
      <c r="O12" s="21">
        <f t="shared" si="2"/>
        <v>26178.19669215726</v>
      </c>
      <c r="P12" s="3">
        <f t="shared" si="3"/>
        <v>423.888888888888</v>
      </c>
      <c r="Q12" s="17">
        <f t="shared" si="4"/>
        <v>-2.5799862919807998E-4</v>
      </c>
      <c r="R12" s="3">
        <f t="shared" si="5"/>
        <v>572.91551628934201</v>
      </c>
      <c r="S12" s="24">
        <f t="shared" si="6"/>
        <v>2.2792665726375101</v>
      </c>
      <c r="T12" s="3">
        <f t="shared" si="7"/>
        <v>572.929754426042</v>
      </c>
      <c r="U12" s="24">
        <f t="shared" si="7"/>
        <v>0.53274814314652197</v>
      </c>
      <c r="V12" s="42">
        <f t="shared" si="8"/>
        <v>0.57276478990077062</v>
      </c>
      <c r="W12" s="49">
        <f t="shared" si="9"/>
        <v>-7.5113629712347696E-2</v>
      </c>
    </row>
    <row r="13" spans="1:23" x14ac:dyDescent="0.6">
      <c r="B13" s="2"/>
      <c r="C13" s="1"/>
      <c r="D13" s="2">
        <v>474.10714285714198</v>
      </c>
      <c r="E13" s="1">
        <v>38.8111413043478</v>
      </c>
      <c r="F13" s="2">
        <v>474.166666666666</v>
      </c>
      <c r="G13" s="1">
        <v>-269.993145990404</v>
      </c>
      <c r="H13" s="2">
        <v>622.97073440088298</v>
      </c>
      <c r="I13" s="1">
        <v>2.3582510578279199</v>
      </c>
      <c r="J13" s="2">
        <v>623.10108509423105</v>
      </c>
      <c r="K13" s="1">
        <v>0.63241053342336195</v>
      </c>
      <c r="N13" s="3">
        <f t="shared" si="1"/>
        <v>474.10714285714198</v>
      </c>
      <c r="O13" s="21">
        <f t="shared" si="2"/>
        <v>25765.797304393505</v>
      </c>
      <c r="P13" s="3">
        <f t="shared" si="3"/>
        <v>474.166666666666</v>
      </c>
      <c r="Q13" s="17">
        <f t="shared" si="4"/>
        <v>-2.6999314599040401E-4</v>
      </c>
      <c r="R13" s="3">
        <f t="shared" si="5"/>
        <v>622.97073440088298</v>
      </c>
      <c r="S13" s="24">
        <f t="shared" si="6"/>
        <v>2.3582510578279199</v>
      </c>
      <c r="T13" s="3">
        <f t="shared" si="7"/>
        <v>623.10108509423105</v>
      </c>
      <c r="U13" s="24">
        <f t="shared" si="7"/>
        <v>0.63241053342336195</v>
      </c>
      <c r="V13" s="42">
        <f t="shared" si="8"/>
        <v>0.63550884166772914</v>
      </c>
      <c r="W13" s="49">
        <f t="shared" si="9"/>
        <v>-4.8992040464529247E-3</v>
      </c>
    </row>
    <row r="14" spans="1:23" x14ac:dyDescent="0.6">
      <c r="B14" s="2"/>
      <c r="C14" s="1"/>
      <c r="D14" s="2">
        <v>524.609375</v>
      </c>
      <c r="E14" s="1">
        <v>39.082880434782602</v>
      </c>
      <c r="F14" s="2">
        <v>525</v>
      </c>
      <c r="G14" s="1">
        <v>-286.92254969156897</v>
      </c>
      <c r="H14" s="2">
        <v>673.02595251242406</v>
      </c>
      <c r="I14" s="1">
        <v>2.4067700987306</v>
      </c>
      <c r="J14" s="2">
        <v>673.07252998286594</v>
      </c>
      <c r="K14" s="1">
        <v>0.80560432140445604</v>
      </c>
      <c r="N14" s="3">
        <f t="shared" si="1"/>
        <v>524.609375</v>
      </c>
      <c r="O14" s="21">
        <f t="shared" si="2"/>
        <v>25586.65044324701</v>
      </c>
      <c r="P14" s="3">
        <f t="shared" si="3"/>
        <v>525</v>
      </c>
      <c r="Q14" s="17">
        <f t="shared" si="4"/>
        <v>-2.8692254969156896E-4</v>
      </c>
      <c r="R14" s="3">
        <f t="shared" si="5"/>
        <v>673.02595251242406</v>
      </c>
      <c r="S14" s="24">
        <f t="shared" si="6"/>
        <v>2.4067700987306</v>
      </c>
      <c r="T14" s="3">
        <f t="shared" si="7"/>
        <v>673.07252998286594</v>
      </c>
      <c r="U14" s="24">
        <f t="shared" si="7"/>
        <v>0.80560432140445604</v>
      </c>
      <c r="V14" s="42">
        <f t="shared" si="8"/>
        <v>0.80532963611002484</v>
      </c>
      <c r="W14" s="49">
        <f t="shared" si="9"/>
        <v>3.4096800021172157E-4</v>
      </c>
    </row>
    <row r="15" spans="1:23" x14ac:dyDescent="0.6">
      <c r="B15" s="2"/>
      <c r="C15" s="1"/>
      <c r="D15" s="2">
        <v>579.85491071428498</v>
      </c>
      <c r="E15" s="1">
        <v>37.435461956521699</v>
      </c>
      <c r="F15" s="2">
        <v>580.27777777777703</v>
      </c>
      <c r="G15" s="1">
        <v>-292.06305688827899</v>
      </c>
      <c r="H15" s="2">
        <v>723.081170623964</v>
      </c>
      <c r="I15" s="1">
        <v>2.5083215796896998</v>
      </c>
      <c r="J15" s="2">
        <v>723.04397487150095</v>
      </c>
      <c r="K15" s="1">
        <v>1.08332207967589</v>
      </c>
      <c r="N15" s="3">
        <f t="shared" si="1"/>
        <v>579.85491071428498</v>
      </c>
      <c r="O15" s="21">
        <f t="shared" si="2"/>
        <v>26712.639506396907</v>
      </c>
      <c r="P15" s="3">
        <f t="shared" si="3"/>
        <v>580.27777777777703</v>
      </c>
      <c r="Q15" s="17">
        <f t="shared" si="4"/>
        <v>-2.9206305688827898E-4</v>
      </c>
      <c r="R15" s="3">
        <f t="shared" si="5"/>
        <v>723.081170623964</v>
      </c>
      <c r="S15" s="24">
        <f t="shared" si="6"/>
        <v>2.5083215796896998</v>
      </c>
      <c r="T15" s="3">
        <f t="shared" si="7"/>
        <v>723.04397487150095</v>
      </c>
      <c r="U15" s="24">
        <f t="shared" si="7"/>
        <v>1.08332207967589</v>
      </c>
      <c r="V15" s="42">
        <f t="shared" si="8"/>
        <v>1.0489522567364751</v>
      </c>
      <c r="W15" s="49">
        <f t="shared" si="9"/>
        <v>3.1726319978355601E-2</v>
      </c>
    </row>
    <row r="16" spans="1:23" x14ac:dyDescent="0.6">
      <c r="B16" s="2"/>
      <c r="C16" s="1"/>
      <c r="D16" s="2">
        <v>625.892857142857</v>
      </c>
      <c r="E16" s="1">
        <v>35.448369565217298</v>
      </c>
      <c r="F16" s="2">
        <v>626.11111111111097</v>
      </c>
      <c r="G16" s="1">
        <v>-291.994516792323</v>
      </c>
      <c r="H16" s="2">
        <v>773.32965212589704</v>
      </c>
      <c r="I16" s="1">
        <v>2.6685472496473901</v>
      </c>
      <c r="J16" s="2">
        <v>773.01541976013596</v>
      </c>
      <c r="K16" s="1">
        <v>1.18845374746792</v>
      </c>
      <c r="N16" s="3">
        <f t="shared" si="1"/>
        <v>625.892857142857</v>
      </c>
      <c r="O16" s="21">
        <f t="shared" si="2"/>
        <v>28210.042161747868</v>
      </c>
      <c r="P16" s="3">
        <f t="shared" si="3"/>
        <v>626.11111111111097</v>
      </c>
      <c r="Q16" s="17">
        <f t="shared" si="4"/>
        <v>-2.9199451679232298E-4</v>
      </c>
      <c r="R16" s="3">
        <f t="shared" si="5"/>
        <v>773.32965212589704</v>
      </c>
      <c r="S16" s="24">
        <f t="shared" si="6"/>
        <v>2.6685472496473901</v>
      </c>
      <c r="T16" s="3">
        <f t="shared" si="7"/>
        <v>773.01541976013596</v>
      </c>
      <c r="U16" s="24">
        <f t="shared" si="7"/>
        <v>1.18845374746792</v>
      </c>
      <c r="V16" s="42">
        <f t="shared" si="8"/>
        <v>1.2791035362832721</v>
      </c>
      <c r="W16" s="49">
        <f t="shared" si="9"/>
        <v>-7.6275403235916875E-2</v>
      </c>
    </row>
    <row r="17" spans="2:23" x14ac:dyDescent="0.6">
      <c r="B17" s="2"/>
      <c r="C17" s="1"/>
      <c r="D17" s="2">
        <v>675.83705357142799</v>
      </c>
      <c r="E17" s="1">
        <v>25.869565217391301</v>
      </c>
      <c r="F17" s="2">
        <v>676.38888888888903</v>
      </c>
      <c r="G17" s="1">
        <v>-272.94037011651801</v>
      </c>
      <c r="H17" s="2">
        <v>823.38487023743699</v>
      </c>
      <c r="I17" s="1">
        <v>2.7791255289139598</v>
      </c>
      <c r="J17" s="2">
        <v>822.98686464877198</v>
      </c>
      <c r="K17" s="1">
        <v>1.30209318028359</v>
      </c>
      <c r="N17" s="3">
        <f t="shared" si="1"/>
        <v>675.83705357142799</v>
      </c>
      <c r="O17" s="21">
        <f t="shared" si="2"/>
        <v>38655.462184873955</v>
      </c>
      <c r="P17" s="3">
        <f t="shared" si="3"/>
        <v>676.38888888888903</v>
      </c>
      <c r="Q17" s="17">
        <f t="shared" si="4"/>
        <v>-2.72940370116518E-4</v>
      </c>
      <c r="R17" s="2">
        <f t="shared" si="5"/>
        <v>823.38487023743699</v>
      </c>
      <c r="S17" s="45">
        <f t="shared" si="6"/>
        <v>2.7791255289139598</v>
      </c>
      <c r="T17" s="2">
        <f t="shared" si="7"/>
        <v>822.98686464877198</v>
      </c>
      <c r="U17" s="45">
        <f t="shared" si="7"/>
        <v>1.30209318028359</v>
      </c>
      <c r="V17" s="42">
        <f>((O20*(Q20)^2)/S17)*T17</f>
        <v>1.3080905555370854</v>
      </c>
      <c r="W17" s="49">
        <f t="shared" si="9"/>
        <v>-4.6059493623868122E-3</v>
      </c>
    </row>
    <row r="18" spans="2:23" x14ac:dyDescent="0.6">
      <c r="D18" s="2">
        <v>725.78125</v>
      </c>
      <c r="E18" s="1">
        <v>18.7024456521739</v>
      </c>
      <c r="F18" s="2">
        <v>726.388888888888</v>
      </c>
      <c r="G18" s="50">
        <v>-260.87731322823799</v>
      </c>
      <c r="H18" s="31"/>
      <c r="I18" s="31"/>
      <c r="J18" s="31"/>
      <c r="N18" s="3">
        <f t="shared" si="1"/>
        <v>725.78125</v>
      </c>
      <c r="O18" s="21">
        <f t="shared" si="2"/>
        <v>53468.942971304074</v>
      </c>
      <c r="P18" s="3">
        <f t="shared" si="3"/>
        <v>726.388888888888</v>
      </c>
      <c r="Q18" s="17">
        <f t="shared" si="4"/>
        <v>-2.6087731322823796E-4</v>
      </c>
      <c r="R18" s="31"/>
      <c r="S18" s="38"/>
      <c r="T18" s="31"/>
      <c r="V18" s="42"/>
    </row>
    <row r="19" spans="2:23" x14ac:dyDescent="0.6">
      <c r="D19" s="2">
        <v>775.72544642857099</v>
      </c>
      <c r="E19" s="1">
        <v>15.1868206521739</v>
      </c>
      <c r="F19" s="2">
        <v>776.38888888888903</v>
      </c>
      <c r="G19" s="50">
        <v>-258.95819054146602</v>
      </c>
      <c r="H19" s="31"/>
      <c r="I19" s="31"/>
      <c r="J19" s="31"/>
      <c r="N19" s="3">
        <f t="shared" si="1"/>
        <v>775.72544642857099</v>
      </c>
      <c r="O19" s="21">
        <f t="shared" si="2"/>
        <v>65846.566763587631</v>
      </c>
      <c r="P19" s="3">
        <f t="shared" si="3"/>
        <v>776.38888888888903</v>
      </c>
      <c r="Q19" s="17">
        <f t="shared" si="4"/>
        <v>-2.5895819054146601E-4</v>
      </c>
      <c r="R19" s="31"/>
      <c r="S19" s="38"/>
      <c r="T19" s="31"/>
      <c r="V19" s="42"/>
    </row>
    <row r="20" spans="2:23" x14ac:dyDescent="0.6">
      <c r="D20" s="2">
        <v>822.87946428571399</v>
      </c>
      <c r="E20" s="1">
        <v>14.9490489130434</v>
      </c>
      <c r="F20" s="2">
        <v>823.61111111111097</v>
      </c>
      <c r="G20" s="50">
        <v>-256.970527758738</v>
      </c>
      <c r="H20" s="31"/>
      <c r="I20" s="31"/>
      <c r="J20" s="31"/>
      <c r="N20" s="3">
        <f t="shared" si="1"/>
        <v>822.87946428571399</v>
      </c>
      <c r="O20" s="21">
        <f t="shared" si="2"/>
        <v>66893.887752783819</v>
      </c>
      <c r="P20" s="3">
        <f t="shared" si="3"/>
        <v>823.61111111111097</v>
      </c>
      <c r="Q20" s="17">
        <f t="shared" si="4"/>
        <v>-2.56970527758738E-4</v>
      </c>
      <c r="R20" s="31"/>
      <c r="S20" s="38"/>
      <c r="T20" s="31"/>
      <c r="U20"/>
      <c r="V20" s="42"/>
    </row>
    <row r="21" spans="2:23" x14ac:dyDescent="0.6">
      <c r="G21" s="31"/>
      <c r="H21" s="31"/>
      <c r="I21" s="31"/>
      <c r="J21" s="31"/>
      <c r="O21"/>
      <c r="Q21" s="31"/>
      <c r="R21" s="31"/>
      <c r="S21" s="31"/>
      <c r="T21" s="3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ht="17.25" thickBot="1" x14ac:dyDescent="0.65">
      <c r="B28" t="s">
        <v>79</v>
      </c>
      <c r="O28"/>
      <c r="Q28"/>
      <c r="S28"/>
      <c r="U28"/>
      <c r="V28"/>
    </row>
    <row r="29" spans="2:23" x14ac:dyDescent="0.6">
      <c r="B29" s="5" t="s">
        <v>3</v>
      </c>
      <c r="C29" s="6" t="s">
        <v>0</v>
      </c>
      <c r="D29" s="7" t="s">
        <v>3</v>
      </c>
      <c r="E29" s="6" t="s">
        <v>8</v>
      </c>
      <c r="F29" s="7" t="s">
        <v>3</v>
      </c>
      <c r="G29" s="6" t="s">
        <v>1</v>
      </c>
      <c r="H29" s="7" t="s">
        <v>3</v>
      </c>
      <c r="I29" s="6" t="s">
        <v>2</v>
      </c>
      <c r="J29" s="7" t="s">
        <v>3</v>
      </c>
      <c r="K29" s="8" t="s">
        <v>6</v>
      </c>
      <c r="N29" s="5" t="s">
        <v>3</v>
      </c>
      <c r="O29" s="19" t="s">
        <v>0</v>
      </c>
      <c r="P29" s="7" t="s">
        <v>3</v>
      </c>
      <c r="Q29" s="15" t="s">
        <v>1</v>
      </c>
      <c r="R29" s="7" t="s">
        <v>3</v>
      </c>
      <c r="S29" s="23" t="s">
        <v>2</v>
      </c>
      <c r="T29" s="7" t="s">
        <v>3</v>
      </c>
      <c r="U29" s="25" t="s">
        <v>6</v>
      </c>
    </row>
    <row r="30" spans="2:23" ht="17.25" thickBot="1" x14ac:dyDescent="0.65">
      <c r="B30" s="9" t="s">
        <v>4</v>
      </c>
      <c r="C30" s="10" t="s">
        <v>10</v>
      </c>
      <c r="D30" s="11" t="s">
        <v>4</v>
      </c>
      <c r="E30" s="10" t="s">
        <v>69</v>
      </c>
      <c r="F30" s="11" t="s">
        <v>4</v>
      </c>
      <c r="G30" s="27" t="s">
        <v>13</v>
      </c>
      <c r="H30" s="11" t="s">
        <v>4</v>
      </c>
      <c r="I30" s="10" t="s">
        <v>15</v>
      </c>
      <c r="J30" s="11" t="s">
        <v>4</v>
      </c>
      <c r="K30" s="12" t="s">
        <v>7</v>
      </c>
      <c r="N30" s="9" t="s">
        <v>4</v>
      </c>
      <c r="O30" s="20" t="s">
        <v>5</v>
      </c>
      <c r="P30" s="11" t="s">
        <v>4</v>
      </c>
      <c r="Q30" s="16" t="s">
        <v>14</v>
      </c>
      <c r="R30" s="11" t="s">
        <v>4</v>
      </c>
      <c r="S30" s="10" t="s">
        <v>15</v>
      </c>
      <c r="T30" s="11" t="s">
        <v>4</v>
      </c>
      <c r="U30" s="26" t="s">
        <v>7</v>
      </c>
      <c r="W30" t="s">
        <v>78</v>
      </c>
    </row>
    <row r="31" spans="2:23" x14ac:dyDescent="0.6">
      <c r="B31" s="3"/>
      <c r="C31" s="4"/>
      <c r="D31" s="3">
        <v>381.041</v>
      </c>
      <c r="E31" s="4">
        <v>14.3383</v>
      </c>
      <c r="F31" s="3">
        <v>377</v>
      </c>
      <c r="G31" s="4">
        <v>-218.82</v>
      </c>
      <c r="H31" s="3">
        <v>422.88099999999997</v>
      </c>
      <c r="I31" s="4">
        <v>2.8818999999999999</v>
      </c>
      <c r="J31" s="3">
        <v>418.762</v>
      </c>
      <c r="K31" s="4">
        <v>0.54217800000000005</v>
      </c>
      <c r="N31" s="3">
        <f>D31</f>
        <v>381.041</v>
      </c>
      <c r="O31" s="21">
        <f>1/E31*1000000</f>
        <v>69743.27500470767</v>
      </c>
      <c r="P31" s="3">
        <f>F31</f>
        <v>377</v>
      </c>
      <c r="Q31" s="17">
        <f>G31*0.000001</f>
        <v>-2.1882E-4</v>
      </c>
      <c r="R31" s="3">
        <f>H31</f>
        <v>422.88099999999997</v>
      </c>
      <c r="S31" s="24">
        <f>I31</f>
        <v>2.8818999999999999</v>
      </c>
      <c r="T31" s="3">
        <f>J31</f>
        <v>418.762</v>
      </c>
      <c r="U31" s="24">
        <f>K31</f>
        <v>0.54217800000000005</v>
      </c>
      <c r="V31" s="42">
        <f>((O31*(Q31)^2)/S31)*T31</f>
        <v>0.48524908240768644</v>
      </c>
      <c r="W31" s="49">
        <f t="shared" ref="W31:W39" si="10">(U31-V31)/U31</f>
        <v>0.10500041977415832</v>
      </c>
    </row>
    <row r="32" spans="2:23" x14ac:dyDescent="0.6">
      <c r="B32" s="3"/>
      <c r="C32" s="4"/>
      <c r="D32" s="3">
        <v>436.68200000000002</v>
      </c>
      <c r="E32" s="4">
        <v>15.382199999999999</v>
      </c>
      <c r="F32" s="3">
        <v>432.76600000000002</v>
      </c>
      <c r="G32" s="4">
        <v>-222.12200000000001</v>
      </c>
      <c r="H32" s="3">
        <v>472.44499999999999</v>
      </c>
      <c r="I32" s="4">
        <v>2.8605999999999998</v>
      </c>
      <c r="J32" s="3">
        <v>468.11</v>
      </c>
      <c r="K32" s="4">
        <v>0.57621500000000003</v>
      </c>
      <c r="N32" s="3">
        <f t="shared" ref="N32:N39" si="11">D32</f>
        <v>436.68200000000002</v>
      </c>
      <c r="O32" s="21">
        <f t="shared" ref="O32:O39" si="12">1/E32*1000000</f>
        <v>65010.206602436585</v>
      </c>
      <c r="P32" s="3">
        <f t="shared" ref="P32:P39" si="13">F32</f>
        <v>432.76600000000002</v>
      </c>
      <c r="Q32" s="17">
        <f t="shared" ref="Q32:Q39" si="14">G32*0.000001</f>
        <v>-2.22122E-4</v>
      </c>
      <c r="R32" s="3">
        <f t="shared" ref="R32:R39" si="15">H32</f>
        <v>472.44499999999999</v>
      </c>
      <c r="S32" s="24">
        <f t="shared" ref="S32:S39" si="16">I32</f>
        <v>2.8605999999999998</v>
      </c>
      <c r="T32" s="3">
        <f t="shared" ref="T32:T39" si="17">J32</f>
        <v>468.11</v>
      </c>
      <c r="U32" s="24">
        <f t="shared" ref="U32:U39" si="18">K32</f>
        <v>0.57621500000000003</v>
      </c>
      <c r="V32" s="42">
        <f t="shared" ref="V32:V39" si="19">((O32*(Q32)^2)/S32)*T32</f>
        <v>0.52487450882123687</v>
      </c>
      <c r="W32" s="49">
        <f t="shared" si="10"/>
        <v>8.9099539544724035E-2</v>
      </c>
    </row>
    <row r="33" spans="2:23" x14ac:dyDescent="0.6">
      <c r="B33" s="2"/>
      <c r="C33" s="1"/>
      <c r="D33" s="2">
        <v>489.78800000000001</v>
      </c>
      <c r="E33" s="1">
        <v>15.707599999999999</v>
      </c>
      <c r="F33" s="2">
        <v>486</v>
      </c>
      <c r="G33" s="1">
        <v>-227.17099999999999</v>
      </c>
      <c r="H33" s="2">
        <v>522.90099999999995</v>
      </c>
      <c r="I33" s="1">
        <v>2.8096800000000002</v>
      </c>
      <c r="J33" s="2">
        <v>517.52700000000004</v>
      </c>
      <c r="K33" s="1">
        <v>0.73086899999999999</v>
      </c>
      <c r="N33" s="3">
        <f t="shared" si="11"/>
        <v>489.78800000000001</v>
      </c>
      <c r="O33" s="21">
        <f t="shared" si="12"/>
        <v>63663.449540349902</v>
      </c>
      <c r="P33" s="3">
        <f t="shared" si="13"/>
        <v>486</v>
      </c>
      <c r="Q33" s="17">
        <f t="shared" si="14"/>
        <v>-2.2717099999999997E-4</v>
      </c>
      <c r="R33" s="3">
        <f t="shared" si="15"/>
        <v>522.90099999999995</v>
      </c>
      <c r="S33" s="24">
        <f t="shared" si="16"/>
        <v>2.8096800000000002</v>
      </c>
      <c r="T33" s="3">
        <f t="shared" si="17"/>
        <v>517.52700000000004</v>
      </c>
      <c r="U33" s="24">
        <f t="shared" si="18"/>
        <v>0.73086899999999999</v>
      </c>
      <c r="V33" s="42">
        <f t="shared" si="19"/>
        <v>0.60516262581036273</v>
      </c>
      <c r="W33" s="49">
        <f t="shared" si="10"/>
        <v>0.1719957669426905</v>
      </c>
    </row>
    <row r="34" spans="2:23" x14ac:dyDescent="0.6">
      <c r="B34" s="2"/>
      <c r="C34" s="1"/>
      <c r="D34" s="2">
        <v>540.36199999999997</v>
      </c>
      <c r="E34" s="1">
        <v>15.6744</v>
      </c>
      <c r="F34" s="2">
        <v>539.24900000000002</v>
      </c>
      <c r="G34" s="1">
        <v>-240.916</v>
      </c>
      <c r="H34" s="2">
        <v>572.45399999999995</v>
      </c>
      <c r="I34" s="1">
        <v>2.8254199999999998</v>
      </c>
      <c r="J34" s="2">
        <v>569.09100000000001</v>
      </c>
      <c r="K34" s="1">
        <v>0.72180900000000003</v>
      </c>
      <c r="N34" s="3">
        <f t="shared" si="11"/>
        <v>540.36199999999997</v>
      </c>
      <c r="O34" s="21">
        <f t="shared" si="12"/>
        <v>63798.295309549321</v>
      </c>
      <c r="P34" s="3">
        <f t="shared" si="13"/>
        <v>539.24900000000002</v>
      </c>
      <c r="Q34" s="17">
        <f t="shared" si="14"/>
        <v>-2.4091599999999998E-4</v>
      </c>
      <c r="R34" s="3">
        <f t="shared" si="15"/>
        <v>572.45399999999995</v>
      </c>
      <c r="S34" s="24">
        <f t="shared" si="16"/>
        <v>2.8254199999999998</v>
      </c>
      <c r="T34" s="3">
        <f t="shared" si="17"/>
        <v>569.09100000000001</v>
      </c>
      <c r="U34" s="24">
        <f t="shared" si="18"/>
        <v>0.72180900000000003</v>
      </c>
      <c r="V34" s="42">
        <f t="shared" si="19"/>
        <v>0.74582865415412236</v>
      </c>
      <c r="W34" s="49">
        <f t="shared" si="10"/>
        <v>-3.3277022251208183E-2</v>
      </c>
    </row>
    <row r="35" spans="2:23" x14ac:dyDescent="0.6">
      <c r="B35" s="2"/>
      <c r="C35" s="1"/>
      <c r="D35" s="2">
        <v>590.94299999999998</v>
      </c>
      <c r="E35" s="1">
        <v>16.361599999999999</v>
      </c>
      <c r="F35" s="2">
        <v>591.19600000000003</v>
      </c>
      <c r="G35" s="1">
        <v>-233.79499999999999</v>
      </c>
      <c r="H35" s="2">
        <v>622.01700000000005</v>
      </c>
      <c r="I35" s="1">
        <v>2.8041100000000001</v>
      </c>
      <c r="J35" s="2">
        <v>618.46900000000005</v>
      </c>
      <c r="K35" s="1">
        <v>0.80753900000000001</v>
      </c>
      <c r="N35" s="3">
        <f t="shared" si="11"/>
        <v>590.94299999999998</v>
      </c>
      <c r="O35" s="21">
        <f t="shared" si="12"/>
        <v>61118.716995892821</v>
      </c>
      <c r="P35" s="3">
        <f t="shared" si="13"/>
        <v>591.19600000000003</v>
      </c>
      <c r="Q35" s="17">
        <f t="shared" si="14"/>
        <v>-2.3379499999999997E-4</v>
      </c>
      <c r="R35" s="3">
        <f t="shared" si="15"/>
        <v>622.01700000000005</v>
      </c>
      <c r="S35" s="24">
        <f t="shared" si="16"/>
        <v>2.8041100000000001</v>
      </c>
      <c r="T35" s="3">
        <f t="shared" si="17"/>
        <v>618.46900000000005</v>
      </c>
      <c r="U35" s="24">
        <f t="shared" si="18"/>
        <v>0.80753900000000001</v>
      </c>
      <c r="V35" s="42">
        <f t="shared" si="19"/>
        <v>0.73683043594500885</v>
      </c>
      <c r="W35" s="49">
        <f t="shared" si="10"/>
        <v>8.7560556276528007E-2</v>
      </c>
    </row>
    <row r="36" spans="2:23" x14ac:dyDescent="0.6">
      <c r="B36" s="2"/>
      <c r="C36" s="1"/>
      <c r="D36" s="2">
        <v>642.779</v>
      </c>
      <c r="E36" s="1">
        <v>15.967499999999999</v>
      </c>
      <c r="F36" s="2">
        <v>640.62800000000004</v>
      </c>
      <c r="G36" s="1">
        <v>-238.85599999999999</v>
      </c>
      <c r="H36" s="2">
        <v>672.45</v>
      </c>
      <c r="I36" s="1">
        <v>2.8420800000000002</v>
      </c>
      <c r="J36" s="2">
        <v>666.73</v>
      </c>
      <c r="K36" s="1">
        <v>0.90189399999999997</v>
      </c>
      <c r="N36" s="3">
        <f t="shared" si="11"/>
        <v>642.779</v>
      </c>
      <c r="O36" s="21">
        <f t="shared" si="12"/>
        <v>62627.211523406921</v>
      </c>
      <c r="P36" s="3">
        <f t="shared" si="13"/>
        <v>640.62800000000004</v>
      </c>
      <c r="Q36" s="17">
        <f t="shared" si="14"/>
        <v>-2.3885599999999999E-4</v>
      </c>
      <c r="R36" s="3">
        <f t="shared" si="15"/>
        <v>672.45</v>
      </c>
      <c r="S36" s="24">
        <f t="shared" si="16"/>
        <v>2.8420800000000002</v>
      </c>
      <c r="T36" s="3">
        <f t="shared" si="17"/>
        <v>666.73</v>
      </c>
      <c r="U36" s="24">
        <f t="shared" si="18"/>
        <v>0.90189399999999997</v>
      </c>
      <c r="V36" s="42">
        <f t="shared" si="19"/>
        <v>0.83820275495283503</v>
      </c>
      <c r="W36" s="49">
        <f t="shared" si="10"/>
        <v>7.0619435373962952E-2</v>
      </c>
    </row>
    <row r="37" spans="2:23" x14ac:dyDescent="0.6">
      <c r="B37" s="2"/>
      <c r="C37" s="1"/>
      <c r="D37" s="2">
        <v>692.1</v>
      </c>
      <c r="E37" s="1">
        <v>17.375699999999998</v>
      </c>
      <c r="F37" s="2">
        <v>696.38800000000003</v>
      </c>
      <c r="G37" s="1">
        <v>-238.68</v>
      </c>
      <c r="H37" s="2">
        <v>721.11199999999997</v>
      </c>
      <c r="I37" s="1">
        <v>2.88002</v>
      </c>
      <c r="J37" s="2">
        <v>718.30899999999997</v>
      </c>
      <c r="K37" s="1">
        <v>0.91868099999999997</v>
      </c>
      <c r="N37" s="3">
        <f t="shared" si="11"/>
        <v>692.1</v>
      </c>
      <c r="O37" s="21">
        <f t="shared" si="12"/>
        <v>57551.638207381577</v>
      </c>
      <c r="P37" s="3">
        <f t="shared" si="13"/>
        <v>696.38800000000003</v>
      </c>
      <c r="Q37" s="17">
        <f t="shared" si="14"/>
        <v>-2.3867999999999998E-4</v>
      </c>
      <c r="R37" s="3">
        <f t="shared" si="15"/>
        <v>721.11199999999997</v>
      </c>
      <c r="S37" s="24">
        <f t="shared" si="16"/>
        <v>2.88002</v>
      </c>
      <c r="T37" s="3">
        <f t="shared" si="17"/>
        <v>718.30899999999997</v>
      </c>
      <c r="U37" s="24">
        <f t="shared" si="18"/>
        <v>0.91868099999999997</v>
      </c>
      <c r="V37" s="42">
        <f t="shared" si="19"/>
        <v>0.8177217566423195</v>
      </c>
      <c r="W37" s="49">
        <f t="shared" si="10"/>
        <v>0.10989586522163894</v>
      </c>
    </row>
    <row r="38" spans="2:23" x14ac:dyDescent="0.6">
      <c r="B38" s="2"/>
      <c r="C38" s="1"/>
      <c r="D38" s="2">
        <v>747.73199999999997</v>
      </c>
      <c r="E38" s="1">
        <v>17.339200000000002</v>
      </c>
      <c r="F38" s="2">
        <v>743.28599999999994</v>
      </c>
      <c r="G38" s="1">
        <v>-243.749</v>
      </c>
      <c r="H38" s="2">
        <v>772.40800000000002</v>
      </c>
      <c r="I38" s="1">
        <v>2.9994900000000002</v>
      </c>
      <c r="J38" s="2">
        <v>768.78499999999997</v>
      </c>
      <c r="K38" s="1">
        <v>0.96563200000000005</v>
      </c>
      <c r="N38" s="3">
        <f t="shared" si="11"/>
        <v>747.73199999999997</v>
      </c>
      <c r="O38" s="21">
        <f t="shared" si="12"/>
        <v>57672.787671864899</v>
      </c>
      <c r="P38" s="3">
        <f t="shared" si="13"/>
        <v>743.28599999999994</v>
      </c>
      <c r="Q38" s="17">
        <f t="shared" si="14"/>
        <v>-2.4374899999999997E-4</v>
      </c>
      <c r="R38" s="3">
        <f t="shared" si="15"/>
        <v>772.40800000000002</v>
      </c>
      <c r="S38" s="24">
        <f t="shared" si="16"/>
        <v>2.9994900000000002</v>
      </c>
      <c r="T38" s="3">
        <f t="shared" si="17"/>
        <v>768.78499999999997</v>
      </c>
      <c r="U38" s="24">
        <f t="shared" si="18"/>
        <v>0.96563200000000005</v>
      </c>
      <c r="V38" s="42">
        <f t="shared" si="19"/>
        <v>0.87824181704857562</v>
      </c>
      <c r="W38" s="49">
        <f t="shared" si="10"/>
        <v>9.0500504282609126E-2</v>
      </c>
    </row>
    <row r="39" spans="2:23" x14ac:dyDescent="0.6">
      <c r="B39" s="2"/>
      <c r="C39" s="1"/>
      <c r="D39" s="2">
        <v>818.51900000000001</v>
      </c>
      <c r="E39" s="1">
        <v>15.132199999999999</v>
      </c>
      <c r="F39" s="2">
        <v>818.06399999999996</v>
      </c>
      <c r="G39" s="1">
        <v>-248.73</v>
      </c>
      <c r="H39" s="2">
        <v>818</v>
      </c>
      <c r="I39" s="1">
        <v>3.22</v>
      </c>
      <c r="J39" s="2">
        <v>819.28099999999995</v>
      </c>
      <c r="K39" s="1">
        <v>1.04704</v>
      </c>
      <c r="N39" s="3">
        <f t="shared" si="11"/>
        <v>818.51900000000001</v>
      </c>
      <c r="O39" s="21">
        <f t="shared" si="12"/>
        <v>66084.244194499159</v>
      </c>
      <c r="P39" s="3">
        <f t="shared" si="13"/>
        <v>818.06399999999996</v>
      </c>
      <c r="Q39" s="17">
        <f t="shared" si="14"/>
        <v>-2.4872999999999996E-4</v>
      </c>
      <c r="R39" s="3">
        <f t="shared" si="15"/>
        <v>818</v>
      </c>
      <c r="S39" s="24">
        <f t="shared" si="16"/>
        <v>3.22</v>
      </c>
      <c r="T39" s="3">
        <f t="shared" si="17"/>
        <v>819.28099999999995</v>
      </c>
      <c r="U39" s="24">
        <f t="shared" si="18"/>
        <v>1.04704</v>
      </c>
      <c r="V39" s="42">
        <f t="shared" si="19"/>
        <v>1.0402345605517798</v>
      </c>
      <c r="W39" s="49">
        <f t="shared" si="10"/>
        <v>6.4996938495379426E-3</v>
      </c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/>
  </sheetPr>
  <dimension ref="A1:W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68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299.27884615384602</v>
      </c>
      <c r="C9" s="4">
        <v>85.991091314031195</v>
      </c>
      <c r="D9" s="3"/>
      <c r="E9" s="4"/>
      <c r="F9" s="3">
        <v>301.608</v>
      </c>
      <c r="G9" s="4">
        <v>-193.25800000000001</v>
      </c>
      <c r="H9" s="3">
        <v>296.31200000000001</v>
      </c>
      <c r="I9" s="4">
        <v>3.6878700000000002</v>
      </c>
      <c r="J9" s="3">
        <v>300.94899169632203</v>
      </c>
      <c r="K9" s="4">
        <v>0.26137527432333502</v>
      </c>
      <c r="N9" s="3">
        <f>B9</f>
        <v>299.27884615384602</v>
      </c>
      <c r="O9" s="21">
        <f>C9*(10^(3))</f>
        <v>85991.09131403119</v>
      </c>
      <c r="P9" s="3">
        <f>F9</f>
        <v>301.608</v>
      </c>
      <c r="Q9" s="17">
        <f>G9*(10^(-6))</f>
        <v>-1.93258E-4</v>
      </c>
      <c r="R9" s="3">
        <f>H9</f>
        <v>296.31200000000001</v>
      </c>
      <c r="S9" s="24">
        <f>I9</f>
        <v>3.6878700000000002</v>
      </c>
      <c r="T9" s="3">
        <f>J9</f>
        <v>300.94899169632203</v>
      </c>
      <c r="U9" s="51">
        <f>K9</f>
        <v>0.26137527432333502</v>
      </c>
      <c r="V9" s="42">
        <f>((O9*(Q9)^2)/S9)*T9</f>
        <v>0.2620871397818984</v>
      </c>
      <c r="W9" s="49">
        <f t="shared" ref="W9" si="0">(U9-V9)/U9</f>
        <v>-2.7235378725333158E-3</v>
      </c>
    </row>
    <row r="10" spans="1:23" x14ac:dyDescent="0.6">
      <c r="B10" s="3">
        <v>349.51923076922998</v>
      </c>
      <c r="C10" s="4">
        <v>78.552338530066805</v>
      </c>
      <c r="D10" s="3"/>
      <c r="E10" s="4"/>
      <c r="F10" s="3">
        <v>351.447</v>
      </c>
      <c r="G10" s="4">
        <v>-205.393</v>
      </c>
      <c r="H10" s="3">
        <v>351.65300000000002</v>
      </c>
      <c r="I10" s="4">
        <v>3.4460600000000001</v>
      </c>
      <c r="J10" s="3">
        <v>350.05931198102002</v>
      </c>
      <c r="K10" s="4">
        <v>0.33599122165325501</v>
      </c>
      <c r="N10" s="3">
        <f t="shared" ref="N10:N18" si="1">B10</f>
        <v>349.51923076922998</v>
      </c>
      <c r="O10" s="21">
        <f t="shared" ref="O10:O19" si="2">C10*(10^(3))</f>
        <v>78552.338530066801</v>
      </c>
      <c r="P10" s="3">
        <f t="shared" ref="P10:P18" si="3">F10</f>
        <v>351.447</v>
      </c>
      <c r="Q10" s="17">
        <f t="shared" ref="Q10:Q18" si="4">G10*(10^(-6))</f>
        <v>-2.05393E-4</v>
      </c>
      <c r="R10" s="3">
        <f t="shared" ref="R10:U18" si="5">H10</f>
        <v>351.65300000000002</v>
      </c>
      <c r="S10" s="24">
        <f t="shared" si="5"/>
        <v>3.4460600000000001</v>
      </c>
      <c r="T10" s="3">
        <f t="shared" si="5"/>
        <v>350.05931198102002</v>
      </c>
      <c r="U10" s="51">
        <f t="shared" si="5"/>
        <v>0.33599122165325501</v>
      </c>
      <c r="V10" s="42">
        <f t="shared" ref="V10:V18" si="6">((O10*(Q10)^2)/S10)*T10</f>
        <v>0.33662719278719816</v>
      </c>
      <c r="W10" s="49">
        <f t="shared" ref="W10:W18" si="7">(U10-V10)/U10</f>
        <v>-1.8928206838673702E-3</v>
      </c>
    </row>
    <row r="11" spans="1:23" x14ac:dyDescent="0.6">
      <c r="B11" s="2">
        <v>398.798076923076</v>
      </c>
      <c r="C11" s="1">
        <v>73.028953229398596</v>
      </c>
      <c r="D11" s="2"/>
      <c r="E11" s="1"/>
      <c r="F11" s="2">
        <v>399.678</v>
      </c>
      <c r="G11" s="1">
        <v>-217.07900000000001</v>
      </c>
      <c r="H11" s="2">
        <v>399.30200000000002</v>
      </c>
      <c r="I11" s="1">
        <v>3.2490800000000002</v>
      </c>
      <c r="J11" s="2">
        <v>399.64412811387899</v>
      </c>
      <c r="K11" s="1">
        <v>0.42465252377468898</v>
      </c>
      <c r="N11" s="3">
        <f t="shared" si="1"/>
        <v>398.798076923076</v>
      </c>
      <c r="O11" s="21">
        <f t="shared" si="2"/>
        <v>73028.953229398598</v>
      </c>
      <c r="P11" s="3">
        <f t="shared" si="3"/>
        <v>399.678</v>
      </c>
      <c r="Q11" s="17">
        <f t="shared" si="4"/>
        <v>-2.1707899999999999E-4</v>
      </c>
      <c r="R11" s="3">
        <f t="shared" si="5"/>
        <v>399.30200000000002</v>
      </c>
      <c r="S11" s="24">
        <f t="shared" si="5"/>
        <v>3.2490800000000002</v>
      </c>
      <c r="T11" s="3">
        <f t="shared" si="5"/>
        <v>399.64412811387899</v>
      </c>
      <c r="U11" s="51">
        <f t="shared" si="5"/>
        <v>0.42465252377468898</v>
      </c>
      <c r="V11" s="42">
        <f t="shared" si="6"/>
        <v>0.42329557815901109</v>
      </c>
      <c r="W11" s="49">
        <f t="shared" si="7"/>
        <v>3.1954257650847273E-3</v>
      </c>
    </row>
    <row r="12" spans="1:23" x14ac:dyDescent="0.6">
      <c r="B12" s="2">
        <v>448.798076923076</v>
      </c>
      <c r="C12" s="1">
        <v>69.109131403117999</v>
      </c>
      <c r="D12" s="2"/>
      <c r="E12" s="1"/>
      <c r="F12" s="2">
        <v>451.125</v>
      </c>
      <c r="G12" s="1">
        <v>-231.46100000000001</v>
      </c>
      <c r="H12" s="2">
        <v>448.46100000000001</v>
      </c>
      <c r="I12" s="1">
        <v>3.0970900000000001</v>
      </c>
      <c r="J12" s="2">
        <v>450.88967971530201</v>
      </c>
      <c r="K12" s="1">
        <v>0.53745427944403801</v>
      </c>
      <c r="N12" s="3">
        <f t="shared" si="1"/>
        <v>448.798076923076</v>
      </c>
      <c r="O12" s="21">
        <f t="shared" si="2"/>
        <v>69109.131403117994</v>
      </c>
      <c r="P12" s="3">
        <f t="shared" si="3"/>
        <v>451.125</v>
      </c>
      <c r="Q12" s="17">
        <f t="shared" si="4"/>
        <v>-2.31461E-4</v>
      </c>
      <c r="R12" s="3">
        <f t="shared" si="5"/>
        <v>448.46100000000001</v>
      </c>
      <c r="S12" s="24">
        <f t="shared" si="5"/>
        <v>3.0970900000000001</v>
      </c>
      <c r="T12" s="3">
        <f t="shared" si="5"/>
        <v>450.88967971530201</v>
      </c>
      <c r="U12" s="51">
        <f t="shared" si="5"/>
        <v>0.53745427944403801</v>
      </c>
      <c r="V12" s="42">
        <f t="shared" si="6"/>
        <v>0.53902331897876965</v>
      </c>
      <c r="W12" s="49">
        <f t="shared" si="7"/>
        <v>-2.9193916482620863E-3</v>
      </c>
    </row>
    <row r="13" spans="1:23" x14ac:dyDescent="0.6">
      <c r="B13" s="2">
        <v>500</v>
      </c>
      <c r="C13" s="1">
        <v>65.634743875278403</v>
      </c>
      <c r="D13" s="2"/>
      <c r="E13" s="1"/>
      <c r="F13" s="2">
        <v>497.74900000000002</v>
      </c>
      <c r="G13" s="1">
        <v>-244.04499999999999</v>
      </c>
      <c r="H13" s="2">
        <v>502.22199999999998</v>
      </c>
      <c r="I13" s="1">
        <v>2.9451800000000001</v>
      </c>
      <c r="J13" s="2">
        <v>499.05100830367701</v>
      </c>
      <c r="K13" s="1">
        <v>0.65903438185808305</v>
      </c>
      <c r="N13" s="3">
        <f t="shared" si="1"/>
        <v>500</v>
      </c>
      <c r="O13" s="21">
        <f t="shared" si="2"/>
        <v>65634.743875278407</v>
      </c>
      <c r="P13" s="3">
        <f t="shared" si="3"/>
        <v>497.74900000000002</v>
      </c>
      <c r="Q13" s="17">
        <f t="shared" si="4"/>
        <v>-2.4404499999999997E-4</v>
      </c>
      <c r="R13" s="3">
        <f t="shared" si="5"/>
        <v>502.22199999999998</v>
      </c>
      <c r="S13" s="24">
        <f t="shared" si="5"/>
        <v>2.9451800000000001</v>
      </c>
      <c r="T13" s="3">
        <f t="shared" si="5"/>
        <v>499.05100830367701</v>
      </c>
      <c r="U13" s="51">
        <f t="shared" si="5"/>
        <v>0.65903438185808305</v>
      </c>
      <c r="V13" s="42">
        <f t="shared" si="6"/>
        <v>0.66237924851770857</v>
      </c>
      <c r="W13" s="49">
        <f t="shared" si="7"/>
        <v>-5.0754053987213804E-3</v>
      </c>
    </row>
    <row r="14" spans="1:23" x14ac:dyDescent="0.6">
      <c r="B14" s="2">
        <v>550.961538461538</v>
      </c>
      <c r="C14" s="1">
        <v>62.427616926503298</v>
      </c>
      <c r="D14" s="2"/>
      <c r="E14" s="1"/>
      <c r="F14" s="2">
        <v>549.19600000000003</v>
      </c>
      <c r="G14" s="1">
        <v>-254.83099999999999</v>
      </c>
      <c r="H14" s="2">
        <v>548.26599999999996</v>
      </c>
      <c r="I14" s="1">
        <v>2.88306</v>
      </c>
      <c r="J14" s="2">
        <v>549.34756820877794</v>
      </c>
      <c r="K14" s="1">
        <v>0.77095830285296196</v>
      </c>
      <c r="N14" s="3">
        <f t="shared" si="1"/>
        <v>550.961538461538</v>
      </c>
      <c r="O14" s="21">
        <f t="shared" si="2"/>
        <v>62427.616926503295</v>
      </c>
      <c r="P14" s="3">
        <f t="shared" si="3"/>
        <v>549.19600000000003</v>
      </c>
      <c r="Q14" s="17">
        <f t="shared" si="4"/>
        <v>-2.5483099999999996E-4</v>
      </c>
      <c r="R14" s="3">
        <f t="shared" si="5"/>
        <v>548.26599999999996</v>
      </c>
      <c r="S14" s="24">
        <f t="shared" si="5"/>
        <v>2.88306</v>
      </c>
      <c r="T14" s="3">
        <f t="shared" si="5"/>
        <v>549.34756820877794</v>
      </c>
      <c r="U14" s="51">
        <f t="shared" si="5"/>
        <v>0.77095830285296196</v>
      </c>
      <c r="V14" s="42">
        <f t="shared" si="6"/>
        <v>0.77245786494251956</v>
      </c>
      <c r="W14" s="49">
        <f t="shared" si="7"/>
        <v>-1.9450625072826948E-3</v>
      </c>
    </row>
    <row r="15" spans="1:23" x14ac:dyDescent="0.6">
      <c r="B15" s="2">
        <v>601.20192307692298</v>
      </c>
      <c r="C15" s="1">
        <v>60.155902004454298</v>
      </c>
      <c r="D15" s="2"/>
      <c r="E15" s="1"/>
      <c r="F15" s="2">
        <v>603.85900000000004</v>
      </c>
      <c r="G15" s="1">
        <v>-260.22500000000002</v>
      </c>
      <c r="H15" s="2">
        <v>597.38300000000004</v>
      </c>
      <c r="I15" s="1">
        <v>2.8120099999999999</v>
      </c>
      <c r="J15" s="2">
        <v>601.067615658362</v>
      </c>
      <c r="K15" s="1">
        <v>0.87015362106803196</v>
      </c>
      <c r="N15" s="3">
        <f t="shared" si="1"/>
        <v>601.20192307692298</v>
      </c>
      <c r="O15" s="21">
        <f t="shared" si="2"/>
        <v>60155.902004454299</v>
      </c>
      <c r="P15" s="3">
        <f t="shared" si="3"/>
        <v>603.85900000000004</v>
      </c>
      <c r="Q15" s="17">
        <f t="shared" si="4"/>
        <v>-2.60225E-4</v>
      </c>
      <c r="R15" s="3">
        <f t="shared" si="5"/>
        <v>597.38300000000004</v>
      </c>
      <c r="S15" s="24">
        <f t="shared" si="5"/>
        <v>2.8120099999999999</v>
      </c>
      <c r="T15" s="3">
        <f t="shared" si="5"/>
        <v>601.067615658362</v>
      </c>
      <c r="U15" s="51">
        <f t="shared" si="5"/>
        <v>0.87015362106803196</v>
      </c>
      <c r="V15" s="42">
        <f t="shared" si="6"/>
        <v>0.8707284735579166</v>
      </c>
      <c r="W15" s="49">
        <f t="shared" si="7"/>
        <v>-6.6063333642060805E-4</v>
      </c>
    </row>
    <row r="16" spans="1:23" x14ac:dyDescent="0.6">
      <c r="B16" s="2">
        <v>650.48076923076906</v>
      </c>
      <c r="C16" s="1">
        <v>58.240534521158096</v>
      </c>
      <c r="D16" s="2"/>
      <c r="E16" s="1"/>
      <c r="F16" s="2">
        <v>650.48199999999997</v>
      </c>
      <c r="G16" s="1">
        <v>-262.02199999999999</v>
      </c>
      <c r="H16" s="2">
        <v>652.61199999999997</v>
      </c>
      <c r="I16" s="1">
        <v>2.7860200000000002</v>
      </c>
      <c r="J16" s="2">
        <v>649.228944246737</v>
      </c>
      <c r="K16" s="1">
        <v>0.92852962692026297</v>
      </c>
      <c r="N16" s="3">
        <f t="shared" si="1"/>
        <v>650.48076923076906</v>
      </c>
      <c r="O16" s="21">
        <f t="shared" si="2"/>
        <v>58240.534521158093</v>
      </c>
      <c r="P16" s="3">
        <f t="shared" si="3"/>
        <v>650.48199999999997</v>
      </c>
      <c r="Q16" s="17">
        <f t="shared" si="4"/>
        <v>-2.6202199999999999E-4</v>
      </c>
      <c r="R16" s="3">
        <f t="shared" si="5"/>
        <v>652.61199999999997</v>
      </c>
      <c r="S16" s="24">
        <f t="shared" si="5"/>
        <v>2.7860200000000002</v>
      </c>
      <c r="T16" s="3">
        <f t="shared" si="5"/>
        <v>649.228944246737</v>
      </c>
      <c r="U16" s="51">
        <f t="shared" si="5"/>
        <v>0.92852962692026297</v>
      </c>
      <c r="V16" s="42">
        <f t="shared" si="6"/>
        <v>0.93178241603232115</v>
      </c>
      <c r="W16" s="49">
        <f t="shared" si="7"/>
        <v>-3.5031613615248767E-3</v>
      </c>
    </row>
    <row r="17" spans="2:23" x14ac:dyDescent="0.6">
      <c r="B17" s="2">
        <v>700.24038461538396</v>
      </c>
      <c r="C17" s="1">
        <v>57.1714922048997</v>
      </c>
      <c r="D17" s="2"/>
      <c r="E17" s="1"/>
      <c r="F17" s="2">
        <v>701.92899999999997</v>
      </c>
      <c r="G17" s="1">
        <v>-261.57299999999998</v>
      </c>
      <c r="H17" s="2">
        <v>700.13400000000001</v>
      </c>
      <c r="I17" s="1">
        <v>2.8318400000000001</v>
      </c>
      <c r="J17" s="2">
        <v>701.18623962040294</v>
      </c>
      <c r="K17" s="1">
        <v>0.95618141916605703</v>
      </c>
      <c r="N17" s="3">
        <f t="shared" si="1"/>
        <v>700.24038461538396</v>
      </c>
      <c r="O17" s="21">
        <f t="shared" si="2"/>
        <v>57171.492204899703</v>
      </c>
      <c r="P17" s="3">
        <f t="shared" si="3"/>
        <v>701.92899999999997</v>
      </c>
      <c r="Q17" s="17">
        <f t="shared" si="4"/>
        <v>-2.6157299999999997E-4</v>
      </c>
      <c r="R17" s="3">
        <f t="shared" si="5"/>
        <v>700.13400000000001</v>
      </c>
      <c r="S17" s="24">
        <f t="shared" si="5"/>
        <v>2.8318400000000001</v>
      </c>
      <c r="T17" s="3">
        <f t="shared" si="5"/>
        <v>701.18623962040294</v>
      </c>
      <c r="U17" s="51">
        <f t="shared" si="5"/>
        <v>0.95618141916605703</v>
      </c>
      <c r="V17" s="42">
        <f t="shared" si="6"/>
        <v>0.96856780081749194</v>
      </c>
      <c r="W17" s="49">
        <f t="shared" si="7"/>
        <v>-1.2954007893437014E-2</v>
      </c>
    </row>
    <row r="18" spans="2:23" x14ac:dyDescent="0.6">
      <c r="B18" s="2">
        <v>749.51923076923003</v>
      </c>
      <c r="C18" s="1">
        <v>56.681514476614701</v>
      </c>
      <c r="D18" s="2"/>
      <c r="E18" s="1"/>
      <c r="F18" s="2">
        <v>750.16099999999994</v>
      </c>
      <c r="G18" s="1">
        <v>-252.13499999999999</v>
      </c>
      <c r="H18" s="2">
        <v>747.63199999999995</v>
      </c>
      <c r="I18" s="1">
        <v>2.9226200000000002</v>
      </c>
      <c r="J18" s="2">
        <v>750.533807829181</v>
      </c>
      <c r="K18" s="1">
        <v>0.92940746159473298</v>
      </c>
      <c r="N18" s="3">
        <f t="shared" si="1"/>
        <v>749.51923076923003</v>
      </c>
      <c r="O18" s="21">
        <f t="shared" si="2"/>
        <v>56681.514476614699</v>
      </c>
      <c r="P18" s="3">
        <f t="shared" si="3"/>
        <v>750.16099999999994</v>
      </c>
      <c r="Q18" s="17">
        <f t="shared" si="4"/>
        <v>-2.5213499999999996E-4</v>
      </c>
      <c r="R18" s="3">
        <f t="shared" si="5"/>
        <v>747.63199999999995</v>
      </c>
      <c r="S18" s="24">
        <f t="shared" si="5"/>
        <v>2.9226200000000002</v>
      </c>
      <c r="T18" s="3">
        <f t="shared" si="5"/>
        <v>750.533807829181</v>
      </c>
      <c r="U18" s="51">
        <f t="shared" si="5"/>
        <v>0.92940746159473298</v>
      </c>
      <c r="V18" s="42">
        <f t="shared" si="6"/>
        <v>0.92534914084220898</v>
      </c>
      <c r="W18" s="49">
        <f t="shared" si="7"/>
        <v>4.3665678620230589E-3</v>
      </c>
    </row>
    <row r="19" spans="2:23" x14ac:dyDescent="0.6">
      <c r="B19" s="2">
        <v>782.211538461538</v>
      </c>
      <c r="C19" s="1">
        <v>56.859688195990998</v>
      </c>
      <c r="N19" s="3">
        <f t="shared" ref="N19" si="8">B19</f>
        <v>782.211538461538</v>
      </c>
      <c r="O19" s="21">
        <f t="shared" si="2"/>
        <v>56859.688195990995</v>
      </c>
      <c r="V19"/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68</v>
      </c>
      <c r="D26" s="11" t="s">
        <v>4</v>
      </c>
      <c r="E26" s="10" t="s">
        <v>11</v>
      </c>
      <c r="F26" s="11" t="s">
        <v>4</v>
      </c>
      <c r="G26" s="27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299.209</v>
      </c>
      <c r="C27" s="4">
        <v>85.264399999999995</v>
      </c>
      <c r="D27" s="3"/>
      <c r="E27" s="4"/>
      <c r="F27" s="3">
        <v>301.608</v>
      </c>
      <c r="G27" s="4">
        <v>-193.25800000000001</v>
      </c>
      <c r="H27" s="3">
        <v>296.31200000000001</v>
      </c>
      <c r="I27" s="4">
        <v>3.6878700000000002</v>
      </c>
      <c r="J27" s="3">
        <v>300</v>
      </c>
      <c r="K27" s="4">
        <v>0.25673800000000002</v>
      </c>
      <c r="N27" s="3">
        <f>B27</f>
        <v>299.209</v>
      </c>
      <c r="O27" s="21">
        <f>C27*1000</f>
        <v>85264.4</v>
      </c>
      <c r="P27" s="3">
        <f>F27</f>
        <v>301.608</v>
      </c>
      <c r="Q27" s="17">
        <f>G27*0.000001</f>
        <v>-1.93258E-4</v>
      </c>
      <c r="R27" s="3">
        <f>H27</f>
        <v>296.31200000000001</v>
      </c>
      <c r="S27" s="24">
        <f>I27</f>
        <v>3.6878700000000002</v>
      </c>
      <c r="T27" s="3">
        <f>J27</f>
        <v>300</v>
      </c>
      <c r="U27" s="24">
        <f>K27</f>
        <v>0.25673800000000002</v>
      </c>
      <c r="V27" s="42">
        <f>((O27*(Q27)^2)/S27)*T27</f>
        <v>0.25905283718298538</v>
      </c>
      <c r="W27" s="49">
        <f t="shared" ref="W27:W36" si="9">(U27-V27)/U27</f>
        <v>-9.0163403274363865E-3</v>
      </c>
    </row>
    <row r="28" spans="2:23" x14ac:dyDescent="0.6">
      <c r="B28" s="3">
        <v>350.98099999999999</v>
      </c>
      <c r="C28" s="4">
        <v>78.469300000000004</v>
      </c>
      <c r="D28" s="3"/>
      <c r="E28" s="4"/>
      <c r="F28" s="3">
        <v>351.447</v>
      </c>
      <c r="G28" s="4">
        <v>-205.393</v>
      </c>
      <c r="H28" s="3">
        <v>351.65300000000002</v>
      </c>
      <c r="I28" s="4">
        <v>3.4460600000000001</v>
      </c>
      <c r="J28" s="3">
        <v>349.84899999999999</v>
      </c>
      <c r="K28" s="4">
        <v>0.33049600000000001</v>
      </c>
      <c r="N28" s="3">
        <f t="shared" ref="N28:N36" si="10">B28</f>
        <v>350.98099999999999</v>
      </c>
      <c r="O28" s="21">
        <f t="shared" ref="O28:O36" si="11">C28*1000</f>
        <v>78469.3</v>
      </c>
      <c r="P28" s="3">
        <f t="shared" ref="P28:P36" si="12">F28</f>
        <v>351.447</v>
      </c>
      <c r="Q28" s="17">
        <f t="shared" ref="Q28:Q36" si="13">G28*0.000001</f>
        <v>-2.05393E-4</v>
      </c>
      <c r="R28" s="3">
        <f t="shared" ref="R28:R36" si="14">H28</f>
        <v>351.65300000000002</v>
      </c>
      <c r="S28" s="24">
        <f t="shared" ref="S28:S36" si="15">I28</f>
        <v>3.4460600000000001</v>
      </c>
      <c r="T28" s="3">
        <f t="shared" ref="T28:T36" si="16">J28</f>
        <v>349.84899999999999</v>
      </c>
      <c r="U28" s="24">
        <f t="shared" ref="U28:U36" si="17">K28</f>
        <v>0.33049600000000001</v>
      </c>
      <c r="V28" s="42">
        <f t="shared" ref="V28:V36" si="18">((O28*(Q28)^2)/S28)*T28</f>
        <v>0.33606931221456182</v>
      </c>
      <c r="W28" s="49">
        <f t="shared" si="9"/>
        <v>-1.6863478573301369E-2</v>
      </c>
    </row>
    <row r="29" spans="2:23" x14ac:dyDescent="0.6">
      <c r="B29" s="2">
        <v>399.60899999999998</v>
      </c>
      <c r="C29" s="1">
        <v>71.676100000000005</v>
      </c>
      <c r="D29" s="2"/>
      <c r="E29" s="1"/>
      <c r="F29" s="2">
        <v>399.678</v>
      </c>
      <c r="G29" s="1">
        <v>-217.07900000000001</v>
      </c>
      <c r="H29" s="2">
        <v>399.30200000000002</v>
      </c>
      <c r="I29" s="1">
        <v>3.2490800000000002</v>
      </c>
      <c r="J29" s="2">
        <v>401.20800000000003</v>
      </c>
      <c r="K29" s="1">
        <v>0.42695</v>
      </c>
      <c r="N29" s="3">
        <f t="shared" si="10"/>
        <v>399.60899999999998</v>
      </c>
      <c r="O29" s="21">
        <f t="shared" si="11"/>
        <v>71676.100000000006</v>
      </c>
      <c r="P29" s="3">
        <f t="shared" si="12"/>
        <v>399.678</v>
      </c>
      <c r="Q29" s="17">
        <f t="shared" si="13"/>
        <v>-2.1707899999999999E-4</v>
      </c>
      <c r="R29" s="3">
        <f t="shared" si="14"/>
        <v>399.30200000000002</v>
      </c>
      <c r="S29" s="24">
        <f t="shared" si="15"/>
        <v>3.2490800000000002</v>
      </c>
      <c r="T29" s="3">
        <f t="shared" si="16"/>
        <v>401.20800000000003</v>
      </c>
      <c r="U29" s="24">
        <f t="shared" si="17"/>
        <v>0.42695</v>
      </c>
      <c r="V29" s="42">
        <f t="shared" si="18"/>
        <v>0.41707981344777789</v>
      </c>
      <c r="W29" s="49">
        <f t="shared" si="9"/>
        <v>2.3117898002628187E-2</v>
      </c>
    </row>
    <row r="30" spans="2:23" x14ac:dyDescent="0.6">
      <c r="B30" s="2">
        <v>449.85899999999998</v>
      </c>
      <c r="C30" s="1">
        <v>67.823099999999997</v>
      </c>
      <c r="D30" s="2"/>
      <c r="E30" s="1"/>
      <c r="F30" s="2">
        <v>451.125</v>
      </c>
      <c r="G30" s="1">
        <v>-231.46100000000001</v>
      </c>
      <c r="H30" s="2">
        <v>448.46100000000001</v>
      </c>
      <c r="I30" s="1">
        <v>3.0970900000000001</v>
      </c>
      <c r="J30" s="2">
        <v>449.54700000000003</v>
      </c>
      <c r="K30" s="1">
        <v>0.53758899999999998</v>
      </c>
      <c r="N30" s="3">
        <f t="shared" si="10"/>
        <v>449.85899999999998</v>
      </c>
      <c r="O30" s="21">
        <f t="shared" si="11"/>
        <v>67823.099999999991</v>
      </c>
      <c r="P30" s="3">
        <f t="shared" si="12"/>
        <v>451.125</v>
      </c>
      <c r="Q30" s="17">
        <f t="shared" si="13"/>
        <v>-2.31461E-4</v>
      </c>
      <c r="R30" s="3">
        <f t="shared" si="14"/>
        <v>448.46100000000001</v>
      </c>
      <c r="S30" s="24">
        <f t="shared" si="15"/>
        <v>3.0970900000000001</v>
      </c>
      <c r="T30" s="3">
        <f t="shared" si="16"/>
        <v>449.54700000000003</v>
      </c>
      <c r="U30" s="24">
        <f t="shared" si="17"/>
        <v>0.53758899999999998</v>
      </c>
      <c r="V30" s="42">
        <f t="shared" si="18"/>
        <v>0.52741753462292362</v>
      </c>
      <c r="W30" s="49">
        <f t="shared" si="9"/>
        <v>1.8920523628787718E-2</v>
      </c>
    </row>
    <row r="31" spans="2:23" x14ac:dyDescent="0.6">
      <c r="B31" s="2">
        <v>498.54599999999999</v>
      </c>
      <c r="C31" s="1">
        <v>64.559200000000004</v>
      </c>
      <c r="D31" s="2"/>
      <c r="E31" s="1"/>
      <c r="F31" s="2">
        <v>497.74900000000002</v>
      </c>
      <c r="G31" s="1">
        <v>-244.04499999999999</v>
      </c>
      <c r="H31" s="2">
        <v>502.22199999999998</v>
      </c>
      <c r="I31" s="1">
        <v>2.9451800000000001</v>
      </c>
      <c r="J31" s="2">
        <v>497.88499999999999</v>
      </c>
      <c r="K31" s="1">
        <v>0.66241099999999997</v>
      </c>
      <c r="N31" s="3">
        <f t="shared" si="10"/>
        <v>498.54599999999999</v>
      </c>
      <c r="O31" s="21">
        <f t="shared" si="11"/>
        <v>64559.200000000004</v>
      </c>
      <c r="P31" s="3">
        <f t="shared" si="12"/>
        <v>497.74900000000002</v>
      </c>
      <c r="Q31" s="17">
        <f t="shared" si="13"/>
        <v>-2.4404499999999997E-4</v>
      </c>
      <c r="R31" s="3">
        <f t="shared" si="14"/>
        <v>502.22199999999998</v>
      </c>
      <c r="S31" s="24">
        <f t="shared" si="15"/>
        <v>2.9451800000000001</v>
      </c>
      <c r="T31" s="3">
        <f t="shared" si="16"/>
        <v>497.88499999999999</v>
      </c>
      <c r="U31" s="24">
        <f t="shared" si="17"/>
        <v>0.66241099999999997</v>
      </c>
      <c r="V31" s="42">
        <f t="shared" si="18"/>
        <v>0.65000271140111465</v>
      </c>
      <c r="W31" s="49">
        <f t="shared" si="9"/>
        <v>1.8732008675709372E-2</v>
      </c>
    </row>
    <row r="32" spans="2:23" x14ac:dyDescent="0.6">
      <c r="B32" s="2">
        <v>551.95600000000002</v>
      </c>
      <c r="C32" s="1">
        <v>61.586599999999997</v>
      </c>
      <c r="D32" s="2"/>
      <c r="E32" s="1"/>
      <c r="F32" s="2">
        <v>549.19600000000003</v>
      </c>
      <c r="G32" s="1">
        <v>-254.83099999999999</v>
      </c>
      <c r="H32" s="2">
        <v>548.26599999999996</v>
      </c>
      <c r="I32" s="1">
        <v>2.88306</v>
      </c>
      <c r="J32" s="2">
        <v>547.73400000000004</v>
      </c>
      <c r="K32" s="1">
        <v>0.77021300000000004</v>
      </c>
      <c r="N32" s="3">
        <f t="shared" si="10"/>
        <v>551.95600000000002</v>
      </c>
      <c r="O32" s="21">
        <f t="shared" si="11"/>
        <v>61586.6</v>
      </c>
      <c r="P32" s="3">
        <f t="shared" si="12"/>
        <v>549.19600000000003</v>
      </c>
      <c r="Q32" s="17">
        <f t="shared" si="13"/>
        <v>-2.5483099999999996E-4</v>
      </c>
      <c r="R32" s="3">
        <f t="shared" si="14"/>
        <v>548.26599999999996</v>
      </c>
      <c r="S32" s="24">
        <f t="shared" si="15"/>
        <v>2.88306</v>
      </c>
      <c r="T32" s="3">
        <f t="shared" si="16"/>
        <v>547.73400000000004</v>
      </c>
      <c r="U32" s="24">
        <f t="shared" si="17"/>
        <v>0.77021300000000004</v>
      </c>
      <c r="V32" s="42">
        <f t="shared" si="18"/>
        <v>0.75981307926006203</v>
      </c>
      <c r="W32" s="49">
        <f t="shared" si="9"/>
        <v>1.3502655421212062E-2</v>
      </c>
    </row>
    <row r="33" spans="2:23" x14ac:dyDescent="0.6">
      <c r="B33" s="2">
        <v>599.09500000000003</v>
      </c>
      <c r="C33" s="1">
        <v>59.794199999999996</v>
      </c>
      <c r="D33" s="2"/>
      <c r="E33" s="1"/>
      <c r="F33" s="2">
        <v>603.85900000000004</v>
      </c>
      <c r="G33" s="1">
        <v>-260.22500000000002</v>
      </c>
      <c r="H33" s="2">
        <v>597.38300000000004</v>
      </c>
      <c r="I33" s="1">
        <v>2.8120099999999999</v>
      </c>
      <c r="J33" s="2">
        <v>597.58299999999997</v>
      </c>
      <c r="K33" s="1">
        <v>0.87801399999999996</v>
      </c>
      <c r="N33" s="3">
        <f t="shared" si="10"/>
        <v>599.09500000000003</v>
      </c>
      <c r="O33" s="21">
        <f t="shared" si="11"/>
        <v>59794.2</v>
      </c>
      <c r="P33" s="3">
        <f t="shared" si="12"/>
        <v>603.85900000000004</v>
      </c>
      <c r="Q33" s="17">
        <f t="shared" si="13"/>
        <v>-2.60225E-4</v>
      </c>
      <c r="R33" s="3">
        <f t="shared" si="14"/>
        <v>597.38300000000004</v>
      </c>
      <c r="S33" s="24">
        <f t="shared" si="15"/>
        <v>2.8120099999999999</v>
      </c>
      <c r="T33" s="3">
        <f t="shared" si="16"/>
        <v>597.58299999999997</v>
      </c>
      <c r="U33" s="24">
        <f t="shared" si="17"/>
        <v>0.87801399999999996</v>
      </c>
      <c r="V33" s="42">
        <f t="shared" si="18"/>
        <v>0.86047541727366028</v>
      </c>
      <c r="W33" s="49">
        <f t="shared" si="9"/>
        <v>1.9975288237248701E-2</v>
      </c>
    </row>
    <row r="34" spans="2:23" x14ac:dyDescent="0.6">
      <c r="B34" s="2">
        <v>650.93200000000002</v>
      </c>
      <c r="C34" s="1">
        <v>56.822600000000001</v>
      </c>
      <c r="D34" s="2"/>
      <c r="E34" s="1"/>
      <c r="F34" s="2">
        <v>650.48199999999997</v>
      </c>
      <c r="G34" s="1">
        <v>-262.02199999999999</v>
      </c>
      <c r="H34" s="2">
        <v>652.61199999999997</v>
      </c>
      <c r="I34" s="1">
        <v>2.7860200000000002</v>
      </c>
      <c r="J34" s="2">
        <v>648.94299999999998</v>
      </c>
      <c r="K34" s="1">
        <v>0.93475200000000003</v>
      </c>
      <c r="N34" s="3">
        <f t="shared" si="10"/>
        <v>650.93200000000002</v>
      </c>
      <c r="O34" s="21">
        <f t="shared" si="11"/>
        <v>56822.6</v>
      </c>
      <c r="P34" s="3">
        <f t="shared" si="12"/>
        <v>650.48199999999997</v>
      </c>
      <c r="Q34" s="17">
        <f t="shared" si="13"/>
        <v>-2.6202199999999999E-4</v>
      </c>
      <c r="R34" s="3">
        <f t="shared" si="14"/>
        <v>652.61199999999997</v>
      </c>
      <c r="S34" s="24">
        <f t="shared" si="15"/>
        <v>2.7860200000000002</v>
      </c>
      <c r="T34" s="3">
        <f t="shared" si="16"/>
        <v>648.94299999999998</v>
      </c>
      <c r="U34" s="24">
        <f t="shared" si="17"/>
        <v>0.93475200000000003</v>
      </c>
      <c r="V34" s="42">
        <f t="shared" si="18"/>
        <v>0.90869667415481703</v>
      </c>
      <c r="W34" s="49">
        <f t="shared" si="9"/>
        <v>2.7874051989386486E-2</v>
      </c>
    </row>
    <row r="35" spans="2:23" x14ac:dyDescent="0.6">
      <c r="B35" s="2">
        <v>701.23599999999999</v>
      </c>
      <c r="C35" s="1">
        <v>56.204799999999999</v>
      </c>
      <c r="D35" s="2"/>
      <c r="E35" s="1"/>
      <c r="F35" s="2">
        <v>701.92899999999997</v>
      </c>
      <c r="G35" s="1">
        <v>-261.57299999999998</v>
      </c>
      <c r="H35" s="2">
        <v>700.13400000000001</v>
      </c>
      <c r="I35" s="1">
        <v>2.8318400000000001</v>
      </c>
      <c r="J35" s="2">
        <v>698.79200000000003</v>
      </c>
      <c r="K35" s="1">
        <v>0.96879400000000004</v>
      </c>
      <c r="N35" s="3">
        <f t="shared" si="10"/>
        <v>701.23599999999999</v>
      </c>
      <c r="O35" s="21">
        <f t="shared" si="11"/>
        <v>56204.799999999996</v>
      </c>
      <c r="P35" s="3">
        <f t="shared" si="12"/>
        <v>701.92899999999997</v>
      </c>
      <c r="Q35" s="17">
        <f t="shared" si="13"/>
        <v>-2.6157299999999997E-4</v>
      </c>
      <c r="R35" s="3">
        <f t="shared" si="14"/>
        <v>700.13400000000001</v>
      </c>
      <c r="S35" s="24">
        <f t="shared" si="15"/>
        <v>2.8318400000000001</v>
      </c>
      <c r="T35" s="3">
        <f t="shared" si="16"/>
        <v>698.79200000000003</v>
      </c>
      <c r="U35" s="24">
        <f t="shared" si="17"/>
        <v>0.96879400000000004</v>
      </c>
      <c r="V35" s="42">
        <f t="shared" si="18"/>
        <v>0.94893932796864799</v>
      </c>
      <c r="W35" s="49">
        <f t="shared" si="9"/>
        <v>2.0494214488685984E-2</v>
      </c>
    </row>
    <row r="36" spans="2:23" x14ac:dyDescent="0.6">
      <c r="B36" s="2">
        <v>749.97299999999996</v>
      </c>
      <c r="C36" s="1">
        <v>55.881999999999998</v>
      </c>
      <c r="D36" s="2"/>
      <c r="E36" s="1"/>
      <c r="F36" s="2">
        <v>750.16099999999994</v>
      </c>
      <c r="G36" s="1">
        <v>-252.13499999999999</v>
      </c>
      <c r="H36" s="2">
        <v>747.63199999999995</v>
      </c>
      <c r="I36" s="1">
        <v>2.9226200000000002</v>
      </c>
      <c r="J36" s="2">
        <v>747.13</v>
      </c>
      <c r="K36" s="1">
        <v>0.93758900000000001</v>
      </c>
      <c r="N36" s="3">
        <f t="shared" si="10"/>
        <v>749.97299999999996</v>
      </c>
      <c r="O36" s="21">
        <f t="shared" si="11"/>
        <v>55882</v>
      </c>
      <c r="P36" s="3">
        <f t="shared" si="12"/>
        <v>750.16099999999994</v>
      </c>
      <c r="Q36" s="17">
        <f t="shared" si="13"/>
        <v>-2.5213499999999996E-4</v>
      </c>
      <c r="R36" s="3">
        <f t="shared" si="14"/>
        <v>747.63199999999995</v>
      </c>
      <c r="S36" s="24">
        <f t="shared" si="15"/>
        <v>2.9226200000000002</v>
      </c>
      <c r="T36" s="3">
        <f t="shared" si="16"/>
        <v>747.13</v>
      </c>
      <c r="U36" s="24">
        <f t="shared" si="17"/>
        <v>0.93758900000000001</v>
      </c>
      <c r="V36" s="42">
        <f t="shared" si="18"/>
        <v>0.90815930446394078</v>
      </c>
      <c r="W36" s="49">
        <f t="shared" si="9"/>
        <v>3.1388695404979398E-2</v>
      </c>
    </row>
    <row r="37" spans="2:23" x14ac:dyDescent="0.6">
      <c r="O37"/>
      <c r="Q37"/>
      <c r="S37"/>
      <c r="U37"/>
      <c r="V37"/>
    </row>
    <row r="38" spans="2:23" x14ac:dyDescent="0.6">
      <c r="O38"/>
      <c r="Q38"/>
      <c r="S38"/>
      <c r="U38"/>
      <c r="V38"/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W4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296.26799999999997</v>
      </c>
      <c r="C9" s="4">
        <v>304145</v>
      </c>
      <c r="D9" s="3"/>
      <c r="E9" s="4"/>
      <c r="F9" s="3">
        <v>294.096</v>
      </c>
      <c r="G9" s="4">
        <v>-86.795500000000004</v>
      </c>
      <c r="H9" s="3">
        <v>301.53800000000001</v>
      </c>
      <c r="I9" s="4">
        <v>4.1293300000000004</v>
      </c>
      <c r="J9" s="3">
        <v>298.27</v>
      </c>
      <c r="K9" s="4">
        <v>0.17455300000000001</v>
      </c>
      <c r="N9" s="3">
        <f>B9</f>
        <v>296.26799999999997</v>
      </c>
      <c r="O9" s="21">
        <f>C9</f>
        <v>304145</v>
      </c>
      <c r="P9" s="3">
        <f>F9</f>
        <v>294.096</v>
      </c>
      <c r="Q9" s="17">
        <f>G9*(10^(-6))</f>
        <v>-8.6795500000000006E-5</v>
      </c>
      <c r="R9" s="3">
        <f>H9</f>
        <v>301.53800000000001</v>
      </c>
      <c r="S9" s="24">
        <f>I9</f>
        <v>4.1293300000000004</v>
      </c>
      <c r="T9" s="3">
        <f>J9</f>
        <v>298.27</v>
      </c>
      <c r="U9" s="51">
        <f>K9</f>
        <v>0.17455300000000001</v>
      </c>
      <c r="V9" s="42">
        <f>((O9*(Q9)^2)/S9)*T9</f>
        <v>0.16550269981682014</v>
      </c>
      <c r="W9" s="49">
        <f t="shared" ref="W9" si="0">(U9-V9)/U9</f>
        <v>5.184843676808689E-2</v>
      </c>
    </row>
    <row r="10" spans="1:23" x14ac:dyDescent="0.6">
      <c r="B10" s="3">
        <v>345.17500000000001</v>
      </c>
      <c r="C10" s="4">
        <v>279763</v>
      </c>
      <c r="D10" s="3"/>
      <c r="E10" s="4"/>
      <c r="F10" s="3">
        <v>350.387</v>
      </c>
      <c r="G10" s="4">
        <v>-97.395600000000002</v>
      </c>
      <c r="H10" s="3">
        <v>350.62700000000001</v>
      </c>
      <c r="I10" s="4">
        <v>4.0322699999999996</v>
      </c>
      <c r="J10" s="3">
        <v>348.43299999999999</v>
      </c>
      <c r="K10" s="4">
        <v>0.238596</v>
      </c>
      <c r="N10" s="3">
        <f t="shared" ref="N10:O20" si="1">B10</f>
        <v>345.17500000000001</v>
      </c>
      <c r="O10" s="21">
        <f t="shared" si="1"/>
        <v>279763</v>
      </c>
      <c r="P10" s="3">
        <f t="shared" ref="P10:P20" si="2">F10</f>
        <v>350.387</v>
      </c>
      <c r="Q10" s="17">
        <f t="shared" ref="Q10:Q20" si="3">G10*(10^(-6))</f>
        <v>-9.73956E-5</v>
      </c>
      <c r="R10" s="3">
        <f t="shared" ref="R10:U20" si="4">H10</f>
        <v>350.62700000000001</v>
      </c>
      <c r="S10" s="24">
        <f t="shared" si="4"/>
        <v>4.0322699999999996</v>
      </c>
      <c r="T10" s="3">
        <f t="shared" si="4"/>
        <v>348.43299999999999</v>
      </c>
      <c r="U10" s="51">
        <f t="shared" si="4"/>
        <v>0.238596</v>
      </c>
      <c r="V10" s="42">
        <f t="shared" ref="V10:V20" si="5">((O10*(Q10)^2)/S10)*T10</f>
        <v>0.22931825413496315</v>
      </c>
      <c r="W10" s="49">
        <f t="shared" ref="W10:W20" si="6">(U10-V10)/U10</f>
        <v>3.888475022647845E-2</v>
      </c>
    </row>
    <row r="11" spans="1:23" x14ac:dyDescent="0.6">
      <c r="B11" s="2">
        <v>396.971</v>
      </c>
      <c r="C11" s="1">
        <v>251128</v>
      </c>
      <c r="D11" s="2"/>
      <c r="E11" s="1"/>
      <c r="F11" s="2">
        <v>399.27300000000002</v>
      </c>
      <c r="G11" s="1">
        <v>-106.819</v>
      </c>
      <c r="H11" s="2">
        <v>399.69400000000002</v>
      </c>
      <c r="I11" s="1">
        <v>3.91133</v>
      </c>
      <c r="J11" s="2">
        <v>398.596</v>
      </c>
      <c r="K11" s="1">
        <v>0.30264000000000002</v>
      </c>
      <c r="N11" s="3">
        <f t="shared" si="1"/>
        <v>396.971</v>
      </c>
      <c r="O11" s="21">
        <f t="shared" si="1"/>
        <v>251128</v>
      </c>
      <c r="P11" s="3">
        <f t="shared" si="2"/>
        <v>399.27300000000002</v>
      </c>
      <c r="Q11" s="17">
        <f t="shared" si="3"/>
        <v>-1.0681899999999999E-4</v>
      </c>
      <c r="R11" s="3">
        <f t="shared" si="4"/>
        <v>399.69400000000002</v>
      </c>
      <c r="S11" s="24">
        <f t="shared" si="4"/>
        <v>3.91133</v>
      </c>
      <c r="T11" s="3">
        <f t="shared" si="4"/>
        <v>398.596</v>
      </c>
      <c r="U11" s="51">
        <f t="shared" si="4"/>
        <v>0.30264000000000002</v>
      </c>
      <c r="V11" s="42">
        <f t="shared" si="5"/>
        <v>0.29201195435025445</v>
      </c>
      <c r="W11" s="49">
        <f t="shared" si="6"/>
        <v>3.511778234782436E-2</v>
      </c>
    </row>
    <row r="12" spans="1:23" x14ac:dyDescent="0.6">
      <c r="B12" s="2">
        <v>447.315</v>
      </c>
      <c r="C12" s="1">
        <v>231013</v>
      </c>
      <c r="D12" s="2"/>
      <c r="E12" s="1"/>
      <c r="F12" s="2">
        <v>448.15499999999997</v>
      </c>
      <c r="G12" s="1">
        <v>-115.65</v>
      </c>
      <c r="H12" s="2">
        <v>451.52300000000002</v>
      </c>
      <c r="I12" s="1">
        <v>3.8221400000000001</v>
      </c>
      <c r="J12" s="2">
        <v>448.73899999999998</v>
      </c>
      <c r="K12" s="1">
        <v>0.37732100000000002</v>
      </c>
      <c r="N12" s="3">
        <f t="shared" si="1"/>
        <v>447.315</v>
      </c>
      <c r="O12" s="21">
        <f t="shared" si="1"/>
        <v>231013</v>
      </c>
      <c r="P12" s="3">
        <f t="shared" si="2"/>
        <v>448.15499999999997</v>
      </c>
      <c r="Q12" s="17">
        <f t="shared" si="3"/>
        <v>-1.1565000000000001E-4</v>
      </c>
      <c r="R12" s="3">
        <f t="shared" si="4"/>
        <v>451.52300000000002</v>
      </c>
      <c r="S12" s="24">
        <f t="shared" si="4"/>
        <v>3.8221400000000001</v>
      </c>
      <c r="T12" s="3">
        <f t="shared" si="4"/>
        <v>448.73899999999998</v>
      </c>
      <c r="U12" s="51">
        <f t="shared" si="4"/>
        <v>0.37732100000000002</v>
      </c>
      <c r="V12" s="42">
        <f t="shared" si="5"/>
        <v>0.36275626307947195</v>
      </c>
      <c r="W12" s="49">
        <f t="shared" si="6"/>
        <v>3.8600387787926099E-2</v>
      </c>
    </row>
    <row r="13" spans="1:23" x14ac:dyDescent="0.6">
      <c r="B13" s="2">
        <v>499.09500000000003</v>
      </c>
      <c r="C13" s="1">
        <v>212524</v>
      </c>
      <c r="D13" s="2"/>
      <c r="E13" s="1"/>
      <c r="F13" s="2">
        <v>497.03300000000002</v>
      </c>
      <c r="G13" s="1">
        <v>-123.889</v>
      </c>
      <c r="H13" s="2">
        <v>500.63499999999999</v>
      </c>
      <c r="I13" s="1">
        <v>3.7489599999999998</v>
      </c>
      <c r="J13" s="2">
        <v>500.33</v>
      </c>
      <c r="K13" s="1">
        <v>0.44562600000000002</v>
      </c>
      <c r="N13" s="3">
        <f t="shared" si="1"/>
        <v>499.09500000000003</v>
      </c>
      <c r="O13" s="21">
        <f t="shared" si="1"/>
        <v>212524</v>
      </c>
      <c r="P13" s="3">
        <f t="shared" si="2"/>
        <v>497.03300000000002</v>
      </c>
      <c r="Q13" s="17">
        <f t="shared" si="3"/>
        <v>-1.2388899999999999E-4</v>
      </c>
      <c r="R13" s="3">
        <f t="shared" si="4"/>
        <v>500.63499999999999</v>
      </c>
      <c r="S13" s="24">
        <f t="shared" si="4"/>
        <v>3.7489599999999998</v>
      </c>
      <c r="T13" s="3">
        <f t="shared" si="4"/>
        <v>500.33</v>
      </c>
      <c r="U13" s="51">
        <f t="shared" si="4"/>
        <v>0.44562600000000002</v>
      </c>
      <c r="V13" s="42">
        <f t="shared" si="5"/>
        <v>0.43533061834244907</v>
      </c>
      <c r="W13" s="49">
        <f t="shared" si="6"/>
        <v>2.3103188901794216E-2</v>
      </c>
    </row>
    <row r="14" spans="1:23" x14ac:dyDescent="0.6">
      <c r="B14" s="2">
        <v>549.447</v>
      </c>
      <c r="C14" s="1">
        <v>193115</v>
      </c>
      <c r="D14" s="2"/>
      <c r="E14" s="1"/>
      <c r="F14" s="2">
        <v>550.33900000000006</v>
      </c>
      <c r="G14" s="1">
        <v>-130.93700000000001</v>
      </c>
      <c r="H14" s="2">
        <v>548.36500000000001</v>
      </c>
      <c r="I14" s="1">
        <v>3.6598999999999999</v>
      </c>
      <c r="J14" s="2">
        <v>547.59900000000005</v>
      </c>
      <c r="K14" s="1">
        <v>0.52029499999999995</v>
      </c>
      <c r="N14" s="3">
        <f t="shared" si="1"/>
        <v>549.447</v>
      </c>
      <c r="O14" s="21">
        <f t="shared" si="1"/>
        <v>193115</v>
      </c>
      <c r="P14" s="3">
        <f t="shared" si="2"/>
        <v>550.33900000000006</v>
      </c>
      <c r="Q14" s="17">
        <f t="shared" si="3"/>
        <v>-1.30937E-4</v>
      </c>
      <c r="R14" s="3">
        <f t="shared" si="4"/>
        <v>548.36500000000001</v>
      </c>
      <c r="S14" s="24">
        <f t="shared" si="4"/>
        <v>3.6598999999999999</v>
      </c>
      <c r="T14" s="3">
        <f t="shared" si="4"/>
        <v>547.59900000000005</v>
      </c>
      <c r="U14" s="51">
        <f t="shared" si="4"/>
        <v>0.52029499999999995</v>
      </c>
      <c r="V14" s="42">
        <f t="shared" si="5"/>
        <v>0.49537513995067728</v>
      </c>
      <c r="W14" s="49">
        <f t="shared" si="6"/>
        <v>4.7895636224300972E-2</v>
      </c>
    </row>
    <row r="15" spans="1:23" x14ac:dyDescent="0.6">
      <c r="B15" s="2">
        <v>599.76599999999996</v>
      </c>
      <c r="C15" s="1">
        <v>184313</v>
      </c>
      <c r="D15" s="2"/>
      <c r="E15" s="1"/>
      <c r="F15" s="2">
        <v>597.72900000000004</v>
      </c>
      <c r="G15" s="1">
        <v>-137.99199999999999</v>
      </c>
      <c r="H15" s="2">
        <v>601.58299999999997</v>
      </c>
      <c r="I15" s="1">
        <v>3.5945399999999998</v>
      </c>
      <c r="J15" s="2">
        <v>599.18700000000001</v>
      </c>
      <c r="K15" s="1">
        <v>0.59072800000000003</v>
      </c>
      <c r="N15" s="3">
        <f t="shared" si="1"/>
        <v>599.76599999999996</v>
      </c>
      <c r="O15" s="21">
        <f t="shared" si="1"/>
        <v>184313</v>
      </c>
      <c r="P15" s="3">
        <f t="shared" si="2"/>
        <v>597.72900000000004</v>
      </c>
      <c r="Q15" s="17">
        <f t="shared" si="3"/>
        <v>-1.3799199999999998E-4</v>
      </c>
      <c r="R15" s="3">
        <f t="shared" si="4"/>
        <v>601.58299999999997</v>
      </c>
      <c r="S15" s="24">
        <f t="shared" si="4"/>
        <v>3.5945399999999998</v>
      </c>
      <c r="T15" s="3">
        <f t="shared" si="4"/>
        <v>599.18700000000001</v>
      </c>
      <c r="U15" s="51">
        <f t="shared" si="4"/>
        <v>0.59072800000000003</v>
      </c>
      <c r="V15" s="42">
        <f t="shared" si="5"/>
        <v>0.58503634598891541</v>
      </c>
      <c r="W15" s="49">
        <f t="shared" si="6"/>
        <v>9.6349826165081452E-3</v>
      </c>
    </row>
    <row r="16" spans="1:23" x14ac:dyDescent="0.6">
      <c r="B16" s="2">
        <v>647.21900000000005</v>
      </c>
      <c r="C16" s="1">
        <v>173740</v>
      </c>
      <c r="D16" s="2"/>
      <c r="E16" s="1"/>
      <c r="F16" s="2">
        <v>648.07600000000002</v>
      </c>
      <c r="G16" s="1">
        <v>-145.04300000000001</v>
      </c>
      <c r="H16" s="2">
        <v>652.10500000000002</v>
      </c>
      <c r="I16" s="1">
        <v>3.5690599999999999</v>
      </c>
      <c r="J16" s="2">
        <v>646.46</v>
      </c>
      <c r="K16" s="1">
        <v>0.663269</v>
      </c>
      <c r="N16" s="3">
        <f t="shared" si="1"/>
        <v>647.21900000000005</v>
      </c>
      <c r="O16" s="21">
        <f t="shared" si="1"/>
        <v>173740</v>
      </c>
      <c r="P16" s="3">
        <f t="shared" si="2"/>
        <v>648.07600000000002</v>
      </c>
      <c r="Q16" s="17">
        <f t="shared" si="3"/>
        <v>-1.45043E-4</v>
      </c>
      <c r="R16" s="3">
        <f t="shared" si="4"/>
        <v>652.10500000000002</v>
      </c>
      <c r="S16" s="24">
        <f t="shared" si="4"/>
        <v>3.5690599999999999</v>
      </c>
      <c r="T16" s="3">
        <f t="shared" si="4"/>
        <v>646.46</v>
      </c>
      <c r="U16" s="51">
        <f t="shared" si="4"/>
        <v>0.663269</v>
      </c>
      <c r="V16" s="42">
        <f t="shared" si="5"/>
        <v>0.66203534126868113</v>
      </c>
      <c r="W16" s="49">
        <f t="shared" si="6"/>
        <v>1.859967420939114E-3</v>
      </c>
    </row>
    <row r="17" spans="2:23" x14ac:dyDescent="0.6">
      <c r="B17" s="2">
        <v>697.52099999999996</v>
      </c>
      <c r="C17" s="1">
        <v>169945</v>
      </c>
      <c r="D17" s="2"/>
      <c r="E17" s="1"/>
      <c r="F17" s="2">
        <v>699.88599999999997</v>
      </c>
      <c r="G17" s="1">
        <v>-149.72300000000001</v>
      </c>
      <c r="H17" s="2">
        <v>698.51400000000001</v>
      </c>
      <c r="I17" s="1">
        <v>3.52779</v>
      </c>
      <c r="J17" s="2">
        <v>696.61900000000003</v>
      </c>
      <c r="K17" s="1">
        <v>0.72943999999999998</v>
      </c>
      <c r="N17" s="3">
        <f t="shared" si="1"/>
        <v>697.52099999999996</v>
      </c>
      <c r="O17" s="21">
        <f t="shared" si="1"/>
        <v>169945</v>
      </c>
      <c r="P17" s="3">
        <f t="shared" si="2"/>
        <v>699.88599999999997</v>
      </c>
      <c r="Q17" s="17">
        <f t="shared" si="3"/>
        <v>-1.4972300000000002E-4</v>
      </c>
      <c r="R17" s="3">
        <f t="shared" si="4"/>
        <v>698.51400000000001</v>
      </c>
      <c r="S17" s="24">
        <f t="shared" si="4"/>
        <v>3.52779</v>
      </c>
      <c r="T17" s="3">
        <f t="shared" si="4"/>
        <v>696.61900000000003</v>
      </c>
      <c r="U17" s="51">
        <f t="shared" si="4"/>
        <v>0.72943999999999998</v>
      </c>
      <c r="V17" s="42">
        <f t="shared" si="5"/>
        <v>0.75227741446665319</v>
      </c>
      <c r="W17" s="49">
        <f t="shared" si="6"/>
        <v>-3.1308146614736257E-2</v>
      </c>
    </row>
    <row r="18" spans="2:23" x14ac:dyDescent="0.6">
      <c r="B18" s="2">
        <v>749.29300000000001</v>
      </c>
      <c r="C18" s="1">
        <v>158275</v>
      </c>
      <c r="D18" s="2"/>
      <c r="E18" s="1"/>
      <c r="F18" s="2">
        <v>748.73299999999995</v>
      </c>
      <c r="G18" s="1">
        <v>-153.81299999999999</v>
      </c>
      <c r="H18" s="2">
        <v>750.42499999999995</v>
      </c>
      <c r="I18" s="1">
        <v>3.5261300000000002</v>
      </c>
      <c r="J18" s="2">
        <v>751.09199999999998</v>
      </c>
      <c r="K18" s="1">
        <v>0.79350200000000004</v>
      </c>
      <c r="N18" s="3">
        <f t="shared" si="1"/>
        <v>749.29300000000001</v>
      </c>
      <c r="O18" s="21">
        <f t="shared" si="1"/>
        <v>158275</v>
      </c>
      <c r="P18" s="3">
        <f t="shared" si="2"/>
        <v>748.73299999999995</v>
      </c>
      <c r="Q18" s="17">
        <f t="shared" si="3"/>
        <v>-1.5381299999999999E-4</v>
      </c>
      <c r="R18" s="3">
        <f t="shared" si="4"/>
        <v>750.42499999999995</v>
      </c>
      <c r="S18" s="24">
        <f t="shared" si="4"/>
        <v>3.5261300000000002</v>
      </c>
      <c r="T18" s="3">
        <f t="shared" si="4"/>
        <v>751.09199999999998</v>
      </c>
      <c r="U18" s="51">
        <f t="shared" si="4"/>
        <v>0.79350200000000004</v>
      </c>
      <c r="V18" s="42">
        <f t="shared" si="5"/>
        <v>0.797614837773716</v>
      </c>
      <c r="W18" s="49">
        <f t="shared" si="6"/>
        <v>-5.18314733134379E-3</v>
      </c>
    </row>
    <row r="19" spans="2:23" x14ac:dyDescent="0.6">
      <c r="B19" s="2">
        <v>798.16700000000003</v>
      </c>
      <c r="C19" s="1">
        <v>152916</v>
      </c>
      <c r="D19" s="2"/>
      <c r="E19" s="1"/>
      <c r="F19" s="2">
        <v>803.49699999999996</v>
      </c>
      <c r="G19" s="1">
        <v>-157.89599999999999</v>
      </c>
      <c r="H19" s="2">
        <v>802.33699999999999</v>
      </c>
      <c r="I19" s="1">
        <v>3.5244800000000001</v>
      </c>
      <c r="J19" s="2">
        <v>801.26800000000003</v>
      </c>
      <c r="K19" s="1">
        <v>0.85116199999999997</v>
      </c>
      <c r="N19" s="3">
        <f t="shared" si="1"/>
        <v>798.16700000000003</v>
      </c>
      <c r="O19" s="21">
        <f t="shared" si="1"/>
        <v>152916</v>
      </c>
      <c r="P19" s="3">
        <f t="shared" si="2"/>
        <v>803.49699999999996</v>
      </c>
      <c r="Q19" s="17">
        <f t="shared" si="3"/>
        <v>-1.5789599999999998E-4</v>
      </c>
      <c r="R19" s="3">
        <f t="shared" si="4"/>
        <v>802.33699999999999</v>
      </c>
      <c r="S19" s="24">
        <f t="shared" si="4"/>
        <v>3.5244800000000001</v>
      </c>
      <c r="T19" s="3">
        <f t="shared" si="4"/>
        <v>801.26800000000003</v>
      </c>
      <c r="U19" s="51">
        <f t="shared" si="4"/>
        <v>0.85116199999999997</v>
      </c>
      <c r="V19" s="42">
        <f t="shared" si="5"/>
        <v>0.86671823473333531</v>
      </c>
      <c r="W19" s="49">
        <f t="shared" si="6"/>
        <v>-1.8276467621128927E-2</v>
      </c>
    </row>
    <row r="20" spans="2:23" x14ac:dyDescent="0.6">
      <c r="B20" s="2">
        <v>849.91399999999999</v>
      </c>
      <c r="C20" s="1">
        <v>147760</v>
      </c>
      <c r="D20" s="2"/>
      <c r="E20" s="1"/>
      <c r="F20" s="2">
        <v>850.84699999999998</v>
      </c>
      <c r="G20" s="1">
        <v>-159.61799999999999</v>
      </c>
      <c r="H20" s="2">
        <v>850.15700000000004</v>
      </c>
      <c r="I20" s="1">
        <v>3.5309200000000001</v>
      </c>
      <c r="J20" s="2">
        <v>848.58199999999999</v>
      </c>
      <c r="K20" s="1">
        <v>0.90242699999999998</v>
      </c>
      <c r="N20" s="3">
        <f t="shared" si="1"/>
        <v>849.91399999999999</v>
      </c>
      <c r="O20" s="21">
        <f t="shared" si="1"/>
        <v>147760</v>
      </c>
      <c r="P20" s="3">
        <f t="shared" si="2"/>
        <v>850.84699999999998</v>
      </c>
      <c r="Q20" s="17">
        <f t="shared" si="3"/>
        <v>-1.5961799999999999E-4</v>
      </c>
      <c r="R20" s="3">
        <f t="shared" si="4"/>
        <v>850.15700000000004</v>
      </c>
      <c r="S20" s="24">
        <f t="shared" si="4"/>
        <v>3.5309200000000001</v>
      </c>
      <c r="T20" s="3">
        <f t="shared" si="4"/>
        <v>848.58199999999999</v>
      </c>
      <c r="U20" s="51">
        <f t="shared" si="4"/>
        <v>0.90242699999999998</v>
      </c>
      <c r="V20" s="42">
        <f t="shared" si="5"/>
        <v>0.90474574553453857</v>
      </c>
      <c r="W20" s="49">
        <f t="shared" si="6"/>
        <v>-2.5694549637129555E-3</v>
      </c>
    </row>
    <row r="21" spans="2:23" x14ac:dyDescent="0.6">
      <c r="V21"/>
    </row>
    <row r="22" spans="2:23" x14ac:dyDescent="0.6">
      <c r="V22"/>
      <c r="W22" s="65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W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39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2.40283018867924</v>
      </c>
      <c r="D9" s="3"/>
      <c r="E9" s="4"/>
      <c r="F9" s="3">
        <v>300</v>
      </c>
      <c r="G9" s="4">
        <v>81.513002364066097</v>
      </c>
      <c r="H9" s="3">
        <v>300</v>
      </c>
      <c r="I9" s="4">
        <v>2.3710247349823299</v>
      </c>
      <c r="J9" s="3">
        <v>300</v>
      </c>
      <c r="K9" s="4">
        <v>0.18870967741935599</v>
      </c>
      <c r="N9" s="3">
        <f>B9</f>
        <v>300</v>
      </c>
      <c r="O9" s="21">
        <f>C9*(10^(5))</f>
        <v>240283.01886792399</v>
      </c>
      <c r="P9" s="3">
        <f>F9</f>
        <v>300</v>
      </c>
      <c r="Q9" s="17">
        <f>G9*(10^(-6))</f>
        <v>8.1513002364066086E-5</v>
      </c>
      <c r="R9" s="3">
        <f>H9</f>
        <v>300</v>
      </c>
      <c r="S9" s="24">
        <f>I9</f>
        <v>2.3710247349823299</v>
      </c>
      <c r="T9" s="3">
        <f>J9</f>
        <v>300</v>
      </c>
      <c r="U9" s="51">
        <f>K9</f>
        <v>0.18870967741935599</v>
      </c>
      <c r="V9" s="42">
        <f>((O9*(Q9)^2)/S9)*T9</f>
        <v>0.2020049582087054</v>
      </c>
      <c r="W9" s="49">
        <f t="shared" ref="W9" si="0">(U9-V9)/U9</f>
        <v>-7.0453624695697312E-2</v>
      </c>
    </row>
    <row r="10" spans="1:23" x14ac:dyDescent="0.6">
      <c r="B10" s="3">
        <v>325.07919746568098</v>
      </c>
      <c r="C10" s="4">
        <v>2.30943396226415</v>
      </c>
      <c r="D10" s="3"/>
      <c r="E10" s="4"/>
      <c r="F10" s="3">
        <v>324.896265560166</v>
      </c>
      <c r="G10" s="4">
        <v>86.713947990543701</v>
      </c>
      <c r="H10" s="3">
        <v>325</v>
      </c>
      <c r="I10" s="4">
        <v>2.3992932862190801</v>
      </c>
      <c r="J10" s="3">
        <v>325.03793626707102</v>
      </c>
      <c r="K10" s="4">
        <v>0.22150537634408701</v>
      </c>
      <c r="N10" s="3">
        <f t="shared" ref="N10:N29" si="1">B10</f>
        <v>325.07919746568098</v>
      </c>
      <c r="O10" s="21">
        <f t="shared" ref="O10:O29" si="2">C10*(10^(5))</f>
        <v>230943.396226415</v>
      </c>
      <c r="P10" s="3">
        <f t="shared" ref="P10:P29" si="3">F10</f>
        <v>324.896265560166</v>
      </c>
      <c r="Q10" s="17">
        <f t="shared" ref="Q10:Q29" si="4">G10*(10^(-6))</f>
        <v>8.6713947990543698E-5</v>
      </c>
      <c r="R10" s="3">
        <f t="shared" ref="R10:R29" si="5">H10</f>
        <v>325</v>
      </c>
      <c r="S10" s="24">
        <f t="shared" ref="S10:S29" si="6">I10</f>
        <v>2.3992932862190801</v>
      </c>
      <c r="T10" s="3">
        <f t="shared" ref="T10:T29" si="7">J10</f>
        <v>325.03793626707102</v>
      </c>
      <c r="U10" s="51">
        <f t="shared" ref="U10:U29" si="8">K10</f>
        <v>0.22150537634408701</v>
      </c>
      <c r="V10" s="42">
        <f t="shared" ref="V10:V29" si="9">((O10*(Q10)^2)/S10)*T10</f>
        <v>0.23525246385919668</v>
      </c>
      <c r="W10" s="49">
        <f t="shared" ref="W10:W29" si="10">(U10-V10)/U10</f>
        <v>-6.206209412161133E-2</v>
      </c>
    </row>
    <row r="11" spans="1:23" x14ac:dyDescent="0.6">
      <c r="B11" s="2">
        <v>350.15839493136201</v>
      </c>
      <c r="C11" s="1">
        <v>2.2259433962264099</v>
      </c>
      <c r="D11" s="2"/>
      <c r="E11" s="1"/>
      <c r="F11" s="2">
        <v>350.05186721991601</v>
      </c>
      <c r="G11" s="1">
        <v>92.104018912529497</v>
      </c>
      <c r="H11" s="2">
        <v>350</v>
      </c>
      <c r="I11" s="1">
        <v>2.42402826855123</v>
      </c>
      <c r="J11" s="2">
        <v>349.822964087</v>
      </c>
      <c r="K11" s="1">
        <v>0.25698924731182898</v>
      </c>
      <c r="N11" s="3">
        <f t="shared" si="1"/>
        <v>350.15839493136201</v>
      </c>
      <c r="O11" s="21">
        <f t="shared" si="2"/>
        <v>222594.33962264098</v>
      </c>
      <c r="P11" s="3">
        <f t="shared" si="3"/>
        <v>350.05186721991601</v>
      </c>
      <c r="Q11" s="17">
        <f t="shared" si="4"/>
        <v>9.2104018912529499E-5</v>
      </c>
      <c r="R11" s="3">
        <f t="shared" si="5"/>
        <v>350</v>
      </c>
      <c r="S11" s="24">
        <f t="shared" si="6"/>
        <v>2.42402826855123</v>
      </c>
      <c r="T11" s="3">
        <f t="shared" si="7"/>
        <v>349.822964087</v>
      </c>
      <c r="U11" s="51">
        <f t="shared" si="8"/>
        <v>0.25698924731182898</v>
      </c>
      <c r="V11" s="42">
        <f t="shared" si="9"/>
        <v>0.27250966709241181</v>
      </c>
      <c r="W11" s="49">
        <f t="shared" si="10"/>
        <v>-6.0393265254987331E-2</v>
      </c>
    </row>
    <row r="12" spans="1:23" x14ac:dyDescent="0.6">
      <c r="B12" s="2">
        <v>375.23759239704299</v>
      </c>
      <c r="C12" s="1">
        <v>2.14669811320754</v>
      </c>
      <c r="D12" s="2"/>
      <c r="E12" s="1"/>
      <c r="F12" s="2">
        <v>374.94813278008201</v>
      </c>
      <c r="G12" s="1">
        <v>97.494089834515293</v>
      </c>
      <c r="H12" s="2">
        <v>375</v>
      </c>
      <c r="I12" s="1">
        <v>2.4469964664310901</v>
      </c>
      <c r="J12" s="2">
        <v>374.86090035407102</v>
      </c>
      <c r="K12" s="1">
        <v>0.29516129032258198</v>
      </c>
      <c r="N12" s="3">
        <f t="shared" si="1"/>
        <v>375.23759239704299</v>
      </c>
      <c r="O12" s="21">
        <f t="shared" si="2"/>
        <v>214669.811320754</v>
      </c>
      <c r="P12" s="3">
        <f t="shared" si="3"/>
        <v>374.94813278008201</v>
      </c>
      <c r="Q12" s="17">
        <f t="shared" si="4"/>
        <v>9.7494089834515286E-5</v>
      </c>
      <c r="R12" s="3">
        <f t="shared" si="5"/>
        <v>375</v>
      </c>
      <c r="S12" s="24">
        <f t="shared" si="6"/>
        <v>2.4469964664310901</v>
      </c>
      <c r="T12" s="3">
        <f t="shared" si="7"/>
        <v>374.86090035407102</v>
      </c>
      <c r="U12" s="51">
        <f t="shared" si="8"/>
        <v>0.29516129032258198</v>
      </c>
      <c r="V12" s="42">
        <f t="shared" si="9"/>
        <v>0.31258228011692535</v>
      </c>
      <c r="W12" s="49">
        <f t="shared" si="10"/>
        <v>-5.9021932636572891E-2</v>
      </c>
    </row>
    <row r="13" spans="1:23" x14ac:dyDescent="0.6">
      <c r="B13" s="2">
        <v>400.05279831045402</v>
      </c>
      <c r="C13" s="1">
        <v>2.0716981132075398</v>
      </c>
      <c r="D13" s="2"/>
      <c r="E13" s="1"/>
      <c r="F13" s="2">
        <v>400.103734439834</v>
      </c>
      <c r="G13" s="1">
        <v>102.600472813238</v>
      </c>
      <c r="H13" s="2">
        <v>400</v>
      </c>
      <c r="I13" s="1">
        <v>2.4664310954063602</v>
      </c>
      <c r="J13" s="2">
        <v>400.15174506828498</v>
      </c>
      <c r="K13" s="1">
        <v>0.33494623655914102</v>
      </c>
      <c r="N13" s="3">
        <f t="shared" si="1"/>
        <v>400.05279831045402</v>
      </c>
      <c r="O13" s="21">
        <f t="shared" si="2"/>
        <v>207169.81132075397</v>
      </c>
      <c r="P13" s="3">
        <f t="shared" si="3"/>
        <v>400.103734439834</v>
      </c>
      <c r="Q13" s="17">
        <f t="shared" si="4"/>
        <v>1.02600472813238E-4</v>
      </c>
      <c r="R13" s="3">
        <f t="shared" si="5"/>
        <v>400</v>
      </c>
      <c r="S13" s="24">
        <f t="shared" si="6"/>
        <v>2.4664310954063602</v>
      </c>
      <c r="T13" s="3">
        <f t="shared" si="7"/>
        <v>400.15174506828498</v>
      </c>
      <c r="U13" s="51">
        <f t="shared" si="8"/>
        <v>0.33494623655914102</v>
      </c>
      <c r="V13" s="42">
        <f t="shared" si="9"/>
        <v>0.35381881439037355</v>
      </c>
      <c r="W13" s="49">
        <f t="shared" si="10"/>
        <v>-5.6345095932732542E-2</v>
      </c>
    </row>
    <row r="14" spans="1:23" x14ac:dyDescent="0.6">
      <c r="B14" s="2">
        <v>425.131995776135</v>
      </c>
      <c r="C14" s="1">
        <v>2.0066037735848998</v>
      </c>
      <c r="D14" s="2"/>
      <c r="E14" s="1"/>
      <c r="F14" s="2">
        <v>425</v>
      </c>
      <c r="G14" s="1">
        <v>107.139479905437</v>
      </c>
      <c r="H14" s="2">
        <v>425</v>
      </c>
      <c r="I14" s="1">
        <v>2.4840989399293201</v>
      </c>
      <c r="J14" s="2">
        <v>425.189681335356</v>
      </c>
      <c r="K14" s="1">
        <v>0.37419354838709801</v>
      </c>
      <c r="N14" s="3">
        <f t="shared" si="1"/>
        <v>425.131995776135</v>
      </c>
      <c r="O14" s="21">
        <f t="shared" si="2"/>
        <v>200660.37735848999</v>
      </c>
      <c r="P14" s="3">
        <f t="shared" si="3"/>
        <v>425</v>
      </c>
      <c r="Q14" s="17">
        <f t="shared" si="4"/>
        <v>1.07139479905437E-4</v>
      </c>
      <c r="R14" s="3">
        <f t="shared" si="5"/>
        <v>425</v>
      </c>
      <c r="S14" s="24">
        <f t="shared" si="6"/>
        <v>2.4840989399293201</v>
      </c>
      <c r="T14" s="3">
        <f t="shared" si="7"/>
        <v>425.189681335356</v>
      </c>
      <c r="U14" s="51">
        <f t="shared" si="8"/>
        <v>0.37419354838709801</v>
      </c>
      <c r="V14" s="42">
        <f t="shared" si="9"/>
        <v>0.39425255738236731</v>
      </c>
      <c r="W14" s="49">
        <f t="shared" si="10"/>
        <v>-5.3605972314943642E-2</v>
      </c>
    </row>
    <row r="15" spans="1:23" x14ac:dyDescent="0.6">
      <c r="B15" s="2">
        <v>449.94720168954598</v>
      </c>
      <c r="C15" s="1">
        <v>1.9471698113207501</v>
      </c>
      <c r="D15" s="2"/>
      <c r="E15" s="1"/>
      <c r="F15" s="2">
        <v>449.896265560166</v>
      </c>
      <c r="G15" s="1">
        <v>111.394799054373</v>
      </c>
      <c r="H15" s="2">
        <v>450</v>
      </c>
      <c r="I15" s="1">
        <v>2.5</v>
      </c>
      <c r="J15" s="2">
        <v>449.97470915528498</v>
      </c>
      <c r="K15" s="1">
        <v>0.41344086021505499</v>
      </c>
      <c r="N15" s="3">
        <f t="shared" si="1"/>
        <v>449.94720168954598</v>
      </c>
      <c r="O15" s="21">
        <f t="shared" si="2"/>
        <v>194716.98113207502</v>
      </c>
      <c r="P15" s="3">
        <f t="shared" si="3"/>
        <v>449.896265560166</v>
      </c>
      <c r="Q15" s="17">
        <f t="shared" si="4"/>
        <v>1.1139479905437299E-4</v>
      </c>
      <c r="R15" s="3">
        <f t="shared" si="5"/>
        <v>450</v>
      </c>
      <c r="S15" s="24">
        <f t="shared" si="6"/>
        <v>2.5</v>
      </c>
      <c r="T15" s="3">
        <f t="shared" si="7"/>
        <v>449.97470915528498</v>
      </c>
      <c r="U15" s="51">
        <f t="shared" si="8"/>
        <v>0.41344086021505499</v>
      </c>
      <c r="V15" s="42">
        <f t="shared" si="9"/>
        <v>0.43489233447997855</v>
      </c>
      <c r="W15" s="49">
        <f t="shared" si="10"/>
        <v>-5.1885230341687502E-2</v>
      </c>
    </row>
    <row r="16" spans="1:23" x14ac:dyDescent="0.6">
      <c r="B16" s="2">
        <v>475.02639915522599</v>
      </c>
      <c r="C16" s="1">
        <v>1.89198113207547</v>
      </c>
      <c r="D16" s="2"/>
      <c r="E16" s="1"/>
      <c r="F16" s="2">
        <v>475.05186721991601</v>
      </c>
      <c r="G16" s="1">
        <v>115.27186761229299</v>
      </c>
      <c r="H16" s="2">
        <v>475</v>
      </c>
      <c r="I16" s="1">
        <v>2.5141342756183702</v>
      </c>
      <c r="J16" s="2">
        <v>475.01264542235702</v>
      </c>
      <c r="K16" s="1">
        <v>0.45215053763440899</v>
      </c>
      <c r="N16" s="3">
        <f t="shared" si="1"/>
        <v>475.02639915522599</v>
      </c>
      <c r="O16" s="21">
        <f t="shared" si="2"/>
        <v>189198.11320754699</v>
      </c>
      <c r="P16" s="3">
        <f t="shared" si="3"/>
        <v>475.05186721991601</v>
      </c>
      <c r="Q16" s="17">
        <f t="shared" si="4"/>
        <v>1.1527186761229299E-4</v>
      </c>
      <c r="R16" s="3">
        <f t="shared" si="5"/>
        <v>475</v>
      </c>
      <c r="S16" s="24">
        <f t="shared" si="6"/>
        <v>2.5141342756183702</v>
      </c>
      <c r="T16" s="3">
        <f t="shared" si="7"/>
        <v>475.01264542235702</v>
      </c>
      <c r="U16" s="51">
        <f t="shared" si="8"/>
        <v>0.45215053763440899</v>
      </c>
      <c r="V16" s="42">
        <f t="shared" si="9"/>
        <v>0.4749852927677542</v>
      </c>
      <c r="W16" s="49">
        <f t="shared" si="10"/>
        <v>-5.0502549997648097E-2</v>
      </c>
    </row>
    <row r="17" spans="2:23" x14ac:dyDescent="0.6">
      <c r="B17" s="2">
        <v>499.84160506863702</v>
      </c>
      <c r="C17" s="1">
        <v>1.8396226415094299</v>
      </c>
      <c r="D17" s="2"/>
      <c r="E17" s="1"/>
      <c r="F17" s="2">
        <v>499.94813278008297</v>
      </c>
      <c r="G17" s="1">
        <v>119.338061465721</v>
      </c>
      <c r="H17" s="2">
        <v>500</v>
      </c>
      <c r="I17" s="1">
        <v>2.5247349823321499</v>
      </c>
      <c r="J17" s="2">
        <v>500.05058168942799</v>
      </c>
      <c r="K17" s="1">
        <v>0.49516129032258099</v>
      </c>
      <c r="N17" s="3">
        <f t="shared" si="1"/>
        <v>499.84160506863702</v>
      </c>
      <c r="O17" s="21">
        <f t="shared" si="2"/>
        <v>183962.264150943</v>
      </c>
      <c r="P17" s="3">
        <f t="shared" si="3"/>
        <v>499.94813278008297</v>
      </c>
      <c r="Q17" s="17">
        <f t="shared" si="4"/>
        <v>1.19338061465721E-4</v>
      </c>
      <c r="R17" s="3">
        <f t="shared" si="5"/>
        <v>500</v>
      </c>
      <c r="S17" s="24">
        <f t="shared" si="6"/>
        <v>2.5247349823321499</v>
      </c>
      <c r="T17" s="3">
        <f t="shared" si="7"/>
        <v>500.05058168942799</v>
      </c>
      <c r="U17" s="51">
        <f t="shared" si="8"/>
        <v>0.49516129032258099</v>
      </c>
      <c r="V17" s="42">
        <f t="shared" si="9"/>
        <v>0.5189014007190611</v>
      </c>
      <c r="W17" s="49">
        <f t="shared" si="10"/>
        <v>-4.794419689191419E-2</v>
      </c>
    </row>
    <row r="18" spans="2:23" x14ac:dyDescent="0.6">
      <c r="B18" s="2">
        <v>525.18479408658902</v>
      </c>
      <c r="C18" s="1">
        <v>1.7915094339622599</v>
      </c>
      <c r="D18" s="2"/>
      <c r="E18" s="1"/>
      <c r="F18" s="2">
        <v>525.10373443983303</v>
      </c>
      <c r="G18" s="1">
        <v>123.97163120567301</v>
      </c>
      <c r="H18" s="2">
        <v>525</v>
      </c>
      <c r="I18" s="1">
        <v>2.5441696113074199</v>
      </c>
      <c r="J18" s="2">
        <v>524.83560950935703</v>
      </c>
      <c r="K18" s="1">
        <v>0.543010752688173</v>
      </c>
      <c r="N18" s="3">
        <f t="shared" si="1"/>
        <v>525.18479408658902</v>
      </c>
      <c r="O18" s="21">
        <f t="shared" si="2"/>
        <v>179150.94339622598</v>
      </c>
      <c r="P18" s="3">
        <f t="shared" si="3"/>
        <v>525.10373443983303</v>
      </c>
      <c r="Q18" s="17">
        <f t="shared" si="4"/>
        <v>1.23971631205673E-4</v>
      </c>
      <c r="R18" s="3">
        <f t="shared" si="5"/>
        <v>525</v>
      </c>
      <c r="S18" s="24">
        <f t="shared" si="6"/>
        <v>2.5441696113074199</v>
      </c>
      <c r="T18" s="3">
        <f t="shared" si="7"/>
        <v>524.83560950935703</v>
      </c>
      <c r="U18" s="51">
        <f t="shared" si="8"/>
        <v>0.543010752688173</v>
      </c>
      <c r="V18" s="42">
        <f t="shared" si="9"/>
        <v>0.56799035834910183</v>
      </c>
      <c r="W18" s="49">
        <f t="shared" si="10"/>
        <v>-4.6002046068641125E-2</v>
      </c>
    </row>
    <row r="19" spans="2:23" x14ac:dyDescent="0.6">
      <c r="B19" s="2">
        <v>549.99999999999898</v>
      </c>
      <c r="C19" s="1">
        <v>1.7462264150943301</v>
      </c>
      <c r="D19" s="2"/>
      <c r="E19" s="1"/>
      <c r="F19" s="2">
        <v>550</v>
      </c>
      <c r="G19" s="1">
        <v>128.13238770685501</v>
      </c>
      <c r="H19" s="2">
        <v>550</v>
      </c>
      <c r="I19" s="1">
        <v>2.5618374558303798</v>
      </c>
      <c r="J19" s="2">
        <v>550.12645422357105</v>
      </c>
      <c r="K19" s="1">
        <v>0.59032258064516197</v>
      </c>
      <c r="N19" s="3">
        <f t="shared" si="1"/>
        <v>549.99999999999898</v>
      </c>
      <c r="O19" s="21">
        <f t="shared" si="2"/>
        <v>174622.64150943302</v>
      </c>
      <c r="P19" s="3">
        <f t="shared" si="3"/>
        <v>550</v>
      </c>
      <c r="Q19" s="17">
        <f t="shared" si="4"/>
        <v>1.28132387706855E-4</v>
      </c>
      <c r="R19" s="3">
        <f t="shared" si="5"/>
        <v>550</v>
      </c>
      <c r="S19" s="24">
        <f t="shared" si="6"/>
        <v>2.5618374558303798</v>
      </c>
      <c r="T19" s="3">
        <f t="shared" si="7"/>
        <v>550.12645422357105</v>
      </c>
      <c r="U19" s="51">
        <f t="shared" si="8"/>
        <v>0.59032258064516197</v>
      </c>
      <c r="V19" s="42">
        <f t="shared" si="9"/>
        <v>0.61564357349321419</v>
      </c>
      <c r="W19" s="49">
        <f t="shared" si="10"/>
        <v>-4.2893485152438147E-2</v>
      </c>
    </row>
    <row r="20" spans="2:23" x14ac:dyDescent="0.6">
      <c r="B20" s="2">
        <v>575.07919746568098</v>
      </c>
      <c r="C20" s="1">
        <v>1.7037735849056601</v>
      </c>
      <c r="D20" s="2"/>
      <c r="E20" s="1"/>
      <c r="F20" s="2">
        <v>574.89626556016594</v>
      </c>
      <c r="G20" s="1">
        <v>131.91489361702099</v>
      </c>
      <c r="H20" s="2">
        <v>575</v>
      </c>
      <c r="I20" s="1">
        <v>2.5795053003533499</v>
      </c>
      <c r="J20" s="2">
        <v>574.91148204349997</v>
      </c>
      <c r="K20" s="1">
        <v>0.63548387096774195</v>
      </c>
      <c r="N20" s="3">
        <f t="shared" si="1"/>
        <v>575.07919746568098</v>
      </c>
      <c r="O20" s="21">
        <f t="shared" si="2"/>
        <v>170377.35849056602</v>
      </c>
      <c r="P20" s="3">
        <f t="shared" si="3"/>
        <v>574.89626556016594</v>
      </c>
      <c r="Q20" s="17">
        <f t="shared" si="4"/>
        <v>1.31914893617021E-4</v>
      </c>
      <c r="R20" s="3">
        <f t="shared" si="5"/>
        <v>575</v>
      </c>
      <c r="S20" s="24">
        <f t="shared" si="6"/>
        <v>2.5795053003533499</v>
      </c>
      <c r="T20" s="3">
        <f t="shared" si="7"/>
        <v>574.91148204349997</v>
      </c>
      <c r="U20" s="51">
        <f t="shared" si="8"/>
        <v>0.63548387096774195</v>
      </c>
      <c r="V20" s="42">
        <f t="shared" si="9"/>
        <v>0.66079097320950353</v>
      </c>
      <c r="W20" s="49">
        <f t="shared" si="10"/>
        <v>-3.9823358857594367E-2</v>
      </c>
    </row>
    <row r="21" spans="2:23" x14ac:dyDescent="0.6">
      <c r="B21" s="2">
        <v>600.15839493136195</v>
      </c>
      <c r="C21" s="1">
        <v>1.6655660377358401</v>
      </c>
      <c r="D21" s="2"/>
      <c r="E21" s="1"/>
      <c r="F21" s="2">
        <v>600.05186721991697</v>
      </c>
      <c r="G21" s="1">
        <v>135.69739952718601</v>
      </c>
      <c r="H21" s="2">
        <v>600</v>
      </c>
      <c r="I21" s="1">
        <v>2.5936395759717299</v>
      </c>
      <c r="J21" s="2">
        <v>599.69650986342901</v>
      </c>
      <c r="K21" s="1">
        <v>0.68118279569892504</v>
      </c>
      <c r="N21" s="3">
        <f t="shared" si="1"/>
        <v>600.15839493136195</v>
      </c>
      <c r="O21" s="21">
        <f t="shared" si="2"/>
        <v>166556.60377358401</v>
      </c>
      <c r="P21" s="3">
        <f t="shared" si="3"/>
        <v>600.05186721991697</v>
      </c>
      <c r="Q21" s="17">
        <f t="shared" si="4"/>
        <v>1.3569739952718599E-4</v>
      </c>
      <c r="R21" s="3">
        <f t="shared" si="5"/>
        <v>600</v>
      </c>
      <c r="S21" s="24">
        <f t="shared" si="6"/>
        <v>2.5936395759717299</v>
      </c>
      <c r="T21" s="3">
        <f t="shared" si="7"/>
        <v>599.69650986342901</v>
      </c>
      <c r="U21" s="51">
        <f t="shared" si="8"/>
        <v>0.68118279569892504</v>
      </c>
      <c r="V21" s="42">
        <f t="shared" si="9"/>
        <v>0.70913154280335489</v>
      </c>
      <c r="W21" s="49">
        <f t="shared" si="10"/>
        <v>-4.1029731345098262E-2</v>
      </c>
    </row>
    <row r="22" spans="2:23" x14ac:dyDescent="0.6">
      <c r="B22" s="2">
        <v>624.97360084477202</v>
      </c>
      <c r="C22" s="1">
        <v>1.6287735849056599</v>
      </c>
      <c r="D22" s="2"/>
      <c r="E22" s="1"/>
      <c r="F22" s="2">
        <v>624.94813278008201</v>
      </c>
      <c r="G22" s="1">
        <v>139.19621749408901</v>
      </c>
      <c r="H22" s="2">
        <v>625</v>
      </c>
      <c r="I22" s="1">
        <v>2.6219081272084801</v>
      </c>
      <c r="J22" s="2">
        <v>625.24026302478501</v>
      </c>
      <c r="K22" s="1">
        <v>0.72580645161290303</v>
      </c>
      <c r="N22" s="3">
        <f t="shared" si="1"/>
        <v>624.97360084477202</v>
      </c>
      <c r="O22" s="21">
        <f t="shared" si="2"/>
        <v>162877.358490566</v>
      </c>
      <c r="P22" s="3">
        <f t="shared" si="3"/>
        <v>624.94813278008201</v>
      </c>
      <c r="Q22" s="17">
        <f t="shared" si="4"/>
        <v>1.39196217494089E-4</v>
      </c>
      <c r="R22" s="3">
        <f t="shared" si="5"/>
        <v>625</v>
      </c>
      <c r="S22" s="24">
        <f t="shared" si="6"/>
        <v>2.6219081272084801</v>
      </c>
      <c r="T22" s="3">
        <f t="shared" si="7"/>
        <v>625.24026302478501</v>
      </c>
      <c r="U22" s="51">
        <f t="shared" si="8"/>
        <v>0.72580645161290303</v>
      </c>
      <c r="V22" s="42">
        <f t="shared" si="9"/>
        <v>0.75256679563104456</v>
      </c>
      <c r="W22" s="49">
        <f t="shared" si="10"/>
        <v>-3.6869807313883902E-2</v>
      </c>
    </row>
    <row r="23" spans="2:23" x14ac:dyDescent="0.6">
      <c r="B23" s="2">
        <v>650.05279831045402</v>
      </c>
      <c r="C23" s="1">
        <v>1.5962264150943299</v>
      </c>
      <c r="D23" s="2"/>
      <c r="E23" s="1"/>
      <c r="F23" s="2">
        <v>650.10373443983303</v>
      </c>
      <c r="G23" s="1">
        <v>141.65484633569699</v>
      </c>
      <c r="H23" s="2">
        <v>650</v>
      </c>
      <c r="I23" s="1">
        <v>2.6484098939929299</v>
      </c>
      <c r="J23" s="2">
        <v>650.27819929185603</v>
      </c>
      <c r="K23" s="1">
        <v>0.761290322580645</v>
      </c>
      <c r="N23" s="3">
        <f t="shared" si="1"/>
        <v>650.05279831045402</v>
      </c>
      <c r="O23" s="21">
        <f t="shared" si="2"/>
        <v>159622.64150943299</v>
      </c>
      <c r="P23" s="3">
        <f t="shared" si="3"/>
        <v>650.10373443983303</v>
      </c>
      <c r="Q23" s="17">
        <f t="shared" si="4"/>
        <v>1.4165484633569698E-4</v>
      </c>
      <c r="R23" s="3">
        <f t="shared" si="5"/>
        <v>650</v>
      </c>
      <c r="S23" s="24">
        <f t="shared" si="6"/>
        <v>2.6484098939929299</v>
      </c>
      <c r="T23" s="3">
        <f t="shared" si="7"/>
        <v>650.27819929185603</v>
      </c>
      <c r="U23" s="51">
        <f t="shared" si="8"/>
        <v>0.761290322580645</v>
      </c>
      <c r="V23" s="42">
        <f t="shared" si="9"/>
        <v>0.78645044200253433</v>
      </c>
      <c r="W23" s="49">
        <f t="shared" si="10"/>
        <v>-3.3049309410108883E-2</v>
      </c>
    </row>
    <row r="24" spans="2:23" x14ac:dyDescent="0.6">
      <c r="B24" s="2">
        <v>675.131995776135</v>
      </c>
      <c r="C24" s="1">
        <v>1.5636792452830099</v>
      </c>
      <c r="D24" s="2"/>
      <c r="E24" s="1"/>
      <c r="F24" s="2">
        <v>675</v>
      </c>
      <c r="G24" s="1">
        <v>143.64066193853401</v>
      </c>
      <c r="H24" s="2">
        <v>675</v>
      </c>
      <c r="I24" s="1">
        <v>2.6766784452296801</v>
      </c>
      <c r="J24" s="2">
        <v>675.06322711178495</v>
      </c>
      <c r="K24" s="1">
        <v>0.79139784946236502</v>
      </c>
      <c r="N24" s="3">
        <f t="shared" si="1"/>
        <v>675.131995776135</v>
      </c>
      <c r="O24" s="21">
        <f t="shared" si="2"/>
        <v>156367.924528301</v>
      </c>
      <c r="P24" s="3">
        <f t="shared" si="3"/>
        <v>675</v>
      </c>
      <c r="Q24" s="17">
        <f t="shared" si="4"/>
        <v>1.4364066193853402E-4</v>
      </c>
      <c r="R24" s="3">
        <f t="shared" si="5"/>
        <v>675</v>
      </c>
      <c r="S24" s="24">
        <f t="shared" si="6"/>
        <v>2.6766784452296801</v>
      </c>
      <c r="T24" s="3">
        <f t="shared" si="7"/>
        <v>675.06322711178495</v>
      </c>
      <c r="U24" s="51">
        <f t="shared" si="8"/>
        <v>0.79139784946236502</v>
      </c>
      <c r="V24" s="42">
        <f t="shared" si="9"/>
        <v>0.81367452112692784</v>
      </c>
      <c r="W24" s="49">
        <f t="shared" si="10"/>
        <v>-2.8148511750059016E-2</v>
      </c>
    </row>
    <row r="25" spans="2:23" x14ac:dyDescent="0.6">
      <c r="B25" s="2">
        <v>699.94720168954495</v>
      </c>
      <c r="C25" s="1">
        <v>1.53254716981132</v>
      </c>
      <c r="D25" s="2"/>
      <c r="E25" s="1"/>
      <c r="F25" s="2">
        <v>699.89626556016594</v>
      </c>
      <c r="G25" s="1">
        <v>145.05910165484599</v>
      </c>
      <c r="H25" s="2">
        <v>700</v>
      </c>
      <c r="I25" s="1">
        <v>2.7049469964664299</v>
      </c>
      <c r="J25" s="2">
        <v>700.35407182599897</v>
      </c>
      <c r="K25" s="1">
        <v>0.81666666666666698</v>
      </c>
      <c r="N25" s="3">
        <f t="shared" si="1"/>
        <v>699.94720168954495</v>
      </c>
      <c r="O25" s="21">
        <f t="shared" si="2"/>
        <v>153254.71698113199</v>
      </c>
      <c r="P25" s="3">
        <f t="shared" si="3"/>
        <v>699.89626556016594</v>
      </c>
      <c r="Q25" s="17">
        <f t="shared" si="4"/>
        <v>1.4505910165484598E-4</v>
      </c>
      <c r="R25" s="3">
        <f t="shared" si="5"/>
        <v>700</v>
      </c>
      <c r="S25" s="24">
        <f t="shared" si="6"/>
        <v>2.7049469964664299</v>
      </c>
      <c r="T25" s="3">
        <f t="shared" si="7"/>
        <v>700.35407182599897</v>
      </c>
      <c r="U25" s="51">
        <f t="shared" si="8"/>
        <v>0.81666666666666698</v>
      </c>
      <c r="V25" s="42">
        <f t="shared" si="9"/>
        <v>0.83495431987471458</v>
      </c>
      <c r="W25" s="49">
        <f t="shared" si="10"/>
        <v>-2.2393044744548066E-2</v>
      </c>
    </row>
    <row r="26" spans="2:23" x14ac:dyDescent="0.6">
      <c r="B26" s="2">
        <v>725.02639915522695</v>
      </c>
      <c r="C26" s="1">
        <v>1.5028301886792399</v>
      </c>
      <c r="D26" s="2"/>
      <c r="E26" s="1"/>
      <c r="F26" s="2">
        <v>725.05186721991697</v>
      </c>
      <c r="G26" s="1">
        <v>146.572104018912</v>
      </c>
      <c r="H26" s="2">
        <v>725</v>
      </c>
      <c r="I26" s="1">
        <v>2.7844522968197798</v>
      </c>
      <c r="J26" s="2">
        <v>725.39200809306999</v>
      </c>
      <c r="K26" s="1">
        <v>0.82795698924731198</v>
      </c>
      <c r="N26" s="3">
        <f t="shared" si="1"/>
        <v>725.02639915522695</v>
      </c>
      <c r="O26" s="21">
        <f t="shared" si="2"/>
        <v>150283.01886792399</v>
      </c>
      <c r="P26" s="3">
        <f t="shared" si="3"/>
        <v>725.05186721991697</v>
      </c>
      <c r="Q26" s="17">
        <f t="shared" si="4"/>
        <v>1.4657210401891201E-4</v>
      </c>
      <c r="R26" s="3">
        <f t="shared" si="5"/>
        <v>725</v>
      </c>
      <c r="S26" s="24">
        <f t="shared" si="6"/>
        <v>2.7844522968197798</v>
      </c>
      <c r="T26" s="3">
        <f t="shared" si="7"/>
        <v>725.39200809306999</v>
      </c>
      <c r="U26" s="51">
        <f t="shared" si="8"/>
        <v>0.82795698924731198</v>
      </c>
      <c r="V26" s="42">
        <f t="shared" si="9"/>
        <v>0.84109594519561415</v>
      </c>
      <c r="W26" s="49">
        <f t="shared" si="10"/>
        <v>-1.5869128612884434E-2</v>
      </c>
    </row>
    <row r="27" spans="2:23" x14ac:dyDescent="0.6">
      <c r="B27" s="2">
        <v>750.10559662090805</v>
      </c>
      <c r="C27" s="1">
        <v>1.4759433962264099</v>
      </c>
      <c r="D27" s="2"/>
      <c r="E27" s="1"/>
      <c r="F27" s="2">
        <v>749.94813278008201</v>
      </c>
      <c r="G27" s="1">
        <v>149.03073286052</v>
      </c>
      <c r="H27" s="2">
        <v>750</v>
      </c>
      <c r="I27" s="1">
        <v>2.86749116607773</v>
      </c>
      <c r="J27" s="2">
        <v>749.92412746585705</v>
      </c>
      <c r="K27" s="1">
        <v>0.85161290322580596</v>
      </c>
      <c r="N27" s="3">
        <f t="shared" si="1"/>
        <v>750.10559662090805</v>
      </c>
      <c r="O27" s="21">
        <f t="shared" si="2"/>
        <v>147594.33962264098</v>
      </c>
      <c r="P27" s="3">
        <f t="shared" si="3"/>
        <v>749.94813278008201</v>
      </c>
      <c r="Q27" s="17">
        <f t="shared" si="4"/>
        <v>1.4903073286051999E-4</v>
      </c>
      <c r="R27" s="3">
        <f t="shared" si="5"/>
        <v>750</v>
      </c>
      <c r="S27" s="24">
        <f t="shared" si="6"/>
        <v>2.86749116607773</v>
      </c>
      <c r="T27" s="3">
        <f t="shared" si="7"/>
        <v>749.92412746585705</v>
      </c>
      <c r="U27" s="51">
        <f t="shared" si="8"/>
        <v>0.85161290322580596</v>
      </c>
      <c r="V27" s="42">
        <f t="shared" si="9"/>
        <v>0.85730748257759581</v>
      </c>
      <c r="W27" s="49">
        <f t="shared" si="10"/>
        <v>-6.6868166630865726E-3</v>
      </c>
    </row>
    <row r="28" spans="2:23" x14ac:dyDescent="0.6">
      <c r="B28" s="2">
        <v>774.920802534318</v>
      </c>
      <c r="C28" s="1">
        <v>1.4490566037735799</v>
      </c>
      <c r="D28" s="2"/>
      <c r="E28" s="1"/>
      <c r="F28" s="2">
        <v>775.10373443983303</v>
      </c>
      <c r="G28" s="1">
        <v>151.962174940898</v>
      </c>
      <c r="H28" s="2">
        <v>775</v>
      </c>
      <c r="I28" s="1">
        <v>2.9522968197879802</v>
      </c>
      <c r="J28" s="2">
        <v>774.96206373292796</v>
      </c>
      <c r="K28" s="1">
        <v>0.87849462365591402</v>
      </c>
      <c r="N28" s="3">
        <f t="shared" si="1"/>
        <v>774.920802534318</v>
      </c>
      <c r="O28" s="21">
        <f t="shared" si="2"/>
        <v>144905.660377358</v>
      </c>
      <c r="P28" s="3">
        <f t="shared" si="3"/>
        <v>775.10373443983303</v>
      </c>
      <c r="Q28" s="17">
        <f t="shared" si="4"/>
        <v>1.5196217494089798E-4</v>
      </c>
      <c r="R28" s="3">
        <f t="shared" si="5"/>
        <v>775</v>
      </c>
      <c r="S28" s="24">
        <f t="shared" si="6"/>
        <v>2.9522968197879802</v>
      </c>
      <c r="T28" s="3">
        <f t="shared" si="7"/>
        <v>774.96206373292796</v>
      </c>
      <c r="U28" s="51">
        <f t="shared" si="8"/>
        <v>0.87849462365591402</v>
      </c>
      <c r="V28" s="42">
        <f t="shared" si="9"/>
        <v>0.87836854788878727</v>
      </c>
      <c r="W28" s="49">
        <f t="shared" si="10"/>
        <v>1.4351341912837389E-4</v>
      </c>
    </row>
    <row r="29" spans="2:23" x14ac:dyDescent="0.6">
      <c r="B29" s="2">
        <v>800</v>
      </c>
      <c r="C29" s="1">
        <v>1.4207547169811301</v>
      </c>
      <c r="D29" s="2"/>
      <c r="E29" s="1"/>
      <c r="F29" s="2">
        <v>800</v>
      </c>
      <c r="G29" s="1">
        <v>151.67848699763499</v>
      </c>
      <c r="H29" s="2">
        <v>800</v>
      </c>
      <c r="I29" s="1">
        <v>3.04063604240282</v>
      </c>
      <c r="J29" s="2">
        <v>800</v>
      </c>
      <c r="K29" s="1">
        <v>0.86397849462365595</v>
      </c>
      <c r="N29" s="3">
        <f t="shared" si="1"/>
        <v>800</v>
      </c>
      <c r="O29" s="21">
        <f t="shared" si="2"/>
        <v>142075.47169811302</v>
      </c>
      <c r="P29" s="3">
        <f t="shared" si="3"/>
        <v>800</v>
      </c>
      <c r="Q29" s="17">
        <f t="shared" si="4"/>
        <v>1.5167848699763499E-4</v>
      </c>
      <c r="R29" s="3">
        <f t="shared" si="5"/>
        <v>800</v>
      </c>
      <c r="S29" s="24">
        <f t="shared" si="6"/>
        <v>3.04063604240282</v>
      </c>
      <c r="T29" s="3">
        <f t="shared" si="7"/>
        <v>800</v>
      </c>
      <c r="U29" s="51">
        <f t="shared" si="8"/>
        <v>0.86397849462365595</v>
      </c>
      <c r="V29" s="42">
        <f t="shared" si="9"/>
        <v>0.85998847322014427</v>
      </c>
      <c r="W29" s="49">
        <f t="shared" si="10"/>
        <v>4.6181952772443823E-3</v>
      </c>
    </row>
    <row r="34" spans="2:23" ht="17.25" thickBot="1" x14ac:dyDescent="0.65">
      <c r="B34" t="s">
        <v>79</v>
      </c>
      <c r="O34"/>
      <c r="Q34"/>
      <c r="S34"/>
      <c r="U34"/>
      <c r="V34"/>
    </row>
    <row r="35" spans="2:23" x14ac:dyDescent="0.6">
      <c r="B35" s="5" t="s">
        <v>3</v>
      </c>
      <c r="C35" s="6" t="s">
        <v>0</v>
      </c>
      <c r="D35" s="7" t="s">
        <v>3</v>
      </c>
      <c r="E35" s="6" t="s">
        <v>8</v>
      </c>
      <c r="F35" s="7" t="s">
        <v>3</v>
      </c>
      <c r="G35" s="6" t="s">
        <v>1</v>
      </c>
      <c r="H35" s="7" t="s">
        <v>3</v>
      </c>
      <c r="I35" s="6" t="s">
        <v>2</v>
      </c>
      <c r="J35" s="7" t="s">
        <v>3</v>
      </c>
      <c r="K35" s="8" t="s">
        <v>6</v>
      </c>
      <c r="N35" s="5" t="s">
        <v>3</v>
      </c>
      <c r="O35" s="19" t="s">
        <v>0</v>
      </c>
      <c r="P35" s="7" t="s">
        <v>3</v>
      </c>
      <c r="Q35" s="15" t="s">
        <v>1</v>
      </c>
      <c r="R35" s="7" t="s">
        <v>3</v>
      </c>
      <c r="S35" s="23" t="s">
        <v>2</v>
      </c>
      <c r="T35" s="7" t="s">
        <v>3</v>
      </c>
      <c r="U35" s="25" t="s">
        <v>6</v>
      </c>
    </row>
    <row r="36" spans="2:23" ht="17.25" thickBot="1" x14ac:dyDescent="0.65">
      <c r="B36" s="9" t="s">
        <v>4</v>
      </c>
      <c r="C36" s="10" t="s">
        <v>39</v>
      </c>
      <c r="D36" s="11" t="s">
        <v>4</v>
      </c>
      <c r="E36" s="10" t="s">
        <v>11</v>
      </c>
      <c r="F36" s="11" t="s">
        <v>4</v>
      </c>
      <c r="G36" s="27" t="s">
        <v>13</v>
      </c>
      <c r="H36" s="11" t="s">
        <v>4</v>
      </c>
      <c r="I36" s="10" t="s">
        <v>15</v>
      </c>
      <c r="J36" s="11" t="s">
        <v>4</v>
      </c>
      <c r="K36" s="12" t="s">
        <v>7</v>
      </c>
      <c r="N36" s="9" t="s">
        <v>4</v>
      </c>
      <c r="O36" s="20" t="s">
        <v>5</v>
      </c>
      <c r="P36" s="11" t="s">
        <v>4</v>
      </c>
      <c r="Q36" s="16" t="s">
        <v>14</v>
      </c>
      <c r="R36" s="11" t="s">
        <v>4</v>
      </c>
      <c r="S36" s="10" t="s">
        <v>15</v>
      </c>
      <c r="T36" s="11" t="s">
        <v>4</v>
      </c>
      <c r="U36" s="26" t="s">
        <v>7</v>
      </c>
      <c r="W36" t="s">
        <v>78</v>
      </c>
    </row>
    <row r="37" spans="2:23" x14ac:dyDescent="0.6">
      <c r="B37" s="3">
        <v>296.55200000000002</v>
      </c>
      <c r="C37" s="4">
        <v>2.38991</v>
      </c>
      <c r="D37" s="3"/>
      <c r="E37" s="4"/>
      <c r="F37" s="3">
        <v>296.56400000000002</v>
      </c>
      <c r="G37" s="4">
        <v>84.2667</v>
      </c>
      <c r="H37" s="3">
        <v>295.88799999999998</v>
      </c>
      <c r="I37" s="4">
        <v>3.5536099999999999</v>
      </c>
      <c r="J37" s="3">
        <v>293.661</v>
      </c>
      <c r="K37" s="4">
        <v>0.18180399999999999</v>
      </c>
      <c r="N37" s="3">
        <f>B37</f>
        <v>296.55200000000002</v>
      </c>
      <c r="O37" s="21">
        <f>C37*100000</f>
        <v>238991</v>
      </c>
      <c r="P37" s="3">
        <f>F37</f>
        <v>296.56400000000002</v>
      </c>
      <c r="Q37" s="17">
        <f>G37*0.000001</f>
        <v>8.4266699999999991E-5</v>
      </c>
      <c r="R37" s="3">
        <f>H37</f>
        <v>295.88799999999998</v>
      </c>
      <c r="S37" s="24">
        <f>I37</f>
        <v>3.5536099999999999</v>
      </c>
      <c r="T37" s="3">
        <f>J37</f>
        <v>293.661</v>
      </c>
      <c r="U37" s="51">
        <f>K37</f>
        <v>0.18180399999999999</v>
      </c>
      <c r="V37" s="42">
        <f>((O37*(Q37)^2)/S37)*T37</f>
        <v>0.14023939510629568</v>
      </c>
      <c r="W37" s="49">
        <f t="shared" ref="W37:W47" si="11">(U37-V37)/U37</f>
        <v>0.22862315952181642</v>
      </c>
    </row>
    <row r="38" spans="2:23" x14ac:dyDescent="0.6">
      <c r="B38" s="3">
        <v>348.27600000000001</v>
      </c>
      <c r="C38" s="4">
        <v>2.2247699999999999</v>
      </c>
      <c r="D38" s="3"/>
      <c r="E38" s="4"/>
      <c r="F38" s="3">
        <v>348.11</v>
      </c>
      <c r="G38" s="4">
        <v>92.977800000000002</v>
      </c>
      <c r="H38" s="3">
        <v>348.49200000000002</v>
      </c>
      <c r="I38" s="4">
        <v>3.6118899999999998</v>
      </c>
      <c r="J38" s="3">
        <v>349.11099999999999</v>
      </c>
      <c r="K38" s="4">
        <v>0.25390499999999999</v>
      </c>
      <c r="N38" s="3">
        <f t="shared" ref="N38:N47" si="12">B38</f>
        <v>348.27600000000001</v>
      </c>
      <c r="O38" s="21">
        <f t="shared" ref="O38:O47" si="13">C38*100000</f>
        <v>222477</v>
      </c>
      <c r="P38" s="3">
        <f t="shared" ref="P38:P47" si="14">F38</f>
        <v>348.11</v>
      </c>
      <c r="Q38" s="17">
        <f t="shared" ref="Q38:Q47" si="15">G38*0.000001</f>
        <v>9.2977800000000003E-5</v>
      </c>
      <c r="R38" s="3">
        <f t="shared" ref="R38:R47" si="16">H38</f>
        <v>348.49200000000002</v>
      </c>
      <c r="S38" s="24">
        <f t="shared" ref="S38:S47" si="17">I38</f>
        <v>3.6118899999999998</v>
      </c>
      <c r="T38" s="3">
        <f t="shared" ref="T38:T47" si="18">J38</f>
        <v>349.11099999999999</v>
      </c>
      <c r="U38" s="51">
        <f t="shared" ref="U38:U47" si="19">K38</f>
        <v>0.25390499999999999</v>
      </c>
      <c r="V38" s="42">
        <f t="shared" ref="V38:V47" si="20">((O38*(Q38)^2)/S38)*T38</f>
        <v>0.18589712320247542</v>
      </c>
      <c r="W38" s="49">
        <f t="shared" si="11"/>
        <v>0.26784772571443877</v>
      </c>
    </row>
    <row r="39" spans="2:23" x14ac:dyDescent="0.6">
      <c r="B39" s="2">
        <v>398.27600000000001</v>
      </c>
      <c r="C39" s="1">
        <v>2.06881</v>
      </c>
      <c r="D39" s="2"/>
      <c r="E39" s="1"/>
      <c r="F39" s="2">
        <v>399.65600000000001</v>
      </c>
      <c r="G39" s="1">
        <v>103.556</v>
      </c>
      <c r="H39" s="2">
        <v>397.81200000000001</v>
      </c>
      <c r="I39" s="1">
        <v>3.6586799999999999</v>
      </c>
      <c r="J39" s="2">
        <v>395.28800000000001</v>
      </c>
      <c r="K39" s="1">
        <v>0.335729</v>
      </c>
      <c r="N39" s="3">
        <f t="shared" si="12"/>
        <v>398.27600000000001</v>
      </c>
      <c r="O39" s="21">
        <f t="shared" si="13"/>
        <v>206881</v>
      </c>
      <c r="P39" s="3">
        <f t="shared" si="14"/>
        <v>399.65600000000001</v>
      </c>
      <c r="Q39" s="17">
        <f t="shared" si="15"/>
        <v>1.03556E-4</v>
      </c>
      <c r="R39" s="3">
        <f t="shared" si="16"/>
        <v>397.81200000000001</v>
      </c>
      <c r="S39" s="24">
        <f t="shared" si="17"/>
        <v>3.6586799999999999</v>
      </c>
      <c r="T39" s="3">
        <f t="shared" si="18"/>
        <v>395.28800000000001</v>
      </c>
      <c r="U39" s="51">
        <f t="shared" si="19"/>
        <v>0.335729</v>
      </c>
      <c r="V39" s="42">
        <f t="shared" si="20"/>
        <v>0.23969575596347029</v>
      </c>
      <c r="W39" s="49">
        <f t="shared" si="11"/>
        <v>0.28604393435339132</v>
      </c>
    </row>
    <row r="40" spans="2:23" x14ac:dyDescent="0.6">
      <c r="B40" s="2">
        <v>446.55200000000002</v>
      </c>
      <c r="C40" s="1">
        <v>1.9495400000000001</v>
      </c>
      <c r="D40" s="2"/>
      <c r="E40" s="1"/>
      <c r="F40" s="2">
        <v>446.048</v>
      </c>
      <c r="G40" s="1">
        <v>112.267</v>
      </c>
      <c r="H40" s="2">
        <v>448.78800000000001</v>
      </c>
      <c r="I40" s="1">
        <v>3.68268</v>
      </c>
      <c r="J40" s="2">
        <v>447.64699999999999</v>
      </c>
      <c r="K40" s="1">
        <v>0.41107100000000002</v>
      </c>
      <c r="N40" s="3">
        <f t="shared" si="12"/>
        <v>446.55200000000002</v>
      </c>
      <c r="O40" s="21">
        <f t="shared" si="13"/>
        <v>194954</v>
      </c>
      <c r="P40" s="3">
        <f t="shared" si="14"/>
        <v>446.048</v>
      </c>
      <c r="Q40" s="17">
        <f t="shared" si="15"/>
        <v>1.1226699999999999E-4</v>
      </c>
      <c r="R40" s="3">
        <f t="shared" si="16"/>
        <v>448.78800000000001</v>
      </c>
      <c r="S40" s="24">
        <f t="shared" si="17"/>
        <v>3.68268</v>
      </c>
      <c r="T40" s="3">
        <f t="shared" si="18"/>
        <v>447.64699999999999</v>
      </c>
      <c r="U40" s="51">
        <f t="shared" si="19"/>
        <v>0.41107100000000002</v>
      </c>
      <c r="V40" s="42">
        <f t="shared" si="20"/>
        <v>0.29868133277221631</v>
      </c>
      <c r="W40" s="49">
        <f t="shared" si="11"/>
        <v>0.27340694728595233</v>
      </c>
    </row>
    <row r="41" spans="2:23" x14ac:dyDescent="0.6">
      <c r="B41" s="2">
        <v>500</v>
      </c>
      <c r="C41" s="1">
        <v>1.8577999999999999</v>
      </c>
      <c r="D41" s="2"/>
      <c r="E41" s="1"/>
      <c r="F41" s="2">
        <v>501.03100000000001</v>
      </c>
      <c r="G41" s="1">
        <v>120.35599999999999</v>
      </c>
      <c r="H41" s="2">
        <v>498.11799999999999</v>
      </c>
      <c r="I41" s="1">
        <v>3.7066300000000001</v>
      </c>
      <c r="J41" s="2">
        <v>500.00099999999998</v>
      </c>
      <c r="K41" s="1">
        <v>0.489674</v>
      </c>
      <c r="N41" s="3">
        <f t="shared" si="12"/>
        <v>500</v>
      </c>
      <c r="O41" s="21">
        <f t="shared" si="13"/>
        <v>185780</v>
      </c>
      <c r="P41" s="3">
        <f t="shared" si="14"/>
        <v>501.03100000000001</v>
      </c>
      <c r="Q41" s="17">
        <f t="shared" si="15"/>
        <v>1.2035599999999998E-4</v>
      </c>
      <c r="R41" s="3">
        <f t="shared" si="16"/>
        <v>498.11799999999999</v>
      </c>
      <c r="S41" s="24">
        <f t="shared" si="17"/>
        <v>3.7066300000000001</v>
      </c>
      <c r="T41" s="3">
        <f t="shared" si="18"/>
        <v>500.00099999999998</v>
      </c>
      <c r="U41" s="51">
        <f t="shared" si="19"/>
        <v>0.489674</v>
      </c>
      <c r="V41" s="42">
        <f t="shared" si="20"/>
        <v>0.3630162668611725</v>
      </c>
      <c r="W41" s="49">
        <f t="shared" si="11"/>
        <v>0.25865725592706068</v>
      </c>
    </row>
    <row r="42" spans="2:23" x14ac:dyDescent="0.6">
      <c r="B42" s="2">
        <v>550</v>
      </c>
      <c r="C42" s="1">
        <v>1.75688</v>
      </c>
      <c r="D42" s="2"/>
      <c r="E42" s="1"/>
      <c r="F42" s="2">
        <v>550.85900000000004</v>
      </c>
      <c r="G42" s="1">
        <v>128.44399999999999</v>
      </c>
      <c r="H42" s="2">
        <v>549.08799999999997</v>
      </c>
      <c r="I42" s="1">
        <v>3.7420499999999999</v>
      </c>
      <c r="J42" s="2">
        <v>550.774</v>
      </c>
      <c r="K42" s="1">
        <v>0.59435400000000005</v>
      </c>
      <c r="N42" s="3">
        <f t="shared" si="12"/>
        <v>550</v>
      </c>
      <c r="O42" s="21">
        <f t="shared" si="13"/>
        <v>175688</v>
      </c>
      <c r="P42" s="3">
        <f t="shared" si="14"/>
        <v>550.85900000000004</v>
      </c>
      <c r="Q42" s="17">
        <f t="shared" si="15"/>
        <v>1.2844399999999999E-4</v>
      </c>
      <c r="R42" s="3">
        <f t="shared" si="16"/>
        <v>549.08799999999997</v>
      </c>
      <c r="S42" s="24">
        <f t="shared" si="17"/>
        <v>3.7420499999999999</v>
      </c>
      <c r="T42" s="3">
        <f t="shared" si="18"/>
        <v>550.774</v>
      </c>
      <c r="U42" s="51">
        <f t="shared" si="19"/>
        <v>0.59435400000000005</v>
      </c>
      <c r="V42" s="42">
        <f t="shared" si="20"/>
        <v>0.42661251068098038</v>
      </c>
      <c r="W42" s="49">
        <f t="shared" si="11"/>
        <v>0.28222488503319509</v>
      </c>
    </row>
    <row r="43" spans="2:23" x14ac:dyDescent="0.6">
      <c r="B43" s="2">
        <v>596.55200000000002</v>
      </c>
      <c r="C43" s="1">
        <v>1.67431</v>
      </c>
      <c r="D43" s="2"/>
      <c r="E43" s="1"/>
      <c r="F43" s="2">
        <v>598.96900000000005</v>
      </c>
      <c r="G43" s="1">
        <v>136.53299999999999</v>
      </c>
      <c r="H43" s="2">
        <v>598.41899999999998</v>
      </c>
      <c r="I43" s="1">
        <v>3.766</v>
      </c>
      <c r="J43" s="2">
        <v>596.93200000000002</v>
      </c>
      <c r="K43" s="1">
        <v>0.68922099999999997</v>
      </c>
      <c r="N43" s="3">
        <f t="shared" si="12"/>
        <v>596.55200000000002</v>
      </c>
      <c r="O43" s="21">
        <f t="shared" si="13"/>
        <v>167431</v>
      </c>
      <c r="P43" s="3">
        <f t="shared" si="14"/>
        <v>598.96900000000005</v>
      </c>
      <c r="Q43" s="17">
        <f t="shared" si="15"/>
        <v>1.3653299999999999E-4</v>
      </c>
      <c r="R43" s="3">
        <f t="shared" si="16"/>
        <v>598.41899999999998</v>
      </c>
      <c r="S43" s="24">
        <f t="shared" si="17"/>
        <v>3.766</v>
      </c>
      <c r="T43" s="3">
        <f t="shared" si="18"/>
        <v>596.93200000000002</v>
      </c>
      <c r="U43" s="51">
        <f t="shared" si="19"/>
        <v>0.68922099999999997</v>
      </c>
      <c r="V43" s="42">
        <f t="shared" si="20"/>
        <v>0.49471568768861113</v>
      </c>
      <c r="W43" s="49">
        <f t="shared" si="11"/>
        <v>0.2822103683889331</v>
      </c>
    </row>
    <row r="44" spans="2:23" x14ac:dyDescent="0.6">
      <c r="B44" s="2">
        <v>646.55200000000002</v>
      </c>
      <c r="C44" s="1">
        <v>1.5917399999999999</v>
      </c>
      <c r="D44" s="2"/>
      <c r="E44" s="1"/>
      <c r="F44" s="2">
        <v>650.51499999999999</v>
      </c>
      <c r="G44" s="1">
        <v>142.756</v>
      </c>
      <c r="H44" s="2">
        <v>647.73900000000003</v>
      </c>
      <c r="I44" s="1">
        <v>3.8127900000000001</v>
      </c>
      <c r="J44" s="2">
        <v>647.74300000000005</v>
      </c>
      <c r="K44" s="1">
        <v>0.767814</v>
      </c>
      <c r="N44" s="3">
        <f t="shared" si="12"/>
        <v>646.55200000000002</v>
      </c>
      <c r="O44" s="21">
        <f t="shared" si="13"/>
        <v>159174</v>
      </c>
      <c r="P44" s="3">
        <f t="shared" si="14"/>
        <v>650.51499999999999</v>
      </c>
      <c r="Q44" s="17">
        <f t="shared" si="15"/>
        <v>1.4275599999999999E-4</v>
      </c>
      <c r="R44" s="3">
        <f t="shared" si="16"/>
        <v>647.73900000000003</v>
      </c>
      <c r="S44" s="24">
        <f t="shared" si="17"/>
        <v>3.8127900000000001</v>
      </c>
      <c r="T44" s="3">
        <f t="shared" si="18"/>
        <v>647.74300000000005</v>
      </c>
      <c r="U44" s="51">
        <f t="shared" si="19"/>
        <v>0.767814</v>
      </c>
      <c r="V44" s="42">
        <f t="shared" si="20"/>
        <v>0.55108769469173902</v>
      </c>
      <c r="W44" s="49">
        <f t="shared" si="11"/>
        <v>0.2822640708664611</v>
      </c>
    </row>
    <row r="45" spans="2:23" x14ac:dyDescent="0.6">
      <c r="B45" s="2">
        <v>698.27599999999995</v>
      </c>
      <c r="C45" s="1">
        <v>1.5367</v>
      </c>
      <c r="D45" s="2"/>
      <c r="E45" s="1"/>
      <c r="F45" s="2">
        <v>703.78</v>
      </c>
      <c r="G45" s="1">
        <v>146.489</v>
      </c>
      <c r="H45" s="2">
        <v>698.70899999999995</v>
      </c>
      <c r="I45" s="1">
        <v>3.8482099999999999</v>
      </c>
      <c r="J45" s="2">
        <v>698.57299999999998</v>
      </c>
      <c r="K45" s="1">
        <v>0.83336399999999999</v>
      </c>
      <c r="N45" s="3">
        <f t="shared" si="12"/>
        <v>698.27599999999995</v>
      </c>
      <c r="O45" s="21">
        <f t="shared" si="13"/>
        <v>153670</v>
      </c>
      <c r="P45" s="3">
        <f t="shared" si="14"/>
        <v>703.78</v>
      </c>
      <c r="Q45" s="17">
        <f t="shared" si="15"/>
        <v>1.46489E-4</v>
      </c>
      <c r="R45" s="3">
        <f t="shared" si="16"/>
        <v>698.70899999999995</v>
      </c>
      <c r="S45" s="24">
        <f t="shared" si="17"/>
        <v>3.8482099999999999</v>
      </c>
      <c r="T45" s="3">
        <f t="shared" si="18"/>
        <v>698.57299999999998</v>
      </c>
      <c r="U45" s="51">
        <f t="shared" si="19"/>
        <v>0.83336399999999999</v>
      </c>
      <c r="V45" s="42">
        <f t="shared" si="20"/>
        <v>0.59862128126252301</v>
      </c>
      <c r="W45" s="49">
        <f t="shared" si="11"/>
        <v>0.28168089662797646</v>
      </c>
    </row>
    <row r="46" spans="2:23" x14ac:dyDescent="0.6">
      <c r="B46" s="2">
        <v>750</v>
      </c>
      <c r="C46" s="1">
        <v>1.4633</v>
      </c>
      <c r="D46" s="2"/>
      <c r="E46" s="1"/>
      <c r="F46" s="2">
        <v>751.89</v>
      </c>
      <c r="G46" s="1">
        <v>149.6</v>
      </c>
      <c r="H46" s="2">
        <v>748.04</v>
      </c>
      <c r="I46" s="1">
        <v>3.87216</v>
      </c>
      <c r="J46" s="2">
        <v>751.00800000000004</v>
      </c>
      <c r="K46" s="1">
        <v>0.85653199999999996</v>
      </c>
      <c r="N46" s="3">
        <f t="shared" si="12"/>
        <v>750</v>
      </c>
      <c r="O46" s="21">
        <f t="shared" si="13"/>
        <v>146330</v>
      </c>
      <c r="P46" s="3">
        <f t="shared" si="14"/>
        <v>751.89</v>
      </c>
      <c r="Q46" s="17">
        <f t="shared" si="15"/>
        <v>1.4959999999999998E-4</v>
      </c>
      <c r="R46" s="3">
        <f t="shared" si="16"/>
        <v>748.04</v>
      </c>
      <c r="S46" s="24">
        <f t="shared" si="17"/>
        <v>3.87216</v>
      </c>
      <c r="T46" s="3">
        <f t="shared" si="18"/>
        <v>751.00800000000004</v>
      </c>
      <c r="U46" s="51">
        <f t="shared" si="19"/>
        <v>0.85653199999999996</v>
      </c>
      <c r="V46" s="42">
        <f t="shared" si="20"/>
        <v>0.63516685713485554</v>
      </c>
      <c r="W46" s="49">
        <f t="shared" si="11"/>
        <v>0.25844351742275179</v>
      </c>
    </row>
    <row r="47" spans="2:23" x14ac:dyDescent="0.6">
      <c r="B47" s="2">
        <v>803.44799999999998</v>
      </c>
      <c r="C47" s="1">
        <v>1.41743</v>
      </c>
      <c r="D47" s="2"/>
      <c r="E47" s="1"/>
      <c r="F47" s="2">
        <v>801.71799999999996</v>
      </c>
      <c r="G47" s="1">
        <v>152.71100000000001</v>
      </c>
      <c r="H47" s="2">
        <v>797.33299999999997</v>
      </c>
      <c r="I47" s="1">
        <v>3.9760300000000002</v>
      </c>
      <c r="J47" s="2">
        <v>798.83799999999997</v>
      </c>
      <c r="K47" s="1">
        <v>0.86336599999999997</v>
      </c>
      <c r="N47" s="3">
        <f t="shared" si="12"/>
        <v>803.44799999999998</v>
      </c>
      <c r="O47" s="21">
        <f t="shared" si="13"/>
        <v>141743</v>
      </c>
      <c r="P47" s="3">
        <f t="shared" si="14"/>
        <v>801.71799999999996</v>
      </c>
      <c r="Q47" s="17">
        <f t="shared" si="15"/>
        <v>1.5271100000000001E-4</v>
      </c>
      <c r="R47" s="3">
        <f t="shared" si="16"/>
        <v>797.33299999999997</v>
      </c>
      <c r="S47" s="24">
        <f t="shared" si="17"/>
        <v>3.9760300000000002</v>
      </c>
      <c r="T47" s="3">
        <f t="shared" si="18"/>
        <v>798.83799999999997</v>
      </c>
      <c r="U47" s="51">
        <f t="shared" si="19"/>
        <v>0.86336599999999997</v>
      </c>
      <c r="V47" s="42">
        <f t="shared" si="20"/>
        <v>0.66412728876023774</v>
      </c>
      <c r="W47" s="49">
        <f t="shared" si="11"/>
        <v>0.23076969818102894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/>
  </sheetPr>
  <dimension ref="A1:W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50</v>
      </c>
      <c r="F8" s="11" t="s">
        <v>4</v>
      </c>
      <c r="G8" s="27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294.17989417989401</v>
      </c>
      <c r="E9" s="4">
        <v>687.64044943820204</v>
      </c>
      <c r="F9" s="3">
        <v>290.19200830306102</v>
      </c>
      <c r="G9" s="4">
        <v>124.89114658925899</v>
      </c>
      <c r="H9" s="3">
        <v>173.58490566037699</v>
      </c>
      <c r="I9" s="4">
        <v>22.288871349644801</v>
      </c>
      <c r="J9" s="3">
        <v>293.888888888888</v>
      </c>
      <c r="K9" s="4">
        <v>0.34348113831899402</v>
      </c>
      <c r="N9" s="3">
        <f>D9</f>
        <v>294.17989417989401</v>
      </c>
      <c r="O9" s="21">
        <f>1/(E9*(10^(-6))*(10^(-2)))</f>
        <v>145424.83660130724</v>
      </c>
      <c r="P9" s="3">
        <f>F9</f>
        <v>290.19200830306102</v>
      </c>
      <c r="Q9" s="17">
        <f>G9*(10^(-6))</f>
        <v>1.2489114658925898E-4</v>
      </c>
      <c r="R9" s="3">
        <f>H9</f>
        <v>173.58490566037699</v>
      </c>
      <c r="S9" s="24">
        <f>I9*(10^(-3))/(10^(-2))</f>
        <v>2.2288871349644799</v>
      </c>
      <c r="T9" s="3">
        <f>J9</f>
        <v>293.888888888888</v>
      </c>
      <c r="U9" s="51">
        <f>K9</f>
        <v>0.34348113831899402</v>
      </c>
      <c r="V9" s="42">
        <f>((O9*(Q9)^2)/S10)*T9</f>
        <v>0.27592963231266976</v>
      </c>
      <c r="W9" s="49">
        <f t="shared" ref="W9" si="0">(U9-V9)/U9</f>
        <v>0.19666729397987662</v>
      </c>
    </row>
    <row r="10" spans="1:23" x14ac:dyDescent="0.6">
      <c r="B10" s="3"/>
      <c r="C10" s="4"/>
      <c r="D10" s="3">
        <v>319.99999999999898</v>
      </c>
      <c r="E10" s="4">
        <v>741.57303370786406</v>
      </c>
      <c r="F10" s="3">
        <v>319.66787752983902</v>
      </c>
      <c r="G10" s="4">
        <v>137.51814223512301</v>
      </c>
      <c r="H10" s="3">
        <v>273.27044025157198</v>
      </c>
      <c r="I10" s="4">
        <v>24.1594317284925</v>
      </c>
      <c r="J10" s="3">
        <v>320.27777777777698</v>
      </c>
      <c r="K10" s="4">
        <v>0.39907346128391802</v>
      </c>
      <c r="N10" s="3">
        <f t="shared" ref="N10:N20" si="1">D10</f>
        <v>319.99999999999898</v>
      </c>
      <c r="O10" s="21">
        <f t="shared" ref="O10:O20" si="2">1/(E10*(10^(-6))*(10^(-2)))</f>
        <v>134848.48484848507</v>
      </c>
      <c r="P10" s="3">
        <f t="shared" ref="P10:P20" si="3">F10</f>
        <v>319.66787752983902</v>
      </c>
      <c r="Q10" s="17">
        <f t="shared" ref="Q10:Q20" si="4">G10*(10^(-6))</f>
        <v>1.3751814223512301E-4</v>
      </c>
      <c r="R10" s="3">
        <f t="shared" ref="R10:T20" si="5">H10</f>
        <v>273.27044025157198</v>
      </c>
      <c r="S10" s="24">
        <f t="shared" ref="S10:S15" si="6">I10*(10^(-3))/(10^(-2))</f>
        <v>2.41594317284925</v>
      </c>
      <c r="T10" s="3">
        <f t="shared" si="5"/>
        <v>320.27777777777698</v>
      </c>
      <c r="U10" s="51">
        <f t="shared" ref="U10:U20" si="7">K10</f>
        <v>0.39907346128391802</v>
      </c>
      <c r="V10" s="42">
        <f>((O10*(Q10)^2)/AVERAGE(S10,S11))*T10</f>
        <v>0.32639367067238972</v>
      </c>
      <c r="W10" s="49">
        <f t="shared" ref="W10" si="8">(U10-V10)/U10</f>
        <v>0.18212133269323255</v>
      </c>
    </row>
    <row r="11" spans="1:23" x14ac:dyDescent="0.6">
      <c r="B11" s="2"/>
      <c r="C11" s="1"/>
      <c r="D11" s="2">
        <v>366.98412698412699</v>
      </c>
      <c r="E11" s="1">
        <v>791.01123595505499</v>
      </c>
      <c r="F11" s="2">
        <v>366.58017644006202</v>
      </c>
      <c r="G11" s="1">
        <v>152.10449927431</v>
      </c>
      <c r="H11" s="2">
        <v>373.27044025157198</v>
      </c>
      <c r="I11" s="1">
        <v>25.8879242304656</v>
      </c>
      <c r="J11" s="2">
        <v>367.222222222222</v>
      </c>
      <c r="K11" s="1">
        <v>0.46856386499007202</v>
      </c>
      <c r="N11" s="3">
        <f t="shared" si="1"/>
        <v>366.98412698412699</v>
      </c>
      <c r="O11" s="21">
        <f t="shared" si="2"/>
        <v>126420.45454545473</v>
      </c>
      <c r="P11" s="3">
        <f t="shared" si="3"/>
        <v>366.58017644006202</v>
      </c>
      <c r="Q11" s="17">
        <f t="shared" si="4"/>
        <v>1.5210449927430998E-4</v>
      </c>
      <c r="R11" s="3">
        <f t="shared" si="5"/>
        <v>373.27044025157198</v>
      </c>
      <c r="S11" s="24">
        <f t="shared" si="6"/>
        <v>2.5887924230465602</v>
      </c>
      <c r="T11" s="3">
        <f t="shared" si="5"/>
        <v>367.222222222222</v>
      </c>
      <c r="U11" s="51">
        <f t="shared" si="7"/>
        <v>0.46856386499007202</v>
      </c>
      <c r="V11" s="42">
        <f>((O11*(Q11)^2)/S11)*T11</f>
        <v>0.41489021712869445</v>
      </c>
      <c r="W11" s="49">
        <f t="shared" ref="W11:W19" si="9">(U11-V11)/U11</f>
        <v>0.11454926824652775</v>
      </c>
    </row>
    <row r="12" spans="1:23" x14ac:dyDescent="0.6">
      <c r="B12" s="2"/>
      <c r="C12" s="1"/>
      <c r="D12" s="2">
        <v>414.39153439153398</v>
      </c>
      <c r="E12" s="1">
        <v>835.95505617977506</v>
      </c>
      <c r="F12" s="2">
        <v>414.73793461338801</v>
      </c>
      <c r="G12" s="1">
        <v>164.07837445573301</v>
      </c>
      <c r="H12" s="2">
        <v>473.58490566037699</v>
      </c>
      <c r="I12" s="1">
        <v>27.545382794001501</v>
      </c>
      <c r="J12" s="2">
        <v>415.55555555555497</v>
      </c>
      <c r="K12" s="1">
        <v>0.52150893448047597</v>
      </c>
      <c r="N12" s="3">
        <f t="shared" si="1"/>
        <v>414.39153439153398</v>
      </c>
      <c r="O12" s="21">
        <f t="shared" si="2"/>
        <v>119623.65591397854</v>
      </c>
      <c r="P12" s="3">
        <f t="shared" si="3"/>
        <v>414.73793461338801</v>
      </c>
      <c r="Q12" s="17">
        <f t="shared" si="4"/>
        <v>1.6407837445573301E-4</v>
      </c>
      <c r="R12" s="3">
        <f t="shared" si="5"/>
        <v>473.58490566037699</v>
      </c>
      <c r="S12" s="24">
        <f t="shared" si="6"/>
        <v>2.7545382794001498</v>
      </c>
      <c r="T12" s="3">
        <f t="shared" si="5"/>
        <v>415.55555555555497</v>
      </c>
      <c r="U12" s="51">
        <f t="shared" si="7"/>
        <v>0.52150893448047597</v>
      </c>
      <c r="V12" s="42">
        <f>((O12*(Q12)^2)/AVERAGE(S11,S12))*T12</f>
        <v>0.50091818148994094</v>
      </c>
      <c r="W12" s="49">
        <f t="shared" si="9"/>
        <v>3.9483030163322927E-2</v>
      </c>
    </row>
    <row r="13" spans="1:23" x14ac:dyDescent="0.6">
      <c r="B13" s="2"/>
      <c r="C13" s="1"/>
      <c r="D13" s="2">
        <v>463.06878306878298</v>
      </c>
      <c r="E13" s="1">
        <v>876.40449438202097</v>
      </c>
      <c r="F13" s="2">
        <v>463.31084587441597</v>
      </c>
      <c r="G13" s="1">
        <v>176.26995645863499</v>
      </c>
      <c r="H13" s="2">
        <v>573.58490566037699</v>
      </c>
      <c r="I13" s="1">
        <v>27.947908445145998</v>
      </c>
      <c r="J13" s="2">
        <v>463.33333333333297</v>
      </c>
      <c r="K13" s="1">
        <v>0.62409000661813296</v>
      </c>
      <c r="N13" s="3">
        <f t="shared" si="1"/>
        <v>463.06878306878298</v>
      </c>
      <c r="O13" s="21">
        <f t="shared" si="2"/>
        <v>114102.56410256431</v>
      </c>
      <c r="P13" s="3">
        <f t="shared" si="3"/>
        <v>463.31084587441597</v>
      </c>
      <c r="Q13" s="17">
        <f t="shared" si="4"/>
        <v>1.7626995645863498E-4</v>
      </c>
      <c r="R13" s="3">
        <f t="shared" si="5"/>
        <v>573.58490566037699</v>
      </c>
      <c r="S13" s="24">
        <f t="shared" si="6"/>
        <v>2.7947908445145999</v>
      </c>
      <c r="T13" s="3">
        <f t="shared" si="5"/>
        <v>463.33333333333297</v>
      </c>
      <c r="U13" s="51">
        <f t="shared" si="7"/>
        <v>0.62409000661813296</v>
      </c>
      <c r="V13" s="42">
        <f>((O13*(Q13)^2)/S12)*T13</f>
        <v>0.59634383225595777</v>
      </c>
      <c r="W13" s="49">
        <f t="shared" si="9"/>
        <v>4.4458610245224565E-2</v>
      </c>
    </row>
    <row r="14" spans="1:23" x14ac:dyDescent="0.6">
      <c r="B14" s="2"/>
      <c r="C14" s="1"/>
      <c r="D14" s="2">
        <v>511.322751322751</v>
      </c>
      <c r="E14" s="1">
        <v>912.35955056179603</v>
      </c>
      <c r="F14" s="2">
        <v>510.63829787233999</v>
      </c>
      <c r="G14" s="1">
        <v>186.06676342525401</v>
      </c>
      <c r="H14" s="2">
        <v>673.27044025157204</v>
      </c>
      <c r="I14" s="1">
        <v>28.2557221783741</v>
      </c>
      <c r="J14" s="2">
        <v>511.11111111111097</v>
      </c>
      <c r="K14" s="1">
        <v>0.71542025148907995</v>
      </c>
      <c r="N14" s="3">
        <f t="shared" si="1"/>
        <v>511.322751322751</v>
      </c>
      <c r="O14" s="21">
        <f t="shared" si="2"/>
        <v>109605.91133004946</v>
      </c>
      <c r="P14" s="3">
        <f t="shared" si="3"/>
        <v>510.63829787233999</v>
      </c>
      <c r="Q14" s="17">
        <f t="shared" si="4"/>
        <v>1.8606676342525401E-4</v>
      </c>
      <c r="R14" s="3">
        <f t="shared" si="5"/>
        <v>673.27044025157204</v>
      </c>
      <c r="S14" s="24">
        <f t="shared" si="6"/>
        <v>2.8255722178374101</v>
      </c>
      <c r="T14" s="3">
        <f t="shared" si="5"/>
        <v>511.11111111111097</v>
      </c>
      <c r="U14" s="51">
        <f t="shared" si="7"/>
        <v>0.71542025148907995</v>
      </c>
      <c r="V14" s="42">
        <f>((O14*(Q14)^2)/AVERAGE(S12,S13))*T14</f>
        <v>0.69899878170522733</v>
      </c>
      <c r="W14" s="49">
        <f t="shared" ref="W14" si="10">(U14-V14)/U14</f>
        <v>2.2953599300093715E-2</v>
      </c>
    </row>
    <row r="15" spans="1:23" x14ac:dyDescent="0.6">
      <c r="B15" s="2"/>
      <c r="C15" s="1"/>
      <c r="D15" s="2">
        <v>559.15343915343897</v>
      </c>
      <c r="E15" s="1">
        <v>952.80898876404399</v>
      </c>
      <c r="F15" s="2">
        <v>559.21120913336699</v>
      </c>
      <c r="G15" s="1">
        <v>195.210449927431</v>
      </c>
      <c r="H15" s="2">
        <v>773.58490566037699</v>
      </c>
      <c r="I15" s="1">
        <v>29.013417521704799</v>
      </c>
      <c r="J15" s="2">
        <v>559.16666666666595</v>
      </c>
      <c r="K15" s="1">
        <v>0.81601588352084697</v>
      </c>
      <c r="N15" s="3">
        <f t="shared" si="1"/>
        <v>559.15343915343897</v>
      </c>
      <c r="O15" s="21">
        <f t="shared" si="2"/>
        <v>104952.83018867935</v>
      </c>
      <c r="P15" s="3">
        <f t="shared" si="3"/>
        <v>559.21120913336699</v>
      </c>
      <c r="Q15" s="17">
        <f t="shared" si="4"/>
        <v>1.95210449927431E-4</v>
      </c>
      <c r="R15" s="3">
        <f t="shared" ref="R15" si="11">H15</f>
        <v>773.58490566037699</v>
      </c>
      <c r="S15" s="24">
        <f t="shared" si="6"/>
        <v>2.9013417521704801</v>
      </c>
      <c r="T15" s="3">
        <f t="shared" si="5"/>
        <v>559.16666666666595</v>
      </c>
      <c r="U15" s="51">
        <f t="shared" si="7"/>
        <v>0.81601588352084697</v>
      </c>
      <c r="V15" s="42">
        <f>((O15*(Q15)^2)/S13)*T15</f>
        <v>0.80018838193466779</v>
      </c>
      <c r="W15" s="49">
        <f t="shared" si="9"/>
        <v>1.9396070475844889E-2</v>
      </c>
    </row>
    <row r="16" spans="1:23" x14ac:dyDescent="0.6">
      <c r="B16" s="2"/>
      <c r="C16" s="1"/>
      <c r="D16" s="2">
        <v>606.56084656084602</v>
      </c>
      <c r="E16" s="1">
        <v>993.25842696629104</v>
      </c>
      <c r="F16" s="2">
        <v>606.95381421899299</v>
      </c>
      <c r="G16" s="1">
        <v>201.95936139332301</v>
      </c>
      <c r="H16" s="2"/>
      <c r="I16" s="1"/>
      <c r="J16" s="2">
        <v>606.66666666666595</v>
      </c>
      <c r="K16" s="1">
        <v>0.902713434811383</v>
      </c>
      <c r="N16" s="3">
        <f t="shared" si="1"/>
        <v>606.56084656084602</v>
      </c>
      <c r="O16" s="21">
        <f t="shared" si="2"/>
        <v>100678.73303167432</v>
      </c>
      <c r="P16" s="3">
        <f t="shared" si="3"/>
        <v>606.95381421899299</v>
      </c>
      <c r="Q16" s="17">
        <f t="shared" si="4"/>
        <v>2.0195936139332299E-4</v>
      </c>
      <c r="R16" s="3"/>
      <c r="S16" s="24"/>
      <c r="T16" s="3">
        <f t="shared" si="5"/>
        <v>606.66666666666595</v>
      </c>
      <c r="U16" s="51">
        <f t="shared" si="7"/>
        <v>0.902713434811383</v>
      </c>
      <c r="V16" s="42">
        <f>((O16*(Q16)^2)/AVERAGE(S13,S14))*T16</f>
        <v>0.88650558743255503</v>
      </c>
      <c r="W16" s="49">
        <f t="shared" si="9"/>
        <v>1.7954587528892275E-2</v>
      </c>
    </row>
    <row r="17" spans="2:23" x14ac:dyDescent="0.6">
      <c r="B17" s="2"/>
      <c r="C17" s="1"/>
      <c r="D17" s="2">
        <v>654.39153439153404</v>
      </c>
      <c r="E17" s="1">
        <v>1024.71910112359</v>
      </c>
      <c r="F17" s="2">
        <v>654.69641930461796</v>
      </c>
      <c r="G17" s="1">
        <v>208.49056603773499</v>
      </c>
      <c r="H17" s="2"/>
      <c r="I17" s="1"/>
      <c r="J17" s="2">
        <v>654.72222222222194</v>
      </c>
      <c r="K17" s="1">
        <v>1.0066181336863</v>
      </c>
      <c r="N17" s="3">
        <f t="shared" si="1"/>
        <v>654.39153439153404</v>
      </c>
      <c r="O17" s="21">
        <f t="shared" si="2"/>
        <v>97587.719298246157</v>
      </c>
      <c r="P17" s="3">
        <f t="shared" si="3"/>
        <v>654.69641930461796</v>
      </c>
      <c r="Q17" s="17">
        <f t="shared" si="4"/>
        <v>2.0849056603773497E-4</v>
      </c>
      <c r="R17" s="3"/>
      <c r="S17" s="24"/>
      <c r="T17" s="3">
        <f t="shared" si="5"/>
        <v>654.72222222222194</v>
      </c>
      <c r="U17" s="51">
        <f t="shared" si="7"/>
        <v>1.0066181336863</v>
      </c>
      <c r="V17" s="42">
        <f>((O17*(Q17)^2)/S14)*T17</f>
        <v>0.98292109354645707</v>
      </c>
      <c r="W17" s="49">
        <f t="shared" si="9"/>
        <v>2.3541241059370641E-2</v>
      </c>
    </row>
    <row r="18" spans="2:23" x14ac:dyDescent="0.6">
      <c r="B18" s="2"/>
      <c r="C18" s="1"/>
      <c r="D18" s="2">
        <v>702.22222222222194</v>
      </c>
      <c r="E18" s="1">
        <v>1047.1910112359501</v>
      </c>
      <c r="F18" s="2">
        <v>702.02387130254203</v>
      </c>
      <c r="G18" s="1">
        <v>209.79680696661799</v>
      </c>
      <c r="H18" s="2"/>
      <c r="I18" s="1"/>
      <c r="J18" s="2">
        <v>702.22222222222194</v>
      </c>
      <c r="K18" s="1">
        <v>1.0264725347451999</v>
      </c>
      <c r="N18" s="3">
        <f t="shared" si="1"/>
        <v>702.22222222222194</v>
      </c>
      <c r="O18" s="21">
        <f t="shared" si="2"/>
        <v>95493.562231760108</v>
      </c>
      <c r="P18" s="3">
        <f t="shared" si="3"/>
        <v>702.02387130254203</v>
      </c>
      <c r="Q18" s="17">
        <f t="shared" si="4"/>
        <v>2.0979680696661798E-4</v>
      </c>
      <c r="R18" s="3"/>
      <c r="S18" s="24"/>
      <c r="T18" s="3">
        <f t="shared" si="5"/>
        <v>702.22222222222194</v>
      </c>
      <c r="U18" s="51">
        <f t="shared" si="7"/>
        <v>1.0264725347451999</v>
      </c>
      <c r="V18" s="42">
        <f>((O18*(Q18)^2)/AVERAGE(S14,S15))*T18</f>
        <v>1.0307557064847312</v>
      </c>
      <c r="W18" s="49">
        <f t="shared" ref="W18" si="12">(U18-V18)/U18</f>
        <v>-4.1727095412197332E-3</v>
      </c>
    </row>
    <row r="19" spans="2:23" x14ac:dyDescent="0.6">
      <c r="B19" s="2"/>
      <c r="C19" s="1"/>
      <c r="D19" s="2">
        <v>749.20634920634905</v>
      </c>
      <c r="E19" s="1">
        <v>1074.15730337078</v>
      </c>
      <c r="F19" s="2">
        <v>750.18162947586904</v>
      </c>
      <c r="G19" s="1">
        <v>210.88534107402</v>
      </c>
      <c r="H19" s="2"/>
      <c r="I19" s="1"/>
      <c r="J19" s="2">
        <v>749.72222222222194</v>
      </c>
      <c r="K19" s="1">
        <v>1.04434149569821</v>
      </c>
      <c r="N19" s="3">
        <f t="shared" si="1"/>
        <v>749.20634920634905</v>
      </c>
      <c r="O19" s="21">
        <f t="shared" si="2"/>
        <v>93096.234309623993</v>
      </c>
      <c r="P19" s="3">
        <f t="shared" si="3"/>
        <v>750.18162947586904</v>
      </c>
      <c r="Q19" s="17">
        <f t="shared" si="4"/>
        <v>2.1088534107402E-4</v>
      </c>
      <c r="R19" s="3"/>
      <c r="S19" s="24"/>
      <c r="T19" s="3">
        <f t="shared" si="5"/>
        <v>749.72222222222194</v>
      </c>
      <c r="U19" s="51">
        <f t="shared" si="7"/>
        <v>1.04434149569821</v>
      </c>
      <c r="V19" s="42">
        <f>((O19*(Q19)^2)/S15)*T19</f>
        <v>1.0698586320944907</v>
      </c>
      <c r="W19" s="49">
        <f t="shared" si="9"/>
        <v>-2.4433709185538843E-2</v>
      </c>
    </row>
    <row r="20" spans="2:23" x14ac:dyDescent="0.6">
      <c r="B20" s="2"/>
      <c r="C20" s="1"/>
      <c r="D20" s="2">
        <v>797.88359788359799</v>
      </c>
      <c r="E20" s="1">
        <v>1074.15730337078</v>
      </c>
      <c r="F20" s="2">
        <v>797.92423456149402</v>
      </c>
      <c r="G20" s="1">
        <v>210.66763425253899</v>
      </c>
      <c r="H20" s="2"/>
      <c r="I20" s="1"/>
      <c r="J20" s="2">
        <v>797.77777777777703</v>
      </c>
      <c r="K20" s="1">
        <v>1.04963600264725</v>
      </c>
      <c r="N20" s="3">
        <f t="shared" si="1"/>
        <v>797.88359788359799</v>
      </c>
      <c r="O20" s="21">
        <f t="shared" si="2"/>
        <v>93096.234309623993</v>
      </c>
      <c r="P20" s="3">
        <f t="shared" si="3"/>
        <v>797.92423456149402</v>
      </c>
      <c r="Q20" s="17">
        <f t="shared" si="4"/>
        <v>2.1066763425253899E-4</v>
      </c>
      <c r="R20" s="3"/>
      <c r="S20" s="24"/>
      <c r="T20" s="3">
        <f t="shared" si="5"/>
        <v>797.77777777777703</v>
      </c>
      <c r="U20" s="51">
        <f t="shared" si="7"/>
        <v>1.04963600264725</v>
      </c>
      <c r="V20" s="42">
        <f>((O20*(Q20)^2)/S15)*T20</f>
        <v>1.1360849269529838</v>
      </c>
      <c r="W20" s="49">
        <f t="shared" ref="W20" si="13">(U20-V20)/U20</f>
        <v>-8.2360860419901774E-2</v>
      </c>
    </row>
    <row r="21" spans="2:23" x14ac:dyDescent="0.6">
      <c r="V21"/>
    </row>
    <row r="22" spans="2:23" x14ac:dyDescent="0.6"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10</v>
      </c>
      <c r="D26" s="11" t="s">
        <v>4</v>
      </c>
      <c r="E26" s="10" t="s">
        <v>50</v>
      </c>
      <c r="F26" s="11" t="s">
        <v>4</v>
      </c>
      <c r="G26" s="27" t="s">
        <v>13</v>
      </c>
      <c r="H26" s="11" t="s">
        <v>4</v>
      </c>
      <c r="I26" s="10" t="s">
        <v>37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/>
      <c r="C27" s="4"/>
      <c r="D27" s="3">
        <v>291.76499999999999</v>
      </c>
      <c r="E27" s="4">
        <v>706.97699999999998</v>
      </c>
      <c r="F27" s="3">
        <v>291.68</v>
      </c>
      <c r="G27" s="4">
        <v>125.94199999999999</v>
      </c>
      <c r="H27" s="3">
        <v>272.19900000000001</v>
      </c>
      <c r="I27" s="4">
        <v>24.528300000000002</v>
      </c>
      <c r="J27" s="3">
        <v>292.02100000000002</v>
      </c>
      <c r="K27" s="4">
        <v>0.34651399999999999</v>
      </c>
      <c r="N27" s="3">
        <f>D27</f>
        <v>291.76499999999999</v>
      </c>
      <c r="O27" s="21">
        <f>1/E27*100000000</f>
        <v>141447.3172394576</v>
      </c>
      <c r="P27" s="3">
        <f>F27</f>
        <v>291.68</v>
      </c>
      <c r="Q27" s="17">
        <f>G27*0.000001</f>
        <v>1.2594199999999998E-4</v>
      </c>
      <c r="R27" s="3">
        <f>H27</f>
        <v>272.19900000000001</v>
      </c>
      <c r="S27" s="24">
        <f>I27/1000*100</f>
        <v>2.4528300000000005</v>
      </c>
      <c r="T27" s="3">
        <f>J27</f>
        <v>292.02100000000002</v>
      </c>
      <c r="U27" s="51">
        <f>K27</f>
        <v>0.34651399999999999</v>
      </c>
      <c r="V27" s="42">
        <f>((O27*(Q27)^2)/S27)*T27</f>
        <v>0.26710530943519006</v>
      </c>
      <c r="W27" s="49">
        <f t="shared" ref="W27:W38" si="14">(U27-V27)/U27</f>
        <v>0.22916445097401528</v>
      </c>
    </row>
    <row r="28" spans="2:23" x14ac:dyDescent="0.6">
      <c r="B28" s="3"/>
      <c r="C28" s="4"/>
      <c r="D28" s="3">
        <v>320</v>
      </c>
      <c r="E28" s="4">
        <v>706.97699999999998</v>
      </c>
      <c r="F28" s="3">
        <v>318.815</v>
      </c>
      <c r="G28" s="4">
        <v>138.80600000000001</v>
      </c>
      <c r="H28" s="3">
        <v>371.78399999999999</v>
      </c>
      <c r="I28" s="4">
        <v>26.037700000000001</v>
      </c>
      <c r="J28" s="3">
        <v>318.81</v>
      </c>
      <c r="K28" s="4">
        <v>0.40677400000000002</v>
      </c>
      <c r="N28" s="3">
        <f t="shared" ref="N28:N38" si="15">D28</f>
        <v>320</v>
      </c>
      <c r="O28" s="21">
        <f t="shared" ref="O28:O38" si="16">1/E28*100000000</f>
        <v>141447.3172394576</v>
      </c>
      <c r="P28" s="3">
        <f t="shared" ref="P28:P38" si="17">F28</f>
        <v>318.815</v>
      </c>
      <c r="Q28" s="17">
        <f t="shared" ref="Q28:Q38" si="18">G28*0.000001</f>
        <v>1.38806E-4</v>
      </c>
      <c r="R28" s="3">
        <f t="shared" ref="R28:R32" si="19">H28</f>
        <v>371.78399999999999</v>
      </c>
      <c r="S28" s="24">
        <f t="shared" ref="S28:S32" si="20">I28/1000*100</f>
        <v>2.6037699999999999</v>
      </c>
      <c r="T28" s="3">
        <f t="shared" ref="T28:T38" si="21">J28</f>
        <v>318.81</v>
      </c>
      <c r="U28" s="51">
        <f t="shared" ref="U28:U38" si="22">K28</f>
        <v>0.40677400000000002</v>
      </c>
      <c r="V28" s="42">
        <f>((O28*(Q28)^2)/AVERAGE(S27,S28))*T28</f>
        <v>0.34364855647600073</v>
      </c>
      <c r="W28" s="49">
        <f t="shared" si="14"/>
        <v>0.15518554166195306</v>
      </c>
    </row>
    <row r="29" spans="2:23" x14ac:dyDescent="0.6">
      <c r="B29" s="2"/>
      <c r="C29" s="1"/>
      <c r="D29" s="2">
        <v>365.88200000000001</v>
      </c>
      <c r="E29" s="1">
        <v>818.60500000000002</v>
      </c>
      <c r="F29" s="2">
        <v>365.04300000000001</v>
      </c>
      <c r="G29" s="1">
        <v>153.155</v>
      </c>
      <c r="H29" s="2">
        <v>471.36900000000003</v>
      </c>
      <c r="I29" s="1">
        <v>27.5472</v>
      </c>
      <c r="J29" s="2">
        <v>363.50099999999998</v>
      </c>
      <c r="K29" s="1">
        <v>0.47422700000000001</v>
      </c>
      <c r="N29" s="3">
        <f t="shared" si="15"/>
        <v>365.88200000000001</v>
      </c>
      <c r="O29" s="21">
        <f t="shared" si="16"/>
        <v>122159.03885268229</v>
      </c>
      <c r="P29" s="3">
        <f t="shared" si="17"/>
        <v>365.04300000000001</v>
      </c>
      <c r="Q29" s="17">
        <f t="shared" si="18"/>
        <v>1.5315500000000001E-4</v>
      </c>
      <c r="R29" s="3">
        <f t="shared" si="19"/>
        <v>471.36900000000003</v>
      </c>
      <c r="S29" s="24">
        <f t="shared" si="20"/>
        <v>2.7547200000000003</v>
      </c>
      <c r="T29" s="3">
        <f t="shared" si="21"/>
        <v>363.50099999999998</v>
      </c>
      <c r="U29" s="51">
        <f t="shared" si="22"/>
        <v>0.47422700000000001</v>
      </c>
      <c r="V29" s="42">
        <f>((O29*(Q29)^2)/S28)*T29</f>
        <v>0.40002852182947701</v>
      </c>
      <c r="W29" s="49">
        <f t="shared" si="14"/>
        <v>0.15646194369051741</v>
      </c>
    </row>
    <row r="30" spans="2:23" x14ac:dyDescent="0.6">
      <c r="B30" s="2"/>
      <c r="C30" s="1"/>
      <c r="D30" s="2">
        <v>411.76499999999999</v>
      </c>
      <c r="E30" s="1">
        <v>855.81399999999996</v>
      </c>
      <c r="F30" s="2">
        <v>411.27</v>
      </c>
      <c r="G30" s="1">
        <v>167.505</v>
      </c>
      <c r="H30" s="2">
        <v>573.44399999999996</v>
      </c>
      <c r="I30" s="1">
        <v>28.113199999999999</v>
      </c>
      <c r="J30" s="2">
        <v>412.68799999999999</v>
      </c>
      <c r="K30" s="1">
        <v>0.52757699999999996</v>
      </c>
      <c r="N30" s="3">
        <f t="shared" si="15"/>
        <v>411.76499999999999</v>
      </c>
      <c r="O30" s="21">
        <f t="shared" si="16"/>
        <v>116847.81973653154</v>
      </c>
      <c r="P30" s="3">
        <f t="shared" si="17"/>
        <v>411.27</v>
      </c>
      <c r="Q30" s="17">
        <f t="shared" si="18"/>
        <v>1.6750499999999998E-4</v>
      </c>
      <c r="R30" s="3">
        <f t="shared" si="19"/>
        <v>573.44399999999996</v>
      </c>
      <c r="S30" s="24">
        <f t="shared" si="20"/>
        <v>2.8113199999999998</v>
      </c>
      <c r="T30" s="3">
        <f t="shared" si="21"/>
        <v>412.68799999999999</v>
      </c>
      <c r="U30" s="51">
        <f t="shared" si="22"/>
        <v>0.52757699999999996</v>
      </c>
      <c r="V30" s="42">
        <f>((O30*(Q30)^2)/AVERAGE(S28,S29))*T30</f>
        <v>0.50499325282100749</v>
      </c>
      <c r="W30" s="49">
        <f t="shared" si="14"/>
        <v>4.2806542322717779E-2</v>
      </c>
    </row>
    <row r="31" spans="2:23" x14ac:dyDescent="0.6">
      <c r="B31" s="2"/>
      <c r="C31" s="1"/>
      <c r="D31" s="2">
        <v>461.17599999999999</v>
      </c>
      <c r="E31" s="1">
        <v>855.81399999999996</v>
      </c>
      <c r="F31" s="2">
        <v>457.536</v>
      </c>
      <c r="G31" s="1">
        <v>179.018</v>
      </c>
      <c r="H31" s="2">
        <v>670.53899999999999</v>
      </c>
      <c r="I31" s="1">
        <v>28.3019</v>
      </c>
      <c r="J31" s="2">
        <v>461.81200000000001</v>
      </c>
      <c r="K31" s="1">
        <v>0.63039599999999996</v>
      </c>
      <c r="N31" s="3">
        <f t="shared" si="15"/>
        <v>461.17599999999999</v>
      </c>
      <c r="O31" s="21">
        <f t="shared" si="16"/>
        <v>116847.81973653154</v>
      </c>
      <c r="P31" s="3">
        <f t="shared" si="17"/>
        <v>457.536</v>
      </c>
      <c r="Q31" s="17">
        <f t="shared" si="18"/>
        <v>1.79018E-4</v>
      </c>
      <c r="R31" s="3">
        <f t="shared" si="19"/>
        <v>670.53899999999999</v>
      </c>
      <c r="S31" s="24">
        <f t="shared" si="20"/>
        <v>2.83019</v>
      </c>
      <c r="T31" s="3">
        <f t="shared" si="21"/>
        <v>461.81200000000001</v>
      </c>
      <c r="U31" s="51">
        <f t="shared" si="22"/>
        <v>0.63039599999999996</v>
      </c>
      <c r="V31" s="42">
        <f>((O31*(Q31)^2)/S29)*T31</f>
        <v>0.62777174743037978</v>
      </c>
      <c r="W31" s="49">
        <f t="shared" si="14"/>
        <v>4.1628636121107659E-3</v>
      </c>
    </row>
    <row r="32" spans="2:23" x14ac:dyDescent="0.6">
      <c r="B32" s="2"/>
      <c r="C32" s="1"/>
      <c r="D32" s="2">
        <v>507.05900000000003</v>
      </c>
      <c r="E32" s="1">
        <v>930.23299999999995</v>
      </c>
      <c r="F32" s="2">
        <v>509.298</v>
      </c>
      <c r="G32" s="1">
        <v>187.71299999999999</v>
      </c>
      <c r="H32" s="2">
        <v>767.63499999999999</v>
      </c>
      <c r="I32" s="1">
        <v>29.434000000000001</v>
      </c>
      <c r="J32" s="2">
        <v>509.45699999999999</v>
      </c>
      <c r="K32" s="1">
        <v>0.72260500000000005</v>
      </c>
      <c r="N32" s="3">
        <f t="shared" si="15"/>
        <v>507.05900000000003</v>
      </c>
      <c r="O32" s="21">
        <f t="shared" si="16"/>
        <v>107499.94893752427</v>
      </c>
      <c r="P32" s="3">
        <f t="shared" si="17"/>
        <v>509.298</v>
      </c>
      <c r="Q32" s="17">
        <f t="shared" si="18"/>
        <v>1.87713E-4</v>
      </c>
      <c r="R32" s="3">
        <f t="shared" si="19"/>
        <v>767.63499999999999</v>
      </c>
      <c r="S32" s="24">
        <f t="shared" si="20"/>
        <v>2.9434</v>
      </c>
      <c r="T32" s="3">
        <f t="shared" si="21"/>
        <v>509.45699999999999</v>
      </c>
      <c r="U32" s="51">
        <f t="shared" si="22"/>
        <v>0.72260500000000005</v>
      </c>
      <c r="V32" s="42">
        <f>((O32*(Q32)^2)/AVERAGE(S29,S30))*T32</f>
        <v>0.69340691065354998</v>
      </c>
      <c r="W32" s="49">
        <f t="shared" si="14"/>
        <v>4.0406708155147103E-2</v>
      </c>
    </row>
    <row r="33" spans="2:23" x14ac:dyDescent="0.6">
      <c r="B33" s="2"/>
      <c r="C33" s="1"/>
      <c r="D33" s="2">
        <v>560</v>
      </c>
      <c r="E33" s="1">
        <v>967.44200000000001</v>
      </c>
      <c r="F33" s="2">
        <v>558.29399999999998</v>
      </c>
      <c r="G33" s="1">
        <v>199.23500000000001</v>
      </c>
      <c r="H33" s="2"/>
      <c r="I33" s="1"/>
      <c r="J33" s="2">
        <v>557.08799999999997</v>
      </c>
      <c r="K33" s="1">
        <v>0.82541399999999998</v>
      </c>
      <c r="N33" s="3">
        <f t="shared" si="15"/>
        <v>560</v>
      </c>
      <c r="O33" s="21">
        <f t="shared" si="16"/>
        <v>103365.36970691783</v>
      </c>
      <c r="P33" s="3">
        <f t="shared" si="17"/>
        <v>558.29399999999998</v>
      </c>
      <c r="Q33" s="17">
        <f t="shared" si="18"/>
        <v>1.99235E-4</v>
      </c>
      <c r="R33" s="3"/>
      <c r="S33" s="24"/>
      <c r="T33" s="3">
        <f t="shared" si="21"/>
        <v>557.08799999999997</v>
      </c>
      <c r="U33" s="51">
        <f t="shared" si="22"/>
        <v>0.82541399999999998</v>
      </c>
      <c r="V33" s="42">
        <f>((O33*(Q33)^2)/S30)*T33</f>
        <v>0.81305486347042977</v>
      </c>
      <c r="W33" s="49">
        <f t="shared" si="14"/>
        <v>1.4973257698040273E-2</v>
      </c>
    </row>
    <row r="34" spans="2:23" x14ac:dyDescent="0.6">
      <c r="B34" s="2"/>
      <c r="C34" s="1"/>
      <c r="D34" s="2">
        <v>605.88199999999995</v>
      </c>
      <c r="E34" s="1">
        <v>967.44200000000001</v>
      </c>
      <c r="F34" s="2">
        <v>604.596</v>
      </c>
      <c r="G34" s="1">
        <v>207.911</v>
      </c>
      <c r="H34" s="2"/>
      <c r="I34" s="1"/>
      <c r="J34" s="2">
        <v>604.74699999999996</v>
      </c>
      <c r="K34" s="1">
        <v>0.90702199999999999</v>
      </c>
      <c r="N34" s="3">
        <f t="shared" si="15"/>
        <v>605.88199999999995</v>
      </c>
      <c r="O34" s="21">
        <f t="shared" si="16"/>
        <v>103365.36970691783</v>
      </c>
      <c r="P34" s="3">
        <f t="shared" si="17"/>
        <v>604.596</v>
      </c>
      <c r="Q34" s="17">
        <f t="shared" si="18"/>
        <v>2.07911E-4</v>
      </c>
      <c r="R34" s="3"/>
      <c r="S34" s="24"/>
      <c r="T34" s="3">
        <f t="shared" si="21"/>
        <v>604.74699999999996</v>
      </c>
      <c r="U34" s="51">
        <f t="shared" si="22"/>
        <v>0.90702199999999999</v>
      </c>
      <c r="V34" s="42">
        <f>((O34*(Q34)^2)/AVERAGE(S30,S31))*T34</f>
        <v>0.95794009853529971</v>
      </c>
      <c r="W34" s="49">
        <f t="shared" si="14"/>
        <v>-5.6137666490228152E-2</v>
      </c>
    </row>
    <row r="35" spans="2:23" x14ac:dyDescent="0.6">
      <c r="B35" s="2"/>
      <c r="C35" s="1"/>
      <c r="D35" s="2">
        <v>651.76499999999999</v>
      </c>
      <c r="E35" s="1">
        <v>1004.65</v>
      </c>
      <c r="F35" s="2">
        <v>656.41499999999996</v>
      </c>
      <c r="G35" s="1">
        <v>212.35</v>
      </c>
      <c r="H35" s="2"/>
      <c r="I35" s="1"/>
      <c r="J35" s="2">
        <v>653.86599999999999</v>
      </c>
      <c r="K35" s="1">
        <v>1.0133700000000001</v>
      </c>
      <c r="N35" s="3">
        <f t="shared" si="15"/>
        <v>651.76499999999999</v>
      </c>
      <c r="O35" s="21">
        <f t="shared" si="16"/>
        <v>99537.152242074342</v>
      </c>
      <c r="P35" s="3">
        <f t="shared" si="17"/>
        <v>656.41499999999996</v>
      </c>
      <c r="Q35" s="17">
        <f t="shared" si="18"/>
        <v>2.1234999999999998E-4</v>
      </c>
      <c r="R35" s="3"/>
      <c r="S35" s="24"/>
      <c r="T35" s="3">
        <f t="shared" si="21"/>
        <v>653.86599999999999</v>
      </c>
      <c r="U35" s="51">
        <f t="shared" si="22"/>
        <v>1.0133700000000001</v>
      </c>
      <c r="V35" s="42">
        <f>((O35*(Q35)^2)/S31)*T35</f>
        <v>1.0369621516955401</v>
      </c>
      <c r="W35" s="49">
        <f t="shared" si="14"/>
        <v>-2.3280886246425256E-2</v>
      </c>
    </row>
    <row r="36" spans="2:23" x14ac:dyDescent="0.6">
      <c r="B36" s="2"/>
      <c r="C36" s="1"/>
      <c r="D36" s="2">
        <v>701.17600000000004</v>
      </c>
      <c r="E36" s="1">
        <v>1079.07</v>
      </c>
      <c r="F36" s="2">
        <v>697.36900000000003</v>
      </c>
      <c r="G36" s="1">
        <v>212.495</v>
      </c>
      <c r="H36" s="2"/>
      <c r="I36" s="1"/>
      <c r="J36" s="2">
        <v>698.61500000000001</v>
      </c>
      <c r="K36" s="1">
        <v>1.0348900000000001</v>
      </c>
      <c r="N36" s="3">
        <f t="shared" si="15"/>
        <v>701.17600000000004</v>
      </c>
      <c r="O36" s="21">
        <f t="shared" si="16"/>
        <v>92672.39382060479</v>
      </c>
      <c r="P36" s="3">
        <f t="shared" si="17"/>
        <v>697.36900000000003</v>
      </c>
      <c r="Q36" s="17">
        <f t="shared" si="18"/>
        <v>2.1249499999999999E-4</v>
      </c>
      <c r="R36" s="3"/>
      <c r="S36" s="24"/>
      <c r="T36" s="3">
        <f t="shared" si="21"/>
        <v>698.61500000000001</v>
      </c>
      <c r="U36" s="51">
        <f t="shared" si="22"/>
        <v>1.0348900000000001</v>
      </c>
      <c r="V36" s="42">
        <f>((O36*(Q36)^2)/AVERAGE(S31,S32))*T36</f>
        <v>1.012674267058199</v>
      </c>
      <c r="W36" s="49">
        <f t="shared" si="14"/>
        <v>2.1466757763434881E-2</v>
      </c>
    </row>
    <row r="37" spans="2:23" x14ac:dyDescent="0.6">
      <c r="B37" s="2"/>
      <c r="C37" s="1"/>
      <c r="D37" s="2">
        <v>750.58799999999997</v>
      </c>
      <c r="E37" s="1">
        <v>1041.8599999999999</v>
      </c>
      <c r="F37" s="2">
        <v>746.495</v>
      </c>
      <c r="G37" s="1">
        <v>214.08799999999999</v>
      </c>
      <c r="H37" s="2"/>
      <c r="I37" s="1"/>
      <c r="J37" s="2">
        <v>746.35400000000004</v>
      </c>
      <c r="K37" s="1">
        <v>1.0528999999999999</v>
      </c>
      <c r="N37" s="3">
        <f t="shared" si="15"/>
        <v>750.58799999999997</v>
      </c>
      <c r="O37" s="21">
        <f t="shared" si="16"/>
        <v>95982.185706332923</v>
      </c>
      <c r="P37" s="3">
        <f t="shared" si="17"/>
        <v>746.495</v>
      </c>
      <c r="Q37" s="17">
        <f t="shared" si="18"/>
        <v>2.1408799999999997E-4</v>
      </c>
      <c r="R37" s="3"/>
      <c r="S37" s="24"/>
      <c r="T37" s="3">
        <f t="shared" si="21"/>
        <v>746.35400000000004</v>
      </c>
      <c r="U37" s="51">
        <f t="shared" si="22"/>
        <v>1.0528999999999999</v>
      </c>
      <c r="V37" s="42">
        <f>((O37*(Q37)^2)/S32)*T37</f>
        <v>1.1155033135800569</v>
      </c>
      <c r="W37" s="49">
        <f t="shared" si="14"/>
        <v>-5.9457986114594928E-2</v>
      </c>
    </row>
    <row r="38" spans="2:23" x14ac:dyDescent="0.6">
      <c r="B38" s="2"/>
      <c r="C38" s="1"/>
      <c r="D38" s="2">
        <v>796.471</v>
      </c>
      <c r="E38" s="1">
        <v>1116.28</v>
      </c>
      <c r="F38" s="2">
        <v>795.63900000000001</v>
      </c>
      <c r="G38" s="1">
        <v>214.26300000000001</v>
      </c>
      <c r="H38" s="2"/>
      <c r="I38" s="1"/>
      <c r="J38" s="2">
        <v>794.11</v>
      </c>
      <c r="K38" s="1">
        <v>1.05677</v>
      </c>
      <c r="N38" s="3">
        <f t="shared" si="15"/>
        <v>796.471</v>
      </c>
      <c r="O38" s="21">
        <f t="shared" si="16"/>
        <v>89583.258680617771</v>
      </c>
      <c r="P38" s="3">
        <f t="shared" si="17"/>
        <v>795.63900000000001</v>
      </c>
      <c r="Q38" s="17">
        <f t="shared" si="18"/>
        <v>2.1426299999999999E-4</v>
      </c>
      <c r="R38" s="3"/>
      <c r="S38" s="24"/>
      <c r="T38" s="3">
        <f t="shared" si="21"/>
        <v>794.11</v>
      </c>
      <c r="U38" s="51">
        <f t="shared" si="22"/>
        <v>1.05677</v>
      </c>
      <c r="V38" s="42">
        <f>((O38*(Q38)^2)/S32)*T38</f>
        <v>1.1095646157037011</v>
      </c>
      <c r="W38" s="49">
        <f t="shared" si="14"/>
        <v>-4.995847318120418E-2</v>
      </c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</sheetPr>
  <dimension ref="A1:W6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11.5625" style="22" bestFit="1" customWidth="1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50</v>
      </c>
      <c r="F8" s="11" t="s">
        <v>4</v>
      </c>
      <c r="G8" s="27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294.45093457943898</v>
      </c>
      <c r="E9" s="4">
        <v>779.85212569316002</v>
      </c>
      <c r="F9" s="3">
        <v>293.69266055045802</v>
      </c>
      <c r="G9" s="4">
        <v>111.578947368421</v>
      </c>
      <c r="H9" s="3">
        <v>384.39975624619098</v>
      </c>
      <c r="I9" s="4">
        <v>16.192337763878001</v>
      </c>
      <c r="J9" s="3">
        <v>464.56211812627203</v>
      </c>
      <c r="K9" s="4">
        <v>0.68975853455453695</v>
      </c>
      <c r="N9" s="3">
        <f>D9</f>
        <v>294.45093457943898</v>
      </c>
      <c r="O9" s="21">
        <f>1/(E9*(10^(-6))*(10^(-2)))</f>
        <v>128229.4382555109</v>
      </c>
      <c r="P9" s="3">
        <f>F9</f>
        <v>293.69266055045802</v>
      </c>
      <c r="Q9" s="17">
        <f>G9*(10^(-6))</f>
        <v>1.11578947368421E-4</v>
      </c>
      <c r="R9" s="3">
        <f>H9</f>
        <v>384.39975624619098</v>
      </c>
      <c r="S9" s="24">
        <f>I9*(10^(-3))/(10^(-2))</f>
        <v>1.6192337763878</v>
      </c>
      <c r="T9" s="3">
        <f>J9</f>
        <v>464.56211812627203</v>
      </c>
      <c r="U9" s="51">
        <f>K9</f>
        <v>0.68975853455453695</v>
      </c>
      <c r="V9" s="42">
        <f>((O13*(Q13)^2)/S10)*T9</f>
        <v>0.70510873506344185</v>
      </c>
      <c r="W9" s="49">
        <f t="shared" ref="W9:W16" si="0">(U9-V9)/U9</f>
        <v>-2.2254455349100446E-2</v>
      </c>
    </row>
    <row r="10" spans="1:23" x14ac:dyDescent="0.6">
      <c r="B10" s="3"/>
      <c r="C10" s="4"/>
      <c r="D10" s="3">
        <v>320.44392523364399</v>
      </c>
      <c r="E10" s="4">
        <v>801.47874306839196</v>
      </c>
      <c r="F10" s="3">
        <v>319.78211009174299</v>
      </c>
      <c r="G10" s="4">
        <v>118.622291021671</v>
      </c>
      <c r="H10" s="3">
        <v>473.12614259597802</v>
      </c>
      <c r="I10" s="4">
        <v>17.384675527755999</v>
      </c>
      <c r="J10" s="3">
        <v>513.64562118126196</v>
      </c>
      <c r="K10" s="4">
        <v>0.80699417152372999</v>
      </c>
      <c r="N10" s="3">
        <f t="shared" ref="N10:N20" si="1">D10</f>
        <v>320.44392523364399</v>
      </c>
      <c r="O10" s="21">
        <f t="shared" ref="O10:O20" si="2">1/(E10*(10^(-6))*(10^(-2)))</f>
        <v>124769.37269372691</v>
      </c>
      <c r="P10" s="3">
        <f t="shared" ref="P10:P20" si="3">F10</f>
        <v>319.78211009174299</v>
      </c>
      <c r="Q10" s="17">
        <f t="shared" ref="Q10:Q20" si="4">G10*(10^(-6))</f>
        <v>1.18622291021671E-4</v>
      </c>
      <c r="R10" s="3">
        <f t="shared" ref="R10:R13" si="5">H10</f>
        <v>473.12614259597802</v>
      </c>
      <c r="S10" s="24">
        <f t="shared" ref="S10:S13" si="6">I10*(10^(-3))/(10^(-2))</f>
        <v>1.7384675527755997</v>
      </c>
      <c r="T10" s="3">
        <f t="shared" ref="T10:T16" si="7">J10</f>
        <v>513.64562118126196</v>
      </c>
      <c r="U10" s="51">
        <f t="shared" ref="U10:U16" si="8">K10</f>
        <v>0.80699417152372999</v>
      </c>
      <c r="V10" s="42">
        <f>((O14*(Q14)^2)/AVERAGE(S10,S11))*T10</f>
        <v>0.80743036194060624</v>
      </c>
      <c r="W10" s="49">
        <f t="shared" si="0"/>
        <v>-5.4051247489515775E-4</v>
      </c>
    </row>
    <row r="11" spans="1:23" x14ac:dyDescent="0.6">
      <c r="B11" s="2"/>
      <c r="C11" s="1"/>
      <c r="D11" s="2">
        <v>366.58878504672799</v>
      </c>
      <c r="E11" s="1">
        <v>831.97781885397399</v>
      </c>
      <c r="F11" s="2">
        <v>366.80045871559599</v>
      </c>
      <c r="G11" s="1">
        <v>132.32198142414799</v>
      </c>
      <c r="H11" s="2">
        <v>573.06520414381396</v>
      </c>
      <c r="I11" s="1">
        <v>19.065676309616801</v>
      </c>
      <c r="J11" s="2">
        <v>562.11812627291204</v>
      </c>
      <c r="K11" s="1">
        <v>0.872273105745212</v>
      </c>
      <c r="N11" s="3">
        <f t="shared" si="1"/>
        <v>366.58878504672799</v>
      </c>
      <c r="O11" s="21">
        <f t="shared" si="2"/>
        <v>120195.51210842037</v>
      </c>
      <c r="P11" s="3">
        <f t="shared" si="3"/>
        <v>366.80045871559599</v>
      </c>
      <c r="Q11" s="17">
        <f t="shared" si="4"/>
        <v>1.3232198142414797E-4</v>
      </c>
      <c r="R11" s="3">
        <f t="shared" si="5"/>
        <v>573.06520414381396</v>
      </c>
      <c r="S11" s="24">
        <f t="shared" si="6"/>
        <v>1.9065676309616801</v>
      </c>
      <c r="T11" s="3">
        <f t="shared" si="7"/>
        <v>562.11812627291204</v>
      </c>
      <c r="U11" s="51">
        <f t="shared" si="8"/>
        <v>0.872273105745212</v>
      </c>
      <c r="V11" s="42">
        <f t="shared" ref="V11" si="9">((O15*(Q15)^2)/S11)*T11</f>
        <v>0.86836555244823666</v>
      </c>
      <c r="W11" s="49">
        <f t="shared" si="0"/>
        <v>4.4797360726110983E-3</v>
      </c>
    </row>
    <row r="12" spans="1:23" x14ac:dyDescent="0.6">
      <c r="B12" s="2"/>
      <c r="C12" s="1"/>
      <c r="D12" s="2">
        <v>416.23831775700899</v>
      </c>
      <c r="E12" s="1">
        <v>865.24953789279095</v>
      </c>
      <c r="F12" s="2">
        <v>415.82568807339402</v>
      </c>
      <c r="G12" s="1">
        <v>146.331269349845</v>
      </c>
      <c r="H12" s="2">
        <v>673.00426569165097</v>
      </c>
      <c r="I12" s="1">
        <v>19.3784206411258</v>
      </c>
      <c r="J12" s="2">
        <v>610.79429735234203</v>
      </c>
      <c r="K12" s="1">
        <v>1.0194837635303899</v>
      </c>
      <c r="N12" s="3">
        <f t="shared" si="1"/>
        <v>416.23831775700899</v>
      </c>
      <c r="O12" s="21">
        <f t="shared" si="2"/>
        <v>115573.59538560139</v>
      </c>
      <c r="P12" s="3">
        <f t="shared" si="3"/>
        <v>415.82568807339402</v>
      </c>
      <c r="Q12" s="17">
        <f t="shared" si="4"/>
        <v>1.4633126934984501E-4</v>
      </c>
      <c r="R12" s="3">
        <f t="shared" si="5"/>
        <v>673.00426569165097</v>
      </c>
      <c r="S12" s="24">
        <f t="shared" si="6"/>
        <v>1.9378420641125798</v>
      </c>
      <c r="T12" s="3">
        <f t="shared" si="7"/>
        <v>610.79429735234203</v>
      </c>
      <c r="U12" s="51">
        <f t="shared" si="8"/>
        <v>1.0194837635303899</v>
      </c>
      <c r="V12" s="42">
        <f>((O16*(Q16)^2)/AVERAGE(S11,S12))*T12</f>
        <v>1.0021324541875198</v>
      </c>
      <c r="W12" s="49">
        <f t="shared" si="0"/>
        <v>1.7019701503419651E-2</v>
      </c>
    </row>
    <row r="13" spans="1:23" x14ac:dyDescent="0.6">
      <c r="B13" s="2"/>
      <c r="C13" s="1"/>
      <c r="D13" s="2">
        <v>464.71962616822401</v>
      </c>
      <c r="E13" s="1">
        <v>899.63031423290204</v>
      </c>
      <c r="F13" s="2">
        <v>464.56422018348599</v>
      </c>
      <c r="G13" s="1">
        <v>154.07120743034</v>
      </c>
      <c r="H13" s="2">
        <v>772.94332723948799</v>
      </c>
      <c r="I13" s="1">
        <v>20.160281469898301</v>
      </c>
      <c r="J13" s="2">
        <v>659.06313645621105</v>
      </c>
      <c r="K13" s="1">
        <v>1.0987510407993299</v>
      </c>
      <c r="N13" s="3">
        <f t="shared" si="1"/>
        <v>464.71962616822401</v>
      </c>
      <c r="O13" s="21">
        <f t="shared" si="2"/>
        <v>111156.77008424081</v>
      </c>
      <c r="P13" s="3">
        <f t="shared" si="3"/>
        <v>464.56422018348599</v>
      </c>
      <c r="Q13" s="17">
        <f t="shared" si="4"/>
        <v>1.5407120743033998E-4</v>
      </c>
      <c r="R13" s="3">
        <f t="shared" si="5"/>
        <v>772.94332723948799</v>
      </c>
      <c r="S13" s="24">
        <f t="shared" si="6"/>
        <v>2.0160281469898305</v>
      </c>
      <c r="T13" s="3">
        <f t="shared" si="7"/>
        <v>659.06313645621105</v>
      </c>
      <c r="U13" s="51">
        <f t="shared" si="8"/>
        <v>1.0987510407993299</v>
      </c>
      <c r="V13" s="42">
        <f>((O17*(Q17)^2)/AVERAGE(S12,S13))*T13</f>
        <v>1.0731265228465394</v>
      </c>
      <c r="W13" s="49">
        <f t="shared" si="0"/>
        <v>2.3321495954305497E-2</v>
      </c>
    </row>
    <row r="14" spans="1:23" x14ac:dyDescent="0.6">
      <c r="B14" s="2"/>
      <c r="C14" s="1"/>
      <c r="D14" s="2">
        <v>513.49299065420496</v>
      </c>
      <c r="E14" s="1">
        <v>936.78373382624704</v>
      </c>
      <c r="F14" s="2">
        <v>513.30275229357801</v>
      </c>
      <c r="G14" s="1">
        <v>163.82352941176401</v>
      </c>
      <c r="H14" s="2"/>
      <c r="I14" s="1"/>
      <c r="J14" s="2">
        <v>707.53564154786102</v>
      </c>
      <c r="K14" s="1">
        <v>1.1753538717735199</v>
      </c>
      <c r="N14" s="3">
        <f t="shared" si="1"/>
        <v>513.49299065420496</v>
      </c>
      <c r="O14" s="21">
        <f t="shared" si="2"/>
        <v>106748.22415153915</v>
      </c>
      <c r="P14" s="3">
        <f t="shared" si="3"/>
        <v>513.30275229357801</v>
      </c>
      <c r="Q14" s="17">
        <f t="shared" si="4"/>
        <v>1.63823529411764E-4</v>
      </c>
      <c r="R14" s="3"/>
      <c r="S14" s="24"/>
      <c r="T14" s="3">
        <f t="shared" si="7"/>
        <v>707.53564154786102</v>
      </c>
      <c r="U14" s="51">
        <f t="shared" si="8"/>
        <v>1.1753538717735199</v>
      </c>
      <c r="V14" s="42">
        <f>((O18*(Q18)^2)/AVERAGE(S12,S13))*T14</f>
        <v>1.1683958787572348</v>
      </c>
      <c r="W14" s="49">
        <f t="shared" si="0"/>
        <v>5.9199132987803882E-3</v>
      </c>
    </row>
    <row r="15" spans="1:23" x14ac:dyDescent="0.6">
      <c r="B15" s="2"/>
      <c r="C15" s="1"/>
      <c r="D15" s="2">
        <v>562.26635514018699</v>
      </c>
      <c r="E15" s="1">
        <v>973.38262476894602</v>
      </c>
      <c r="F15" s="2">
        <v>562.32798165137604</v>
      </c>
      <c r="G15" s="1">
        <v>169.31888544891601</v>
      </c>
      <c r="H15" s="2"/>
      <c r="I15" s="1"/>
      <c r="J15" s="2">
        <v>756.41547861507104</v>
      </c>
      <c r="K15" s="1">
        <v>1.18934221482098</v>
      </c>
      <c r="N15" s="3">
        <f t="shared" si="1"/>
        <v>562.26635514018699</v>
      </c>
      <c r="O15" s="21">
        <f t="shared" si="2"/>
        <v>102734.52335738705</v>
      </c>
      <c r="P15" s="3">
        <f t="shared" si="3"/>
        <v>562.32798165137604</v>
      </c>
      <c r="Q15" s="17">
        <f t="shared" si="4"/>
        <v>1.6931888544891599E-4</v>
      </c>
      <c r="R15" s="3"/>
      <c r="S15" s="24"/>
      <c r="T15" s="3">
        <f t="shared" si="7"/>
        <v>756.41547861507104</v>
      </c>
      <c r="U15" s="51">
        <f t="shared" si="8"/>
        <v>1.18934221482098</v>
      </c>
      <c r="V15" s="42">
        <f>((O19*(Q19)^2)/(S13))*T15</f>
        <v>1.2038602150246827</v>
      </c>
      <c r="W15" s="49">
        <f t="shared" si="0"/>
        <v>-1.2206747580962551E-2</v>
      </c>
    </row>
    <row r="16" spans="1:23" x14ac:dyDescent="0.6">
      <c r="B16" s="2"/>
      <c r="C16" s="1"/>
      <c r="D16" s="2">
        <v>610.45560747663501</v>
      </c>
      <c r="E16" s="1">
        <v>1008.87245841035</v>
      </c>
      <c r="F16" s="2">
        <v>610.49311926605503</v>
      </c>
      <c r="G16" s="1">
        <v>178.37461300309599</v>
      </c>
      <c r="H16" s="2"/>
      <c r="I16" s="1"/>
      <c r="J16" s="2">
        <v>805.29531568228094</v>
      </c>
      <c r="K16" s="1">
        <v>1.21598667776852</v>
      </c>
      <c r="N16" s="3">
        <f t="shared" si="1"/>
        <v>610.45560747663501</v>
      </c>
      <c r="O16" s="21">
        <f t="shared" si="2"/>
        <v>99120.556980579087</v>
      </c>
      <c r="P16" s="3">
        <f t="shared" si="3"/>
        <v>610.49311926605503</v>
      </c>
      <c r="Q16" s="17">
        <f t="shared" si="4"/>
        <v>1.7837461300309598E-4</v>
      </c>
      <c r="R16" s="3"/>
      <c r="S16" s="24"/>
      <c r="T16" s="3">
        <f t="shared" si="7"/>
        <v>805.29531568228094</v>
      </c>
      <c r="U16" s="51">
        <f t="shared" si="8"/>
        <v>1.21598667776852</v>
      </c>
      <c r="V16" s="42">
        <f>((O20*(Q20)^2)/(S13))*T16</f>
        <v>1.2677091645277885</v>
      </c>
      <c r="W16" s="49">
        <f t="shared" si="0"/>
        <v>-4.2535405777788124E-2</v>
      </c>
    </row>
    <row r="17" spans="2:23" x14ac:dyDescent="0.6">
      <c r="D17" s="2">
        <v>658.93691588784998</v>
      </c>
      <c r="E17" s="1">
        <v>1038.8170055452799</v>
      </c>
      <c r="F17" s="2">
        <v>658.94495412844003</v>
      </c>
      <c r="G17" s="1">
        <v>182.86377708978301</v>
      </c>
      <c r="N17" s="3">
        <f t="shared" si="1"/>
        <v>658.93691588784998</v>
      </c>
      <c r="O17" s="21">
        <f t="shared" si="2"/>
        <v>96263.345195730144</v>
      </c>
      <c r="P17" s="3">
        <f t="shared" si="3"/>
        <v>658.94495412844003</v>
      </c>
      <c r="Q17" s="17">
        <f t="shared" si="4"/>
        <v>1.82863777089783E-4</v>
      </c>
      <c r="V17"/>
    </row>
    <row r="18" spans="2:23" x14ac:dyDescent="0.6">
      <c r="D18" s="2">
        <v>707.71028037383098</v>
      </c>
      <c r="E18" s="1">
        <v>1069.8706099815099</v>
      </c>
      <c r="F18" s="2">
        <v>707.68348623853205</v>
      </c>
      <c r="G18" s="1">
        <v>186.88854489164001</v>
      </c>
      <c r="N18" s="3">
        <f t="shared" si="1"/>
        <v>707.71028037383098</v>
      </c>
      <c r="O18" s="21">
        <f t="shared" si="2"/>
        <v>93469.246717346745</v>
      </c>
      <c r="P18" s="3">
        <f t="shared" si="3"/>
        <v>707.68348623853205</v>
      </c>
      <c r="Q18" s="17">
        <f t="shared" si="4"/>
        <v>1.8688854489163999E-4</v>
      </c>
      <c r="V18"/>
    </row>
    <row r="19" spans="2:23" x14ac:dyDescent="0.6">
      <c r="D19" s="2">
        <v>756.77570093457905</v>
      </c>
      <c r="E19" s="1">
        <v>1097.5970425138601</v>
      </c>
      <c r="F19" s="2">
        <v>756.70871559632997</v>
      </c>
      <c r="G19" s="1">
        <v>187.66253869969</v>
      </c>
      <c r="N19" s="3">
        <f t="shared" si="1"/>
        <v>756.77570093457905</v>
      </c>
      <c r="O19" s="21">
        <f t="shared" si="2"/>
        <v>91108.1172111825</v>
      </c>
      <c r="P19" s="3">
        <f t="shared" si="3"/>
        <v>756.70871559632997</v>
      </c>
      <c r="Q19" s="17">
        <f t="shared" si="4"/>
        <v>1.8766253869969001E-4</v>
      </c>
      <c r="S19"/>
      <c r="U19"/>
      <c r="V19"/>
    </row>
    <row r="20" spans="2:23" x14ac:dyDescent="0.6">
      <c r="D20" s="2">
        <v>804.96495327102798</v>
      </c>
      <c r="E20" s="1">
        <v>1117.0055452864999</v>
      </c>
      <c r="F20" s="2">
        <v>805.16055045871497</v>
      </c>
      <c r="G20" s="1">
        <v>188.28173374612999</v>
      </c>
      <c r="N20" s="3">
        <f t="shared" si="1"/>
        <v>804.96495327102798</v>
      </c>
      <c r="O20" s="21">
        <f t="shared" si="2"/>
        <v>89525.070329307171</v>
      </c>
      <c r="P20" s="3">
        <f t="shared" si="3"/>
        <v>805.16055045871497</v>
      </c>
      <c r="Q20" s="17">
        <f t="shared" si="4"/>
        <v>1.8828173374612999E-4</v>
      </c>
      <c r="S20"/>
      <c r="U20"/>
      <c r="V20"/>
    </row>
    <row r="23" spans="2:23" ht="17.25" thickBot="1" x14ac:dyDescent="0.65">
      <c r="C23" t="s">
        <v>81</v>
      </c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10</v>
      </c>
      <c r="D25" s="11" t="s">
        <v>4</v>
      </c>
      <c r="E25" s="10" t="s">
        <v>50</v>
      </c>
      <c r="F25" s="11" t="s">
        <v>4</v>
      </c>
      <c r="G25" s="27" t="s">
        <v>13</v>
      </c>
      <c r="H25" s="11" t="s">
        <v>4</v>
      </c>
      <c r="I25" s="10" t="s">
        <v>37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>
        <v>300.85959885386802</v>
      </c>
      <c r="E26" s="4">
        <v>520.32667876588005</v>
      </c>
      <c r="F26" s="3">
        <v>300.573394495412</v>
      </c>
      <c r="G26" s="4">
        <v>106.491092176607</v>
      </c>
      <c r="H26" s="3">
        <v>473.12614259597802</v>
      </c>
      <c r="I26" s="4">
        <v>21.684910086004599</v>
      </c>
      <c r="J26" s="3">
        <v>472.78029812054399</v>
      </c>
      <c r="K26" s="4">
        <v>0.69904761904761903</v>
      </c>
      <c r="N26" s="3">
        <f>D26</f>
        <v>300.85959885386802</v>
      </c>
      <c r="O26" s="21">
        <f>1/(E26*(10^(-6))*(10^(-2)))</f>
        <v>192186.95500523204</v>
      </c>
      <c r="P26" s="3">
        <f>F26</f>
        <v>300.573394495412</v>
      </c>
      <c r="Q26" s="17">
        <f t="shared" ref="Q26:Q37" si="10">G26*(10^(-6))</f>
        <v>1.06491092176607E-4</v>
      </c>
      <c r="R26" s="3">
        <f>H26</f>
        <v>473.12614259597802</v>
      </c>
      <c r="S26" s="24">
        <f t="shared" ref="S26:S32" si="11">I26*(10^(-3))/(10^(-2))</f>
        <v>2.1684910086004598</v>
      </c>
      <c r="T26" s="3">
        <f>J26</f>
        <v>472.78029812054399</v>
      </c>
      <c r="U26" s="51">
        <f>K26</f>
        <v>0.69904761904761903</v>
      </c>
      <c r="V26" s="42">
        <f>((O30*(Q30)^2)/S26)*T26</f>
        <v>0.69328396809240256</v>
      </c>
      <c r="W26" s="49">
        <f t="shared" ref="W26" si="12">(U26-V26)/U26</f>
        <v>8.2450047724486296E-3</v>
      </c>
    </row>
    <row r="27" spans="2:23" x14ac:dyDescent="0.6">
      <c r="B27" s="3"/>
      <c r="C27" s="4"/>
      <c r="D27" s="3">
        <v>322.06303724928301</v>
      </c>
      <c r="E27" s="4">
        <v>534.48275862068897</v>
      </c>
      <c r="F27" s="3">
        <v>321.50229357798099</v>
      </c>
      <c r="G27" s="4">
        <v>110.054221533694</v>
      </c>
      <c r="H27" s="3">
        <v>523.09567336989596</v>
      </c>
      <c r="I27" s="4">
        <v>21.489444878811501</v>
      </c>
      <c r="J27" s="3">
        <v>522.94232015554098</v>
      </c>
      <c r="K27" s="4">
        <v>0.88571428571428501</v>
      </c>
      <c r="N27" s="3">
        <f t="shared" ref="N27:N37" si="13">D27</f>
        <v>322.06303724928301</v>
      </c>
      <c r="O27" s="21">
        <f t="shared" ref="O27:O37" si="14">1/(E27*(10^(-6))*(10^(-2)))</f>
        <v>187096.77419354863</v>
      </c>
      <c r="P27" s="3">
        <f t="shared" ref="P27:P37" si="15">F27</f>
        <v>321.50229357798099</v>
      </c>
      <c r="Q27" s="17">
        <f t="shared" si="10"/>
        <v>1.10054221533694E-4</v>
      </c>
      <c r="R27" s="3">
        <f t="shared" ref="R27:U33" si="16">H27</f>
        <v>523.09567336989596</v>
      </c>
      <c r="S27" s="24">
        <f t="shared" si="11"/>
        <v>2.1489444878811503</v>
      </c>
      <c r="T27" s="3">
        <f t="shared" si="16"/>
        <v>522.94232015554098</v>
      </c>
      <c r="U27" s="51">
        <f t="shared" si="16"/>
        <v>0.88571428571428501</v>
      </c>
      <c r="V27" s="42">
        <f t="shared" ref="V27:V31" si="17">((O31*(Q31)^2)/S27)*T27</f>
        <v>0.87326438132627104</v>
      </c>
      <c r="W27" s="49">
        <f t="shared" ref="W27:W33" si="18">(U27-V27)/U27</f>
        <v>1.4056343663886747E-2</v>
      </c>
    </row>
    <row r="28" spans="2:23" x14ac:dyDescent="0.6">
      <c r="B28" s="2"/>
      <c r="C28" s="1"/>
      <c r="D28" s="2">
        <v>367.90830945558702</v>
      </c>
      <c r="E28" s="1">
        <v>562.79491833030795</v>
      </c>
      <c r="F28" s="2">
        <v>367.66055045871502</v>
      </c>
      <c r="G28" s="1">
        <v>120.821068938807</v>
      </c>
      <c r="H28" s="2">
        <v>573.06520414381396</v>
      </c>
      <c r="I28" s="1">
        <v>21.880375293197801</v>
      </c>
      <c r="J28" s="2">
        <v>572.90991574854104</v>
      </c>
      <c r="K28" s="1">
        <v>1.0050793650793599</v>
      </c>
      <c r="N28" s="3">
        <f t="shared" si="13"/>
        <v>367.90830945558702</v>
      </c>
      <c r="O28" s="21">
        <f t="shared" si="14"/>
        <v>177684.61786520499</v>
      </c>
      <c r="P28" s="3">
        <f t="shared" si="15"/>
        <v>367.66055045871502</v>
      </c>
      <c r="Q28" s="17">
        <f t="shared" si="10"/>
        <v>1.20821068938807E-4</v>
      </c>
      <c r="R28" s="3">
        <f t="shared" si="16"/>
        <v>573.06520414381396</v>
      </c>
      <c r="S28" s="24">
        <f t="shared" si="11"/>
        <v>2.18803752931978</v>
      </c>
      <c r="T28" s="3">
        <f t="shared" si="16"/>
        <v>572.90991574854104</v>
      </c>
      <c r="U28" s="51">
        <f t="shared" si="16"/>
        <v>1.0050793650793599</v>
      </c>
      <c r="V28" s="42">
        <f t="shared" si="17"/>
        <v>0.99463239734364262</v>
      </c>
      <c r="W28" s="49">
        <f t="shared" si="18"/>
        <v>1.039417194172762E-2</v>
      </c>
    </row>
    <row r="29" spans="2:23" x14ac:dyDescent="0.6">
      <c r="B29" s="2"/>
      <c r="C29" s="1"/>
      <c r="D29" s="2">
        <v>417.19197707736299</v>
      </c>
      <c r="E29" s="1">
        <v>589.47368421052602</v>
      </c>
      <c r="F29" s="2">
        <v>416.97247706422002</v>
      </c>
      <c r="G29" s="1">
        <v>131.58791634391901</v>
      </c>
      <c r="H29" s="2">
        <v>623.03473491773298</v>
      </c>
      <c r="I29" s="1">
        <v>23.3854573885848</v>
      </c>
      <c r="J29" s="2">
        <v>623.07193778353803</v>
      </c>
      <c r="K29" s="1">
        <v>1.10349206349206</v>
      </c>
      <c r="N29" s="3">
        <f t="shared" si="13"/>
        <v>417.19197707736299</v>
      </c>
      <c r="O29" s="21">
        <f t="shared" si="14"/>
        <v>169642.85714285725</v>
      </c>
      <c r="P29" s="3">
        <f t="shared" si="15"/>
        <v>416.97247706422002</v>
      </c>
      <c r="Q29" s="17">
        <f t="shared" si="10"/>
        <v>1.31587916343919E-4</v>
      </c>
      <c r="R29" s="3">
        <f t="shared" si="16"/>
        <v>623.03473491773298</v>
      </c>
      <c r="S29" s="24">
        <f t="shared" si="11"/>
        <v>2.33854573885848</v>
      </c>
      <c r="T29" s="3">
        <f t="shared" si="16"/>
        <v>623.07193778353803</v>
      </c>
      <c r="U29" s="51">
        <f t="shared" si="16"/>
        <v>1.10349206349206</v>
      </c>
      <c r="V29" s="42">
        <f t="shared" si="17"/>
        <v>1.0728268734783144</v>
      </c>
      <c r="W29" s="49">
        <f t="shared" si="18"/>
        <v>2.7789225702905308E-2</v>
      </c>
    </row>
    <row r="30" spans="2:23" x14ac:dyDescent="0.6">
      <c r="B30" s="2"/>
      <c r="C30" s="1"/>
      <c r="D30" s="2">
        <v>465.32951289398198</v>
      </c>
      <c r="E30" s="1">
        <v>624.86388384755003</v>
      </c>
      <c r="F30" s="2">
        <v>465.13761467889901</v>
      </c>
      <c r="G30" s="1">
        <v>140.96049573973599</v>
      </c>
      <c r="H30" s="2">
        <v>673.00426569165097</v>
      </c>
      <c r="I30" s="1">
        <v>24.401876465989002</v>
      </c>
      <c r="J30" s="2">
        <v>673.039533376539</v>
      </c>
      <c r="K30" s="1">
        <v>1.1612698412698399</v>
      </c>
      <c r="N30" s="3">
        <f t="shared" si="13"/>
        <v>465.32951289398198</v>
      </c>
      <c r="O30" s="21">
        <f t="shared" si="14"/>
        <v>160034.85332558813</v>
      </c>
      <c r="P30" s="3">
        <f t="shared" si="15"/>
        <v>465.13761467889901</v>
      </c>
      <c r="Q30" s="17">
        <f t="shared" si="10"/>
        <v>1.4096049573973597E-4</v>
      </c>
      <c r="R30" s="3">
        <f t="shared" si="16"/>
        <v>673.00426569165097</v>
      </c>
      <c r="S30" s="24">
        <f t="shared" si="11"/>
        <v>2.4401876465989005</v>
      </c>
      <c r="T30" s="3">
        <f t="shared" si="16"/>
        <v>673.039533376539</v>
      </c>
      <c r="U30" s="51">
        <f t="shared" si="16"/>
        <v>1.1612698412698399</v>
      </c>
      <c r="V30" s="42">
        <f t="shared" si="17"/>
        <v>1.1525190098006275</v>
      </c>
      <c r="W30" s="49">
        <f t="shared" si="18"/>
        <v>7.5355711120883295E-3</v>
      </c>
    </row>
    <row r="31" spans="2:23" x14ac:dyDescent="0.6">
      <c r="B31" s="2"/>
      <c r="C31" s="1"/>
      <c r="D31" s="2">
        <v>514.326647564469</v>
      </c>
      <c r="E31" s="1">
        <v>642.83121597096203</v>
      </c>
      <c r="F31" s="2">
        <v>514.16284403669704</v>
      </c>
      <c r="G31" s="1">
        <v>151.88226181254799</v>
      </c>
      <c r="H31" s="2">
        <v>722.97379646556897</v>
      </c>
      <c r="I31" s="1">
        <v>25.086004691164899</v>
      </c>
      <c r="J31" s="2">
        <v>723.00712896953905</v>
      </c>
      <c r="K31" s="1">
        <v>1.1853968253968199</v>
      </c>
      <c r="N31" s="3">
        <f t="shared" si="13"/>
        <v>514.326647564469</v>
      </c>
      <c r="O31" s="21">
        <f t="shared" si="14"/>
        <v>155561.82947487291</v>
      </c>
      <c r="P31" s="3">
        <f t="shared" si="15"/>
        <v>514.16284403669704</v>
      </c>
      <c r="Q31" s="17">
        <f t="shared" si="10"/>
        <v>1.5188226181254798E-4</v>
      </c>
      <c r="R31" s="3">
        <f t="shared" si="16"/>
        <v>722.97379646556897</v>
      </c>
      <c r="S31" s="24">
        <f t="shared" si="11"/>
        <v>2.5086004691164896</v>
      </c>
      <c r="T31" s="3">
        <f t="shared" si="16"/>
        <v>723.00712896953905</v>
      </c>
      <c r="U31" s="51">
        <f t="shared" si="16"/>
        <v>1.1853968253968199</v>
      </c>
      <c r="V31" s="42">
        <f t="shared" si="17"/>
        <v>1.2175398720238997</v>
      </c>
      <c r="W31" s="49">
        <f t="shared" si="18"/>
        <v>-2.7115853474906748E-2</v>
      </c>
    </row>
    <row r="32" spans="2:23" x14ac:dyDescent="0.6">
      <c r="B32" s="2"/>
      <c r="C32" s="1"/>
      <c r="D32" s="2">
        <v>563.89684813753502</v>
      </c>
      <c r="E32" s="1">
        <v>666.24319419237702</v>
      </c>
      <c r="F32" s="2">
        <v>563.47477064220095</v>
      </c>
      <c r="G32" s="1">
        <v>159.08597986057299</v>
      </c>
      <c r="H32" s="2">
        <v>809.01889092016995</v>
      </c>
      <c r="I32" s="1">
        <v>25.9851446442533</v>
      </c>
      <c r="J32" s="2">
        <v>772.97472456254002</v>
      </c>
      <c r="K32" s="1">
        <v>1.2069841269841199</v>
      </c>
      <c r="N32" s="3">
        <f t="shared" si="13"/>
        <v>563.89684813753502</v>
      </c>
      <c r="O32" s="21">
        <f t="shared" si="14"/>
        <v>150095.34186870075</v>
      </c>
      <c r="P32" s="3">
        <f t="shared" si="15"/>
        <v>563.47477064220095</v>
      </c>
      <c r="Q32" s="17">
        <f t="shared" si="10"/>
        <v>1.59085979860573E-4</v>
      </c>
      <c r="R32" s="3">
        <f t="shared" si="16"/>
        <v>809.01889092016995</v>
      </c>
      <c r="S32" s="24">
        <f t="shared" si="11"/>
        <v>2.59851446442533</v>
      </c>
      <c r="T32" s="3">
        <f t="shared" si="16"/>
        <v>772.97472456254002</v>
      </c>
      <c r="U32" s="51">
        <f t="shared" si="16"/>
        <v>1.2069841269841199</v>
      </c>
      <c r="V32" s="42">
        <f>((O36*(Q36)^2)/AVERAGE(S31,S32))*T32</f>
        <v>1.2595523278758647</v>
      </c>
      <c r="W32" s="49">
        <f t="shared" si="18"/>
        <v>-4.3553348976590453E-2</v>
      </c>
    </row>
    <row r="33" spans="2:23" x14ac:dyDescent="0.6">
      <c r="B33" s="2"/>
      <c r="C33" s="1"/>
      <c r="D33" s="2">
        <v>612.60744985673296</v>
      </c>
      <c r="E33" s="1">
        <v>688.021778584392</v>
      </c>
      <c r="F33" s="2">
        <v>612.5</v>
      </c>
      <c r="G33" s="1">
        <v>166.44461657629699</v>
      </c>
      <c r="H33" s="2"/>
      <c r="I33" s="1"/>
      <c r="J33" s="2">
        <v>808.94361633182098</v>
      </c>
      <c r="K33" s="1">
        <v>1.1936507936507901</v>
      </c>
      <c r="N33" s="3">
        <f t="shared" si="13"/>
        <v>612.60744985673296</v>
      </c>
      <c r="O33" s="21">
        <f t="shared" si="14"/>
        <v>145344.23634924824</v>
      </c>
      <c r="P33" s="3">
        <f t="shared" si="15"/>
        <v>612.5</v>
      </c>
      <c r="Q33" s="17">
        <f t="shared" si="10"/>
        <v>1.6644461657629698E-4</v>
      </c>
      <c r="R33" s="3"/>
      <c r="S33" s="24"/>
      <c r="T33" s="3">
        <f t="shared" si="16"/>
        <v>808.94361633182098</v>
      </c>
      <c r="U33" s="51">
        <f t="shared" si="16"/>
        <v>1.1936507936507901</v>
      </c>
      <c r="V33" s="42">
        <f>((O37*(Q37)^2)/S32)*T33</f>
        <v>1.2821831453051751</v>
      </c>
      <c r="W33" s="49">
        <f t="shared" si="18"/>
        <v>-7.4169390348753611E-2</v>
      </c>
    </row>
    <row r="34" spans="2:23" x14ac:dyDescent="0.6">
      <c r="D34" s="2">
        <v>661.60458452722003</v>
      </c>
      <c r="E34" s="1">
        <v>708.16696914700503</v>
      </c>
      <c r="F34" s="2">
        <v>661.238532110091</v>
      </c>
      <c r="G34" s="1">
        <v>172.02168861347701</v>
      </c>
      <c r="N34" s="3">
        <f t="shared" si="13"/>
        <v>661.60458452722003</v>
      </c>
      <c r="O34" s="21">
        <f t="shared" si="14"/>
        <v>141209.63608405954</v>
      </c>
      <c r="P34" s="3">
        <f t="shared" si="15"/>
        <v>661.238532110091</v>
      </c>
      <c r="Q34" s="17">
        <f t="shared" si="10"/>
        <v>1.7202168861347702E-4</v>
      </c>
      <c r="V34"/>
    </row>
    <row r="35" spans="2:23" x14ac:dyDescent="0.6">
      <c r="D35" s="2">
        <v>710.88825214899703</v>
      </c>
      <c r="E35" s="1">
        <v>727.22323049001795</v>
      </c>
      <c r="F35" s="2">
        <v>710.26376146788903</v>
      </c>
      <c r="G35" s="1">
        <v>175.274980635166</v>
      </c>
      <c r="N35" s="3">
        <f t="shared" si="13"/>
        <v>710.88825214899703</v>
      </c>
      <c r="O35" s="21">
        <f t="shared" si="14"/>
        <v>137509.3586224108</v>
      </c>
      <c r="P35" s="3">
        <f t="shared" si="15"/>
        <v>710.26376146788903</v>
      </c>
      <c r="Q35" s="17">
        <f t="shared" si="10"/>
        <v>1.7527498063516598E-4</v>
      </c>
      <c r="V35"/>
    </row>
    <row r="36" spans="2:23" x14ac:dyDescent="0.6">
      <c r="D36" s="2">
        <v>760.45845272206304</v>
      </c>
      <c r="E36" s="1">
        <v>733.75680580762196</v>
      </c>
      <c r="F36" s="2">
        <v>759.86238532109996</v>
      </c>
      <c r="G36" s="1">
        <v>174.732765298218</v>
      </c>
      <c r="N36" s="3">
        <f t="shared" si="13"/>
        <v>760.45845272206304</v>
      </c>
      <c r="O36" s="21">
        <f t="shared" si="14"/>
        <v>136284.93692802385</v>
      </c>
      <c r="P36" s="3">
        <f t="shared" si="15"/>
        <v>759.86238532109996</v>
      </c>
      <c r="Q36" s="17">
        <f t="shared" si="10"/>
        <v>1.7473276529821798E-4</v>
      </c>
      <c r="S36"/>
      <c r="U36"/>
      <c r="V36"/>
    </row>
    <row r="37" spans="2:23" x14ac:dyDescent="0.6">
      <c r="D37" s="2">
        <v>809.74212034383902</v>
      </c>
      <c r="E37" s="1">
        <v>732.12341197822104</v>
      </c>
      <c r="F37" s="2">
        <v>808.88761467889901</v>
      </c>
      <c r="G37" s="1">
        <v>173.64833462432199</v>
      </c>
      <c r="N37" s="3">
        <f t="shared" si="13"/>
        <v>809.74212034383902</v>
      </c>
      <c r="O37" s="21">
        <f t="shared" si="14"/>
        <v>136588.99355478442</v>
      </c>
      <c r="P37" s="3">
        <f t="shared" si="15"/>
        <v>808.88761467889901</v>
      </c>
      <c r="Q37" s="17">
        <f t="shared" si="10"/>
        <v>1.7364833462432197E-4</v>
      </c>
      <c r="S37"/>
      <c r="U37"/>
      <c r="V37"/>
    </row>
    <row r="41" spans="2:23" ht="17.25" thickBot="1" x14ac:dyDescent="0.65">
      <c r="B41" t="s">
        <v>79</v>
      </c>
      <c r="O41"/>
      <c r="Q41"/>
      <c r="S41"/>
      <c r="U41"/>
    </row>
    <row r="42" spans="2:23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N42" s="5" t="s">
        <v>3</v>
      </c>
      <c r="O42" s="19" t="s">
        <v>0</v>
      </c>
      <c r="P42" s="7" t="s">
        <v>3</v>
      </c>
      <c r="Q42" s="15" t="s">
        <v>1</v>
      </c>
      <c r="R42" s="7" t="s">
        <v>3</v>
      </c>
      <c r="S42" s="23" t="s">
        <v>2</v>
      </c>
      <c r="T42" s="7" t="s">
        <v>3</v>
      </c>
      <c r="U42" s="25" t="s">
        <v>6</v>
      </c>
    </row>
    <row r="43" spans="2:23" ht="17.25" thickBot="1" x14ac:dyDescent="0.65">
      <c r="B43" s="9" t="s">
        <v>4</v>
      </c>
      <c r="C43" s="10" t="s">
        <v>10</v>
      </c>
      <c r="D43" s="11" t="s">
        <v>4</v>
      </c>
      <c r="E43" s="10" t="s">
        <v>50</v>
      </c>
      <c r="F43" s="11" t="s">
        <v>4</v>
      </c>
      <c r="G43" s="27" t="s">
        <v>13</v>
      </c>
      <c r="H43" s="11" t="s">
        <v>4</v>
      </c>
      <c r="I43" s="10" t="s">
        <v>37</v>
      </c>
      <c r="J43" s="11" t="s">
        <v>4</v>
      </c>
      <c r="K43" s="12" t="s">
        <v>7</v>
      </c>
      <c r="N43" s="9" t="s">
        <v>4</v>
      </c>
      <c r="O43" s="20" t="s">
        <v>5</v>
      </c>
      <c r="P43" s="11" t="s">
        <v>4</v>
      </c>
      <c r="Q43" s="16" t="s">
        <v>14</v>
      </c>
      <c r="R43" s="11" t="s">
        <v>4</v>
      </c>
      <c r="S43" s="10" t="s">
        <v>15</v>
      </c>
      <c r="T43" s="11" t="s">
        <v>4</v>
      </c>
      <c r="U43" s="26" t="s">
        <v>7</v>
      </c>
      <c r="W43" t="s">
        <v>78</v>
      </c>
    </row>
    <row r="44" spans="2:23" x14ac:dyDescent="0.6">
      <c r="B44" s="3"/>
      <c r="C44" s="4"/>
      <c r="D44" s="3">
        <v>462.73700000000002</v>
      </c>
      <c r="E44" s="4">
        <v>634.61699999999996</v>
      </c>
      <c r="F44" s="3">
        <v>463.81200000000001</v>
      </c>
      <c r="G44" s="4">
        <v>141.88</v>
      </c>
      <c r="H44" s="3">
        <v>472.45299999999997</v>
      </c>
      <c r="I44" s="4">
        <v>21.746600000000001</v>
      </c>
      <c r="J44" s="3">
        <v>473.38200000000001</v>
      </c>
      <c r="K44" s="4">
        <v>0.71339900000000001</v>
      </c>
      <c r="N44" s="3">
        <f>D44</f>
        <v>462.73700000000002</v>
      </c>
      <c r="O44" s="21">
        <f>1/E44*100000000</f>
        <v>157575.35647485018</v>
      </c>
      <c r="P44" s="3">
        <f>F44</f>
        <v>463.81200000000001</v>
      </c>
      <c r="Q44" s="17">
        <f>G44*0.000001</f>
        <v>1.4187999999999999E-4</v>
      </c>
      <c r="R44" s="3">
        <f>H44</f>
        <v>472.45299999999997</v>
      </c>
      <c r="S44" s="24">
        <f>I44/1000*100</f>
        <v>2.1746600000000003</v>
      </c>
      <c r="T44" s="3">
        <f>J44</f>
        <v>473.38200000000001</v>
      </c>
      <c r="U44" s="51">
        <f>K44</f>
        <v>0.71339900000000001</v>
      </c>
      <c r="V44" s="42">
        <f>((O44*(Q44)^2)/S44)*T44</f>
        <v>0.69047988582788022</v>
      </c>
      <c r="W44" s="49">
        <f t="shared" ref="W44:W51" si="19">(U44-V44)/U44</f>
        <v>3.2126641854165451E-2</v>
      </c>
    </row>
    <row r="45" spans="2:23" x14ac:dyDescent="0.6">
      <c r="B45" s="3"/>
      <c r="C45" s="4"/>
      <c r="D45" s="3">
        <v>507.32600000000002</v>
      </c>
      <c r="E45" s="4">
        <v>645.495</v>
      </c>
      <c r="F45" s="3">
        <v>509.12400000000002</v>
      </c>
      <c r="G45" s="4">
        <v>153.18899999999999</v>
      </c>
      <c r="H45" s="3">
        <v>522.26400000000001</v>
      </c>
      <c r="I45" s="4">
        <v>21.267099999999999</v>
      </c>
      <c r="J45" s="3">
        <v>519.755</v>
      </c>
      <c r="K45" s="4">
        <v>0.89386200000000005</v>
      </c>
      <c r="N45" s="3">
        <f t="shared" ref="N45:N51" si="20">D45</f>
        <v>507.32600000000002</v>
      </c>
      <c r="O45" s="21">
        <f t="shared" ref="O45:O51" si="21">1/E45*100000000</f>
        <v>154919.86769843299</v>
      </c>
      <c r="P45" s="3">
        <f t="shared" ref="P45:P51" si="22">F45</f>
        <v>509.12400000000002</v>
      </c>
      <c r="Q45" s="17">
        <f t="shared" ref="Q45:Q51" si="23">G45*0.000001</f>
        <v>1.5318899999999997E-4</v>
      </c>
      <c r="R45" s="3">
        <f t="shared" ref="R45:R50" si="24">H45</f>
        <v>522.26400000000001</v>
      </c>
      <c r="S45" s="24">
        <f t="shared" ref="S45:S50" si="25">I45/1000*100</f>
        <v>2.1267100000000001</v>
      </c>
      <c r="T45" s="3">
        <f t="shared" ref="T45:T51" si="26">J45</f>
        <v>519.755</v>
      </c>
      <c r="U45" s="51">
        <f t="shared" ref="U45:U51" si="27">K45</f>
        <v>0.89386200000000005</v>
      </c>
      <c r="V45" s="42">
        <f t="shared" ref="V45:V49" si="28">((O45*(Q45)^2)/S45)*T45</f>
        <v>0.88849028293465426</v>
      </c>
      <c r="W45" s="49">
        <f t="shared" si="19"/>
        <v>6.0095597143024117E-3</v>
      </c>
    </row>
    <row r="46" spans="2:23" x14ac:dyDescent="0.6">
      <c r="B46" s="2"/>
      <c r="C46" s="1"/>
      <c r="D46" s="2">
        <v>561.16600000000005</v>
      </c>
      <c r="E46" s="1">
        <v>677.56399999999996</v>
      </c>
      <c r="F46" s="2">
        <v>558.23099999999999</v>
      </c>
      <c r="G46" s="1">
        <v>159.13800000000001</v>
      </c>
      <c r="H46" s="2">
        <v>573.58500000000004</v>
      </c>
      <c r="I46" s="1">
        <v>21.746600000000001</v>
      </c>
      <c r="J46" s="2">
        <v>571.351</v>
      </c>
      <c r="K46" s="1">
        <v>1.01197</v>
      </c>
      <c r="N46" s="3">
        <f t="shared" si="20"/>
        <v>561.16600000000005</v>
      </c>
      <c r="O46" s="21">
        <f t="shared" si="21"/>
        <v>147587.53416651418</v>
      </c>
      <c r="P46" s="3">
        <f t="shared" si="22"/>
        <v>558.23099999999999</v>
      </c>
      <c r="Q46" s="17">
        <f t="shared" si="23"/>
        <v>1.5913799999999999E-4</v>
      </c>
      <c r="R46" s="3">
        <f t="shared" si="24"/>
        <v>573.58500000000004</v>
      </c>
      <c r="S46" s="24">
        <f t="shared" si="25"/>
        <v>2.1746600000000003</v>
      </c>
      <c r="T46" s="3">
        <f t="shared" si="26"/>
        <v>571.351</v>
      </c>
      <c r="U46" s="51">
        <f t="shared" si="27"/>
        <v>1.01197</v>
      </c>
      <c r="V46" s="42">
        <f t="shared" si="28"/>
        <v>0.98199458664564232</v>
      </c>
      <c r="W46" s="49">
        <f t="shared" si="19"/>
        <v>2.9620851758804821E-2</v>
      </c>
    </row>
    <row r="47" spans="2:23" x14ac:dyDescent="0.6">
      <c r="B47" s="2"/>
      <c r="C47" s="1"/>
      <c r="D47" s="2">
        <v>605.74099999999999</v>
      </c>
      <c r="E47" s="1">
        <v>695.48400000000004</v>
      </c>
      <c r="F47" s="2">
        <v>609.11</v>
      </c>
      <c r="G47" s="1">
        <v>167.04300000000001</v>
      </c>
      <c r="H47" s="2">
        <v>624.90599999999995</v>
      </c>
      <c r="I47" s="1">
        <v>23.544499999999999</v>
      </c>
      <c r="J47" s="2">
        <v>620.44799999999998</v>
      </c>
      <c r="K47" s="1">
        <v>1.1174999999999999</v>
      </c>
      <c r="N47" s="3">
        <f t="shared" si="20"/>
        <v>605.74099999999999</v>
      </c>
      <c r="O47" s="21">
        <f t="shared" si="21"/>
        <v>143784.75996572169</v>
      </c>
      <c r="P47" s="3">
        <f t="shared" si="22"/>
        <v>609.11</v>
      </c>
      <c r="Q47" s="17">
        <f t="shared" si="23"/>
        <v>1.6704299999999999E-4</v>
      </c>
      <c r="R47" s="3">
        <f t="shared" si="24"/>
        <v>624.90599999999995</v>
      </c>
      <c r="S47" s="24">
        <f t="shared" si="25"/>
        <v>2.3544499999999999</v>
      </c>
      <c r="T47" s="3">
        <f t="shared" si="26"/>
        <v>620.44799999999998</v>
      </c>
      <c r="U47" s="51">
        <f t="shared" si="27"/>
        <v>1.1174999999999999</v>
      </c>
      <c r="V47" s="42">
        <f t="shared" si="28"/>
        <v>1.057268603954262</v>
      </c>
      <c r="W47" s="49">
        <f t="shared" si="19"/>
        <v>5.3898340980526094E-2</v>
      </c>
    </row>
    <row r="48" spans="2:23" x14ac:dyDescent="0.6">
      <c r="B48" s="2"/>
      <c r="C48" s="1"/>
      <c r="D48" s="2">
        <v>655.89099999999996</v>
      </c>
      <c r="E48" s="1">
        <v>713.44299999999998</v>
      </c>
      <c r="F48" s="2">
        <v>660.04300000000001</v>
      </c>
      <c r="G48" s="1">
        <v>172.99600000000001</v>
      </c>
      <c r="H48" s="2">
        <v>671.69799999999998</v>
      </c>
      <c r="I48" s="1">
        <v>24.503399999999999</v>
      </c>
      <c r="J48" s="2">
        <v>669.66200000000003</v>
      </c>
      <c r="K48" s="1">
        <v>1.1772</v>
      </c>
      <c r="N48" s="3">
        <f t="shared" si="20"/>
        <v>655.89099999999996</v>
      </c>
      <c r="O48" s="21">
        <f t="shared" si="21"/>
        <v>140165.36710010472</v>
      </c>
      <c r="P48" s="3">
        <f t="shared" si="22"/>
        <v>660.04300000000001</v>
      </c>
      <c r="Q48" s="17">
        <f t="shared" si="23"/>
        <v>1.72996E-4</v>
      </c>
      <c r="R48" s="3">
        <f t="shared" si="24"/>
        <v>671.69799999999998</v>
      </c>
      <c r="S48" s="24">
        <f t="shared" si="25"/>
        <v>2.4503399999999997</v>
      </c>
      <c r="T48" s="3">
        <f t="shared" si="26"/>
        <v>669.66200000000003</v>
      </c>
      <c r="U48" s="51">
        <f t="shared" si="27"/>
        <v>1.1772</v>
      </c>
      <c r="V48" s="42">
        <f t="shared" si="28"/>
        <v>1.1464157600960216</v>
      </c>
      <c r="W48" s="49">
        <f t="shared" si="19"/>
        <v>2.6150390676162403E-2</v>
      </c>
    </row>
    <row r="49" spans="2:23" x14ac:dyDescent="0.6">
      <c r="B49" s="2"/>
      <c r="C49" s="1"/>
      <c r="D49" s="2">
        <v>706.03499999999997</v>
      </c>
      <c r="E49" s="1">
        <v>734.923</v>
      </c>
      <c r="F49" s="2">
        <v>705.60699999999997</v>
      </c>
      <c r="G49" s="1">
        <v>175.036</v>
      </c>
      <c r="H49" s="2">
        <v>723.01900000000001</v>
      </c>
      <c r="I49" s="1">
        <v>24.982900000000001</v>
      </c>
      <c r="J49" s="2">
        <v>721.49300000000005</v>
      </c>
      <c r="K49" s="1">
        <v>1.20364</v>
      </c>
      <c r="N49" s="3">
        <f t="shared" si="20"/>
        <v>706.03499999999997</v>
      </c>
      <c r="O49" s="21">
        <f t="shared" si="21"/>
        <v>136068.67658244469</v>
      </c>
      <c r="P49" s="3">
        <f t="shared" si="22"/>
        <v>705.60699999999997</v>
      </c>
      <c r="Q49" s="17">
        <f t="shared" si="23"/>
        <v>1.75036E-4</v>
      </c>
      <c r="R49" s="3">
        <f t="shared" si="24"/>
        <v>723.01900000000001</v>
      </c>
      <c r="S49" s="24">
        <f t="shared" si="25"/>
        <v>2.4982900000000003</v>
      </c>
      <c r="T49" s="3">
        <f t="shared" si="26"/>
        <v>721.49300000000005</v>
      </c>
      <c r="U49" s="51">
        <f t="shared" si="27"/>
        <v>1.20364</v>
      </c>
      <c r="V49" s="42">
        <f t="shared" si="28"/>
        <v>1.2039326522194145</v>
      </c>
      <c r="W49" s="49">
        <f t="shared" si="19"/>
        <v>-2.4313932688713852E-4</v>
      </c>
    </row>
    <row r="50" spans="2:23" x14ac:dyDescent="0.6">
      <c r="B50" s="2"/>
      <c r="C50" s="1"/>
      <c r="D50" s="2">
        <v>756.20600000000002</v>
      </c>
      <c r="E50" s="1">
        <v>742.31899999999996</v>
      </c>
      <c r="F50" s="2">
        <v>754.86199999999997</v>
      </c>
      <c r="G50" s="1">
        <v>175.62</v>
      </c>
      <c r="H50" s="2">
        <v>809.05700000000002</v>
      </c>
      <c r="I50" s="1">
        <v>25.941800000000001</v>
      </c>
      <c r="J50" s="2">
        <v>770.79200000000003</v>
      </c>
      <c r="K50" s="1">
        <v>1.2300199999999999</v>
      </c>
      <c r="N50" s="3">
        <f t="shared" si="20"/>
        <v>756.20600000000002</v>
      </c>
      <c r="O50" s="21">
        <f t="shared" si="21"/>
        <v>134712.97380236801</v>
      </c>
      <c r="P50" s="3">
        <f t="shared" si="22"/>
        <v>754.86199999999997</v>
      </c>
      <c r="Q50" s="17">
        <f t="shared" si="23"/>
        <v>1.7562E-4</v>
      </c>
      <c r="R50" s="3">
        <f t="shared" si="24"/>
        <v>809.05700000000002</v>
      </c>
      <c r="S50" s="24">
        <f t="shared" si="25"/>
        <v>2.5941800000000002</v>
      </c>
      <c r="T50" s="3">
        <f t="shared" si="26"/>
        <v>770.79200000000003</v>
      </c>
      <c r="U50" s="51">
        <f t="shared" si="27"/>
        <v>1.2300199999999999</v>
      </c>
      <c r="V50" s="42">
        <f>((AVERAGE(O50,O51)*(AVERAGE(Q50,Q51))^2)/S50)*T50</f>
        <v>1.2343958663057417</v>
      </c>
      <c r="W50" s="49">
        <f t="shared" si="19"/>
        <v>-3.5575570362610586E-3</v>
      </c>
    </row>
    <row r="51" spans="2:23" x14ac:dyDescent="0.6">
      <c r="B51" s="2"/>
      <c r="C51" s="1"/>
      <c r="D51" s="2">
        <v>802.68100000000004</v>
      </c>
      <c r="E51" s="1">
        <v>739.125</v>
      </c>
      <c r="F51" s="2">
        <v>802.31799999999998</v>
      </c>
      <c r="G51" s="1">
        <v>175.22499999999999</v>
      </c>
      <c r="H51" s="2"/>
      <c r="I51" s="1"/>
      <c r="J51" s="2">
        <v>806.27499999999998</v>
      </c>
      <c r="K51" s="1">
        <v>1.2143299999999999</v>
      </c>
      <c r="N51" s="3">
        <f t="shared" si="20"/>
        <v>802.68100000000004</v>
      </c>
      <c r="O51" s="21">
        <f t="shared" si="21"/>
        <v>135295.11246406223</v>
      </c>
      <c r="P51" s="3">
        <f t="shared" si="22"/>
        <v>802.31799999999998</v>
      </c>
      <c r="Q51" s="17">
        <f t="shared" si="23"/>
        <v>1.7522499999999999E-4</v>
      </c>
      <c r="R51" s="3"/>
      <c r="S51" s="24"/>
      <c r="T51" s="3">
        <f t="shared" si="26"/>
        <v>806.27499999999998</v>
      </c>
      <c r="U51" s="51">
        <f t="shared" si="27"/>
        <v>1.2143299999999999</v>
      </c>
      <c r="V51" s="42">
        <f>((O51*(Q51)^2)/S50)*T51</f>
        <v>1.291092423136498</v>
      </c>
      <c r="W51" s="49">
        <f t="shared" si="19"/>
        <v>-6.3213807726481316E-2</v>
      </c>
    </row>
    <row r="52" spans="2:23" x14ac:dyDescent="0.6">
      <c r="O52"/>
      <c r="Q52"/>
      <c r="S52"/>
      <c r="U52"/>
    </row>
    <row r="53" spans="2:23" x14ac:dyDescent="0.6">
      <c r="O53"/>
      <c r="Q53"/>
      <c r="S53"/>
      <c r="U53"/>
    </row>
    <row r="54" spans="2:23" x14ac:dyDescent="0.6">
      <c r="O54"/>
      <c r="Q54"/>
      <c r="S54"/>
      <c r="U54"/>
    </row>
    <row r="55" spans="2:23" x14ac:dyDescent="0.6">
      <c r="O55"/>
      <c r="Q55"/>
      <c r="S55"/>
      <c r="U55"/>
    </row>
    <row r="56" spans="2:23" x14ac:dyDescent="0.6">
      <c r="O56"/>
      <c r="Q56"/>
      <c r="S56"/>
      <c r="U56"/>
    </row>
    <row r="57" spans="2:23" x14ac:dyDescent="0.6">
      <c r="O57"/>
      <c r="Q57"/>
      <c r="S57"/>
      <c r="U57"/>
    </row>
    <row r="58" spans="2:23" x14ac:dyDescent="0.6">
      <c r="O58"/>
      <c r="Q58"/>
      <c r="S58"/>
      <c r="U58"/>
    </row>
    <row r="59" spans="2:23" x14ac:dyDescent="0.6">
      <c r="O59"/>
      <c r="Q59"/>
      <c r="S59"/>
      <c r="U59"/>
    </row>
    <row r="60" spans="2:23" x14ac:dyDescent="0.6">
      <c r="O60"/>
      <c r="Q60"/>
      <c r="S60"/>
      <c r="U60"/>
    </row>
    <row r="61" spans="2:23" x14ac:dyDescent="0.6">
      <c r="O61"/>
      <c r="Q61"/>
      <c r="S61"/>
      <c r="U61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1"/>
  </sheetPr>
  <dimension ref="A1:W3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51</v>
      </c>
      <c r="M5" s="13"/>
      <c r="N5" s="68" t="s">
        <v>52</v>
      </c>
    </row>
    <row r="6" spans="1:23" ht="17.25" thickBot="1" x14ac:dyDescent="0.65">
      <c r="A6" s="13"/>
      <c r="M6" s="13"/>
    </row>
    <row r="7" spans="1:23" x14ac:dyDescent="0.6">
      <c r="B7" s="5" t="s">
        <v>53</v>
      </c>
      <c r="C7" s="6" t="s">
        <v>54</v>
      </c>
      <c r="D7" s="7" t="s">
        <v>53</v>
      </c>
      <c r="E7" s="6" t="s">
        <v>55</v>
      </c>
      <c r="F7" s="7" t="s">
        <v>53</v>
      </c>
      <c r="G7" s="6" t="s">
        <v>56</v>
      </c>
      <c r="H7" s="7" t="s">
        <v>53</v>
      </c>
      <c r="I7" s="6" t="s">
        <v>57</v>
      </c>
      <c r="J7" s="7" t="s">
        <v>53</v>
      </c>
      <c r="K7" s="8" t="s">
        <v>58</v>
      </c>
      <c r="N7" s="5" t="s">
        <v>53</v>
      </c>
      <c r="O7" s="19" t="s">
        <v>54</v>
      </c>
      <c r="P7" s="7" t="s">
        <v>53</v>
      </c>
      <c r="Q7" s="15" t="s">
        <v>56</v>
      </c>
      <c r="R7" s="7" t="s">
        <v>53</v>
      </c>
      <c r="S7" s="23" t="s">
        <v>57</v>
      </c>
      <c r="T7" s="7" t="s">
        <v>53</v>
      </c>
      <c r="U7" s="25" t="s">
        <v>58</v>
      </c>
    </row>
    <row r="8" spans="1:23" ht="17.25" thickBot="1" x14ac:dyDescent="0.65">
      <c r="B8" s="9" t="s">
        <v>59</v>
      </c>
      <c r="C8" s="10" t="s">
        <v>60</v>
      </c>
      <c r="D8" s="11" t="s">
        <v>59</v>
      </c>
      <c r="E8" s="10" t="s">
        <v>61</v>
      </c>
      <c r="F8" s="11" t="s">
        <v>59</v>
      </c>
      <c r="G8" s="27" t="s">
        <v>62</v>
      </c>
      <c r="H8" s="11" t="s">
        <v>59</v>
      </c>
      <c r="I8" s="10" t="s">
        <v>63</v>
      </c>
      <c r="J8" s="11" t="s">
        <v>59</v>
      </c>
      <c r="K8" s="12" t="s">
        <v>64</v>
      </c>
      <c r="N8" s="9" t="s">
        <v>59</v>
      </c>
      <c r="O8" s="20" t="s">
        <v>65</v>
      </c>
      <c r="P8" s="11" t="s">
        <v>59</v>
      </c>
      <c r="Q8" s="16" t="s">
        <v>66</v>
      </c>
      <c r="R8" s="11" t="s">
        <v>59</v>
      </c>
      <c r="S8" s="10" t="s">
        <v>67</v>
      </c>
      <c r="T8" s="11" t="s">
        <v>59</v>
      </c>
      <c r="U8" s="26" t="s">
        <v>64</v>
      </c>
      <c r="W8" t="s">
        <v>78</v>
      </c>
    </row>
    <row r="9" spans="1:23" x14ac:dyDescent="0.6">
      <c r="B9" s="3"/>
      <c r="C9" s="4"/>
      <c r="D9" s="3">
        <v>293.81570810142199</v>
      </c>
      <c r="E9" s="4">
        <v>790.78260869565202</v>
      </c>
      <c r="F9" s="3">
        <v>293.50649350649297</v>
      </c>
      <c r="G9" s="4">
        <v>-120.79077429983499</v>
      </c>
      <c r="H9" s="3">
        <v>423.84428223844202</v>
      </c>
      <c r="I9" s="4">
        <v>16.079812206572701</v>
      </c>
      <c r="J9" s="3">
        <v>423.70370370370301</v>
      </c>
      <c r="K9" s="4">
        <v>0.65524934383202005</v>
      </c>
      <c r="N9" s="3">
        <f>D9</f>
        <v>293.81570810142199</v>
      </c>
      <c r="O9" s="21">
        <f>1/(E9*(10^(-6))*(10^(-2)))</f>
        <v>126457.00461842977</v>
      </c>
      <c r="P9" s="3">
        <f>F9</f>
        <v>293.50649350649297</v>
      </c>
      <c r="Q9" s="17">
        <f>G9*(10^(-6))</f>
        <v>-1.2079077429983498E-4</v>
      </c>
      <c r="R9" s="3">
        <f>H9</f>
        <v>423.84428223844202</v>
      </c>
      <c r="S9" s="24">
        <f>I9*(10^(-3))/(10^(-2))</f>
        <v>1.6079812206572701</v>
      </c>
      <c r="T9" s="3">
        <f>J9</f>
        <v>423.70370370370301</v>
      </c>
      <c r="U9" s="51">
        <f>K9</f>
        <v>0.65524934383202005</v>
      </c>
      <c r="V9" s="42">
        <f>((O12*(Q12)^2)/S9)*T9</f>
        <v>0.65195401750393334</v>
      </c>
      <c r="W9" s="49">
        <f t="shared" ref="W9:W17" si="0">(U9-V9)/U9</f>
        <v>5.0291180893292167E-3</v>
      </c>
    </row>
    <row r="10" spans="1:23" x14ac:dyDescent="0.6">
      <c r="B10" s="3"/>
      <c r="C10" s="4"/>
      <c r="D10" s="3">
        <v>321.02659245516298</v>
      </c>
      <c r="E10" s="4">
        <v>808.52173913043396</v>
      </c>
      <c r="F10" s="3">
        <v>320.40816326530597</v>
      </c>
      <c r="G10" s="4">
        <v>-127.84184514003201</v>
      </c>
      <c r="H10" s="3">
        <v>473.96593673965901</v>
      </c>
      <c r="I10" s="4">
        <v>17.9812206572769</v>
      </c>
      <c r="J10" s="3">
        <v>473.82716049382702</v>
      </c>
      <c r="K10" s="4">
        <v>0.70485564304461901</v>
      </c>
      <c r="N10" s="3">
        <f t="shared" ref="N10:N20" si="1">D10</f>
        <v>321.02659245516298</v>
      </c>
      <c r="O10" s="21">
        <f t="shared" ref="O10:O20" si="2">1/(E10*(10^(-6))*(10^(-2)))</f>
        <v>123682.51236825137</v>
      </c>
      <c r="P10" s="3">
        <f t="shared" ref="P10:P20" si="3">F10</f>
        <v>320.40816326530597</v>
      </c>
      <c r="Q10" s="17">
        <f t="shared" ref="Q10:Q20" si="4">G10*(10^(-6))</f>
        <v>-1.27841845140032E-4</v>
      </c>
      <c r="R10" s="3">
        <f t="shared" ref="R10:U17" si="5">H10</f>
        <v>473.96593673965901</v>
      </c>
      <c r="S10" s="24">
        <f t="shared" ref="S10:S17" si="6">I10*(10^(-3))/(10^(-2))</f>
        <v>1.7981220657276897</v>
      </c>
      <c r="T10" s="3">
        <f t="shared" si="5"/>
        <v>473.82716049382702</v>
      </c>
      <c r="U10" s="51">
        <f t="shared" si="5"/>
        <v>0.70485564304461901</v>
      </c>
      <c r="V10" s="42">
        <f t="shared" ref="V10:V17" si="7">((O13*(Q13)^2)/S10)*T10</f>
        <v>0.70512028263906057</v>
      </c>
      <c r="W10" s="49">
        <f t="shared" si="0"/>
        <v>-3.7545218947024898E-4</v>
      </c>
    </row>
    <row r="11" spans="1:23" x14ac:dyDescent="0.6">
      <c r="B11" s="2"/>
      <c r="C11" s="1"/>
      <c r="D11" s="2">
        <v>371.73778602350001</v>
      </c>
      <c r="E11" s="1">
        <v>847.65217391304304</v>
      </c>
      <c r="F11" s="2">
        <v>372.04700061842902</v>
      </c>
      <c r="G11" s="1">
        <v>-137.85831960461201</v>
      </c>
      <c r="H11" s="2">
        <v>523.60097323600905</v>
      </c>
      <c r="I11" s="1">
        <v>18.004694835680699</v>
      </c>
      <c r="J11" s="2">
        <v>523.70370370370301</v>
      </c>
      <c r="K11" s="1">
        <v>0.86469816272965805</v>
      </c>
      <c r="N11" s="3">
        <f t="shared" si="1"/>
        <v>371.73778602350001</v>
      </c>
      <c r="O11" s="21">
        <f t="shared" si="2"/>
        <v>117972.91752154296</v>
      </c>
      <c r="P11" s="3">
        <f t="shared" si="3"/>
        <v>372.04700061842902</v>
      </c>
      <c r="Q11" s="17">
        <f t="shared" si="4"/>
        <v>-1.3785831960461199E-4</v>
      </c>
      <c r="R11" s="3">
        <f t="shared" si="5"/>
        <v>523.60097323600905</v>
      </c>
      <c r="S11" s="24">
        <f t="shared" si="6"/>
        <v>1.8004694835680699</v>
      </c>
      <c r="T11" s="3">
        <f t="shared" si="5"/>
        <v>523.70370370370301</v>
      </c>
      <c r="U11" s="51">
        <f t="shared" si="5"/>
        <v>0.86469816272965805</v>
      </c>
      <c r="V11" s="42">
        <f t="shared" si="7"/>
        <v>0.86305704831679686</v>
      </c>
      <c r="W11" s="49">
        <f t="shared" si="0"/>
        <v>1.8979043596907374E-3</v>
      </c>
    </row>
    <row r="12" spans="1:23" x14ac:dyDescent="0.6">
      <c r="B12" s="2"/>
      <c r="C12" s="1"/>
      <c r="D12" s="2">
        <v>425.23191094619602</v>
      </c>
      <c r="E12" s="1">
        <v>895.65217391304304</v>
      </c>
      <c r="F12" s="2">
        <v>425.23191094619602</v>
      </c>
      <c r="G12" s="1">
        <v>-148.863261943986</v>
      </c>
      <c r="H12" s="2">
        <v>573.96593673965901</v>
      </c>
      <c r="I12" s="1">
        <v>17.582159624413102</v>
      </c>
      <c r="J12" s="2">
        <v>573.82716049382702</v>
      </c>
      <c r="K12" s="1">
        <v>1.03556430446194</v>
      </c>
      <c r="N12" s="3">
        <f t="shared" si="1"/>
        <v>425.23191094619602</v>
      </c>
      <c r="O12" s="21">
        <f t="shared" si="2"/>
        <v>111650.48543689326</v>
      </c>
      <c r="P12" s="3">
        <f t="shared" si="3"/>
        <v>425.23191094619602</v>
      </c>
      <c r="Q12" s="17">
        <f t="shared" si="4"/>
        <v>-1.4886326194398601E-4</v>
      </c>
      <c r="R12" s="3">
        <f t="shared" si="5"/>
        <v>573.96593673965901</v>
      </c>
      <c r="S12" s="24">
        <f t="shared" si="6"/>
        <v>1.7582159624413101</v>
      </c>
      <c r="T12" s="3">
        <f t="shared" si="5"/>
        <v>573.82716049382702</v>
      </c>
      <c r="U12" s="51">
        <f t="shared" si="5"/>
        <v>1.03556430446194</v>
      </c>
      <c r="V12" s="42">
        <f t="shared" si="7"/>
        <v>1.0385364133106862</v>
      </c>
      <c r="W12" s="49">
        <f t="shared" si="0"/>
        <v>-2.8700379454373584E-3</v>
      </c>
    </row>
    <row r="13" spans="1:23" x14ac:dyDescent="0.6">
      <c r="B13" s="2"/>
      <c r="C13" s="1"/>
      <c r="D13" s="2">
        <v>476.25231910946098</v>
      </c>
      <c r="E13" s="1">
        <v>931.65217391304304</v>
      </c>
      <c r="F13" s="2">
        <v>476.25231910946098</v>
      </c>
      <c r="G13" s="1">
        <v>-157.89126853377201</v>
      </c>
      <c r="H13" s="2">
        <v>624.08759124087601</v>
      </c>
      <c r="I13" s="1">
        <v>17.793427230046898</v>
      </c>
      <c r="J13" s="2">
        <v>623.70370370370301</v>
      </c>
      <c r="K13" s="1">
        <v>1.25603674540682</v>
      </c>
      <c r="N13" s="3">
        <f t="shared" si="1"/>
        <v>476.25231910946098</v>
      </c>
      <c r="O13" s="21">
        <f t="shared" si="2"/>
        <v>107336.19563188357</v>
      </c>
      <c r="P13" s="3">
        <f t="shared" si="3"/>
        <v>476.25231910946098</v>
      </c>
      <c r="Q13" s="17">
        <f t="shared" si="4"/>
        <v>-1.57891268533772E-4</v>
      </c>
      <c r="R13" s="3">
        <f t="shared" si="5"/>
        <v>624.08759124087601</v>
      </c>
      <c r="S13" s="24">
        <f t="shared" si="6"/>
        <v>1.7793427230046899</v>
      </c>
      <c r="T13" s="3">
        <f t="shared" si="5"/>
        <v>623.70370370370301</v>
      </c>
      <c r="U13" s="51">
        <f t="shared" si="5"/>
        <v>1.25603674540682</v>
      </c>
      <c r="V13" s="42">
        <f t="shared" si="7"/>
        <v>1.257733181937946</v>
      </c>
      <c r="W13" s="49">
        <f t="shared" si="0"/>
        <v>-1.3506265141762183E-3</v>
      </c>
    </row>
    <row r="14" spans="1:23" x14ac:dyDescent="0.6">
      <c r="B14" s="2"/>
      <c r="C14" s="1"/>
      <c r="D14" s="2">
        <v>528.50958565244196</v>
      </c>
      <c r="E14" s="1">
        <v>961.39130434782601</v>
      </c>
      <c r="F14" s="2">
        <v>528.50958565244196</v>
      </c>
      <c r="G14" s="1">
        <v>-168.896210873146</v>
      </c>
      <c r="H14" s="2">
        <v>673.72262773722605</v>
      </c>
      <c r="I14" s="1">
        <v>19.295774647887299</v>
      </c>
      <c r="J14" s="2">
        <v>674.07407407407402</v>
      </c>
      <c r="K14" s="1">
        <v>1.3524934383202001</v>
      </c>
      <c r="N14" s="3">
        <f t="shared" si="1"/>
        <v>528.50958565244196</v>
      </c>
      <c r="O14" s="21">
        <f t="shared" si="2"/>
        <v>104015.91895803186</v>
      </c>
      <c r="P14" s="3">
        <f t="shared" si="3"/>
        <v>528.50958565244196</v>
      </c>
      <c r="Q14" s="17">
        <f t="shared" si="4"/>
        <v>-1.6889621087314599E-4</v>
      </c>
      <c r="R14" s="3">
        <f t="shared" si="5"/>
        <v>673.72262773722605</v>
      </c>
      <c r="S14" s="24">
        <f t="shared" si="6"/>
        <v>1.92957746478873</v>
      </c>
      <c r="T14" s="3">
        <f t="shared" si="5"/>
        <v>674.07407407407402</v>
      </c>
      <c r="U14" s="51">
        <f t="shared" si="5"/>
        <v>1.3524934383202001</v>
      </c>
      <c r="V14" s="42">
        <f t="shared" si="7"/>
        <v>1.3628858741835879</v>
      </c>
      <c r="W14" s="49">
        <f t="shared" si="0"/>
        <v>-7.6839085269760805E-3</v>
      </c>
    </row>
    <row r="15" spans="1:23" x14ac:dyDescent="0.6">
      <c r="B15" s="2"/>
      <c r="C15" s="1"/>
      <c r="D15" s="2">
        <v>580.14842300556495</v>
      </c>
      <c r="E15" s="1">
        <v>983.82608695652095</v>
      </c>
      <c r="F15" s="2">
        <v>580.14842300556495</v>
      </c>
      <c r="G15" s="1">
        <v>-176.93574958813801</v>
      </c>
      <c r="H15" s="2">
        <v>723.84428223844202</v>
      </c>
      <c r="I15" s="1">
        <v>19.4131455399061</v>
      </c>
      <c r="J15" s="2">
        <v>723.70370370370301</v>
      </c>
      <c r="K15" s="1">
        <v>1.6179790026246701</v>
      </c>
      <c r="N15" s="3">
        <f t="shared" si="1"/>
        <v>580.14842300556495</v>
      </c>
      <c r="O15" s="21">
        <f t="shared" si="2"/>
        <v>101643.98090860889</v>
      </c>
      <c r="P15" s="3">
        <f t="shared" si="3"/>
        <v>580.14842300556495</v>
      </c>
      <c r="Q15" s="17">
        <f t="shared" si="4"/>
        <v>-1.7693574958813801E-4</v>
      </c>
      <c r="R15" s="3">
        <f t="shared" si="5"/>
        <v>723.84428223844202</v>
      </c>
      <c r="S15" s="24">
        <f t="shared" si="6"/>
        <v>1.9413145539906103</v>
      </c>
      <c r="T15" s="3">
        <f t="shared" si="5"/>
        <v>723.70370370370301</v>
      </c>
      <c r="U15" s="51">
        <f t="shared" si="5"/>
        <v>1.6179790026246701</v>
      </c>
      <c r="V15" s="42">
        <f t="shared" si="7"/>
        <v>1.5973817877736776</v>
      </c>
      <c r="W15" s="49">
        <f t="shared" si="0"/>
        <v>1.2730211466020217E-2</v>
      </c>
    </row>
    <row r="16" spans="1:23" x14ac:dyDescent="0.6">
      <c r="B16" s="2"/>
      <c r="C16" s="1"/>
      <c r="D16" s="2">
        <v>630.55040197897301</v>
      </c>
      <c r="E16" s="1">
        <v>994.78260869565202</v>
      </c>
      <c r="F16" s="2">
        <v>630.55040197897301</v>
      </c>
      <c r="G16" s="1">
        <v>-188.929159802306</v>
      </c>
      <c r="H16" s="2">
        <v>773.96593673965901</v>
      </c>
      <c r="I16" s="1">
        <v>19.483568075117301</v>
      </c>
      <c r="J16" s="2">
        <v>774.07407407407402</v>
      </c>
      <c r="K16" s="1">
        <v>1.8118110236220399</v>
      </c>
      <c r="N16" s="3">
        <f t="shared" si="1"/>
        <v>630.55040197897301</v>
      </c>
      <c r="O16" s="21">
        <f t="shared" si="2"/>
        <v>100524.47552447555</v>
      </c>
      <c r="P16" s="3">
        <f t="shared" si="3"/>
        <v>630.55040197897301</v>
      </c>
      <c r="Q16" s="17">
        <f t="shared" si="4"/>
        <v>-1.88929159802306E-4</v>
      </c>
      <c r="R16" s="3">
        <f t="shared" si="5"/>
        <v>773.96593673965901</v>
      </c>
      <c r="S16" s="24">
        <f t="shared" si="6"/>
        <v>1.9483568075117301</v>
      </c>
      <c r="T16" s="3">
        <f t="shared" si="5"/>
        <v>774.07407407407402</v>
      </c>
      <c r="U16" s="51">
        <f t="shared" si="5"/>
        <v>1.8118110236220399</v>
      </c>
      <c r="V16" s="42">
        <f t="shared" si="7"/>
        <v>1.7963629822209508</v>
      </c>
      <c r="W16" s="49">
        <f t="shared" si="0"/>
        <v>8.5262983830435776E-3</v>
      </c>
    </row>
    <row r="17" spans="2:23" x14ac:dyDescent="0.6">
      <c r="B17" s="2"/>
      <c r="C17" s="1"/>
      <c r="D17" s="2">
        <v>681.57081014223797</v>
      </c>
      <c r="E17" s="1">
        <v>983.82608695652095</v>
      </c>
      <c r="F17" s="2">
        <v>681.57081014223797</v>
      </c>
      <c r="G17" s="1">
        <v>-195.91433278418401</v>
      </c>
      <c r="H17" s="2">
        <v>822.87104622871004</v>
      </c>
      <c r="I17" s="1">
        <v>20.5164319248826</v>
      </c>
      <c r="J17" s="2">
        <v>832.09876543209805</v>
      </c>
      <c r="K17" s="1">
        <v>1.90275590551181</v>
      </c>
      <c r="N17" s="3">
        <f t="shared" si="1"/>
        <v>681.57081014223797</v>
      </c>
      <c r="O17" s="21">
        <f t="shared" si="2"/>
        <v>101643.98090860889</v>
      </c>
      <c r="P17" s="3">
        <f t="shared" si="3"/>
        <v>681.57081014223797</v>
      </c>
      <c r="Q17" s="17">
        <f t="shared" si="4"/>
        <v>-1.9591433278418399E-4</v>
      </c>
      <c r="R17" s="3">
        <f t="shared" si="5"/>
        <v>822.87104622871004</v>
      </c>
      <c r="S17" s="24">
        <f t="shared" si="6"/>
        <v>2.0516431924882599</v>
      </c>
      <c r="T17" s="3">
        <f t="shared" si="5"/>
        <v>832.09876543209805</v>
      </c>
      <c r="U17" s="51">
        <f t="shared" si="5"/>
        <v>1.90275590551181</v>
      </c>
      <c r="V17" s="42">
        <f t="shared" si="7"/>
        <v>1.796897273476399</v>
      </c>
      <c r="W17" s="49">
        <f t="shared" si="0"/>
        <v>5.5634373136756433E-2</v>
      </c>
    </row>
    <row r="18" spans="2:23" x14ac:dyDescent="0.6">
      <c r="D18" s="2">
        <v>730.73593073592997</v>
      </c>
      <c r="E18" s="1">
        <v>961.39130434782601</v>
      </c>
      <c r="F18" s="2">
        <v>730.73593073592997</v>
      </c>
      <c r="G18" s="1">
        <v>-202.96540362438199</v>
      </c>
      <c r="N18" s="3">
        <f t="shared" si="1"/>
        <v>730.73593073592997</v>
      </c>
      <c r="O18" s="21">
        <f t="shared" si="2"/>
        <v>104015.91895803186</v>
      </c>
      <c r="P18" s="3">
        <f t="shared" si="3"/>
        <v>730.73593073592997</v>
      </c>
      <c r="Q18" s="17">
        <f t="shared" si="4"/>
        <v>-2.0296540362438198E-4</v>
      </c>
      <c r="V18"/>
    </row>
    <row r="19" spans="2:23" x14ac:dyDescent="0.6">
      <c r="D19" s="2">
        <v>781.44712430426705</v>
      </c>
      <c r="E19" s="1">
        <v>937.91304347826099</v>
      </c>
      <c r="F19" s="2">
        <v>781.44712430426705</v>
      </c>
      <c r="G19" s="1">
        <v>-205.93080724876401</v>
      </c>
      <c r="N19" s="3">
        <f t="shared" si="1"/>
        <v>781.44712430426705</v>
      </c>
      <c r="O19" s="21">
        <f t="shared" si="2"/>
        <v>106619.69219358425</v>
      </c>
      <c r="P19" s="3">
        <f t="shared" si="3"/>
        <v>781.44712430426705</v>
      </c>
      <c r="Q19" s="17">
        <f t="shared" si="4"/>
        <v>-2.0593080724876401E-4</v>
      </c>
      <c r="V19"/>
    </row>
    <row r="20" spans="2:23" x14ac:dyDescent="0.6">
      <c r="D20" s="2">
        <v>832.15831787260299</v>
      </c>
      <c r="E20" s="1">
        <v>920.17391304347802</v>
      </c>
      <c r="F20" s="2">
        <v>832.15831787260299</v>
      </c>
      <c r="G20" s="1">
        <v>-201.91103789126799</v>
      </c>
      <c r="N20" s="3">
        <f t="shared" si="1"/>
        <v>832.15831787260299</v>
      </c>
      <c r="O20" s="21">
        <f t="shared" si="2"/>
        <v>108675.1086751087</v>
      </c>
      <c r="P20" s="3">
        <f t="shared" si="3"/>
        <v>832.15831787260299</v>
      </c>
      <c r="Q20" s="17">
        <f t="shared" si="4"/>
        <v>-2.0191103789126799E-4</v>
      </c>
      <c r="S20"/>
      <c r="U20"/>
      <c r="V20"/>
    </row>
    <row r="21" spans="2:23" x14ac:dyDescent="0.6">
      <c r="O21"/>
      <c r="Q21"/>
      <c r="S21"/>
      <c r="U21"/>
      <c r="V21"/>
    </row>
    <row r="23" spans="2:23" ht="17.25" thickBot="1" x14ac:dyDescent="0.65">
      <c r="B23" t="s">
        <v>79</v>
      </c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10</v>
      </c>
      <c r="D25" s="11" t="s">
        <v>4</v>
      </c>
      <c r="E25" s="10" t="s">
        <v>50</v>
      </c>
      <c r="F25" s="11" t="s">
        <v>4</v>
      </c>
      <c r="G25" s="27" t="s">
        <v>13</v>
      </c>
      <c r="H25" s="11" t="s">
        <v>4</v>
      </c>
      <c r="I25" s="10" t="s">
        <v>37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>
        <v>420.53199999999998</v>
      </c>
      <c r="E26" s="4">
        <v>905.09699999999998</v>
      </c>
      <c r="F26" s="3">
        <v>421.75299999999999</v>
      </c>
      <c r="G26" s="4">
        <v>-149.084</v>
      </c>
      <c r="H26" s="3">
        <v>425.435</v>
      </c>
      <c r="I26" s="4">
        <v>16.3994</v>
      </c>
      <c r="J26" s="3">
        <v>420.73200000000003</v>
      </c>
      <c r="K26" s="4">
        <v>0.659941</v>
      </c>
      <c r="N26" s="3">
        <f>D26</f>
        <v>420.53199999999998</v>
      </c>
      <c r="O26" s="21">
        <f>1/E26*100000000</f>
        <v>110485.39548799742</v>
      </c>
      <c r="P26" s="3">
        <f>F26</f>
        <v>421.75299999999999</v>
      </c>
      <c r="Q26" s="17">
        <f>G26*0.000001</f>
        <v>-1.4908399999999998E-4</v>
      </c>
      <c r="R26" s="3">
        <f>H26</f>
        <v>425.435</v>
      </c>
      <c r="S26" s="24">
        <f>I26/1000*100</f>
        <v>1.6399400000000002</v>
      </c>
      <c r="T26" s="3">
        <f>J26</f>
        <v>420.73200000000003</v>
      </c>
      <c r="U26" s="51">
        <f>K26</f>
        <v>0.659941</v>
      </c>
      <c r="V26" s="42">
        <f>((O26*(Q26)^2)/S26)*T26</f>
        <v>0.63000577959301096</v>
      </c>
      <c r="W26" s="49">
        <f t="shared" ref="W26:W34" si="8">(U26-V26)/U26</f>
        <v>4.5360449505317958E-2</v>
      </c>
    </row>
    <row r="27" spans="2:23" x14ac:dyDescent="0.6">
      <c r="B27" s="3"/>
      <c r="C27" s="4"/>
      <c r="D27" s="3">
        <v>472.48500000000001</v>
      </c>
      <c r="E27" s="4">
        <v>936.26900000000001</v>
      </c>
      <c r="F27" s="3">
        <v>472.178</v>
      </c>
      <c r="G27" s="4">
        <v>-158.25899999999999</v>
      </c>
      <c r="H27" s="3">
        <v>474.82100000000003</v>
      </c>
      <c r="I27" s="4">
        <v>18.385999999999999</v>
      </c>
      <c r="J27" s="3">
        <v>476.16899999999998</v>
      </c>
      <c r="K27" s="4">
        <v>0.71139300000000005</v>
      </c>
      <c r="N27" s="3">
        <f t="shared" ref="N27:N34" si="9">D27</f>
        <v>472.48500000000001</v>
      </c>
      <c r="O27" s="21">
        <f t="shared" ref="O27:O34" si="10">1/E27*100000000</f>
        <v>106806.91126161392</v>
      </c>
      <c r="P27" s="3">
        <f t="shared" ref="P27:P34" si="11">F27</f>
        <v>472.178</v>
      </c>
      <c r="Q27" s="17">
        <f t="shared" ref="Q27:Q34" si="12">G27*0.000001</f>
        <v>-1.5825899999999998E-4</v>
      </c>
      <c r="R27" s="3">
        <f t="shared" ref="R27:R34" si="13">H27</f>
        <v>474.82100000000003</v>
      </c>
      <c r="S27" s="24">
        <f t="shared" ref="S27:S34" si="14">I27/1000*100</f>
        <v>1.8386</v>
      </c>
      <c r="T27" s="3">
        <f t="shared" ref="T27:T34" si="15">J27</f>
        <v>476.16899999999998</v>
      </c>
      <c r="U27" s="51">
        <f t="shared" ref="U27:U34" si="16">K27</f>
        <v>0.71139300000000005</v>
      </c>
      <c r="V27" s="42">
        <f t="shared" ref="V27:V34" si="17">((O27*(Q27)^2)/S27)*T27</f>
        <v>0.6928034675319461</v>
      </c>
      <c r="W27" s="49">
        <f t="shared" si="8"/>
        <v>2.6131171473508942E-2</v>
      </c>
    </row>
    <row r="28" spans="2:23" x14ac:dyDescent="0.6">
      <c r="B28" s="2"/>
      <c r="C28" s="1"/>
      <c r="D28" s="2">
        <v>528.97299999999996</v>
      </c>
      <c r="E28" s="1">
        <v>963.62900000000002</v>
      </c>
      <c r="F28" s="2">
        <v>527.21100000000001</v>
      </c>
      <c r="G28" s="1">
        <v>-169.37200000000001</v>
      </c>
      <c r="H28" s="2">
        <v>524.1</v>
      </c>
      <c r="I28" s="1">
        <v>18.180900000000001</v>
      </c>
      <c r="J28" s="2">
        <v>525.72699999999998</v>
      </c>
      <c r="K28" s="1">
        <v>0.87085199999999996</v>
      </c>
      <c r="N28" s="3">
        <f t="shared" si="9"/>
        <v>528.97299999999996</v>
      </c>
      <c r="O28" s="21">
        <f t="shared" si="10"/>
        <v>103774.3778985481</v>
      </c>
      <c r="P28" s="3">
        <f t="shared" si="11"/>
        <v>527.21100000000001</v>
      </c>
      <c r="Q28" s="17">
        <f t="shared" si="12"/>
        <v>-1.6937200000000002E-4</v>
      </c>
      <c r="R28" s="3">
        <f t="shared" si="13"/>
        <v>524.1</v>
      </c>
      <c r="S28" s="24">
        <f t="shared" si="14"/>
        <v>1.81809</v>
      </c>
      <c r="T28" s="3">
        <f t="shared" si="15"/>
        <v>525.72699999999998</v>
      </c>
      <c r="U28" s="51">
        <f t="shared" si="16"/>
        <v>0.87085199999999996</v>
      </c>
      <c r="V28" s="42">
        <f t="shared" si="17"/>
        <v>0.86083174478261937</v>
      </c>
      <c r="W28" s="49">
        <f t="shared" si="8"/>
        <v>1.1506266526781349E-2</v>
      </c>
    </row>
    <row r="29" spans="2:23" x14ac:dyDescent="0.6">
      <c r="B29" s="2"/>
      <c r="C29" s="1"/>
      <c r="D29" s="2">
        <v>578.67399999999998</v>
      </c>
      <c r="E29" s="1">
        <v>990.93700000000001</v>
      </c>
      <c r="F29" s="2">
        <v>577.62599999999998</v>
      </c>
      <c r="G29" s="1">
        <v>-178.06100000000001</v>
      </c>
      <c r="H29" s="2">
        <v>569.59699999999998</v>
      </c>
      <c r="I29" s="1">
        <v>18.1601</v>
      </c>
      <c r="J29" s="2">
        <v>575.27599999999995</v>
      </c>
      <c r="K29" s="1">
        <v>1.03752</v>
      </c>
      <c r="N29" s="3">
        <f t="shared" si="9"/>
        <v>578.67399999999998</v>
      </c>
      <c r="O29" s="21">
        <f t="shared" si="10"/>
        <v>100914.5889193763</v>
      </c>
      <c r="P29" s="3">
        <f t="shared" si="11"/>
        <v>577.62599999999998</v>
      </c>
      <c r="Q29" s="17">
        <f t="shared" si="12"/>
        <v>-1.78061E-4</v>
      </c>
      <c r="R29" s="3">
        <f t="shared" si="13"/>
        <v>569.59699999999998</v>
      </c>
      <c r="S29" s="24">
        <f t="shared" si="14"/>
        <v>1.8160099999999999</v>
      </c>
      <c r="T29" s="3">
        <f t="shared" si="15"/>
        <v>575.27599999999995</v>
      </c>
      <c r="U29" s="51">
        <f t="shared" si="16"/>
        <v>1.03752</v>
      </c>
      <c r="V29" s="42">
        <f t="shared" si="17"/>
        <v>1.0135603012379595</v>
      </c>
      <c r="W29" s="49">
        <f t="shared" si="8"/>
        <v>2.3093240382875045E-2</v>
      </c>
    </row>
    <row r="30" spans="2:23" x14ac:dyDescent="0.6">
      <c r="B30" s="2"/>
      <c r="C30" s="1"/>
      <c r="D30" s="2">
        <v>623.89099999999996</v>
      </c>
      <c r="E30" s="1">
        <v>1002.82</v>
      </c>
      <c r="F30" s="2">
        <v>632.65899999999999</v>
      </c>
      <c r="G30" s="1">
        <v>-189.17400000000001</v>
      </c>
      <c r="H30" s="2">
        <v>616.98</v>
      </c>
      <c r="I30" s="1">
        <v>17.9558</v>
      </c>
      <c r="J30" s="2">
        <v>626.66499999999996</v>
      </c>
      <c r="K30" s="1">
        <v>1.2618799999999999</v>
      </c>
      <c r="N30" s="3">
        <f t="shared" si="9"/>
        <v>623.89099999999996</v>
      </c>
      <c r="O30" s="21">
        <f t="shared" si="10"/>
        <v>99718.793003729486</v>
      </c>
      <c r="P30" s="3">
        <f t="shared" si="11"/>
        <v>632.65899999999999</v>
      </c>
      <c r="Q30" s="17">
        <f t="shared" si="12"/>
        <v>-1.8917399999999999E-4</v>
      </c>
      <c r="R30" s="3">
        <f t="shared" si="13"/>
        <v>616.98</v>
      </c>
      <c r="S30" s="24">
        <f t="shared" si="14"/>
        <v>1.7955800000000002</v>
      </c>
      <c r="T30" s="3">
        <f t="shared" si="15"/>
        <v>626.66499999999996</v>
      </c>
      <c r="U30" s="51">
        <f t="shared" si="16"/>
        <v>1.2618799999999999</v>
      </c>
      <c r="V30" s="42">
        <f t="shared" si="17"/>
        <v>1.245462303054711</v>
      </c>
      <c r="W30" s="49">
        <f t="shared" si="8"/>
        <v>1.3010505709963658E-2</v>
      </c>
    </row>
    <row r="31" spans="2:23" x14ac:dyDescent="0.6">
      <c r="B31" s="2"/>
      <c r="C31" s="1"/>
      <c r="D31" s="2">
        <v>675.96699999999998</v>
      </c>
      <c r="E31" s="1">
        <v>987.83900000000006</v>
      </c>
      <c r="F31" s="2">
        <v>680.77</v>
      </c>
      <c r="G31" s="1">
        <v>-196.89500000000001</v>
      </c>
      <c r="H31" s="2">
        <v>672.02700000000004</v>
      </c>
      <c r="I31" s="1">
        <v>19.3919</v>
      </c>
      <c r="J31" s="2">
        <v>676.28800000000001</v>
      </c>
      <c r="K31" s="1">
        <v>1.3708800000000001</v>
      </c>
      <c r="N31" s="3">
        <f t="shared" si="9"/>
        <v>675.96699999999998</v>
      </c>
      <c r="O31" s="21">
        <f t="shared" si="10"/>
        <v>101231.07105510109</v>
      </c>
      <c r="P31" s="3">
        <f t="shared" si="11"/>
        <v>680.77</v>
      </c>
      <c r="Q31" s="17">
        <f t="shared" si="12"/>
        <v>-1.9689499999999999E-4</v>
      </c>
      <c r="R31" s="3">
        <f t="shared" si="13"/>
        <v>672.02700000000004</v>
      </c>
      <c r="S31" s="24">
        <f t="shared" si="14"/>
        <v>1.93919</v>
      </c>
      <c r="T31" s="3">
        <f t="shared" si="15"/>
        <v>676.28800000000001</v>
      </c>
      <c r="U31" s="51">
        <f t="shared" si="16"/>
        <v>1.3708800000000001</v>
      </c>
      <c r="V31" s="42">
        <f t="shared" si="17"/>
        <v>1.3686566935574243</v>
      </c>
      <c r="W31" s="49">
        <f t="shared" si="8"/>
        <v>1.6218096715801859E-3</v>
      </c>
    </row>
    <row r="32" spans="2:23" x14ac:dyDescent="0.6">
      <c r="B32" s="2"/>
      <c r="C32" s="1"/>
      <c r="D32" s="2">
        <v>725.79100000000005</v>
      </c>
      <c r="E32" s="1">
        <v>968.98900000000003</v>
      </c>
      <c r="F32" s="2">
        <v>728.83900000000006</v>
      </c>
      <c r="G32" s="1">
        <v>-202.67400000000001</v>
      </c>
      <c r="H32" s="2">
        <v>717.524</v>
      </c>
      <c r="I32" s="1">
        <v>19.371099999999998</v>
      </c>
      <c r="J32" s="2">
        <v>721.899</v>
      </c>
      <c r="K32" s="1">
        <v>1.6239699999999999</v>
      </c>
      <c r="N32" s="3">
        <f t="shared" si="9"/>
        <v>725.79100000000005</v>
      </c>
      <c r="O32" s="21">
        <f t="shared" si="10"/>
        <v>103200.34592755955</v>
      </c>
      <c r="P32" s="3">
        <f t="shared" si="11"/>
        <v>728.83900000000006</v>
      </c>
      <c r="Q32" s="17">
        <f t="shared" si="12"/>
        <v>-2.0267399999999999E-4</v>
      </c>
      <c r="R32" s="3">
        <f t="shared" si="13"/>
        <v>717.524</v>
      </c>
      <c r="S32" s="24">
        <f t="shared" si="14"/>
        <v>1.9371099999999999</v>
      </c>
      <c r="T32" s="3">
        <f t="shared" si="15"/>
        <v>721.899</v>
      </c>
      <c r="U32" s="51">
        <f t="shared" si="16"/>
        <v>1.6239699999999999</v>
      </c>
      <c r="V32" s="42">
        <f t="shared" si="17"/>
        <v>1.5797900999235819</v>
      </c>
      <c r="W32" s="49">
        <f t="shared" si="8"/>
        <v>2.7204874521338469E-2</v>
      </c>
    </row>
    <row r="33" spans="2:23" x14ac:dyDescent="0.6">
      <c r="B33" s="2"/>
      <c r="C33" s="1"/>
      <c r="D33" s="2">
        <v>777.88800000000003</v>
      </c>
      <c r="E33" s="1">
        <v>946.31100000000004</v>
      </c>
      <c r="F33" s="2">
        <v>779.15</v>
      </c>
      <c r="G33" s="1">
        <v>-206.50899999999999</v>
      </c>
      <c r="H33" s="2">
        <v>770.61199999999997</v>
      </c>
      <c r="I33" s="1">
        <v>19.529499999999999</v>
      </c>
      <c r="J33" s="2">
        <v>773.30700000000002</v>
      </c>
      <c r="K33" s="1">
        <v>1.8339099999999999</v>
      </c>
      <c r="N33" s="3">
        <f t="shared" si="9"/>
        <v>777.88800000000003</v>
      </c>
      <c r="O33" s="21">
        <f t="shared" si="10"/>
        <v>105673.50479916223</v>
      </c>
      <c r="P33" s="3">
        <f t="shared" si="11"/>
        <v>779.15</v>
      </c>
      <c r="Q33" s="17">
        <f t="shared" si="12"/>
        <v>-2.0650899999999998E-4</v>
      </c>
      <c r="R33" s="3">
        <f t="shared" si="13"/>
        <v>770.61199999999997</v>
      </c>
      <c r="S33" s="24">
        <f t="shared" si="14"/>
        <v>1.9529499999999997</v>
      </c>
      <c r="T33" s="3">
        <f t="shared" si="15"/>
        <v>773.30700000000002</v>
      </c>
      <c r="U33" s="51">
        <f t="shared" si="16"/>
        <v>1.8339099999999999</v>
      </c>
      <c r="V33" s="42">
        <f t="shared" si="17"/>
        <v>1.7844521049151032</v>
      </c>
      <c r="W33" s="49">
        <f t="shared" si="8"/>
        <v>2.6968550847586158E-2</v>
      </c>
    </row>
    <row r="34" spans="2:23" x14ac:dyDescent="0.6">
      <c r="B34" s="2"/>
      <c r="C34" s="1"/>
      <c r="D34" s="2">
        <v>827.702</v>
      </c>
      <c r="E34" s="1">
        <v>931.30899999999997</v>
      </c>
      <c r="F34" s="2">
        <v>833.82899999999995</v>
      </c>
      <c r="G34" s="1">
        <v>-201.11500000000001</v>
      </c>
      <c r="H34" s="2">
        <v>814.26700000000005</v>
      </c>
      <c r="I34" s="1">
        <v>20.605499999999999</v>
      </c>
      <c r="J34" s="2">
        <v>830.60299999999995</v>
      </c>
      <c r="K34" s="1">
        <v>1.9286399999999999</v>
      </c>
      <c r="N34" s="3">
        <f t="shared" si="9"/>
        <v>827.702</v>
      </c>
      <c r="O34" s="21">
        <f t="shared" si="10"/>
        <v>107375.74746942209</v>
      </c>
      <c r="P34" s="3">
        <f t="shared" si="11"/>
        <v>833.82899999999995</v>
      </c>
      <c r="Q34" s="17">
        <f t="shared" si="12"/>
        <v>-2.01115E-4</v>
      </c>
      <c r="R34" s="3">
        <f t="shared" si="13"/>
        <v>814.26700000000005</v>
      </c>
      <c r="S34" s="24">
        <f t="shared" si="14"/>
        <v>2.0605500000000001</v>
      </c>
      <c r="T34" s="3">
        <f t="shared" si="15"/>
        <v>830.60299999999995</v>
      </c>
      <c r="U34" s="51">
        <f t="shared" si="16"/>
        <v>1.9286399999999999</v>
      </c>
      <c r="V34" s="42">
        <f t="shared" si="17"/>
        <v>1.7506747371643063</v>
      </c>
      <c r="W34" s="49">
        <f t="shared" si="8"/>
        <v>9.227500354430769E-2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W4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27" t="s">
        <v>13</v>
      </c>
      <c r="H8" s="11" t="s">
        <v>4</v>
      </c>
      <c r="I8" s="10" t="s">
        <v>82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299.40968122786302</v>
      </c>
      <c r="E9" s="4">
        <v>3114.2421934501099</v>
      </c>
      <c r="F9" s="3">
        <v>299.11504424778701</v>
      </c>
      <c r="G9" s="4">
        <v>122.064777327935</v>
      </c>
      <c r="H9" s="3">
        <v>423.034055727554</v>
      </c>
      <c r="I9" s="4">
        <v>10.718774548311</v>
      </c>
      <c r="J9" s="3">
        <v>423.07210031347898</v>
      </c>
      <c r="K9" s="4">
        <v>0.25742049469964601</v>
      </c>
      <c r="N9" s="3">
        <f>D9</f>
        <v>299.40968122786302</v>
      </c>
      <c r="O9" s="21">
        <f>1/(E9*(10^(-6)))*(10^(2))</f>
        <v>32110.540474443671</v>
      </c>
      <c r="P9" s="3">
        <f>F9</f>
        <v>299.11504424778701</v>
      </c>
      <c r="Q9" s="17">
        <f>G9*(10^(-6))</f>
        <v>1.22064777327935E-4</v>
      </c>
      <c r="R9" s="3">
        <f>H9</f>
        <v>423.034055727554</v>
      </c>
      <c r="S9" s="24">
        <f>I9*(10^(-3))/(10^(-2))</f>
        <v>1.0718774548310999</v>
      </c>
      <c r="T9" s="3">
        <f>J9</f>
        <v>423.07210031347898</v>
      </c>
      <c r="U9" s="51">
        <f>K9</f>
        <v>0.25742049469964601</v>
      </c>
      <c r="V9" s="42">
        <f>((O12*(Q12)^2)/S9)*T9</f>
        <v>0.25970699742130526</v>
      </c>
      <c r="W9" s="49">
        <f t="shared" ref="W9" si="0">(U9-V9)/U9</f>
        <v>-8.882364725182855E-3</v>
      </c>
    </row>
    <row r="10" spans="1:23" x14ac:dyDescent="0.6">
      <c r="B10" s="3"/>
      <c r="C10" s="4"/>
      <c r="D10" s="3">
        <v>325.97402597402498</v>
      </c>
      <c r="E10" s="4">
        <v>3141.6603198781399</v>
      </c>
      <c r="F10" s="3">
        <v>325.95870206489599</v>
      </c>
      <c r="G10" s="4">
        <v>128.20512820512801</v>
      </c>
      <c r="H10" s="3">
        <v>473.06501547987602</v>
      </c>
      <c r="I10" s="4">
        <v>11.5357423409269</v>
      </c>
      <c r="J10" s="3">
        <v>472.97805642633199</v>
      </c>
      <c r="K10" s="4">
        <v>0.32279151943462803</v>
      </c>
      <c r="N10" s="3">
        <f t="shared" ref="N10:N20" si="1">D10</f>
        <v>325.97402597402498</v>
      </c>
      <c r="O10" s="21">
        <f t="shared" ref="O10:O20" si="2">1/(E10*(10^(-6)))*(10^(2))</f>
        <v>31830.303030303046</v>
      </c>
      <c r="P10" s="3">
        <f t="shared" ref="P10:P20" si="3">F10</f>
        <v>325.95870206489599</v>
      </c>
      <c r="Q10" s="17">
        <f t="shared" ref="Q10:Q20" si="4">G10*(10^(-6))</f>
        <v>1.2820512820512799E-4</v>
      </c>
      <c r="R10" s="3">
        <f t="shared" ref="R10:U17" si="5">H10</f>
        <v>473.06501547987602</v>
      </c>
      <c r="S10" s="24">
        <f t="shared" ref="S10:S17" si="6">I10*(10^(-3))/(10^(-2))</f>
        <v>1.15357423409269</v>
      </c>
      <c r="T10" s="3">
        <f t="shared" si="5"/>
        <v>472.97805642633199</v>
      </c>
      <c r="U10" s="51">
        <f t="shared" si="5"/>
        <v>0.32279151943462803</v>
      </c>
      <c r="V10" s="42">
        <f t="shared" ref="V10:V17" si="7">((O13*(Q13)^2)/S10)*T10</f>
        <v>0.32714086735329356</v>
      </c>
      <c r="W10" s="49">
        <f t="shared" ref="W10:W17" si="8">(U10-V10)/U10</f>
        <v>-1.3474170344634377E-2</v>
      </c>
    </row>
    <row r="11" spans="1:23" x14ac:dyDescent="0.6">
      <c r="B11" s="2"/>
      <c r="C11" s="1"/>
      <c r="D11" s="2">
        <v>377.036599763872</v>
      </c>
      <c r="E11" s="1">
        <v>3166.0319878141599</v>
      </c>
      <c r="F11" s="2">
        <v>376.99115044247702</v>
      </c>
      <c r="G11" s="1">
        <v>133.19838056680101</v>
      </c>
      <c r="H11" s="2">
        <v>523.09597523219804</v>
      </c>
      <c r="I11" s="1">
        <v>11.598586017282001</v>
      </c>
      <c r="J11" s="2">
        <v>523.13479623824401</v>
      </c>
      <c r="K11" s="1">
        <v>0.42526501766784403</v>
      </c>
      <c r="N11" s="3">
        <f t="shared" si="1"/>
        <v>377.036599763872</v>
      </c>
      <c r="O11" s="21">
        <f t="shared" si="2"/>
        <v>31585.277844599535</v>
      </c>
      <c r="P11" s="3">
        <f t="shared" si="3"/>
        <v>376.99115044247702</v>
      </c>
      <c r="Q11" s="17">
        <f t="shared" si="4"/>
        <v>1.3319838056680101E-4</v>
      </c>
      <c r="R11" s="3">
        <f t="shared" si="5"/>
        <v>523.09597523219804</v>
      </c>
      <c r="S11" s="24">
        <f t="shared" si="6"/>
        <v>1.1598586017282002</v>
      </c>
      <c r="T11" s="3">
        <f t="shared" si="5"/>
        <v>523.13479623824401</v>
      </c>
      <c r="U11" s="51">
        <f t="shared" si="5"/>
        <v>0.42526501766784403</v>
      </c>
      <c r="V11" s="42">
        <f t="shared" si="7"/>
        <v>0.434539655897967</v>
      </c>
      <c r="W11" s="49">
        <f t="shared" si="8"/>
        <v>-2.1809078679890369E-2</v>
      </c>
    </row>
    <row r="12" spans="1:23" x14ac:dyDescent="0.6">
      <c r="B12" s="2"/>
      <c r="C12" s="1"/>
      <c r="D12" s="2">
        <v>426.91853600944501</v>
      </c>
      <c r="E12" s="1">
        <v>3118.81188118811</v>
      </c>
      <c r="F12" s="2">
        <v>426.84365781710898</v>
      </c>
      <c r="G12" s="1">
        <v>143.25236167341399</v>
      </c>
      <c r="H12" s="2">
        <v>573.12693498451995</v>
      </c>
      <c r="I12" s="1">
        <v>12.1956009426551</v>
      </c>
      <c r="J12" s="2">
        <v>573.04075235109701</v>
      </c>
      <c r="K12" s="1">
        <v>0.51183745583038798</v>
      </c>
      <c r="N12" s="3">
        <f t="shared" si="1"/>
        <v>426.91853600944501</v>
      </c>
      <c r="O12" s="21">
        <f t="shared" si="2"/>
        <v>32063.492063492158</v>
      </c>
      <c r="P12" s="3">
        <f t="shared" si="3"/>
        <v>426.84365781710898</v>
      </c>
      <c r="Q12" s="17">
        <f t="shared" si="4"/>
        <v>1.4325236167341397E-4</v>
      </c>
      <c r="R12" s="3">
        <f t="shared" si="5"/>
        <v>573.12693498451995</v>
      </c>
      <c r="S12" s="24">
        <f t="shared" si="6"/>
        <v>1.2195600942655098</v>
      </c>
      <c r="T12" s="3">
        <f t="shared" si="5"/>
        <v>573.04075235109701</v>
      </c>
      <c r="U12" s="51">
        <f t="shared" si="5"/>
        <v>0.51183745583038798</v>
      </c>
      <c r="V12" s="42">
        <f t="shared" si="7"/>
        <v>0.52269083009669093</v>
      </c>
      <c r="W12" s="49">
        <f t="shared" si="8"/>
        <v>-2.1204728459535652E-2</v>
      </c>
    </row>
    <row r="13" spans="1:23" x14ac:dyDescent="0.6">
      <c r="B13" s="2"/>
      <c r="C13" s="1"/>
      <c r="D13" s="2">
        <v>477.09563164108602</v>
      </c>
      <c r="E13" s="1">
        <v>3021.3252094440199</v>
      </c>
      <c r="F13" s="2">
        <v>476.99115044247702</v>
      </c>
      <c r="G13" s="1">
        <v>155.263157894736</v>
      </c>
      <c r="H13" s="2">
        <v>622.91021671826604</v>
      </c>
      <c r="I13" s="1">
        <v>12.0070699135899</v>
      </c>
      <c r="J13" s="2">
        <v>622.94670846394899</v>
      </c>
      <c r="K13" s="1">
        <v>0.68851590106006999</v>
      </c>
      <c r="N13" s="3">
        <f t="shared" si="1"/>
        <v>477.09563164108602</v>
      </c>
      <c r="O13" s="21">
        <f t="shared" si="2"/>
        <v>33098.058986639793</v>
      </c>
      <c r="P13" s="3">
        <f t="shared" si="3"/>
        <v>476.99115044247702</v>
      </c>
      <c r="Q13" s="17">
        <f t="shared" si="4"/>
        <v>1.5526315789473599E-4</v>
      </c>
      <c r="R13" s="3">
        <f t="shared" si="5"/>
        <v>622.91021671826604</v>
      </c>
      <c r="S13" s="24">
        <f t="shared" si="6"/>
        <v>1.2007069913589901</v>
      </c>
      <c r="T13" s="3">
        <f t="shared" si="5"/>
        <v>622.94670846394899</v>
      </c>
      <c r="U13" s="51">
        <f t="shared" si="5"/>
        <v>0.68851590106006999</v>
      </c>
      <c r="V13" s="42">
        <f t="shared" si="7"/>
        <v>0.70588789832897036</v>
      </c>
      <c r="W13" s="49">
        <f t="shared" si="8"/>
        <v>-2.5231076351546373E-2</v>
      </c>
    </row>
    <row r="14" spans="1:23" x14ac:dyDescent="0.6">
      <c r="B14" s="2"/>
      <c r="C14" s="1"/>
      <c r="D14" s="2">
        <v>527.86304604486395</v>
      </c>
      <c r="E14" s="1">
        <v>2894.8971820258898</v>
      </c>
      <c r="F14" s="2">
        <v>527.72861356932106</v>
      </c>
      <c r="G14" s="1">
        <v>167.00404858299501</v>
      </c>
      <c r="H14" s="2">
        <v>672.94117647058795</v>
      </c>
      <c r="I14" s="1">
        <v>11.8970934799685</v>
      </c>
      <c r="J14" s="2">
        <v>673.10344827586198</v>
      </c>
      <c r="K14" s="1">
        <v>0.93056537102473402</v>
      </c>
      <c r="N14" s="3">
        <f t="shared" si="1"/>
        <v>527.86304604486395</v>
      </c>
      <c r="O14" s="21">
        <f t="shared" si="2"/>
        <v>34543.541173375488</v>
      </c>
      <c r="P14" s="3">
        <f t="shared" si="3"/>
        <v>527.72861356932106</v>
      </c>
      <c r="Q14" s="17">
        <f t="shared" si="4"/>
        <v>1.67004048582995E-4</v>
      </c>
      <c r="R14" s="3">
        <f t="shared" si="5"/>
        <v>672.94117647058795</v>
      </c>
      <c r="S14" s="24">
        <f t="shared" si="6"/>
        <v>1.1897093479968499</v>
      </c>
      <c r="T14" s="3">
        <f t="shared" si="5"/>
        <v>673.10344827586198</v>
      </c>
      <c r="U14" s="51">
        <f t="shared" si="5"/>
        <v>0.93056537102473402</v>
      </c>
      <c r="V14" s="42">
        <f t="shared" si="7"/>
        <v>0.9667856843644399</v>
      </c>
      <c r="W14" s="49">
        <f t="shared" si="8"/>
        <v>-3.8922911240314315E-2</v>
      </c>
    </row>
    <row r="15" spans="1:23" x14ac:dyDescent="0.6">
      <c r="B15" s="2"/>
      <c r="C15" s="1"/>
      <c r="D15" s="2">
        <v>578.04014167650496</v>
      </c>
      <c r="E15" s="1">
        <v>2745.6207159177402</v>
      </c>
      <c r="F15" s="2">
        <v>577.87610619469001</v>
      </c>
      <c r="G15" s="1">
        <v>174.76383265856899</v>
      </c>
      <c r="H15" s="2">
        <v>722.97213622290997</v>
      </c>
      <c r="I15" s="1">
        <v>11.394344069128</v>
      </c>
      <c r="J15" s="2">
        <v>723.00940438871396</v>
      </c>
      <c r="K15" s="1">
        <v>1.2432862190812699</v>
      </c>
      <c r="N15" s="3">
        <f t="shared" si="1"/>
        <v>578.04014167650496</v>
      </c>
      <c r="O15" s="21">
        <f t="shared" si="2"/>
        <v>36421.636615811447</v>
      </c>
      <c r="P15" s="3">
        <f t="shared" si="3"/>
        <v>577.87610619469001</v>
      </c>
      <c r="Q15" s="17">
        <f t="shared" si="4"/>
        <v>1.7476383265856897E-4</v>
      </c>
      <c r="R15" s="3">
        <f t="shared" si="5"/>
        <v>722.97213622290997</v>
      </c>
      <c r="S15" s="24">
        <f t="shared" si="6"/>
        <v>1.1394344069128</v>
      </c>
      <c r="T15" s="3">
        <f t="shared" si="5"/>
        <v>723.00940438871396</v>
      </c>
      <c r="U15" s="51">
        <f t="shared" si="5"/>
        <v>1.2432862190812699</v>
      </c>
      <c r="V15" s="42">
        <f t="shared" si="7"/>
        <v>1.2785227867734783</v>
      </c>
      <c r="W15" s="49">
        <f t="shared" si="8"/>
        <v>-2.8341476927369602E-2</v>
      </c>
    </row>
    <row r="16" spans="1:23" x14ac:dyDescent="0.6">
      <c r="B16" s="2"/>
      <c r="C16" s="1"/>
      <c r="D16" s="2">
        <v>628.21723730814597</v>
      </c>
      <c r="E16" s="1">
        <v>2448.59101294744</v>
      </c>
      <c r="F16" s="2">
        <v>627.72861356932106</v>
      </c>
      <c r="G16" s="1">
        <v>182.52361673414299</v>
      </c>
      <c r="H16" s="2">
        <v>773.00309597523199</v>
      </c>
      <c r="I16" s="1">
        <v>12.1956009426551</v>
      </c>
      <c r="J16" s="2">
        <v>772.91536050156697</v>
      </c>
      <c r="K16" s="1">
        <v>1.39964664310954</v>
      </c>
      <c r="N16" s="3">
        <f t="shared" si="1"/>
        <v>628.21723730814597</v>
      </c>
      <c r="O16" s="21">
        <f t="shared" si="2"/>
        <v>40839.813374805744</v>
      </c>
      <c r="P16" s="3">
        <f t="shared" si="3"/>
        <v>627.72861356932106</v>
      </c>
      <c r="Q16" s="17">
        <f t="shared" si="4"/>
        <v>1.8252361673414298E-4</v>
      </c>
      <c r="R16" s="3">
        <f t="shared" si="5"/>
        <v>773.00309597523199</v>
      </c>
      <c r="S16" s="24">
        <f t="shared" si="6"/>
        <v>1.2195600942655098</v>
      </c>
      <c r="T16" s="3">
        <f t="shared" si="5"/>
        <v>772.91536050156697</v>
      </c>
      <c r="U16" s="51">
        <f t="shared" si="5"/>
        <v>1.39964664310954</v>
      </c>
      <c r="V16" s="42">
        <f t="shared" si="7"/>
        <v>1.4191396061432626</v>
      </c>
      <c r="W16" s="49">
        <f t="shared" si="8"/>
        <v>-1.3927060183144411E-2</v>
      </c>
    </row>
    <row r="17" spans="2:23" x14ac:dyDescent="0.6">
      <c r="B17" s="2"/>
      <c r="C17" s="1"/>
      <c r="D17" s="2">
        <v>678.09917355371897</v>
      </c>
      <c r="E17" s="1">
        <v>2029.7029702970201</v>
      </c>
      <c r="F17" s="2">
        <v>677.87610619469001</v>
      </c>
      <c r="G17" s="1">
        <v>186.23481781376501</v>
      </c>
      <c r="H17" s="2">
        <v>823.034055727554</v>
      </c>
      <c r="I17" s="1">
        <v>12.7140612725844</v>
      </c>
      <c r="J17" s="2">
        <v>823.07210031347904</v>
      </c>
      <c r="K17" s="1">
        <v>1.45</v>
      </c>
      <c r="N17" s="3">
        <f t="shared" si="1"/>
        <v>678.09917355371897</v>
      </c>
      <c r="O17" s="21">
        <f t="shared" si="2"/>
        <v>49268.292682927065</v>
      </c>
      <c r="P17" s="3">
        <f t="shared" si="3"/>
        <v>677.87610619469001</v>
      </c>
      <c r="Q17" s="17">
        <f t="shared" si="4"/>
        <v>1.86234817813765E-4</v>
      </c>
      <c r="R17" s="3">
        <f t="shared" si="5"/>
        <v>823.034055727554</v>
      </c>
      <c r="S17" s="24">
        <f t="shared" si="6"/>
        <v>1.27140612725844</v>
      </c>
      <c r="T17" s="3">
        <f t="shared" si="5"/>
        <v>823.07210031347904</v>
      </c>
      <c r="U17" s="51">
        <f t="shared" si="5"/>
        <v>1.45</v>
      </c>
      <c r="V17" s="42">
        <f t="shared" si="7"/>
        <v>1.4282267666221031</v>
      </c>
      <c r="W17" s="49">
        <f t="shared" si="8"/>
        <v>1.5016023019239192E-2</v>
      </c>
    </row>
    <row r="18" spans="2:23" x14ac:dyDescent="0.6">
      <c r="B18" s="2"/>
      <c r="C18" s="1"/>
      <c r="D18" s="2">
        <v>727.68595041322305</v>
      </c>
      <c r="E18" s="1">
        <v>1746.38233054074</v>
      </c>
      <c r="F18" s="2">
        <v>727.43362831858406</v>
      </c>
      <c r="G18" s="1">
        <v>187.584345479082</v>
      </c>
      <c r="H18" s="2"/>
      <c r="I18" s="1"/>
      <c r="J18" s="2"/>
      <c r="K18" s="1"/>
      <c r="N18" s="3">
        <f t="shared" si="1"/>
        <v>727.68595041322305</v>
      </c>
      <c r="O18" s="21">
        <f t="shared" si="2"/>
        <v>57261.229829917349</v>
      </c>
      <c r="P18" s="3">
        <f t="shared" si="3"/>
        <v>727.43362831858406</v>
      </c>
      <c r="Q18" s="17">
        <f t="shared" si="4"/>
        <v>1.87584345479082E-4</v>
      </c>
      <c r="R18" s="3"/>
      <c r="S18" s="24"/>
      <c r="T18" s="3"/>
      <c r="U18" s="24"/>
      <c r="V18"/>
    </row>
    <row r="19" spans="2:23" x14ac:dyDescent="0.6">
      <c r="B19" s="2"/>
      <c r="C19" s="1"/>
      <c r="D19" s="2">
        <v>777.56788665879503</v>
      </c>
      <c r="E19" s="1">
        <v>1559.0251332825501</v>
      </c>
      <c r="F19" s="2">
        <v>777.58112094395199</v>
      </c>
      <c r="G19" s="1">
        <v>186.84210526315701</v>
      </c>
      <c r="H19" s="2"/>
      <c r="I19" s="1"/>
      <c r="J19" s="2"/>
      <c r="K19" s="1"/>
      <c r="N19" s="3">
        <f t="shared" si="1"/>
        <v>777.56788665879503</v>
      </c>
      <c r="O19" s="21">
        <f t="shared" si="2"/>
        <v>64142.647777235346</v>
      </c>
      <c r="P19" s="3">
        <f t="shared" si="3"/>
        <v>777.58112094395199</v>
      </c>
      <c r="Q19" s="17">
        <f t="shared" si="4"/>
        <v>1.8684210526315699E-4</v>
      </c>
      <c r="R19" s="3"/>
      <c r="S19" s="24"/>
      <c r="T19" s="3"/>
      <c r="U19" s="24"/>
      <c r="V19"/>
    </row>
    <row r="20" spans="2:23" x14ac:dyDescent="0.6">
      <c r="B20" s="28"/>
      <c r="C20" s="29"/>
      <c r="D20" s="28">
        <v>823.61275088547802</v>
      </c>
      <c r="E20" s="29">
        <v>1501.1424219344999</v>
      </c>
      <c r="F20" s="28">
        <v>824.18879056047103</v>
      </c>
      <c r="G20" s="29">
        <v>181.983805668016</v>
      </c>
      <c r="H20" s="28"/>
      <c r="I20" s="29"/>
      <c r="J20" s="28"/>
      <c r="K20" s="29"/>
      <c r="N20" s="32">
        <f t="shared" si="1"/>
        <v>823.61275088547802</v>
      </c>
      <c r="O20" s="21">
        <f t="shared" si="2"/>
        <v>66615.930999492703</v>
      </c>
      <c r="P20" s="32">
        <f t="shared" si="3"/>
        <v>824.18879056047103</v>
      </c>
      <c r="Q20" s="17">
        <f t="shared" si="4"/>
        <v>1.8198380566801601E-4</v>
      </c>
      <c r="R20" s="32"/>
      <c r="S20" s="35"/>
      <c r="T20" s="32"/>
      <c r="U20" s="35"/>
      <c r="V20"/>
    </row>
    <row r="21" spans="2:23" x14ac:dyDescent="0.6">
      <c r="B21" s="30"/>
      <c r="C21" s="30"/>
      <c r="D21" s="30"/>
      <c r="E21" s="30"/>
      <c r="F21" s="30"/>
      <c r="G21" s="30"/>
      <c r="H21" s="30"/>
      <c r="I21" s="30"/>
      <c r="J21" s="30"/>
      <c r="K21" s="30"/>
      <c r="N21" s="30"/>
      <c r="O21" s="39"/>
      <c r="P21" s="30"/>
      <c r="Q21" s="40"/>
      <c r="R21" s="30"/>
      <c r="S21" s="41"/>
      <c r="T21" s="30"/>
      <c r="U21" s="41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ht="17.25" thickBot="1" x14ac:dyDescent="0.65">
      <c r="B27" s="31" t="s">
        <v>79</v>
      </c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5" t="s">
        <v>3</v>
      </c>
      <c r="C28" s="6" t="s">
        <v>0</v>
      </c>
      <c r="D28" s="7" t="s">
        <v>3</v>
      </c>
      <c r="E28" s="6" t="s">
        <v>8</v>
      </c>
      <c r="F28" s="7" t="s">
        <v>3</v>
      </c>
      <c r="G28" s="6" t="s">
        <v>1</v>
      </c>
      <c r="H28" s="7" t="s">
        <v>3</v>
      </c>
      <c r="I28" s="6" t="s">
        <v>2</v>
      </c>
      <c r="J28" s="7" t="s">
        <v>3</v>
      </c>
      <c r="K28" s="8" t="s">
        <v>6</v>
      </c>
      <c r="N28" s="5" t="s">
        <v>3</v>
      </c>
      <c r="O28" s="19" t="s">
        <v>0</v>
      </c>
      <c r="P28" s="7" t="s">
        <v>3</v>
      </c>
      <c r="Q28" s="15" t="s">
        <v>1</v>
      </c>
      <c r="R28" s="7" t="s">
        <v>3</v>
      </c>
      <c r="S28" s="23" t="s">
        <v>2</v>
      </c>
      <c r="T28" s="7" t="s">
        <v>3</v>
      </c>
      <c r="U28" s="25" t="s">
        <v>6</v>
      </c>
    </row>
    <row r="29" spans="2:23" ht="17.25" thickBot="1" x14ac:dyDescent="0.65">
      <c r="B29" s="9" t="s">
        <v>4</v>
      </c>
      <c r="C29" s="10" t="s">
        <v>10</v>
      </c>
      <c r="D29" s="11" t="s">
        <v>4</v>
      </c>
      <c r="E29" s="10" t="s">
        <v>38</v>
      </c>
      <c r="F29" s="11" t="s">
        <v>4</v>
      </c>
      <c r="G29" s="27" t="s">
        <v>13</v>
      </c>
      <c r="H29" s="11" t="s">
        <v>4</v>
      </c>
      <c r="I29" s="10" t="s">
        <v>15</v>
      </c>
      <c r="J29" s="11" t="s">
        <v>4</v>
      </c>
      <c r="K29" s="12" t="s">
        <v>7</v>
      </c>
      <c r="N29" s="9" t="s">
        <v>4</v>
      </c>
      <c r="O29" s="20" t="s">
        <v>5</v>
      </c>
      <c r="P29" s="11" t="s">
        <v>4</v>
      </c>
      <c r="Q29" s="16" t="s">
        <v>14</v>
      </c>
      <c r="R29" s="11" t="s">
        <v>4</v>
      </c>
      <c r="S29" s="10" t="s">
        <v>15</v>
      </c>
      <c r="T29" s="11" t="s">
        <v>4</v>
      </c>
      <c r="U29" s="26" t="s">
        <v>7</v>
      </c>
      <c r="W29" t="s">
        <v>78</v>
      </c>
    </row>
    <row r="30" spans="2:23" x14ac:dyDescent="0.6">
      <c r="B30" s="3"/>
      <c r="C30" s="4"/>
      <c r="D30" s="3">
        <v>296.95999999999998</v>
      </c>
      <c r="E30" s="4">
        <v>3110.24</v>
      </c>
      <c r="F30" s="3">
        <v>299.255</v>
      </c>
      <c r="G30" s="4">
        <v>122.526</v>
      </c>
      <c r="H30" s="3">
        <v>422.69900000000001</v>
      </c>
      <c r="I30" s="4">
        <v>10.7981</v>
      </c>
      <c r="J30" s="3">
        <v>422.90499999999997</v>
      </c>
      <c r="K30" s="4">
        <v>0.25459300000000001</v>
      </c>
      <c r="N30" s="3">
        <f>D30</f>
        <v>296.95999999999998</v>
      </c>
      <c r="O30" s="21">
        <f>1/(E30*0.000001)*100</f>
        <v>32151.859663562944</v>
      </c>
      <c r="P30" s="3">
        <f>F30</f>
        <v>299.255</v>
      </c>
      <c r="Q30" s="17">
        <f>G30*0.000001</f>
        <v>1.22526E-4</v>
      </c>
      <c r="R30" s="3">
        <f>H30</f>
        <v>422.69900000000001</v>
      </c>
      <c r="S30" s="24">
        <f>I30/10</f>
        <v>1.0798099999999999</v>
      </c>
      <c r="T30" s="3">
        <f>J30</f>
        <v>422.90499999999997</v>
      </c>
      <c r="U30" s="51">
        <f>K30</f>
        <v>0.25459300000000001</v>
      </c>
      <c r="V30" s="42">
        <f>((O33*(Q33)^2)/S30)*T30</f>
        <v>0.25874184477500961</v>
      </c>
      <c r="W30" s="49">
        <f t="shared" ref="W30:W38" si="9">(U30-V30)/U30</f>
        <v>-1.6295989186700329E-2</v>
      </c>
    </row>
    <row r="31" spans="2:23" x14ac:dyDescent="0.6">
      <c r="B31" s="3"/>
      <c r="C31" s="4"/>
      <c r="D31" s="3">
        <v>325.83600000000001</v>
      </c>
      <c r="E31" s="4">
        <v>3141.73</v>
      </c>
      <c r="F31" s="3">
        <v>326.08</v>
      </c>
      <c r="G31" s="4">
        <v>127.986</v>
      </c>
      <c r="H31" s="3">
        <v>470.55200000000002</v>
      </c>
      <c r="I31" s="4">
        <v>11.424099999999999</v>
      </c>
      <c r="J31" s="3">
        <v>473.88600000000002</v>
      </c>
      <c r="K31" s="4">
        <v>0.32281799999999999</v>
      </c>
      <c r="N31" s="3">
        <f t="shared" ref="N31:N41" si="10">D31</f>
        <v>325.83600000000001</v>
      </c>
      <c r="O31" s="21">
        <f t="shared" ref="O31:O41" si="11">1/(E31*0.000001)*100</f>
        <v>31829.597069130705</v>
      </c>
      <c r="P31" s="3">
        <f t="shared" ref="P31:P41" si="12">F31</f>
        <v>326.08</v>
      </c>
      <c r="Q31" s="17">
        <f t="shared" ref="Q31:Q41" si="13">G31*0.000001</f>
        <v>1.2798599999999999E-4</v>
      </c>
      <c r="R31" s="3">
        <f t="shared" ref="R31:R38" si="14">H31</f>
        <v>470.55200000000002</v>
      </c>
      <c r="S31" s="24">
        <f t="shared" ref="S31:S38" si="15">I31/10</f>
        <v>1.1424099999999999</v>
      </c>
      <c r="T31" s="3">
        <f t="shared" ref="T31:T38" si="16">J31</f>
        <v>473.88600000000002</v>
      </c>
      <c r="U31" s="51">
        <f t="shared" ref="U31:U38" si="17">K31</f>
        <v>0.32281799999999999</v>
      </c>
      <c r="V31" s="42">
        <f t="shared" ref="V31:V38" si="18">((O34*(Q34)^2)/S31)*T31</f>
        <v>0.33070230647131366</v>
      </c>
      <c r="W31" s="49">
        <f t="shared" si="9"/>
        <v>-2.4423379338555044E-2</v>
      </c>
    </row>
    <row r="32" spans="2:23" x14ac:dyDescent="0.6">
      <c r="B32" s="2"/>
      <c r="C32" s="1"/>
      <c r="D32" s="2">
        <v>373.70800000000003</v>
      </c>
      <c r="E32" s="1">
        <v>3165.35</v>
      </c>
      <c r="F32" s="2">
        <v>375.26100000000002</v>
      </c>
      <c r="G32" s="1">
        <v>133.27600000000001</v>
      </c>
      <c r="H32" s="2">
        <v>523.92600000000004</v>
      </c>
      <c r="I32" s="1">
        <v>11.658799999999999</v>
      </c>
      <c r="J32" s="2">
        <v>522.98500000000001</v>
      </c>
      <c r="K32" s="1">
        <v>0.42609999999999998</v>
      </c>
      <c r="N32" s="3">
        <f t="shared" si="10"/>
        <v>373.70800000000003</v>
      </c>
      <c r="O32" s="21">
        <f t="shared" si="11"/>
        <v>31592.08302399419</v>
      </c>
      <c r="P32" s="3">
        <f t="shared" si="12"/>
        <v>375.26100000000002</v>
      </c>
      <c r="Q32" s="17">
        <f t="shared" si="13"/>
        <v>1.3327600000000002E-4</v>
      </c>
      <c r="R32" s="3">
        <f t="shared" si="14"/>
        <v>523.92600000000004</v>
      </c>
      <c r="S32" s="24">
        <f t="shared" si="15"/>
        <v>1.16588</v>
      </c>
      <c r="T32" s="3">
        <f t="shared" si="16"/>
        <v>522.98500000000001</v>
      </c>
      <c r="U32" s="51">
        <f t="shared" si="17"/>
        <v>0.42609999999999998</v>
      </c>
      <c r="V32" s="42">
        <f t="shared" si="18"/>
        <v>0.43149252668700466</v>
      </c>
      <c r="W32" s="49">
        <f t="shared" si="9"/>
        <v>-1.2655542565136551E-2</v>
      </c>
    </row>
    <row r="33" spans="2:23" x14ac:dyDescent="0.6">
      <c r="B33" s="2"/>
      <c r="C33" s="1"/>
      <c r="D33" s="2">
        <v>425.38</v>
      </c>
      <c r="E33" s="1">
        <v>3110.24</v>
      </c>
      <c r="F33" s="2">
        <v>427.42200000000003</v>
      </c>
      <c r="G33" s="1">
        <v>143.345</v>
      </c>
      <c r="H33" s="2">
        <v>574.23299999999995</v>
      </c>
      <c r="I33" s="1">
        <v>12.2066</v>
      </c>
      <c r="J33" s="2">
        <v>573.33699999999999</v>
      </c>
      <c r="K33" s="1">
        <v>0.50966400000000001</v>
      </c>
      <c r="N33" s="3">
        <f t="shared" si="10"/>
        <v>425.38</v>
      </c>
      <c r="O33" s="21">
        <f t="shared" si="11"/>
        <v>32151.859663562944</v>
      </c>
      <c r="P33" s="3">
        <f t="shared" si="12"/>
        <v>427.42200000000003</v>
      </c>
      <c r="Q33" s="17">
        <f t="shared" si="13"/>
        <v>1.4334499999999999E-4</v>
      </c>
      <c r="R33" s="3">
        <f t="shared" si="14"/>
        <v>574.23299999999995</v>
      </c>
      <c r="S33" s="24">
        <f t="shared" si="15"/>
        <v>1.2206600000000001</v>
      </c>
      <c r="T33" s="3">
        <f t="shared" si="16"/>
        <v>573.33699999999999</v>
      </c>
      <c r="U33" s="51">
        <f t="shared" si="17"/>
        <v>0.50966400000000001</v>
      </c>
      <c r="V33" s="42">
        <f t="shared" si="18"/>
        <v>0.52266263145408176</v>
      </c>
      <c r="W33" s="49">
        <f t="shared" si="9"/>
        <v>-2.5504315498214029E-2</v>
      </c>
    </row>
    <row r="34" spans="2:23" x14ac:dyDescent="0.6">
      <c r="B34" s="2"/>
      <c r="C34" s="1"/>
      <c r="D34" s="2">
        <v>475.53199999999998</v>
      </c>
      <c r="E34" s="1">
        <v>3031.5</v>
      </c>
      <c r="F34" s="2">
        <v>475.85700000000003</v>
      </c>
      <c r="G34" s="1">
        <v>155.46100000000001</v>
      </c>
      <c r="H34" s="2">
        <v>622.69899999999996</v>
      </c>
      <c r="I34" s="1">
        <v>12.0501</v>
      </c>
      <c r="J34" s="2">
        <v>622.40200000000004</v>
      </c>
      <c r="K34" s="1">
        <v>0.68965799999999999</v>
      </c>
      <c r="N34" s="3">
        <f t="shared" si="10"/>
        <v>475.53199999999998</v>
      </c>
      <c r="O34" s="21">
        <f t="shared" si="11"/>
        <v>32986.970146792024</v>
      </c>
      <c r="P34" s="3">
        <f t="shared" si="12"/>
        <v>475.85700000000003</v>
      </c>
      <c r="Q34" s="17">
        <f t="shared" si="13"/>
        <v>1.5546099999999999E-4</v>
      </c>
      <c r="R34" s="3">
        <f t="shared" si="14"/>
        <v>622.69899999999996</v>
      </c>
      <c r="S34" s="24">
        <f t="shared" si="15"/>
        <v>1.2050100000000001</v>
      </c>
      <c r="T34" s="3">
        <f t="shared" si="16"/>
        <v>622.40200000000004</v>
      </c>
      <c r="U34" s="51">
        <f t="shared" si="17"/>
        <v>0.68965799999999999</v>
      </c>
      <c r="V34" s="42">
        <f t="shared" si="18"/>
        <v>0.70831743438461392</v>
      </c>
      <c r="W34" s="49">
        <f t="shared" si="9"/>
        <v>-2.705606892780759E-2</v>
      </c>
    </row>
    <row r="35" spans="2:23" x14ac:dyDescent="0.6">
      <c r="B35" s="2"/>
      <c r="C35" s="1"/>
      <c r="D35" s="2">
        <v>526.44399999999996</v>
      </c>
      <c r="E35" s="1">
        <v>2901.57</v>
      </c>
      <c r="F35" s="2">
        <v>528.01800000000003</v>
      </c>
      <c r="G35" s="1">
        <v>167.065</v>
      </c>
      <c r="H35" s="2">
        <v>673.00599999999997</v>
      </c>
      <c r="I35" s="1">
        <v>11.815300000000001</v>
      </c>
      <c r="J35" s="2">
        <v>673.30700000000002</v>
      </c>
      <c r="K35" s="1">
        <v>0.92884100000000003</v>
      </c>
      <c r="N35" s="3">
        <f t="shared" si="10"/>
        <v>526.44399999999996</v>
      </c>
      <c r="O35" s="21">
        <f t="shared" si="11"/>
        <v>34464.100469745688</v>
      </c>
      <c r="P35" s="3">
        <f t="shared" si="12"/>
        <v>528.01800000000003</v>
      </c>
      <c r="Q35" s="17">
        <f t="shared" si="13"/>
        <v>1.6706499999999999E-4</v>
      </c>
      <c r="R35" s="3">
        <f t="shared" si="14"/>
        <v>673.00599999999997</v>
      </c>
      <c r="S35" s="24">
        <f t="shared" si="15"/>
        <v>1.18153</v>
      </c>
      <c r="T35" s="3">
        <f t="shared" si="16"/>
        <v>673.30700000000002</v>
      </c>
      <c r="U35" s="51">
        <f t="shared" si="17"/>
        <v>0.92884100000000003</v>
      </c>
      <c r="V35" s="42">
        <f t="shared" si="18"/>
        <v>0.98326844589977458</v>
      </c>
      <c r="W35" s="49">
        <f t="shared" si="9"/>
        <v>-5.8597161300776503E-2</v>
      </c>
    </row>
    <row r="36" spans="2:23" x14ac:dyDescent="0.6">
      <c r="B36" s="2"/>
      <c r="C36" s="1"/>
      <c r="D36" s="2">
        <v>575.83600000000001</v>
      </c>
      <c r="E36" s="1">
        <v>2744.09</v>
      </c>
      <c r="F36" s="2">
        <v>578.68899999999996</v>
      </c>
      <c r="G36" s="1">
        <v>174.744</v>
      </c>
      <c r="H36" s="2">
        <v>722.69899999999996</v>
      </c>
      <c r="I36" s="1">
        <v>11.385</v>
      </c>
      <c r="J36" s="2">
        <v>721.69</v>
      </c>
      <c r="K36" s="1">
        <v>1.24472</v>
      </c>
      <c r="N36" s="3">
        <f t="shared" si="10"/>
        <v>575.83600000000001</v>
      </c>
      <c r="O36" s="21">
        <f t="shared" si="11"/>
        <v>36441.9534344719</v>
      </c>
      <c r="P36" s="3">
        <f t="shared" si="12"/>
        <v>578.68899999999996</v>
      </c>
      <c r="Q36" s="17">
        <f t="shared" si="13"/>
        <v>1.7474399999999998E-4</v>
      </c>
      <c r="R36" s="3">
        <f t="shared" si="14"/>
        <v>722.69899999999996</v>
      </c>
      <c r="S36" s="24">
        <f t="shared" si="15"/>
        <v>1.1385000000000001</v>
      </c>
      <c r="T36" s="3">
        <f t="shared" si="16"/>
        <v>721.69</v>
      </c>
      <c r="U36" s="51">
        <f t="shared" si="17"/>
        <v>1.24472</v>
      </c>
      <c r="V36" s="42">
        <f t="shared" si="18"/>
        <v>1.2795603005503164</v>
      </c>
      <c r="W36" s="49">
        <f t="shared" si="9"/>
        <v>-2.7990472194803967E-2</v>
      </c>
    </row>
    <row r="37" spans="2:23" x14ac:dyDescent="0.6">
      <c r="B37" s="2"/>
      <c r="C37" s="1"/>
      <c r="D37" s="2">
        <v>625.98800000000006</v>
      </c>
      <c r="E37" s="1">
        <v>2444.88</v>
      </c>
      <c r="F37" s="2">
        <v>627.86900000000003</v>
      </c>
      <c r="G37" s="1">
        <v>183.10599999999999</v>
      </c>
      <c r="H37" s="2">
        <v>771.779</v>
      </c>
      <c r="I37" s="1">
        <v>12.245699999999999</v>
      </c>
      <c r="J37" s="2">
        <v>772.63099999999997</v>
      </c>
      <c r="K37" s="1">
        <v>1.4028099999999999</v>
      </c>
      <c r="N37" s="3">
        <f t="shared" si="10"/>
        <v>625.98800000000006</v>
      </c>
      <c r="O37" s="21">
        <f t="shared" si="11"/>
        <v>40901.802951474099</v>
      </c>
      <c r="P37" s="3">
        <f t="shared" si="12"/>
        <v>627.86900000000003</v>
      </c>
      <c r="Q37" s="17">
        <f t="shared" si="13"/>
        <v>1.8310599999999999E-4</v>
      </c>
      <c r="R37" s="3">
        <f t="shared" si="14"/>
        <v>771.779</v>
      </c>
      <c r="S37" s="24">
        <f t="shared" si="15"/>
        <v>1.2245699999999999</v>
      </c>
      <c r="T37" s="3">
        <f t="shared" si="16"/>
        <v>772.63099999999997</v>
      </c>
      <c r="U37" s="51">
        <f t="shared" si="17"/>
        <v>1.4028099999999999</v>
      </c>
      <c r="V37" s="42">
        <f t="shared" si="18"/>
        <v>1.419822426728423</v>
      </c>
      <c r="W37" s="49">
        <f t="shared" si="9"/>
        <v>-1.2127391969278142E-2</v>
      </c>
    </row>
    <row r="38" spans="2:23" x14ac:dyDescent="0.6">
      <c r="B38" s="2"/>
      <c r="C38" s="1"/>
      <c r="D38" s="2">
        <v>676.14</v>
      </c>
      <c r="E38" s="1">
        <v>2023.62</v>
      </c>
      <c r="F38" s="2">
        <v>677.04899999999998</v>
      </c>
      <c r="G38" s="1">
        <v>186.86</v>
      </c>
      <c r="H38" s="2">
        <v>822.08600000000001</v>
      </c>
      <c r="I38" s="1">
        <v>12.636900000000001</v>
      </c>
      <c r="J38" s="2">
        <v>822.37599999999998</v>
      </c>
      <c r="K38" s="1">
        <v>1.4534899999999999</v>
      </c>
      <c r="N38" s="3">
        <f t="shared" si="10"/>
        <v>676.14</v>
      </c>
      <c r="O38" s="21">
        <f t="shared" si="11"/>
        <v>49416.392405688814</v>
      </c>
      <c r="P38" s="3">
        <f t="shared" si="12"/>
        <v>677.04899999999998</v>
      </c>
      <c r="Q38" s="17">
        <f t="shared" si="13"/>
        <v>1.8686000000000001E-4</v>
      </c>
      <c r="R38" s="3">
        <f t="shared" si="14"/>
        <v>822.08600000000001</v>
      </c>
      <c r="S38" s="24">
        <f t="shared" si="15"/>
        <v>1.26369</v>
      </c>
      <c r="T38" s="3">
        <f t="shared" si="16"/>
        <v>822.37599999999998</v>
      </c>
      <c r="U38" s="51">
        <f t="shared" si="17"/>
        <v>1.4534899999999999</v>
      </c>
      <c r="V38" s="42">
        <f t="shared" si="18"/>
        <v>1.4448748742118303</v>
      </c>
      <c r="W38" s="49">
        <f t="shared" si="9"/>
        <v>5.9271999037968596E-3</v>
      </c>
    </row>
    <row r="39" spans="2:23" x14ac:dyDescent="0.6">
      <c r="B39" s="2"/>
      <c r="C39" s="1"/>
      <c r="D39" s="2">
        <v>727.81200000000001</v>
      </c>
      <c r="E39" s="1">
        <v>1751.97</v>
      </c>
      <c r="F39" s="2">
        <v>726.22900000000004</v>
      </c>
      <c r="G39" s="1">
        <v>188.05500000000001</v>
      </c>
      <c r="H39" s="2"/>
      <c r="I39" s="1"/>
      <c r="J39" s="2"/>
      <c r="K39" s="1"/>
      <c r="N39" s="3">
        <f t="shared" si="10"/>
        <v>727.81200000000001</v>
      </c>
      <c r="O39" s="21">
        <f t="shared" si="11"/>
        <v>57078.602944114333</v>
      </c>
      <c r="P39" s="3">
        <f t="shared" si="12"/>
        <v>726.22900000000004</v>
      </c>
      <c r="Q39" s="17">
        <f t="shared" si="13"/>
        <v>1.8805499999999999E-4</v>
      </c>
      <c r="R39" s="3"/>
      <c r="S39" s="24"/>
      <c r="T39" s="3"/>
      <c r="U39" s="24"/>
      <c r="V39"/>
    </row>
    <row r="40" spans="2:23" x14ac:dyDescent="0.6">
      <c r="B40" s="2"/>
      <c r="C40" s="1"/>
      <c r="D40" s="2">
        <v>777.20399999999995</v>
      </c>
      <c r="E40" s="1">
        <v>1562.99</v>
      </c>
      <c r="F40" s="2">
        <v>776.9</v>
      </c>
      <c r="G40" s="1">
        <v>187.54300000000001</v>
      </c>
      <c r="H40" s="2"/>
      <c r="I40" s="1"/>
      <c r="J40" s="2"/>
      <c r="K40" s="1"/>
      <c r="N40" s="3">
        <f t="shared" si="10"/>
        <v>777.20399999999995</v>
      </c>
      <c r="O40" s="21">
        <f t="shared" si="11"/>
        <v>63979.935892104229</v>
      </c>
      <c r="P40" s="3">
        <f t="shared" si="12"/>
        <v>776.9</v>
      </c>
      <c r="Q40" s="17">
        <f t="shared" si="13"/>
        <v>1.87543E-4</v>
      </c>
      <c r="R40" s="3"/>
      <c r="S40" s="24"/>
      <c r="T40" s="3"/>
      <c r="U40" s="24"/>
      <c r="V40"/>
    </row>
    <row r="41" spans="2:23" x14ac:dyDescent="0.6">
      <c r="B41" s="28"/>
      <c r="C41" s="29"/>
      <c r="D41" s="28">
        <v>823.55600000000004</v>
      </c>
      <c r="E41" s="29">
        <v>1496.06</v>
      </c>
      <c r="F41" s="28">
        <v>821.61</v>
      </c>
      <c r="G41" s="29">
        <v>182.25299999999999</v>
      </c>
      <c r="H41" s="28"/>
      <c r="I41" s="29"/>
      <c r="J41" s="28"/>
      <c r="K41" s="29"/>
      <c r="N41" s="32">
        <f t="shared" si="10"/>
        <v>823.55600000000004</v>
      </c>
      <c r="O41" s="33">
        <f t="shared" si="11"/>
        <v>66842.238947635808</v>
      </c>
      <c r="P41" s="32">
        <f t="shared" si="12"/>
        <v>821.61</v>
      </c>
      <c r="Q41" s="34">
        <f t="shared" si="13"/>
        <v>1.8225299999999998E-4</v>
      </c>
      <c r="R41" s="32"/>
      <c r="S41" s="35"/>
      <c r="T41" s="32"/>
      <c r="U41" s="35"/>
      <c r="V41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W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27" t="s">
        <v>13</v>
      </c>
      <c r="H8" s="11" t="s">
        <v>4</v>
      </c>
      <c r="I8" s="10" t="s">
        <v>43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323.43059239610898</v>
      </c>
      <c r="E9" s="4">
        <v>1.622555410691E-3</v>
      </c>
      <c r="F9" s="3">
        <v>324.75570032573199</v>
      </c>
      <c r="G9" s="4">
        <v>111.30592503022901</v>
      </c>
      <c r="H9" s="3">
        <v>323.09043020193099</v>
      </c>
      <c r="I9" s="4">
        <v>1.6017804154302599E-2</v>
      </c>
      <c r="J9" s="3">
        <v>323.04038004750498</v>
      </c>
      <c r="K9" s="4">
        <v>0.16241610738255</v>
      </c>
      <c r="N9" s="3">
        <f t="shared" ref="N9:N24" si="0">D9</f>
        <v>323.43059239610898</v>
      </c>
      <c r="O9" s="21">
        <f>1/(E9*(10^(-2)))</f>
        <v>61631.177179590341</v>
      </c>
      <c r="P9" s="3">
        <f>F9</f>
        <v>324.75570032573199</v>
      </c>
      <c r="Q9" s="17">
        <f>G9*(10^(-6))</f>
        <v>1.11305925030229E-4</v>
      </c>
      <c r="R9" s="3">
        <f>H9</f>
        <v>323.09043020193099</v>
      </c>
      <c r="S9" s="24">
        <f>I9/(10^(-2))</f>
        <v>1.6017804154302597</v>
      </c>
      <c r="T9" s="3">
        <f>J9</f>
        <v>323.04038004750498</v>
      </c>
      <c r="U9" s="51">
        <f>K9</f>
        <v>0.16241610738255</v>
      </c>
      <c r="V9" s="42">
        <f>((O9*(Q9)^2)/S9)*T9</f>
        <v>0.15398941274830916</v>
      </c>
      <c r="W9" s="49">
        <f t="shared" ref="W9" si="1">(U9-V9)/U9</f>
        <v>5.1883367789334202E-2</v>
      </c>
    </row>
    <row r="10" spans="1:23" x14ac:dyDescent="0.6">
      <c r="B10" s="3"/>
      <c r="C10" s="4"/>
      <c r="D10" s="3">
        <v>351.370468611847</v>
      </c>
      <c r="E10" s="4">
        <v>1.67535853976531E-3</v>
      </c>
      <c r="F10" s="3">
        <v>351.46579804560201</v>
      </c>
      <c r="G10" s="4">
        <v>120.55622732769</v>
      </c>
      <c r="H10" s="3">
        <v>348.11237928007</v>
      </c>
      <c r="I10" s="4">
        <v>1.59703264094955E-2</v>
      </c>
      <c r="J10" s="3">
        <v>347.98099762470298</v>
      </c>
      <c r="K10" s="4">
        <v>0.19731543624160999</v>
      </c>
      <c r="N10" s="3">
        <f t="shared" si="0"/>
        <v>351.370468611847</v>
      </c>
      <c r="O10" s="21">
        <f t="shared" ref="O10:O26" si="2">1/(E10*(10^(-2)))</f>
        <v>59688.715953307736</v>
      </c>
      <c r="P10" s="3">
        <f t="shared" ref="P10:P26" si="3">F10</f>
        <v>351.46579804560201</v>
      </c>
      <c r="Q10" s="17">
        <f t="shared" ref="Q10:Q26" si="4">G10*(10^(-6))</f>
        <v>1.2055622732768999E-4</v>
      </c>
      <c r="R10" s="3">
        <f t="shared" ref="R10:R26" si="5">H10</f>
        <v>348.11237928007</v>
      </c>
      <c r="S10" s="24">
        <f t="shared" ref="S10:S26" si="6">I10/(10^(-2))</f>
        <v>1.5970326409495499</v>
      </c>
      <c r="T10" s="3">
        <f t="shared" ref="T10:T26" si="7">J10</f>
        <v>347.98099762470298</v>
      </c>
      <c r="U10" s="51">
        <f t="shared" ref="U10:U26" si="8">K10</f>
        <v>0.19731543624160999</v>
      </c>
      <c r="V10" s="42">
        <f t="shared" ref="V10:V26" si="9">((O10*(Q10)^2)/S10)*T10</f>
        <v>0.18902239870997295</v>
      </c>
      <c r="W10" s="49">
        <f t="shared" ref="W10:W26" si="10">(U10-V10)/U10</f>
        <v>4.2029339871221906E-2</v>
      </c>
    </row>
    <row r="11" spans="1:23" x14ac:dyDescent="0.6">
      <c r="B11" s="2"/>
      <c r="C11" s="1"/>
      <c r="D11" s="2">
        <v>372.59062776304103</v>
      </c>
      <c r="E11" s="1">
        <v>1.71642764015645E-3</v>
      </c>
      <c r="F11" s="2">
        <v>372.96416938110701</v>
      </c>
      <c r="G11" s="1">
        <v>127.26723095526</v>
      </c>
      <c r="H11" s="2">
        <v>373.13432835820799</v>
      </c>
      <c r="I11" s="1">
        <v>1.59465875370919E-2</v>
      </c>
      <c r="J11" s="2">
        <v>372.92161520190001</v>
      </c>
      <c r="K11" s="1">
        <v>0.23422818791946301</v>
      </c>
      <c r="N11" s="3">
        <f t="shared" si="0"/>
        <v>372.59062776304103</v>
      </c>
      <c r="O11" s="21">
        <f t="shared" si="2"/>
        <v>58260.53930877339</v>
      </c>
      <c r="P11" s="3">
        <f t="shared" si="3"/>
        <v>372.96416938110701</v>
      </c>
      <c r="Q11" s="17">
        <f t="shared" si="4"/>
        <v>1.2726723095525999E-4</v>
      </c>
      <c r="R11" s="3">
        <f t="shared" si="5"/>
        <v>373.13432835820799</v>
      </c>
      <c r="S11" s="24">
        <f t="shared" si="6"/>
        <v>1.5946587537091901</v>
      </c>
      <c r="T11" s="3">
        <f t="shared" si="7"/>
        <v>372.92161520190001</v>
      </c>
      <c r="U11" s="51">
        <f t="shared" si="8"/>
        <v>0.23422818791946301</v>
      </c>
      <c r="V11" s="42">
        <f t="shared" si="9"/>
        <v>0.22067721060287562</v>
      </c>
      <c r="W11" s="49">
        <f t="shared" si="10"/>
        <v>5.7853742698324391E-2</v>
      </c>
    </row>
    <row r="12" spans="1:23" x14ac:dyDescent="0.6">
      <c r="B12" s="2"/>
      <c r="C12" s="1"/>
      <c r="D12" s="2">
        <v>401.23784261715298</v>
      </c>
      <c r="E12" s="1">
        <v>1.77314211212516E-3</v>
      </c>
      <c r="F12" s="2">
        <v>401.95439739413598</v>
      </c>
      <c r="G12" s="1">
        <v>138.33131801692801</v>
      </c>
      <c r="H12" s="2">
        <v>397.89288849868302</v>
      </c>
      <c r="I12" s="1">
        <v>1.5899109792284798E-2</v>
      </c>
      <c r="J12" s="2">
        <v>398.09976247030801</v>
      </c>
      <c r="K12" s="1">
        <v>0.27785234899328898</v>
      </c>
      <c r="N12" s="3">
        <f t="shared" si="0"/>
        <v>401.23784261715298</v>
      </c>
      <c r="O12" s="21">
        <f t="shared" si="2"/>
        <v>56397.058823529507</v>
      </c>
      <c r="P12" s="3">
        <f t="shared" si="3"/>
        <v>401.95439739413598</v>
      </c>
      <c r="Q12" s="17">
        <f t="shared" si="4"/>
        <v>1.38331318016928E-4</v>
      </c>
      <c r="R12" s="3">
        <f t="shared" si="5"/>
        <v>397.89288849868302</v>
      </c>
      <c r="S12" s="24">
        <f t="shared" si="6"/>
        <v>1.5899109792284798</v>
      </c>
      <c r="T12" s="3">
        <f t="shared" si="7"/>
        <v>398.09976247030801</v>
      </c>
      <c r="U12" s="51">
        <f t="shared" si="8"/>
        <v>0.27785234899328898</v>
      </c>
      <c r="V12" s="42">
        <f t="shared" si="9"/>
        <v>0.2702194436248983</v>
      </c>
      <c r="W12" s="49">
        <f t="shared" si="10"/>
        <v>2.7471084538410843E-2</v>
      </c>
    </row>
    <row r="13" spans="1:23" x14ac:dyDescent="0.6">
      <c r="B13" s="2"/>
      <c r="C13" s="1"/>
      <c r="D13" s="2">
        <v>423.165340406719</v>
      </c>
      <c r="E13" s="1">
        <v>1.81421121251629E-3</v>
      </c>
      <c r="F13" s="2">
        <v>423.45276872964098</v>
      </c>
      <c r="G13" s="1">
        <v>145.22370012091901</v>
      </c>
      <c r="H13" s="2">
        <v>422.91483757682101</v>
      </c>
      <c r="I13" s="1">
        <v>1.58516320474777E-2</v>
      </c>
      <c r="J13" s="2">
        <v>423.04038004750498</v>
      </c>
      <c r="K13" s="1">
        <v>0.32147651006711397</v>
      </c>
      <c r="N13" s="3">
        <f t="shared" si="0"/>
        <v>423.165340406719</v>
      </c>
      <c r="O13" s="21">
        <f t="shared" si="2"/>
        <v>55120.373697449017</v>
      </c>
      <c r="P13" s="3">
        <f t="shared" si="3"/>
        <v>423.45276872964098</v>
      </c>
      <c r="Q13" s="17">
        <f t="shared" si="4"/>
        <v>1.4522370012091899E-4</v>
      </c>
      <c r="R13" s="3">
        <f t="shared" si="5"/>
        <v>422.91483757682101</v>
      </c>
      <c r="S13" s="24">
        <f t="shared" si="6"/>
        <v>1.5851632047477699</v>
      </c>
      <c r="T13" s="3">
        <f t="shared" si="7"/>
        <v>423.04038004750498</v>
      </c>
      <c r="U13" s="51">
        <f t="shared" si="8"/>
        <v>0.32147651006711397</v>
      </c>
      <c r="V13" s="42">
        <f t="shared" si="9"/>
        <v>0.31023799842839034</v>
      </c>
      <c r="W13" s="49">
        <f t="shared" si="10"/>
        <v>3.4959044554693577E-2</v>
      </c>
    </row>
    <row r="14" spans="1:23" x14ac:dyDescent="0.6">
      <c r="B14" s="2"/>
      <c r="C14" s="1"/>
      <c r="D14" s="2">
        <v>449.69053934571099</v>
      </c>
      <c r="E14" s="1">
        <v>1.8631029986962101E-3</v>
      </c>
      <c r="F14" s="2">
        <v>449.83713355048798</v>
      </c>
      <c r="G14" s="1">
        <v>155.01813784764201</v>
      </c>
      <c r="H14" s="2">
        <v>447.93678665495997</v>
      </c>
      <c r="I14" s="1">
        <v>1.5839762611275902E-2</v>
      </c>
      <c r="J14" s="2">
        <v>447.98099762470298</v>
      </c>
      <c r="K14" s="1">
        <v>0.36979865771811998</v>
      </c>
      <c r="N14" s="3">
        <f t="shared" si="0"/>
        <v>449.69053934571099</v>
      </c>
      <c r="O14" s="21">
        <f t="shared" si="2"/>
        <v>53673.897830651062</v>
      </c>
      <c r="P14" s="3">
        <f t="shared" si="3"/>
        <v>449.83713355048798</v>
      </c>
      <c r="Q14" s="17">
        <f t="shared" si="4"/>
        <v>1.55018137847642E-4</v>
      </c>
      <c r="R14" s="3">
        <f t="shared" si="5"/>
        <v>447.93678665495997</v>
      </c>
      <c r="S14" s="24">
        <f t="shared" si="6"/>
        <v>1.58397626112759</v>
      </c>
      <c r="T14" s="3">
        <f t="shared" si="7"/>
        <v>447.98099762470298</v>
      </c>
      <c r="U14" s="51">
        <f t="shared" si="8"/>
        <v>0.36979865771811998</v>
      </c>
      <c r="V14" s="42">
        <f t="shared" si="9"/>
        <v>0.36478677953447963</v>
      </c>
      <c r="W14" s="49">
        <f t="shared" si="10"/>
        <v>1.3552991821459416E-2</v>
      </c>
    </row>
    <row r="15" spans="1:23" x14ac:dyDescent="0.6">
      <c r="B15" s="2"/>
      <c r="C15" s="1"/>
      <c r="D15" s="2">
        <v>481.87444739168802</v>
      </c>
      <c r="E15" s="1">
        <v>1.91395045632333E-3</v>
      </c>
      <c r="F15" s="2">
        <v>481.10749185667697</v>
      </c>
      <c r="G15" s="1">
        <v>163.18016928657801</v>
      </c>
      <c r="H15" s="2">
        <v>472.95873573309899</v>
      </c>
      <c r="I15" s="1">
        <v>1.5816023738872399E-2</v>
      </c>
      <c r="J15" s="2">
        <v>470.07125890736302</v>
      </c>
      <c r="K15" s="1">
        <v>0.42080536912751698</v>
      </c>
      <c r="N15" s="3">
        <f t="shared" si="0"/>
        <v>481.87444739168802</v>
      </c>
      <c r="O15" s="21">
        <f t="shared" si="2"/>
        <v>52247.956403269964</v>
      </c>
      <c r="P15" s="3">
        <f t="shared" si="3"/>
        <v>481.10749185667697</v>
      </c>
      <c r="Q15" s="17">
        <f t="shared" si="4"/>
        <v>1.6318016928657799E-4</v>
      </c>
      <c r="R15" s="3">
        <f t="shared" si="5"/>
        <v>472.95873573309899</v>
      </c>
      <c r="S15" s="24">
        <f t="shared" si="6"/>
        <v>1.5816023738872398</v>
      </c>
      <c r="T15" s="3">
        <f t="shared" si="7"/>
        <v>470.07125890736302</v>
      </c>
      <c r="U15" s="51">
        <f t="shared" si="8"/>
        <v>0.42080536912751698</v>
      </c>
      <c r="V15" s="42">
        <f t="shared" si="9"/>
        <v>0.41349518552041076</v>
      </c>
      <c r="W15" s="49">
        <f t="shared" si="10"/>
        <v>1.7371887678769168E-2</v>
      </c>
    </row>
    <row r="16" spans="1:23" x14ac:dyDescent="0.6">
      <c r="B16" s="2"/>
      <c r="C16" s="1"/>
      <c r="D16" s="2">
        <v>500.61892130857598</v>
      </c>
      <c r="E16" s="1">
        <v>1.9491525423728799E-3</v>
      </c>
      <c r="F16" s="2">
        <v>500.65146579804502</v>
      </c>
      <c r="G16" s="1">
        <v>168.62152357920101</v>
      </c>
      <c r="H16" s="2">
        <v>497.98068481123698</v>
      </c>
      <c r="I16" s="1">
        <v>1.5804154302670601E-2</v>
      </c>
      <c r="J16" s="2">
        <v>497.14964370546301</v>
      </c>
      <c r="K16" s="1">
        <v>0.47315436241610698</v>
      </c>
      <c r="N16" s="3">
        <f t="shared" si="0"/>
        <v>500.61892130857598</v>
      </c>
      <c r="O16" s="21">
        <f t="shared" si="2"/>
        <v>51304.347826086989</v>
      </c>
      <c r="P16" s="3">
        <f t="shared" si="3"/>
        <v>500.65146579804502</v>
      </c>
      <c r="Q16" s="17">
        <f t="shared" si="4"/>
        <v>1.68621523579201E-4</v>
      </c>
      <c r="R16" s="3">
        <f t="shared" si="5"/>
        <v>497.98068481123698</v>
      </c>
      <c r="S16" s="24">
        <f t="shared" si="6"/>
        <v>1.5804154302670601</v>
      </c>
      <c r="T16" s="3">
        <f t="shared" si="7"/>
        <v>497.14964370546301</v>
      </c>
      <c r="U16" s="51">
        <f t="shared" si="8"/>
        <v>0.47315436241610698</v>
      </c>
      <c r="V16" s="42">
        <f t="shared" si="9"/>
        <v>0.4588767572823419</v>
      </c>
      <c r="W16" s="49">
        <f t="shared" si="10"/>
        <v>3.0175364041574452E-2</v>
      </c>
    </row>
    <row r="17" spans="2:23" x14ac:dyDescent="0.6">
      <c r="B17" s="2"/>
      <c r="C17" s="1"/>
      <c r="D17" s="2">
        <v>520.77807250220997</v>
      </c>
      <c r="E17" s="1">
        <v>1.9804432855280302E-3</v>
      </c>
      <c r="F17" s="2">
        <v>520.52117263843604</v>
      </c>
      <c r="G17" s="1">
        <v>173.15598548972099</v>
      </c>
      <c r="H17" s="2">
        <v>523.00263388937606</v>
      </c>
      <c r="I17" s="1">
        <v>1.57685459940652E-2</v>
      </c>
      <c r="J17" s="2">
        <v>524.70308788598504</v>
      </c>
      <c r="K17" s="1">
        <v>0.52617449664429505</v>
      </c>
      <c r="N17" s="3">
        <f t="shared" si="0"/>
        <v>520.77807250220997</v>
      </c>
      <c r="O17" s="21">
        <f t="shared" si="2"/>
        <v>50493.745885450982</v>
      </c>
      <c r="P17" s="3">
        <f t="shared" si="3"/>
        <v>520.52117263843604</v>
      </c>
      <c r="Q17" s="17">
        <f t="shared" si="4"/>
        <v>1.7315598548972097E-4</v>
      </c>
      <c r="R17" s="3">
        <f t="shared" si="5"/>
        <v>523.00263388937606</v>
      </c>
      <c r="S17" s="24">
        <f t="shared" si="6"/>
        <v>1.57685459940652</v>
      </c>
      <c r="T17" s="3">
        <f t="shared" si="7"/>
        <v>524.70308788598504</v>
      </c>
      <c r="U17" s="51">
        <f t="shared" si="8"/>
        <v>0.52617449664429505</v>
      </c>
      <c r="V17" s="42">
        <f t="shared" si="9"/>
        <v>0.50377264067441196</v>
      </c>
      <c r="W17" s="49">
        <f t="shared" si="10"/>
        <v>4.2574955861129873E-2</v>
      </c>
    </row>
    <row r="18" spans="2:23" x14ac:dyDescent="0.6">
      <c r="B18" s="2"/>
      <c r="C18" s="1"/>
      <c r="D18" s="2">
        <v>553.31564986737305</v>
      </c>
      <c r="E18" s="1">
        <v>2.0312907431551401E-3</v>
      </c>
      <c r="F18" s="2">
        <v>554.07166123778404</v>
      </c>
      <c r="G18" s="1">
        <v>179.68561064087001</v>
      </c>
      <c r="H18" s="2">
        <v>548.02458296751502</v>
      </c>
      <c r="I18" s="1">
        <v>1.57091988130563E-2</v>
      </c>
      <c r="J18" s="2">
        <v>548.45605700712599</v>
      </c>
      <c r="K18" s="1">
        <v>0.57516778523489898</v>
      </c>
      <c r="N18" s="3">
        <f t="shared" si="0"/>
        <v>553.31564986737305</v>
      </c>
      <c r="O18" s="21">
        <f t="shared" si="2"/>
        <v>49229.781771502167</v>
      </c>
      <c r="P18" s="3">
        <f t="shared" si="3"/>
        <v>554.07166123778404</v>
      </c>
      <c r="Q18" s="17">
        <f t="shared" si="4"/>
        <v>1.7968561064086999E-4</v>
      </c>
      <c r="R18" s="3">
        <f t="shared" si="5"/>
        <v>548.02458296751502</v>
      </c>
      <c r="S18" s="24">
        <f t="shared" si="6"/>
        <v>1.57091988130563</v>
      </c>
      <c r="T18" s="3">
        <f t="shared" si="7"/>
        <v>548.45605700712599</v>
      </c>
      <c r="U18" s="51">
        <f t="shared" si="8"/>
        <v>0.57516778523489898</v>
      </c>
      <c r="V18" s="42">
        <f t="shared" si="9"/>
        <v>0.55493524855188281</v>
      </c>
      <c r="W18" s="49">
        <f t="shared" si="10"/>
        <v>3.5176755726597557E-2</v>
      </c>
    </row>
    <row r="19" spans="2:23" x14ac:dyDescent="0.6">
      <c r="B19" s="2"/>
      <c r="C19" s="1"/>
      <c r="D19" s="2">
        <v>580.90185676392503</v>
      </c>
      <c r="E19" s="1">
        <v>2.0704041720990799E-3</v>
      </c>
      <c r="F19" s="2">
        <v>582.08469055374701</v>
      </c>
      <c r="G19" s="1">
        <v>183.85731559854901</v>
      </c>
      <c r="H19" s="2">
        <v>571.20280948200104</v>
      </c>
      <c r="I19" s="1">
        <v>1.5697329376854599E-2</v>
      </c>
      <c r="J19" s="2">
        <v>572.20902612826603</v>
      </c>
      <c r="K19" s="1">
        <v>0.61812080536912695</v>
      </c>
      <c r="N19" s="3">
        <f t="shared" si="0"/>
        <v>580.90185676392503</v>
      </c>
      <c r="O19" s="21">
        <f t="shared" si="2"/>
        <v>48299.74811083141</v>
      </c>
      <c r="P19" s="3">
        <f t="shared" si="3"/>
        <v>582.08469055374701</v>
      </c>
      <c r="Q19" s="17">
        <f t="shared" si="4"/>
        <v>1.83857315598549E-4</v>
      </c>
      <c r="R19" s="3">
        <f t="shared" si="5"/>
        <v>571.20280948200104</v>
      </c>
      <c r="S19" s="24">
        <f t="shared" si="6"/>
        <v>1.5697329376854599</v>
      </c>
      <c r="T19" s="3">
        <f t="shared" si="7"/>
        <v>572.20902612826603</v>
      </c>
      <c r="U19" s="51">
        <f t="shared" si="8"/>
        <v>0.61812080536912695</v>
      </c>
      <c r="V19" s="42">
        <f t="shared" si="9"/>
        <v>0.59516259502394531</v>
      </c>
      <c r="W19" s="49">
        <f t="shared" si="10"/>
        <v>3.7141947246819407E-2</v>
      </c>
    </row>
    <row r="20" spans="2:23" x14ac:dyDescent="0.6">
      <c r="B20" s="2"/>
      <c r="C20" s="1"/>
      <c r="D20" s="2">
        <v>602.12201591511905</v>
      </c>
      <c r="E20" s="1">
        <v>2.1016949152542299E-3</v>
      </c>
      <c r="F20" s="2">
        <v>602.280130293159</v>
      </c>
      <c r="G20" s="1">
        <v>188.75453446191</v>
      </c>
      <c r="H20" s="2">
        <v>599.64881474977994</v>
      </c>
      <c r="I20" s="1">
        <v>1.57091988130563E-2</v>
      </c>
      <c r="J20" s="2">
        <v>600.950118764845</v>
      </c>
      <c r="K20" s="1">
        <v>0.67382550335570401</v>
      </c>
      <c r="N20" s="3">
        <f t="shared" si="0"/>
        <v>602.12201591511905</v>
      </c>
      <c r="O20" s="21">
        <f t="shared" si="2"/>
        <v>47580.645161290493</v>
      </c>
      <c r="P20" s="3">
        <f t="shared" si="3"/>
        <v>602.280130293159</v>
      </c>
      <c r="Q20" s="17">
        <f t="shared" si="4"/>
        <v>1.8875453446190999E-4</v>
      </c>
      <c r="R20" s="3">
        <f t="shared" si="5"/>
        <v>599.64881474977994</v>
      </c>
      <c r="S20" s="24">
        <f t="shared" si="6"/>
        <v>1.57091988130563</v>
      </c>
      <c r="T20" s="3">
        <f t="shared" si="7"/>
        <v>600.950118764845</v>
      </c>
      <c r="U20" s="51">
        <f t="shared" si="8"/>
        <v>0.67382550335570401</v>
      </c>
      <c r="V20" s="42">
        <f t="shared" si="9"/>
        <v>0.64849928672451862</v>
      </c>
      <c r="W20" s="49">
        <f t="shared" si="10"/>
        <v>3.7585719900862825E-2</v>
      </c>
    </row>
    <row r="21" spans="2:23" x14ac:dyDescent="0.6">
      <c r="B21" s="28"/>
      <c r="C21" s="29"/>
      <c r="D21" s="28">
        <v>622.63483642793904</v>
      </c>
      <c r="E21" s="29">
        <v>2.13298565840938E-3</v>
      </c>
      <c r="F21" s="28">
        <v>622.80130293159505</v>
      </c>
      <c r="G21" s="29">
        <v>191.475211608222</v>
      </c>
      <c r="H21" s="28">
        <v>624.14398595259001</v>
      </c>
      <c r="I21" s="29">
        <v>1.5685459940652801E-2</v>
      </c>
      <c r="J21" s="28">
        <v>624.70308788598504</v>
      </c>
      <c r="K21" s="29">
        <v>0.71677852348993298</v>
      </c>
      <c r="N21" s="3">
        <f t="shared" si="0"/>
        <v>622.63483642793904</v>
      </c>
      <c r="O21" s="21">
        <f t="shared" si="2"/>
        <v>46882.640586797228</v>
      </c>
      <c r="P21" s="3">
        <f t="shared" si="3"/>
        <v>622.80130293159505</v>
      </c>
      <c r="Q21" s="17">
        <f t="shared" si="4"/>
        <v>1.91475211608222E-4</v>
      </c>
      <c r="R21" s="3">
        <f t="shared" si="5"/>
        <v>624.14398595259001</v>
      </c>
      <c r="S21" s="24">
        <f t="shared" si="6"/>
        <v>1.5685459940652802</v>
      </c>
      <c r="T21" s="3">
        <f t="shared" si="7"/>
        <v>624.70308788598504</v>
      </c>
      <c r="U21" s="51">
        <f t="shared" si="8"/>
        <v>0.71677852348993298</v>
      </c>
      <c r="V21" s="42">
        <f t="shared" si="9"/>
        <v>0.68456324185414053</v>
      </c>
      <c r="W21" s="49">
        <f t="shared" si="10"/>
        <v>4.494454085892393E-2</v>
      </c>
    </row>
    <row r="22" spans="2:23" x14ac:dyDescent="0.6">
      <c r="B22" s="2"/>
      <c r="C22" s="1"/>
      <c r="D22" s="2">
        <v>651.63572060123795</v>
      </c>
      <c r="E22" s="1">
        <v>2.16623207301173E-3</v>
      </c>
      <c r="F22" s="2">
        <v>651.46579804560201</v>
      </c>
      <c r="G22" s="1">
        <v>194.558645707376</v>
      </c>
      <c r="H22" s="2">
        <v>649.16593503072795</v>
      </c>
      <c r="I22" s="1">
        <v>1.5685459940652801E-2</v>
      </c>
      <c r="J22" s="2">
        <v>649.16864608076003</v>
      </c>
      <c r="K22" s="1">
        <v>0.753691275167785</v>
      </c>
      <c r="N22" s="3">
        <f t="shared" si="0"/>
        <v>651.63572060123795</v>
      </c>
      <c r="O22" s="21">
        <f t="shared" si="2"/>
        <v>46163.105627445162</v>
      </c>
      <c r="P22" s="3">
        <f t="shared" si="3"/>
        <v>651.46579804560201</v>
      </c>
      <c r="Q22" s="17">
        <f t="shared" si="4"/>
        <v>1.94558645707376E-4</v>
      </c>
      <c r="R22" s="3">
        <f t="shared" si="5"/>
        <v>649.16593503072795</v>
      </c>
      <c r="S22" s="24">
        <f t="shared" si="6"/>
        <v>1.5685459940652802</v>
      </c>
      <c r="T22" s="3">
        <f t="shared" si="7"/>
        <v>649.16864608076003</v>
      </c>
      <c r="U22" s="51">
        <f t="shared" si="8"/>
        <v>0.753691275167785</v>
      </c>
      <c r="V22" s="42">
        <f t="shared" si="9"/>
        <v>0.7231965827781307</v>
      </c>
      <c r="W22" s="49">
        <f t="shared" si="10"/>
        <v>4.0460455619398858E-2</v>
      </c>
    </row>
    <row r="23" spans="2:23" x14ac:dyDescent="0.6">
      <c r="B23" s="2"/>
      <c r="C23" s="1"/>
      <c r="D23" s="2">
        <v>673.20954907161797</v>
      </c>
      <c r="E23" s="1">
        <v>2.1857887874836999E-3</v>
      </c>
      <c r="F23" s="2">
        <v>672.96416938110701</v>
      </c>
      <c r="G23" s="1">
        <v>197.097944377267</v>
      </c>
      <c r="H23" s="2">
        <v>672.870939420544</v>
      </c>
      <c r="I23" s="1">
        <v>1.5697329376854599E-2</v>
      </c>
      <c r="J23" s="2">
        <v>672.68408551068796</v>
      </c>
      <c r="K23" s="1">
        <v>0.79530201342281803</v>
      </c>
      <c r="N23" s="3">
        <f t="shared" si="0"/>
        <v>673.20954907161797</v>
      </c>
      <c r="O23" s="21">
        <f t="shared" si="2"/>
        <v>45750.074560095491</v>
      </c>
      <c r="P23" s="3">
        <f t="shared" si="3"/>
        <v>672.96416938110701</v>
      </c>
      <c r="Q23" s="17">
        <f t="shared" si="4"/>
        <v>1.9709794437726698E-4</v>
      </c>
      <c r="R23" s="3">
        <f t="shared" si="5"/>
        <v>672.870939420544</v>
      </c>
      <c r="S23" s="24">
        <f t="shared" si="6"/>
        <v>1.5697329376854599</v>
      </c>
      <c r="T23" s="3">
        <f t="shared" si="7"/>
        <v>672.68408551068796</v>
      </c>
      <c r="U23" s="51">
        <f t="shared" si="8"/>
        <v>0.79530201342281803</v>
      </c>
      <c r="V23" s="42">
        <f t="shared" si="9"/>
        <v>0.76162532754446299</v>
      </c>
      <c r="W23" s="49">
        <f t="shared" si="10"/>
        <v>4.2344524859703844E-2</v>
      </c>
    </row>
    <row r="24" spans="2:23" x14ac:dyDescent="0.6">
      <c r="B24" s="2"/>
      <c r="C24" s="1"/>
      <c r="D24" s="2">
        <v>680.63660477453504</v>
      </c>
      <c r="E24" s="1">
        <v>2.19165580182529E-3</v>
      </c>
      <c r="F24" s="2">
        <v>681.10749185667703</v>
      </c>
      <c r="G24" s="1">
        <v>197.64207980652901</v>
      </c>
      <c r="H24" s="2">
        <v>698.41966637401197</v>
      </c>
      <c r="I24" s="1">
        <v>1.57329376854599E-2</v>
      </c>
      <c r="J24" s="2">
        <v>698.09976247030795</v>
      </c>
      <c r="K24" s="1">
        <v>0.83557046979865701</v>
      </c>
      <c r="N24" s="3">
        <f t="shared" si="0"/>
        <v>680.63660477453504</v>
      </c>
      <c r="O24" s="21">
        <f t="shared" si="2"/>
        <v>45627.602617489661</v>
      </c>
      <c r="P24" s="3">
        <f t="shared" si="3"/>
        <v>681.10749185667703</v>
      </c>
      <c r="Q24" s="17">
        <f t="shared" si="4"/>
        <v>1.97642079806529E-4</v>
      </c>
      <c r="R24" s="3">
        <f t="shared" si="5"/>
        <v>698.41966637401197</v>
      </c>
      <c r="S24" s="24">
        <f t="shared" si="6"/>
        <v>1.57329376854599</v>
      </c>
      <c r="T24" s="3">
        <f t="shared" si="7"/>
        <v>698.09976247030795</v>
      </c>
      <c r="U24" s="51">
        <f t="shared" si="8"/>
        <v>0.83557046979865701</v>
      </c>
      <c r="V24" s="42">
        <f>((O25*(Q25)^2)/S24)*T24</f>
        <v>0.80114282533986958</v>
      </c>
      <c r="W24" s="49">
        <f t="shared" si="10"/>
        <v>4.1202562444653264E-2</v>
      </c>
    </row>
    <row r="25" spans="2:23" x14ac:dyDescent="0.6">
      <c r="B25" s="2"/>
      <c r="C25" s="1"/>
      <c r="D25" s="2">
        <v>693.01503094606505</v>
      </c>
      <c r="E25" s="1">
        <v>2.2033898305084702E-3</v>
      </c>
      <c r="F25" s="2">
        <v>693.48534201954305</v>
      </c>
      <c r="G25" s="1">
        <v>199.45586457073699</v>
      </c>
      <c r="H25" s="2">
        <v>725.28533801580295</v>
      </c>
      <c r="I25" s="1">
        <v>1.57685459940652E-2</v>
      </c>
      <c r="J25" s="2">
        <v>725.178147268408</v>
      </c>
      <c r="K25" s="1">
        <v>0.855704697986577</v>
      </c>
      <c r="N25" s="3">
        <f t="shared" ref="N25" si="11">D25</f>
        <v>693.01503094606505</v>
      </c>
      <c r="O25" s="21">
        <f t="shared" si="2"/>
        <v>45384.61538461547</v>
      </c>
      <c r="P25" s="3">
        <f t="shared" si="3"/>
        <v>693.48534201954305</v>
      </c>
      <c r="Q25" s="17">
        <f t="shared" si="4"/>
        <v>1.9945586457073699E-4</v>
      </c>
      <c r="R25" s="3">
        <f t="shared" si="5"/>
        <v>725.28533801580295</v>
      </c>
      <c r="S25" s="24">
        <f t="shared" si="6"/>
        <v>1.57685459940652</v>
      </c>
      <c r="T25" s="3">
        <f t="shared" si="7"/>
        <v>725.178147268408</v>
      </c>
      <c r="U25" s="51">
        <f t="shared" si="8"/>
        <v>0.855704697986577</v>
      </c>
      <c r="V25" s="42">
        <f>((O26*(Q26)^2)/S25)*T25</f>
        <v>0.83192191828541195</v>
      </c>
      <c r="W25" s="49">
        <f t="shared" si="10"/>
        <v>2.7793209219400726E-2</v>
      </c>
    </row>
    <row r="26" spans="2:23" x14ac:dyDescent="0.6">
      <c r="B26" s="2"/>
      <c r="C26" s="1"/>
      <c r="D26" s="2">
        <v>701.50309460654296</v>
      </c>
      <c r="E26" s="1">
        <v>2.2112125162972599E-3</v>
      </c>
      <c r="F26" s="2">
        <v>702.280130293159</v>
      </c>
      <c r="G26" s="1">
        <v>200</v>
      </c>
      <c r="H26" s="2">
        <v>738.71817383669804</v>
      </c>
      <c r="I26" s="1">
        <v>1.57922848664688E-2</v>
      </c>
      <c r="J26" s="2">
        <v>739.90498812351495</v>
      </c>
      <c r="K26" s="1">
        <v>0.86711409395973105</v>
      </c>
      <c r="N26" s="3">
        <f t="shared" ref="N26" si="12">D26</f>
        <v>701.50309460654296</v>
      </c>
      <c r="O26" s="21">
        <f t="shared" si="2"/>
        <v>45224.056603773628</v>
      </c>
      <c r="P26" s="3">
        <f t="shared" si="3"/>
        <v>702.280130293159</v>
      </c>
      <c r="Q26" s="17">
        <f t="shared" si="4"/>
        <v>1.9999999999999998E-4</v>
      </c>
      <c r="R26" s="3">
        <f t="shared" si="5"/>
        <v>738.71817383669804</v>
      </c>
      <c r="S26" s="24">
        <f t="shared" si="6"/>
        <v>1.57922848664688</v>
      </c>
      <c r="T26" s="3">
        <f t="shared" si="7"/>
        <v>739.90498812351495</v>
      </c>
      <c r="U26" s="51">
        <f t="shared" si="8"/>
        <v>0.86711409395973105</v>
      </c>
      <c r="V26" s="42">
        <f t="shared" si="9"/>
        <v>0.84754056419941926</v>
      </c>
      <c r="W26" s="49">
        <f t="shared" si="10"/>
        <v>2.2573188345870424E-2</v>
      </c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ht="17.25" thickBot="1" x14ac:dyDescent="0.65">
      <c r="B30" s="31" t="s">
        <v>79</v>
      </c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35</v>
      </c>
      <c r="F32" s="11" t="s">
        <v>4</v>
      </c>
      <c r="G32" s="27" t="s">
        <v>13</v>
      </c>
      <c r="H32" s="11" t="s">
        <v>4</v>
      </c>
      <c r="I32" s="10" t="s">
        <v>43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19.098099999999999</v>
      </c>
      <c r="E33" s="4">
        <v>9.8591600000000009E-4</v>
      </c>
      <c r="F33" s="3">
        <v>6.3818299999999999</v>
      </c>
      <c r="G33" s="4">
        <v>2.7166399999999999</v>
      </c>
      <c r="H33" s="3">
        <v>326.44</v>
      </c>
      <c r="I33" s="4">
        <v>1.6023300000000001E-2</v>
      </c>
      <c r="J33" s="3">
        <v>323.09100000000001</v>
      </c>
      <c r="K33" s="4">
        <v>0.16591800000000001</v>
      </c>
      <c r="N33" s="3">
        <f>D33</f>
        <v>19.098099999999999</v>
      </c>
      <c r="O33" s="21">
        <f>(1/E33)*100</f>
        <v>101428.51926533294</v>
      </c>
      <c r="P33" s="3">
        <f>F33</f>
        <v>6.3818299999999999</v>
      </c>
      <c r="Q33" s="17">
        <f>G33*0.000001</f>
        <v>2.7166399999999998E-6</v>
      </c>
      <c r="R33" s="3">
        <f>H33</f>
        <v>326.44</v>
      </c>
      <c r="S33" s="24">
        <f>I33*100</f>
        <v>1.60233</v>
      </c>
      <c r="T33" s="3">
        <f>J33</f>
        <v>323.09100000000001</v>
      </c>
      <c r="U33" s="51">
        <f>K33</f>
        <v>0.16591800000000001</v>
      </c>
      <c r="V33" s="42">
        <f>((O39*(Q39)^2)/S33)*T33</f>
        <v>0.17291523936120964</v>
      </c>
      <c r="W33" s="49">
        <f t="shared" ref="W33" si="13">(U33-V33)/U33</f>
        <v>-4.2172876729526833E-2</v>
      </c>
    </row>
    <row r="34" spans="2:23" x14ac:dyDescent="0.6">
      <c r="B34" s="3"/>
      <c r="C34" s="4"/>
      <c r="D34" s="3">
        <v>65.251999999999995</v>
      </c>
      <c r="E34" s="4">
        <v>1.06514E-3</v>
      </c>
      <c r="F34" s="3">
        <v>65.581900000000005</v>
      </c>
      <c r="G34" s="4">
        <v>19.083300000000001</v>
      </c>
      <c r="H34" s="3">
        <v>377.83699999999999</v>
      </c>
      <c r="I34" s="4">
        <v>1.59141E-2</v>
      </c>
      <c r="J34" s="3">
        <v>367.38400000000001</v>
      </c>
      <c r="K34" s="4">
        <v>0.224936</v>
      </c>
      <c r="N34" s="3">
        <f t="shared" ref="N34:N44" si="14">D34</f>
        <v>65.251999999999995</v>
      </c>
      <c r="O34" s="21">
        <f t="shared" ref="O34:O44" si="15">(1/E34)*100</f>
        <v>93884.372007435639</v>
      </c>
      <c r="P34" s="3">
        <f t="shared" ref="P34:P45" si="16">F34</f>
        <v>65.581900000000005</v>
      </c>
      <c r="Q34" s="17">
        <f t="shared" ref="Q34:Q45" si="17">G34*0.000001</f>
        <v>1.9083300000000001E-5</v>
      </c>
      <c r="R34" s="3">
        <f t="shared" ref="R34:R42" si="18">H34</f>
        <v>377.83699999999999</v>
      </c>
      <c r="S34" s="24">
        <f t="shared" ref="S34:S42" si="19">I34*100</f>
        <v>1.59141</v>
      </c>
      <c r="T34" s="3">
        <f t="shared" ref="T34:T44" si="20">J34</f>
        <v>367.38400000000001</v>
      </c>
      <c r="U34" s="51">
        <f t="shared" ref="U34:U44" si="21">K34</f>
        <v>0.224936</v>
      </c>
      <c r="V34" s="42"/>
      <c r="W34" s="49"/>
    </row>
    <row r="35" spans="2:23" x14ac:dyDescent="0.6">
      <c r="B35" s="2"/>
      <c r="C35" s="1"/>
      <c r="D35" s="2">
        <v>124.13800000000001</v>
      </c>
      <c r="E35" s="1">
        <v>1.17958E-3</v>
      </c>
      <c r="F35" s="2">
        <v>127.84399999999999</v>
      </c>
      <c r="G35" s="1">
        <v>43.4758</v>
      </c>
      <c r="H35" s="2">
        <v>424.56299999999999</v>
      </c>
      <c r="I35" s="1">
        <v>1.5857199999999998E-2</v>
      </c>
      <c r="J35" s="2">
        <v>404.64699999999999</v>
      </c>
      <c r="K35" s="1">
        <v>0.29685</v>
      </c>
      <c r="N35" s="3">
        <f t="shared" si="14"/>
        <v>124.13800000000001</v>
      </c>
      <c r="O35" s="21">
        <f t="shared" si="15"/>
        <v>84775.937197985724</v>
      </c>
      <c r="P35" s="3">
        <f t="shared" si="16"/>
        <v>127.84399999999999</v>
      </c>
      <c r="Q35" s="17">
        <f t="shared" si="17"/>
        <v>4.3475799999999995E-5</v>
      </c>
      <c r="R35" s="3">
        <f t="shared" si="18"/>
        <v>424.56299999999999</v>
      </c>
      <c r="S35" s="24">
        <f t="shared" si="19"/>
        <v>1.5857199999999998</v>
      </c>
      <c r="T35" s="3">
        <f t="shared" si="20"/>
        <v>404.64699999999999</v>
      </c>
      <c r="U35" s="51">
        <f t="shared" si="21"/>
        <v>0.29685</v>
      </c>
      <c r="V35" s="42">
        <f>((O40*(Q40)^2)/S34)*T35</f>
        <v>0.27149851597486779</v>
      </c>
      <c r="W35" s="49">
        <f t="shared" ref="W35:W44" si="22">(U35-V35)/U35</f>
        <v>8.540166422480111E-2</v>
      </c>
    </row>
    <row r="36" spans="2:23" x14ac:dyDescent="0.6">
      <c r="B36" s="2"/>
      <c r="C36" s="1"/>
      <c r="D36" s="2">
        <v>183.024</v>
      </c>
      <c r="E36" s="1">
        <v>1.3204200000000001E-3</v>
      </c>
      <c r="F36" s="2">
        <v>186.97499999999999</v>
      </c>
      <c r="G36" s="1">
        <v>63.401000000000003</v>
      </c>
      <c r="H36" s="2">
        <v>474.79599999999999</v>
      </c>
      <c r="I36" s="1">
        <v>1.5852000000000002E-2</v>
      </c>
      <c r="J36" s="2">
        <v>443.077</v>
      </c>
      <c r="K36" s="1">
        <v>0.36878</v>
      </c>
      <c r="N36" s="3">
        <f t="shared" si="14"/>
        <v>183.024</v>
      </c>
      <c r="O36" s="21">
        <f t="shared" si="15"/>
        <v>75733.478741612504</v>
      </c>
      <c r="P36" s="3">
        <f t="shared" si="16"/>
        <v>186.97499999999999</v>
      </c>
      <c r="Q36" s="17">
        <f t="shared" si="17"/>
        <v>6.3400999999999998E-5</v>
      </c>
      <c r="R36" s="3">
        <f t="shared" si="18"/>
        <v>474.79599999999999</v>
      </c>
      <c r="S36" s="24">
        <f t="shared" si="19"/>
        <v>1.5852000000000002</v>
      </c>
      <c r="T36" s="3">
        <f t="shared" si="20"/>
        <v>443.077</v>
      </c>
      <c r="U36" s="51">
        <f t="shared" si="21"/>
        <v>0.36878</v>
      </c>
      <c r="V36" s="42">
        <f t="shared" ref="V36:V44" si="23">((O42*(Q42)^2)/S36)*T36</f>
        <v>0.4188527893831947</v>
      </c>
      <c r="W36" s="49">
        <f t="shared" si="22"/>
        <v>-0.13577956880306608</v>
      </c>
    </row>
    <row r="37" spans="2:23" x14ac:dyDescent="0.6">
      <c r="B37" s="2"/>
      <c r="C37" s="1"/>
      <c r="D37" s="2">
        <v>251.459</v>
      </c>
      <c r="E37" s="1">
        <v>1.44366E-3</v>
      </c>
      <c r="F37" s="2">
        <v>233.273</v>
      </c>
      <c r="G37" s="1">
        <v>81.470600000000005</v>
      </c>
      <c r="H37" s="2">
        <v>525.02700000000004</v>
      </c>
      <c r="I37" s="1">
        <v>1.5794900000000001E-2</v>
      </c>
      <c r="J37" s="2">
        <v>479.149</v>
      </c>
      <c r="K37" s="1">
        <v>0.45366499999999998</v>
      </c>
      <c r="N37" s="3">
        <f t="shared" si="14"/>
        <v>251.459</v>
      </c>
      <c r="O37" s="21">
        <f t="shared" si="15"/>
        <v>69268.387293407039</v>
      </c>
      <c r="P37" s="3">
        <f t="shared" si="16"/>
        <v>233.273</v>
      </c>
      <c r="Q37" s="17">
        <f t="shared" si="17"/>
        <v>8.1470600000000006E-5</v>
      </c>
      <c r="R37" s="3">
        <f t="shared" si="18"/>
        <v>525.02700000000004</v>
      </c>
      <c r="S37" s="24">
        <f t="shared" si="19"/>
        <v>1.5794900000000001</v>
      </c>
      <c r="T37" s="3">
        <f t="shared" si="20"/>
        <v>479.149</v>
      </c>
      <c r="U37" s="51">
        <f t="shared" si="21"/>
        <v>0.45366499999999998</v>
      </c>
      <c r="V37" s="42">
        <f t="shared" si="23"/>
        <v>0.5061914519913211</v>
      </c>
      <c r="W37" s="49">
        <f t="shared" si="22"/>
        <v>-0.11578246501564174</v>
      </c>
    </row>
    <row r="38" spans="2:23" x14ac:dyDescent="0.6">
      <c r="B38" s="2"/>
      <c r="C38" s="1"/>
      <c r="D38" s="2">
        <v>289.65499999999997</v>
      </c>
      <c r="E38" s="1">
        <v>1.54049E-3</v>
      </c>
      <c r="F38" s="2">
        <v>286.02199999999999</v>
      </c>
      <c r="G38" s="1">
        <v>98.688699999999997</v>
      </c>
      <c r="H38" s="2">
        <v>575.255</v>
      </c>
      <c r="I38" s="1">
        <v>1.56857E-2</v>
      </c>
      <c r="J38" s="2">
        <v>517.596</v>
      </c>
      <c r="K38" s="1">
        <v>0.51585400000000003</v>
      </c>
      <c r="N38" s="3">
        <f t="shared" si="14"/>
        <v>289.65499999999997</v>
      </c>
      <c r="O38" s="21">
        <f t="shared" si="15"/>
        <v>64914.410349953585</v>
      </c>
      <c r="P38" s="3">
        <f t="shared" si="16"/>
        <v>286.02199999999999</v>
      </c>
      <c r="Q38" s="17">
        <f t="shared" si="17"/>
        <v>9.8688699999999996E-5</v>
      </c>
      <c r="R38" s="3">
        <f t="shared" si="18"/>
        <v>575.255</v>
      </c>
      <c r="S38" s="24">
        <f t="shared" si="19"/>
        <v>1.56857</v>
      </c>
      <c r="T38" s="3">
        <f t="shared" si="20"/>
        <v>517.596</v>
      </c>
      <c r="U38" s="51">
        <f t="shared" si="21"/>
        <v>0.51585400000000003</v>
      </c>
      <c r="V38" s="42">
        <f t="shared" si="23"/>
        <v>0.5759563322559722</v>
      </c>
      <c r="W38" s="49">
        <f t="shared" si="22"/>
        <v>-0.1165103542009409</v>
      </c>
    </row>
    <row r="39" spans="2:23" x14ac:dyDescent="0.6">
      <c r="B39" s="2"/>
      <c r="C39" s="1"/>
      <c r="D39" s="2">
        <v>348.541</v>
      </c>
      <c r="E39" s="1">
        <v>1.66373E-3</v>
      </c>
      <c r="F39" s="2">
        <v>335.48599999999999</v>
      </c>
      <c r="G39" s="1">
        <v>119.446</v>
      </c>
      <c r="H39" s="2">
        <v>625.48800000000006</v>
      </c>
      <c r="I39" s="1">
        <v>1.56805E-2</v>
      </c>
      <c r="J39" s="2">
        <v>557.173</v>
      </c>
      <c r="K39" s="1">
        <v>0.60078600000000004</v>
      </c>
      <c r="N39" s="3">
        <f t="shared" si="14"/>
        <v>348.541</v>
      </c>
      <c r="O39" s="21">
        <f t="shared" si="15"/>
        <v>60105.906607442317</v>
      </c>
      <c r="P39" s="3">
        <f t="shared" si="16"/>
        <v>335.48599999999999</v>
      </c>
      <c r="Q39" s="17">
        <f t="shared" si="17"/>
        <v>1.1944599999999999E-4</v>
      </c>
      <c r="R39" s="3">
        <f t="shared" si="18"/>
        <v>625.48800000000006</v>
      </c>
      <c r="S39" s="24">
        <f t="shared" si="19"/>
        <v>1.5680499999999999</v>
      </c>
      <c r="T39" s="3">
        <f t="shared" si="20"/>
        <v>557.173</v>
      </c>
      <c r="U39" s="51">
        <f t="shared" si="21"/>
        <v>0.60078600000000004</v>
      </c>
      <c r="V39" s="42">
        <f t="shared" si="23"/>
        <v>0</v>
      </c>
      <c r="W39" s="49">
        <f t="shared" si="22"/>
        <v>1</v>
      </c>
    </row>
    <row r="40" spans="2:23" x14ac:dyDescent="0.6">
      <c r="B40" s="2"/>
      <c r="C40" s="1"/>
      <c r="D40" s="2">
        <v>418.56799999999998</v>
      </c>
      <c r="E40" s="1">
        <v>1.7957699999999999E-3</v>
      </c>
      <c r="F40" s="2">
        <v>393.02600000000001</v>
      </c>
      <c r="G40" s="1">
        <v>138.47200000000001</v>
      </c>
      <c r="H40" s="2">
        <v>679.226</v>
      </c>
      <c r="I40" s="1">
        <v>1.5674899999999999E-2</v>
      </c>
      <c r="J40" s="2">
        <v>600.27099999999996</v>
      </c>
      <c r="K40" s="1">
        <v>0.67602300000000004</v>
      </c>
      <c r="N40" s="3">
        <f t="shared" si="14"/>
        <v>418.56799999999998</v>
      </c>
      <c r="O40" s="21">
        <f t="shared" si="15"/>
        <v>55686.418639358046</v>
      </c>
      <c r="P40" s="3">
        <f t="shared" si="16"/>
        <v>393.02600000000001</v>
      </c>
      <c r="Q40" s="17">
        <f t="shared" si="17"/>
        <v>1.38472E-4</v>
      </c>
      <c r="R40" s="3">
        <f t="shared" si="18"/>
        <v>679.226</v>
      </c>
      <c r="S40" s="24">
        <f t="shared" si="19"/>
        <v>1.5674899999999998</v>
      </c>
      <c r="T40" s="3">
        <f t="shared" si="20"/>
        <v>600.27099999999996</v>
      </c>
      <c r="U40" s="51">
        <f t="shared" si="21"/>
        <v>0.67602300000000004</v>
      </c>
      <c r="V40" s="42">
        <f t="shared" si="23"/>
        <v>0</v>
      </c>
      <c r="W40" s="49">
        <f t="shared" si="22"/>
        <v>1</v>
      </c>
    </row>
    <row r="41" spans="2:23" x14ac:dyDescent="0.6">
      <c r="B41" s="2"/>
      <c r="C41" s="1"/>
      <c r="D41" s="2">
        <v>494.96</v>
      </c>
      <c r="E41" s="1">
        <v>1.93662E-3</v>
      </c>
      <c r="F41" s="2">
        <v>455.339</v>
      </c>
      <c r="G41" s="1">
        <v>160.196</v>
      </c>
      <c r="H41" s="2">
        <v>714.27499999999998</v>
      </c>
      <c r="I41" s="1">
        <v>1.5723299999999999E-2</v>
      </c>
      <c r="J41" s="2">
        <v>638.69600000000003</v>
      </c>
      <c r="K41" s="1">
        <v>0.75119899999999995</v>
      </c>
      <c r="N41" s="3">
        <f t="shared" si="14"/>
        <v>494.96</v>
      </c>
      <c r="O41" s="21">
        <f t="shared" si="15"/>
        <v>51636.356125620936</v>
      </c>
      <c r="P41" s="3">
        <f t="shared" si="16"/>
        <v>455.339</v>
      </c>
      <c r="Q41" s="17">
        <f t="shared" si="17"/>
        <v>1.6019599999999998E-4</v>
      </c>
      <c r="R41" s="3">
        <f t="shared" si="18"/>
        <v>714.27499999999998</v>
      </c>
      <c r="S41" s="24">
        <f t="shared" si="19"/>
        <v>1.57233</v>
      </c>
      <c r="T41" s="3">
        <f t="shared" si="20"/>
        <v>638.69600000000003</v>
      </c>
      <c r="U41" s="51">
        <f t="shared" si="21"/>
        <v>0.75119899999999995</v>
      </c>
      <c r="V41" s="42">
        <f t="shared" si="23"/>
        <v>0</v>
      </c>
      <c r="W41" s="49">
        <f t="shared" si="22"/>
        <v>1</v>
      </c>
    </row>
    <row r="42" spans="2:23" x14ac:dyDescent="0.6">
      <c r="B42" s="2"/>
      <c r="C42" s="1"/>
      <c r="D42" s="2">
        <v>566.57799999999997</v>
      </c>
      <c r="E42" s="1">
        <v>2.0598600000000002E-3</v>
      </c>
      <c r="F42" s="2">
        <v>517.774</v>
      </c>
      <c r="G42" s="1">
        <v>175.69200000000001</v>
      </c>
      <c r="H42" s="2">
        <v>738.81299999999999</v>
      </c>
      <c r="I42" s="1">
        <v>1.5824600000000001E-2</v>
      </c>
      <c r="J42" s="2">
        <v>671.31799999999998</v>
      </c>
      <c r="K42" s="1">
        <v>0.80357100000000004</v>
      </c>
      <c r="N42" s="3">
        <f t="shared" si="14"/>
        <v>566.57799999999997</v>
      </c>
      <c r="O42" s="21">
        <f t="shared" si="15"/>
        <v>48546.988630295258</v>
      </c>
      <c r="P42" s="3">
        <f t="shared" si="16"/>
        <v>517.774</v>
      </c>
      <c r="Q42" s="17">
        <f t="shared" si="17"/>
        <v>1.75692E-4</v>
      </c>
      <c r="R42" s="3">
        <f t="shared" si="18"/>
        <v>738.81299999999999</v>
      </c>
      <c r="S42" s="24">
        <f t="shared" si="19"/>
        <v>1.5824600000000002</v>
      </c>
      <c r="T42" s="3">
        <f t="shared" si="20"/>
        <v>671.31799999999998</v>
      </c>
      <c r="U42" s="51">
        <f t="shared" si="21"/>
        <v>0.80357100000000004</v>
      </c>
      <c r="V42" s="42">
        <f t="shared" si="23"/>
        <v>0</v>
      </c>
      <c r="W42" s="49">
        <f t="shared" si="22"/>
        <v>1</v>
      </c>
    </row>
    <row r="43" spans="2:23" x14ac:dyDescent="0.6">
      <c r="B43" s="2"/>
      <c r="C43" s="1"/>
      <c r="D43" s="2">
        <v>631.83000000000004</v>
      </c>
      <c r="E43" s="1">
        <v>2.13028E-3</v>
      </c>
      <c r="F43" s="2">
        <v>583.476</v>
      </c>
      <c r="G43" s="1">
        <v>188.53800000000001</v>
      </c>
      <c r="H43" s="2"/>
      <c r="I43" s="1"/>
      <c r="J43" s="2">
        <v>708.62900000000002</v>
      </c>
      <c r="K43" s="1">
        <v>0.84626500000000004</v>
      </c>
      <c r="N43" s="3">
        <f t="shared" si="14"/>
        <v>631.83000000000004</v>
      </c>
      <c r="O43" s="21">
        <f t="shared" si="15"/>
        <v>46942.186003717819</v>
      </c>
      <c r="P43" s="3">
        <f t="shared" si="16"/>
        <v>583.476</v>
      </c>
      <c r="Q43" s="17">
        <f t="shared" si="17"/>
        <v>1.88538E-4</v>
      </c>
      <c r="R43" s="3"/>
      <c r="S43" s="24"/>
      <c r="T43" s="3">
        <f t="shared" si="20"/>
        <v>708.62900000000002</v>
      </c>
      <c r="U43" s="24">
        <f t="shared" si="21"/>
        <v>0.84626500000000004</v>
      </c>
      <c r="V43" s="42" t="e">
        <f t="shared" si="23"/>
        <v>#DIV/0!</v>
      </c>
      <c r="W43" s="49" t="e">
        <f t="shared" si="22"/>
        <v>#DIV/0!</v>
      </c>
    </row>
    <row r="44" spans="2:23" x14ac:dyDescent="0.6">
      <c r="B44" s="2"/>
      <c r="C44" s="1"/>
      <c r="D44" s="2">
        <v>698.67399999999998</v>
      </c>
      <c r="E44" s="1">
        <v>2.2006999999999999E-3</v>
      </c>
      <c r="F44" s="2">
        <v>639.63199999999995</v>
      </c>
      <c r="G44" s="1">
        <v>195.989</v>
      </c>
      <c r="H44" s="2"/>
      <c r="I44" s="1"/>
      <c r="J44" s="2">
        <v>741.29</v>
      </c>
      <c r="K44" s="1">
        <v>0.87590999999999997</v>
      </c>
      <c r="N44" s="3">
        <f t="shared" si="14"/>
        <v>698.67399999999998</v>
      </c>
      <c r="O44" s="21">
        <f t="shared" si="15"/>
        <v>45440.087244967515</v>
      </c>
      <c r="P44" s="3">
        <f t="shared" si="16"/>
        <v>639.63199999999995</v>
      </c>
      <c r="Q44" s="17">
        <f t="shared" si="17"/>
        <v>1.9598899999999998E-4</v>
      </c>
      <c r="R44" s="3"/>
      <c r="S44" s="24"/>
      <c r="T44" s="3">
        <f t="shared" si="20"/>
        <v>741.29</v>
      </c>
      <c r="U44" s="24">
        <f t="shared" si="21"/>
        <v>0.87590999999999997</v>
      </c>
      <c r="V44" s="42" t="e">
        <f t="shared" si="23"/>
        <v>#DIV/0!</v>
      </c>
      <c r="W44" s="49" t="e">
        <f t="shared" si="22"/>
        <v>#DIV/0!</v>
      </c>
    </row>
    <row r="45" spans="2:23" x14ac:dyDescent="0.6">
      <c r="B45" s="28"/>
      <c r="C45" s="29"/>
      <c r="D45" s="28"/>
      <c r="E45" s="29"/>
      <c r="F45" s="28">
        <v>694.21400000000006</v>
      </c>
      <c r="G45" s="29">
        <v>201.65100000000001</v>
      </c>
      <c r="H45" s="28"/>
      <c r="I45" s="29"/>
      <c r="J45" s="28"/>
      <c r="K45" s="29"/>
      <c r="N45" s="32"/>
      <c r="O45" s="33"/>
      <c r="P45" s="32">
        <f t="shared" si="16"/>
        <v>694.21400000000006</v>
      </c>
      <c r="Q45" s="34">
        <f t="shared" si="17"/>
        <v>2.0165100000000001E-4</v>
      </c>
      <c r="R45" s="32"/>
      <c r="S45" s="35"/>
      <c r="T45" s="32"/>
      <c r="U45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W5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L7" s="31">
        <v>273.14999999999998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383.04500000000002</v>
      </c>
      <c r="C9" s="4">
        <v>163.19</v>
      </c>
      <c r="D9" s="3"/>
      <c r="E9" s="4"/>
      <c r="F9" s="3">
        <v>384.24700000000001</v>
      </c>
      <c r="G9" s="4">
        <v>-213.72300000000001</v>
      </c>
      <c r="H9" s="3">
        <v>384.39100000000002</v>
      </c>
      <c r="I9" s="4">
        <v>3.48244</v>
      </c>
      <c r="J9" s="3">
        <f>100+$L$7</f>
        <v>373.15</v>
      </c>
      <c r="K9" s="4">
        <v>7.2170700000000004E-2</v>
      </c>
      <c r="N9" s="3">
        <f>B9</f>
        <v>383.04500000000002</v>
      </c>
      <c r="O9" s="21">
        <f>C9/(10^(-2))</f>
        <v>16319</v>
      </c>
      <c r="P9" s="3">
        <f>F9</f>
        <v>384.24700000000001</v>
      </c>
      <c r="Q9" s="17">
        <f>G9*(10^(-6))</f>
        <v>-2.13723E-4</v>
      </c>
      <c r="R9" s="3">
        <f>H9</f>
        <v>384.39100000000002</v>
      </c>
      <c r="S9" s="24">
        <f>I9</f>
        <v>3.48244</v>
      </c>
      <c r="T9" s="3">
        <f>J9</f>
        <v>373.15</v>
      </c>
      <c r="U9" s="51">
        <f>K9</f>
        <v>7.2170700000000004E-2</v>
      </c>
      <c r="V9" s="42">
        <f>((O9*(Q9)^2)/S9)*T9</f>
        <v>7.9872240896833827E-2</v>
      </c>
      <c r="W9" s="49">
        <f>(U9-V9)/U9</f>
        <v>-0.10671284741361552</v>
      </c>
    </row>
    <row r="10" spans="1:23" x14ac:dyDescent="0.6">
      <c r="B10" s="3">
        <v>480.62299999999999</v>
      </c>
      <c r="C10" s="4">
        <v>258.89600000000002</v>
      </c>
      <c r="D10" s="3"/>
      <c r="E10" s="4"/>
      <c r="F10" s="3">
        <v>478.767</v>
      </c>
      <c r="G10" s="4">
        <v>-227.12799999999999</v>
      </c>
      <c r="H10" s="3">
        <v>477.62200000000001</v>
      </c>
      <c r="I10" s="4">
        <v>3.2873999999999999</v>
      </c>
      <c r="J10" s="3">
        <f>200+$L$7</f>
        <v>473.15</v>
      </c>
      <c r="K10" s="4">
        <v>0.19916600000000001</v>
      </c>
      <c r="N10" s="3">
        <f t="shared" ref="N10:N14" si="0">B10</f>
        <v>480.62299999999999</v>
      </c>
      <c r="O10" s="21">
        <f t="shared" ref="O10:O14" si="1">C10/(10^(-2))</f>
        <v>25889.600000000002</v>
      </c>
      <c r="P10" s="3">
        <f t="shared" ref="P10:P14" si="2">F10</f>
        <v>478.767</v>
      </c>
      <c r="Q10" s="17">
        <f t="shared" ref="Q10:Q14" si="3">G10*(10^(-6))</f>
        <v>-2.2712799999999997E-4</v>
      </c>
      <c r="R10" s="3">
        <f t="shared" ref="R10:U14" si="4">H10</f>
        <v>477.62200000000001</v>
      </c>
      <c r="S10" s="24">
        <f t="shared" si="4"/>
        <v>3.2873999999999999</v>
      </c>
      <c r="T10" s="3">
        <f t="shared" si="4"/>
        <v>473.15</v>
      </c>
      <c r="U10" s="51">
        <f t="shared" si="4"/>
        <v>0.19916600000000001</v>
      </c>
      <c r="V10" s="42">
        <f t="shared" ref="V10:V14" si="5">((O10*(Q10)^2)/S10)*T10</f>
        <v>0.19222638006016113</v>
      </c>
      <c r="W10" s="49">
        <f t="shared" ref="W10:W14" si="6">(U10-V10)/U10</f>
        <v>3.4843396663280284E-2</v>
      </c>
    </row>
    <row r="11" spans="1:23" x14ac:dyDescent="0.6">
      <c r="B11" s="2">
        <v>580.27700000000004</v>
      </c>
      <c r="C11" s="1">
        <v>354.601</v>
      </c>
      <c r="D11" s="2"/>
      <c r="E11" s="1"/>
      <c r="F11" s="2">
        <v>579.452</v>
      </c>
      <c r="G11" s="1">
        <v>-233.83</v>
      </c>
      <c r="H11" s="2">
        <v>579.06399999999996</v>
      </c>
      <c r="I11" s="1">
        <v>3.19089</v>
      </c>
      <c r="J11" s="3">
        <f>300+$L$7</f>
        <v>573.15</v>
      </c>
      <c r="K11" s="1">
        <v>0.35566599999999998</v>
      </c>
      <c r="N11" s="3">
        <f t="shared" si="0"/>
        <v>580.27700000000004</v>
      </c>
      <c r="O11" s="21">
        <f t="shared" si="1"/>
        <v>35460.1</v>
      </c>
      <c r="P11" s="3">
        <f t="shared" si="2"/>
        <v>579.452</v>
      </c>
      <c r="Q11" s="17">
        <f t="shared" si="3"/>
        <v>-2.3383E-4</v>
      </c>
      <c r="R11" s="3">
        <f t="shared" si="4"/>
        <v>579.06399999999996</v>
      </c>
      <c r="S11" s="24">
        <f t="shared" si="4"/>
        <v>3.19089</v>
      </c>
      <c r="T11" s="3">
        <f t="shared" si="4"/>
        <v>573.15</v>
      </c>
      <c r="U11" s="51">
        <f t="shared" si="4"/>
        <v>0.35566599999999998</v>
      </c>
      <c r="V11" s="42">
        <f t="shared" si="5"/>
        <v>0.34825461403622687</v>
      </c>
      <c r="W11" s="49">
        <f t="shared" si="6"/>
        <v>2.0838050203767326E-2</v>
      </c>
    </row>
    <row r="12" spans="1:23" x14ac:dyDescent="0.6">
      <c r="B12" s="2">
        <v>679.93100000000004</v>
      </c>
      <c r="C12" s="1">
        <v>446.62599999999998</v>
      </c>
      <c r="D12" s="2"/>
      <c r="E12" s="1"/>
      <c r="F12" s="2">
        <v>682.19200000000001</v>
      </c>
      <c r="G12" s="1">
        <v>-233.83</v>
      </c>
      <c r="H12" s="2">
        <v>680.42100000000005</v>
      </c>
      <c r="I12" s="1">
        <v>3.2255199999999999</v>
      </c>
      <c r="J12" s="3">
        <f>400+$L$7</f>
        <v>673.15</v>
      </c>
      <c r="K12" s="1">
        <v>0.52055799999999997</v>
      </c>
      <c r="N12" s="3">
        <f t="shared" si="0"/>
        <v>679.93100000000004</v>
      </c>
      <c r="O12" s="21">
        <f t="shared" si="1"/>
        <v>44662.6</v>
      </c>
      <c r="P12" s="3">
        <f t="shared" si="2"/>
        <v>682.19200000000001</v>
      </c>
      <c r="Q12" s="17">
        <f t="shared" si="3"/>
        <v>-2.3383E-4</v>
      </c>
      <c r="R12" s="3">
        <f t="shared" si="4"/>
        <v>680.42100000000005</v>
      </c>
      <c r="S12" s="24">
        <f t="shared" si="4"/>
        <v>3.2255199999999999</v>
      </c>
      <c r="T12" s="3">
        <f t="shared" si="4"/>
        <v>673.15</v>
      </c>
      <c r="U12" s="51">
        <f t="shared" si="4"/>
        <v>0.52055799999999997</v>
      </c>
      <c r="V12" s="42">
        <f t="shared" si="5"/>
        <v>0.50963186180741926</v>
      </c>
      <c r="W12" s="49">
        <f t="shared" si="6"/>
        <v>2.0989281103317409E-2</v>
      </c>
    </row>
    <row r="13" spans="1:23" x14ac:dyDescent="0.6">
      <c r="B13" s="2">
        <v>779.58500000000004</v>
      </c>
      <c r="C13" s="1">
        <v>538.65</v>
      </c>
      <c r="D13" s="2"/>
      <c r="E13" s="1"/>
      <c r="F13" s="2">
        <v>778.76700000000005</v>
      </c>
      <c r="G13" s="1">
        <v>-225.63800000000001</v>
      </c>
      <c r="H13" s="2">
        <v>779.60199999999998</v>
      </c>
      <c r="I13" s="1">
        <v>3.4240599999999999</v>
      </c>
      <c r="J13" s="3">
        <f>500+$L$7</f>
        <v>773.15</v>
      </c>
      <c r="K13" s="1">
        <v>0.62654299999999996</v>
      </c>
      <c r="N13" s="3">
        <f t="shared" si="0"/>
        <v>779.58500000000004</v>
      </c>
      <c r="O13" s="21">
        <f t="shared" si="1"/>
        <v>53865</v>
      </c>
      <c r="P13" s="3">
        <f t="shared" si="2"/>
        <v>778.76700000000005</v>
      </c>
      <c r="Q13" s="17">
        <f t="shared" si="3"/>
        <v>-2.2563799999999998E-4</v>
      </c>
      <c r="R13" s="3">
        <f t="shared" si="4"/>
        <v>779.60199999999998</v>
      </c>
      <c r="S13" s="24">
        <f t="shared" si="4"/>
        <v>3.4240599999999999</v>
      </c>
      <c r="T13" s="3">
        <f t="shared" si="4"/>
        <v>773.15</v>
      </c>
      <c r="U13" s="51">
        <f t="shared" si="4"/>
        <v>0.62654299999999996</v>
      </c>
      <c r="V13" s="42">
        <f t="shared" si="5"/>
        <v>0.61923221400526274</v>
      </c>
      <c r="W13" s="49">
        <f t="shared" si="6"/>
        <v>1.1668450520933477E-2</v>
      </c>
    </row>
    <row r="14" spans="1:23" x14ac:dyDescent="0.6">
      <c r="B14" s="28">
        <v>883.39099999999996</v>
      </c>
      <c r="C14" s="29">
        <v>645.399</v>
      </c>
      <c r="D14" s="28"/>
      <c r="E14" s="29"/>
      <c r="F14" s="28">
        <v>879.452</v>
      </c>
      <c r="G14" s="29">
        <v>-209.255</v>
      </c>
      <c r="H14" s="28">
        <v>876.62800000000004</v>
      </c>
      <c r="I14" s="29">
        <v>3.7537099999999999</v>
      </c>
      <c r="J14" s="3">
        <f>600+$L$7</f>
        <v>873.15</v>
      </c>
      <c r="K14" s="29">
        <v>0.66511500000000001</v>
      </c>
      <c r="N14" s="32">
        <f t="shared" si="0"/>
        <v>883.39099999999996</v>
      </c>
      <c r="O14" s="21">
        <f t="shared" si="1"/>
        <v>64539.9</v>
      </c>
      <c r="P14" s="32">
        <f t="shared" si="2"/>
        <v>879.452</v>
      </c>
      <c r="Q14" s="17">
        <f t="shared" si="3"/>
        <v>-2.0925499999999999E-4</v>
      </c>
      <c r="R14" s="32">
        <f t="shared" si="4"/>
        <v>876.62800000000004</v>
      </c>
      <c r="S14" s="35">
        <f t="shared" si="4"/>
        <v>3.7537099999999999</v>
      </c>
      <c r="T14" s="32">
        <f t="shared" si="4"/>
        <v>873.15</v>
      </c>
      <c r="U14" s="52">
        <f t="shared" si="4"/>
        <v>0.66511500000000001</v>
      </c>
      <c r="V14" s="42">
        <f t="shared" si="5"/>
        <v>0.65736733068294662</v>
      </c>
      <c r="W14" s="49">
        <f t="shared" si="6"/>
        <v>1.164861612962179E-2</v>
      </c>
    </row>
    <row r="15" spans="1:23" x14ac:dyDescent="0.6">
      <c r="B15" s="30"/>
      <c r="C15" s="30"/>
      <c r="D15" s="30"/>
      <c r="E15" s="30"/>
      <c r="F15" s="30"/>
      <c r="G15" s="30"/>
      <c r="H15" s="30"/>
      <c r="I15" s="30"/>
      <c r="J15" s="30"/>
      <c r="K15" s="30"/>
      <c r="N15" s="30"/>
      <c r="O15" s="39"/>
      <c r="P15" s="30"/>
      <c r="Q15" s="40"/>
      <c r="R15" s="30"/>
      <c r="S15" s="41"/>
      <c r="T15" s="30"/>
      <c r="U15" s="41"/>
    </row>
    <row r="16" spans="1:23" x14ac:dyDescent="0.6">
      <c r="B16" s="31"/>
      <c r="C16" s="31"/>
      <c r="D16" s="31"/>
      <c r="E16" s="31"/>
      <c r="F16" s="31"/>
      <c r="G16" s="31"/>
      <c r="H16" s="31"/>
      <c r="I16" s="31"/>
      <c r="K16" s="31"/>
      <c r="N16" s="31"/>
      <c r="O16" s="36"/>
      <c r="P16" s="31"/>
      <c r="Q16" s="37"/>
      <c r="R16" s="31"/>
      <c r="S16" s="38"/>
      <c r="T16" s="31"/>
      <c r="U16" s="38"/>
    </row>
    <row r="17" spans="2:23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6"/>
      <c r="P17" s="31"/>
      <c r="Q17" s="37"/>
      <c r="R17" s="31"/>
      <c r="S17" s="38"/>
      <c r="T17" s="31"/>
      <c r="U17" s="38"/>
      <c r="V17"/>
    </row>
    <row r="18" spans="2:23" ht="17.25" thickBot="1" x14ac:dyDescent="0.65">
      <c r="B18" s="31" t="s">
        <v>79</v>
      </c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6"/>
      <c r="P18" s="31"/>
      <c r="Q18" s="37"/>
      <c r="R18" s="31"/>
      <c r="S18" s="38"/>
      <c r="T18" s="31"/>
      <c r="U18" s="38"/>
      <c r="V18"/>
    </row>
    <row r="19" spans="2:23" x14ac:dyDescent="0.6">
      <c r="B19" s="5" t="s">
        <v>3</v>
      </c>
      <c r="C19" s="6" t="s">
        <v>0</v>
      </c>
      <c r="D19" s="7" t="s">
        <v>3</v>
      </c>
      <c r="E19" s="6" t="s">
        <v>8</v>
      </c>
      <c r="F19" s="7" t="s">
        <v>3</v>
      </c>
      <c r="G19" s="6" t="s">
        <v>1</v>
      </c>
      <c r="H19" s="7" t="s">
        <v>3</v>
      </c>
      <c r="I19" s="6" t="s">
        <v>2</v>
      </c>
      <c r="J19" s="7" t="s">
        <v>3</v>
      </c>
      <c r="K19" s="8" t="s">
        <v>6</v>
      </c>
      <c r="N19" s="5" t="s">
        <v>3</v>
      </c>
      <c r="O19" s="19" t="s">
        <v>0</v>
      </c>
      <c r="P19" s="7" t="s">
        <v>3</v>
      </c>
      <c r="Q19" s="15" t="s">
        <v>1</v>
      </c>
      <c r="R19" s="7" t="s">
        <v>3</v>
      </c>
      <c r="S19" s="23" t="s">
        <v>2</v>
      </c>
      <c r="T19" s="7" t="s">
        <v>3</v>
      </c>
      <c r="U19" s="25" t="s">
        <v>6</v>
      </c>
    </row>
    <row r="20" spans="2:23" ht="17.25" thickBot="1" x14ac:dyDescent="0.65">
      <c r="B20" s="9" t="s">
        <v>4</v>
      </c>
      <c r="C20" s="10" t="s">
        <v>10</v>
      </c>
      <c r="D20" s="11" t="s">
        <v>4</v>
      </c>
      <c r="E20" s="10" t="s">
        <v>11</v>
      </c>
      <c r="F20" s="11" t="s">
        <v>4</v>
      </c>
      <c r="G20" s="27" t="s">
        <v>13</v>
      </c>
      <c r="H20" s="11" t="s">
        <v>4</v>
      </c>
      <c r="I20" s="10" t="s">
        <v>15</v>
      </c>
      <c r="J20" s="11" t="s">
        <v>4</v>
      </c>
      <c r="K20" s="12" t="s">
        <v>7</v>
      </c>
      <c r="N20" s="9" t="s">
        <v>4</v>
      </c>
      <c r="O20" s="20" t="s">
        <v>5</v>
      </c>
      <c r="P20" s="11" t="s">
        <v>4</v>
      </c>
      <c r="Q20" s="16" t="s">
        <v>14</v>
      </c>
      <c r="R20" s="11" t="s">
        <v>4</v>
      </c>
      <c r="S20" s="10" t="s">
        <v>15</v>
      </c>
      <c r="T20" s="11" t="s">
        <v>4</v>
      </c>
      <c r="U20" s="26" t="s">
        <v>7</v>
      </c>
      <c r="W20" t="s">
        <v>78</v>
      </c>
    </row>
    <row r="21" spans="2:23" x14ac:dyDescent="0.6">
      <c r="B21" s="3">
        <v>383.04500000000002</v>
      </c>
      <c r="C21" s="4">
        <v>163.19</v>
      </c>
      <c r="D21" s="3"/>
      <c r="E21" s="4"/>
      <c r="F21" s="3">
        <v>384.24700000000001</v>
      </c>
      <c r="G21" s="4">
        <v>-213.72300000000001</v>
      </c>
      <c r="H21" s="3">
        <v>384.39100000000002</v>
      </c>
      <c r="I21" s="4">
        <v>3.48244</v>
      </c>
      <c r="J21" s="3">
        <v>385.887</v>
      </c>
      <c r="K21" s="4">
        <v>7.2170700000000004E-2</v>
      </c>
      <c r="N21" s="3">
        <f>B21</f>
        <v>383.04500000000002</v>
      </c>
      <c r="O21" s="21">
        <f>C21*100</f>
        <v>16319</v>
      </c>
      <c r="P21" s="3">
        <f>F21</f>
        <v>384.24700000000001</v>
      </c>
      <c r="Q21" s="17">
        <f>G21*0.000001</f>
        <v>-2.13723E-4</v>
      </c>
      <c r="R21" s="3">
        <f>H21</f>
        <v>384.39100000000002</v>
      </c>
      <c r="S21" s="24">
        <f>I21</f>
        <v>3.48244</v>
      </c>
      <c r="T21" s="3">
        <f>J21</f>
        <v>385.887</v>
      </c>
      <c r="U21" s="24">
        <f>K21</f>
        <v>7.2170700000000004E-2</v>
      </c>
      <c r="V21" s="22">
        <f>((O21*(Q21)^2)/S21)*T21</f>
        <v>8.2598578113242713E-2</v>
      </c>
      <c r="W21" s="49">
        <f>(U21-V21)/U21</f>
        <v>-0.14448908093232721</v>
      </c>
    </row>
    <row r="22" spans="2:23" x14ac:dyDescent="0.6">
      <c r="B22" s="3">
        <v>480.62299999999999</v>
      </c>
      <c r="C22" s="4">
        <v>258.89600000000002</v>
      </c>
      <c r="D22" s="3"/>
      <c r="E22" s="4"/>
      <c r="F22" s="3">
        <v>478.767</v>
      </c>
      <c r="G22" s="4">
        <v>-227.12799999999999</v>
      </c>
      <c r="H22" s="3">
        <v>477.62200000000001</v>
      </c>
      <c r="I22" s="4">
        <v>3.2873999999999999</v>
      </c>
      <c r="J22" s="3">
        <v>481.92200000000003</v>
      </c>
      <c r="K22" s="4">
        <v>0.19916600000000001</v>
      </c>
      <c r="N22" s="3">
        <f t="shared" ref="N22:N26" si="7">B22</f>
        <v>480.62299999999999</v>
      </c>
      <c r="O22" s="21">
        <f t="shared" ref="O22:O26" si="8">C22*100</f>
        <v>25889.600000000002</v>
      </c>
      <c r="P22" s="3">
        <f t="shared" ref="P22:P26" si="9">F22</f>
        <v>478.767</v>
      </c>
      <c r="Q22" s="17">
        <f t="shared" ref="Q22:Q26" si="10">G22*0.000001</f>
        <v>-2.2712799999999997E-4</v>
      </c>
      <c r="R22" s="3">
        <f t="shared" ref="R22:R26" si="11">H22</f>
        <v>477.62200000000001</v>
      </c>
      <c r="S22" s="24">
        <f t="shared" ref="S22:S26" si="12">I22</f>
        <v>3.2873999999999999</v>
      </c>
      <c r="T22" s="3">
        <f t="shared" ref="T22:T26" si="13">J22</f>
        <v>481.92200000000003</v>
      </c>
      <c r="U22" s="24">
        <f t="shared" ref="U22:U26" si="14">K22</f>
        <v>0.19916600000000001</v>
      </c>
      <c r="V22" s="22">
        <f t="shared" ref="V22:V26" si="15">((O22*(Q22)^2)/S22)*T22</f>
        <v>0.19579017548632144</v>
      </c>
      <c r="W22" s="49">
        <f t="shared" ref="W22:W26" si="16">(U22-V22)/U22</f>
        <v>1.6949803247936754E-2</v>
      </c>
    </row>
    <row r="23" spans="2:23" x14ac:dyDescent="0.6">
      <c r="B23" s="2">
        <v>580.27700000000004</v>
      </c>
      <c r="C23" s="1">
        <v>354.601</v>
      </c>
      <c r="D23" s="2"/>
      <c r="E23" s="1"/>
      <c r="F23" s="2">
        <v>579.452</v>
      </c>
      <c r="G23" s="1">
        <v>-233.83</v>
      </c>
      <c r="H23" s="2">
        <v>579.06399999999996</v>
      </c>
      <c r="I23" s="1">
        <v>3.19089</v>
      </c>
      <c r="J23" s="2">
        <v>582.00300000000004</v>
      </c>
      <c r="K23" s="1">
        <v>0.35566599999999998</v>
      </c>
      <c r="N23" s="3">
        <f t="shared" si="7"/>
        <v>580.27700000000004</v>
      </c>
      <c r="O23" s="21">
        <f t="shared" si="8"/>
        <v>35460.1</v>
      </c>
      <c r="P23" s="3">
        <f t="shared" si="9"/>
        <v>579.452</v>
      </c>
      <c r="Q23" s="17">
        <f t="shared" si="10"/>
        <v>-2.3383E-4</v>
      </c>
      <c r="R23" s="3">
        <f t="shared" si="11"/>
        <v>579.06399999999996</v>
      </c>
      <c r="S23" s="24">
        <f t="shared" si="12"/>
        <v>3.19089</v>
      </c>
      <c r="T23" s="3">
        <f t="shared" si="13"/>
        <v>582.00300000000004</v>
      </c>
      <c r="U23" s="24">
        <f t="shared" si="14"/>
        <v>0.35566599999999998</v>
      </c>
      <c r="V23" s="22">
        <f t="shared" si="15"/>
        <v>0.35363383081728378</v>
      </c>
      <c r="W23" s="49">
        <f t="shared" si="16"/>
        <v>5.7137010080137085E-3</v>
      </c>
    </row>
    <row r="24" spans="2:23" x14ac:dyDescent="0.6">
      <c r="B24" s="2">
        <v>679.93100000000004</v>
      </c>
      <c r="C24" s="1">
        <v>446.62599999999998</v>
      </c>
      <c r="D24" s="2"/>
      <c r="E24" s="1"/>
      <c r="F24" s="2">
        <v>682.19200000000001</v>
      </c>
      <c r="G24" s="1">
        <v>-233.83</v>
      </c>
      <c r="H24" s="2">
        <v>680.42100000000005</v>
      </c>
      <c r="I24" s="1">
        <v>3.2255199999999999</v>
      </c>
      <c r="J24" s="2">
        <v>677.976</v>
      </c>
      <c r="K24" s="1">
        <v>0.52055799999999997</v>
      </c>
      <c r="N24" s="3">
        <f t="shared" si="7"/>
        <v>679.93100000000004</v>
      </c>
      <c r="O24" s="21">
        <f t="shared" si="8"/>
        <v>44662.6</v>
      </c>
      <c r="P24" s="3">
        <f t="shared" si="9"/>
        <v>682.19200000000001</v>
      </c>
      <c r="Q24" s="17">
        <f t="shared" si="10"/>
        <v>-2.3383E-4</v>
      </c>
      <c r="R24" s="3">
        <f t="shared" si="11"/>
        <v>680.42100000000005</v>
      </c>
      <c r="S24" s="24">
        <f t="shared" si="12"/>
        <v>3.2255199999999999</v>
      </c>
      <c r="T24" s="3">
        <f t="shared" si="13"/>
        <v>677.976</v>
      </c>
      <c r="U24" s="24">
        <f t="shared" si="14"/>
        <v>0.52055799999999997</v>
      </c>
      <c r="V24" s="22">
        <f t="shared" si="15"/>
        <v>0.5132855546917432</v>
      </c>
      <c r="W24" s="49">
        <f t="shared" si="16"/>
        <v>1.3970480346583417E-2</v>
      </c>
    </row>
    <row r="25" spans="2:23" x14ac:dyDescent="0.6">
      <c r="B25" s="2">
        <v>779.58500000000004</v>
      </c>
      <c r="C25" s="1">
        <v>538.65</v>
      </c>
      <c r="D25" s="2"/>
      <c r="E25" s="1"/>
      <c r="F25" s="2">
        <v>778.76700000000005</v>
      </c>
      <c r="G25" s="1">
        <v>-225.63800000000001</v>
      </c>
      <c r="H25" s="2">
        <v>779.60199999999998</v>
      </c>
      <c r="I25" s="1">
        <v>3.4240599999999999</v>
      </c>
      <c r="J25" s="2">
        <v>780.18899999999996</v>
      </c>
      <c r="K25" s="1">
        <v>0.62654299999999996</v>
      </c>
      <c r="N25" s="3">
        <f t="shared" si="7"/>
        <v>779.58500000000004</v>
      </c>
      <c r="O25" s="21">
        <f t="shared" si="8"/>
        <v>53865</v>
      </c>
      <c r="P25" s="3">
        <f t="shared" si="9"/>
        <v>778.76700000000005</v>
      </c>
      <c r="Q25" s="17">
        <f t="shared" si="10"/>
        <v>-2.2563799999999998E-4</v>
      </c>
      <c r="R25" s="3">
        <f t="shared" si="11"/>
        <v>779.60199999999998</v>
      </c>
      <c r="S25" s="24">
        <f t="shared" si="12"/>
        <v>3.4240599999999999</v>
      </c>
      <c r="T25" s="3">
        <f t="shared" si="13"/>
        <v>780.18899999999996</v>
      </c>
      <c r="U25" s="24">
        <f t="shared" si="14"/>
        <v>0.62654299999999996</v>
      </c>
      <c r="V25" s="22">
        <f t="shared" si="15"/>
        <v>0.62486989822486183</v>
      </c>
      <c r="W25" s="49">
        <f t="shared" si="16"/>
        <v>2.6703702301966994E-3</v>
      </c>
    </row>
    <row r="26" spans="2:23" x14ac:dyDescent="0.6">
      <c r="B26" s="28">
        <v>883.39099999999996</v>
      </c>
      <c r="C26" s="29">
        <v>645.399</v>
      </c>
      <c r="D26" s="28"/>
      <c r="E26" s="29"/>
      <c r="F26" s="28">
        <v>879.452</v>
      </c>
      <c r="G26" s="29">
        <v>-209.255</v>
      </c>
      <c r="H26" s="28">
        <v>876.62800000000004</v>
      </c>
      <c r="I26" s="29">
        <v>3.7537099999999999</v>
      </c>
      <c r="J26" s="28">
        <v>876.37</v>
      </c>
      <c r="K26" s="29">
        <v>0.66511500000000001</v>
      </c>
      <c r="N26" s="32">
        <f t="shared" si="7"/>
        <v>883.39099999999996</v>
      </c>
      <c r="O26" s="33">
        <f t="shared" si="8"/>
        <v>64539.9</v>
      </c>
      <c r="P26" s="32">
        <f t="shared" si="9"/>
        <v>879.452</v>
      </c>
      <c r="Q26" s="34">
        <f t="shared" si="10"/>
        <v>-2.0925499999999999E-4</v>
      </c>
      <c r="R26" s="32">
        <f t="shared" si="11"/>
        <v>876.62800000000004</v>
      </c>
      <c r="S26" s="35">
        <f t="shared" si="12"/>
        <v>3.7537099999999999</v>
      </c>
      <c r="T26" s="32">
        <f t="shared" si="13"/>
        <v>876.37</v>
      </c>
      <c r="U26" s="35">
        <f t="shared" si="14"/>
        <v>0.66511500000000001</v>
      </c>
      <c r="V26" s="22">
        <f t="shared" si="15"/>
        <v>0.65979156799016658</v>
      </c>
      <c r="W26" s="49">
        <f t="shared" si="16"/>
        <v>8.0037768052643957E-3</v>
      </c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/>
  </sheetPr>
  <dimension ref="A1:W5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299.67126890203798</v>
      </c>
      <c r="C9" s="4">
        <v>2063.6215334420799</v>
      </c>
      <c r="D9" s="3"/>
      <c r="E9" s="4"/>
      <c r="F9" s="3">
        <v>302.59740259740198</v>
      </c>
      <c r="G9" s="4">
        <v>-125.876288659793</v>
      </c>
      <c r="H9" s="3">
        <v>300</v>
      </c>
      <c r="I9" s="4">
        <v>2.5283630470016201</v>
      </c>
      <c r="J9" s="3">
        <v>300</v>
      </c>
      <c r="K9" s="4">
        <v>0.38235294117647001</v>
      </c>
      <c r="N9" s="3">
        <f>B9</f>
        <v>299.67126890203798</v>
      </c>
      <c r="O9" s="21">
        <f>C9/(10^(-2))</f>
        <v>206362.153344208</v>
      </c>
      <c r="P9" s="3">
        <f>F9</f>
        <v>302.59740259740198</v>
      </c>
      <c r="Q9" s="17">
        <f>G9*(10^(-6))</f>
        <v>-1.2587628865979301E-4</v>
      </c>
      <c r="R9" s="3">
        <f>H9</f>
        <v>300</v>
      </c>
      <c r="S9" s="24">
        <f>I9</f>
        <v>2.5283630470016201</v>
      </c>
      <c r="T9" s="3">
        <f>J9</f>
        <v>300</v>
      </c>
      <c r="U9" s="51">
        <f>K9</f>
        <v>0.38235294117647001</v>
      </c>
      <c r="V9" s="42">
        <f>((O9*(Q9)^2)/S9)*T9</f>
        <v>0.38797141676179969</v>
      </c>
      <c r="W9" s="49">
        <f t="shared" ref="W9" si="0">(U9-V9)/U9</f>
        <v>-1.4694474607785352E-2</v>
      </c>
    </row>
    <row r="10" spans="1:23" x14ac:dyDescent="0.6">
      <c r="B10" s="3">
        <v>323.01117685732999</v>
      </c>
      <c r="C10" s="4">
        <v>1958.40130505709</v>
      </c>
      <c r="D10" s="3"/>
      <c r="E10" s="4"/>
      <c r="F10" s="3">
        <v>327.59740259740198</v>
      </c>
      <c r="G10" s="4">
        <v>-128.81443298969</v>
      </c>
      <c r="H10" s="3">
        <v>349.96896337678402</v>
      </c>
      <c r="I10" s="4">
        <v>2.5348460291734201</v>
      </c>
      <c r="J10" s="3">
        <v>350.06180469715702</v>
      </c>
      <c r="K10" s="4">
        <v>0.46617647058823503</v>
      </c>
      <c r="N10" s="3">
        <f t="shared" ref="N10:N29" si="1">B10</f>
        <v>323.01117685732999</v>
      </c>
      <c r="O10" s="21">
        <f t="shared" ref="O10:O29" si="2">C10/(10^(-2))</f>
        <v>195840.13050570901</v>
      </c>
      <c r="P10" s="3">
        <f t="shared" ref="P10:P29" si="3">F10</f>
        <v>327.59740259740198</v>
      </c>
      <c r="Q10" s="17">
        <f t="shared" ref="Q10:Q29" si="4">G10*(10^(-6))</f>
        <v>-1.2881443298968999E-4</v>
      </c>
      <c r="R10" s="3">
        <f t="shared" ref="R10:U19" si="5">H10</f>
        <v>349.96896337678402</v>
      </c>
      <c r="S10" s="24">
        <f t="shared" si="5"/>
        <v>2.5348460291734201</v>
      </c>
      <c r="T10" s="3">
        <f t="shared" si="5"/>
        <v>350.06180469715702</v>
      </c>
      <c r="U10" s="51">
        <f t="shared" si="5"/>
        <v>0.46617647058823503</v>
      </c>
      <c r="V10" s="42">
        <f>((O11*(Q11)^2)/S10)*T10</f>
        <v>0.48456447500643857</v>
      </c>
      <c r="W10" s="49">
        <f t="shared" ref="W10:W19" si="6">(U10-V10)/U10</f>
        <v>-3.9444299698354619E-2</v>
      </c>
    </row>
    <row r="11" spans="1:23" x14ac:dyDescent="0.6">
      <c r="B11" s="2">
        <v>347.99474030243198</v>
      </c>
      <c r="C11" s="1">
        <v>1877.65089722675</v>
      </c>
      <c r="D11" s="2"/>
      <c r="E11" s="1"/>
      <c r="F11" s="2">
        <v>353.57142857142799</v>
      </c>
      <c r="G11" s="1">
        <v>-136.70103092783501</v>
      </c>
      <c r="H11" s="2">
        <v>399.937926753569</v>
      </c>
      <c r="I11" s="1">
        <v>2.5348460291734098</v>
      </c>
      <c r="J11" s="2">
        <v>400.12360939431397</v>
      </c>
      <c r="K11" s="1">
        <v>0.56617647058823495</v>
      </c>
      <c r="N11" s="3">
        <f t="shared" si="1"/>
        <v>347.99474030243198</v>
      </c>
      <c r="O11" s="21">
        <f t="shared" si="2"/>
        <v>187765.08972267498</v>
      </c>
      <c r="P11" s="3">
        <f t="shared" si="3"/>
        <v>353.57142857142799</v>
      </c>
      <c r="Q11" s="17">
        <f t="shared" si="4"/>
        <v>-1.36701030927835E-4</v>
      </c>
      <c r="R11" s="3">
        <f t="shared" si="5"/>
        <v>399.937926753569</v>
      </c>
      <c r="S11" s="24">
        <f t="shared" si="5"/>
        <v>2.5348460291734098</v>
      </c>
      <c r="T11" s="3">
        <f t="shared" si="5"/>
        <v>400.12360939431397</v>
      </c>
      <c r="U11" s="51">
        <f t="shared" si="5"/>
        <v>0.56617647058823495</v>
      </c>
      <c r="V11" s="42">
        <f>((O13*(Q13)^2)/S11)*T11</f>
        <v>0.56954764126534707</v>
      </c>
      <c r="W11" s="49">
        <f t="shared" si="6"/>
        <v>-5.9542754816525843E-3</v>
      </c>
    </row>
    <row r="12" spans="1:23" x14ac:dyDescent="0.6">
      <c r="B12" s="2">
        <v>373.30703484549599</v>
      </c>
      <c r="C12" s="1">
        <v>1804.2414355628</v>
      </c>
      <c r="D12" s="2"/>
      <c r="E12" s="1"/>
      <c r="F12" s="2">
        <v>374.67532467532402</v>
      </c>
      <c r="G12" s="1">
        <v>-141.03092783505099</v>
      </c>
      <c r="H12" s="2">
        <v>449.90689013035302</v>
      </c>
      <c r="I12" s="1">
        <v>2.5348460291734098</v>
      </c>
      <c r="J12" s="2">
        <v>449.87639060568603</v>
      </c>
      <c r="K12" s="1">
        <v>0.67941176470588205</v>
      </c>
      <c r="N12" s="3">
        <f t="shared" si="1"/>
        <v>373.30703484549599</v>
      </c>
      <c r="O12" s="21">
        <f t="shared" si="2"/>
        <v>180424.14355628</v>
      </c>
      <c r="P12" s="3">
        <f t="shared" si="3"/>
        <v>374.67532467532402</v>
      </c>
      <c r="Q12" s="17">
        <f t="shared" si="4"/>
        <v>-1.4103092783505097E-4</v>
      </c>
      <c r="R12" s="3">
        <f t="shared" si="5"/>
        <v>449.90689013035302</v>
      </c>
      <c r="S12" s="24">
        <f t="shared" si="5"/>
        <v>2.5348460291734098</v>
      </c>
      <c r="T12" s="3">
        <f t="shared" si="5"/>
        <v>449.87639060568603</v>
      </c>
      <c r="U12" s="51">
        <f t="shared" si="5"/>
        <v>0.67941176470588205</v>
      </c>
      <c r="V12" s="42">
        <f>((O15*(Q15)^2)/S12)*T12</f>
        <v>0.68939373504928192</v>
      </c>
      <c r="W12" s="49">
        <f t="shared" si="6"/>
        <v>-1.4692077561714102E-2</v>
      </c>
    </row>
    <row r="13" spans="1:23" x14ac:dyDescent="0.6">
      <c r="B13" s="2">
        <v>398.948060486521</v>
      </c>
      <c r="C13" s="1">
        <v>1725.93800978792</v>
      </c>
      <c r="D13" s="2"/>
      <c r="E13" s="1"/>
      <c r="F13" s="2">
        <v>404.87012987012901</v>
      </c>
      <c r="G13" s="1">
        <v>-144.58762886597901</v>
      </c>
      <c r="H13" s="2">
        <v>499.875853507138</v>
      </c>
      <c r="I13" s="1">
        <v>2.5089141004862201</v>
      </c>
      <c r="J13" s="2">
        <v>499.93819530284298</v>
      </c>
      <c r="K13" s="1">
        <v>0.79852941176470504</v>
      </c>
      <c r="N13" s="3">
        <f t="shared" si="1"/>
        <v>398.948060486521</v>
      </c>
      <c r="O13" s="21">
        <f t="shared" si="2"/>
        <v>172593.80097879199</v>
      </c>
      <c r="P13" s="3">
        <f t="shared" si="3"/>
        <v>404.87012987012901</v>
      </c>
      <c r="Q13" s="17">
        <f t="shared" si="4"/>
        <v>-1.4458762886597902E-4</v>
      </c>
      <c r="R13" s="3">
        <f t="shared" si="5"/>
        <v>499.875853507138</v>
      </c>
      <c r="S13" s="24">
        <f t="shared" si="5"/>
        <v>2.5089141004862201</v>
      </c>
      <c r="T13" s="3">
        <f t="shared" si="5"/>
        <v>499.93819530284298</v>
      </c>
      <c r="U13" s="51">
        <f t="shared" si="5"/>
        <v>0.79852941176470504</v>
      </c>
      <c r="V13" s="42">
        <f>((O17*(Q17)^2)/S13)*T13</f>
        <v>0.80133419587690158</v>
      </c>
      <c r="W13" s="49">
        <f t="shared" si="6"/>
        <v>-3.512436825586824E-3</v>
      </c>
    </row>
    <row r="14" spans="1:23" x14ac:dyDescent="0.6">
      <c r="B14" s="2">
        <v>423.93162393162299</v>
      </c>
      <c r="C14" s="1">
        <v>1664.7634584013001</v>
      </c>
      <c r="D14" s="2"/>
      <c r="E14" s="1"/>
      <c r="F14" s="2">
        <v>430.19480519480499</v>
      </c>
      <c r="G14" s="1">
        <v>-150.309278350515</v>
      </c>
      <c r="H14" s="2">
        <v>549.84481688392304</v>
      </c>
      <c r="I14" s="1">
        <v>2.4764991896272202</v>
      </c>
      <c r="J14" s="2">
        <v>550</v>
      </c>
      <c r="K14" s="1">
        <v>0.91911764705882304</v>
      </c>
      <c r="N14" s="3">
        <f t="shared" si="1"/>
        <v>423.93162393162299</v>
      </c>
      <c r="O14" s="21">
        <f t="shared" si="2"/>
        <v>166476.34584013</v>
      </c>
      <c r="P14" s="3">
        <f t="shared" si="3"/>
        <v>430.19480519480499</v>
      </c>
      <c r="Q14" s="17">
        <f t="shared" si="4"/>
        <v>-1.50309278350515E-4</v>
      </c>
      <c r="R14" s="3">
        <f t="shared" si="5"/>
        <v>549.84481688392304</v>
      </c>
      <c r="S14" s="24">
        <f t="shared" si="5"/>
        <v>2.4764991896272202</v>
      </c>
      <c r="T14" s="3">
        <f t="shared" si="5"/>
        <v>550</v>
      </c>
      <c r="U14" s="51">
        <f t="shared" si="5"/>
        <v>0.91911764705882304</v>
      </c>
      <c r="V14" s="42">
        <f>((AVERAGE(O17,O18)*(Q18)^2)/S14)*T14</f>
        <v>0.94804275683412098</v>
      </c>
      <c r="W14" s="49">
        <f t="shared" si="6"/>
        <v>-3.1470519435524175E-2</v>
      </c>
    </row>
    <row r="15" spans="1:23" x14ac:dyDescent="0.6">
      <c r="B15" s="2">
        <v>449.90138067061099</v>
      </c>
      <c r="C15" s="1">
        <v>1598.69494290375</v>
      </c>
      <c r="D15" s="2"/>
      <c r="E15" s="1"/>
      <c r="F15" s="2">
        <v>456.16883116883099</v>
      </c>
      <c r="G15" s="1">
        <v>-155.876288659793</v>
      </c>
      <c r="H15" s="2">
        <v>600.12414649286097</v>
      </c>
      <c r="I15" s="1">
        <v>2.45705024311183</v>
      </c>
      <c r="J15" s="2">
        <v>600.06180469715696</v>
      </c>
      <c r="K15" s="1">
        <v>1.02941176470588</v>
      </c>
      <c r="N15" s="3">
        <f t="shared" si="1"/>
        <v>449.90138067061099</v>
      </c>
      <c r="O15" s="21">
        <f t="shared" si="2"/>
        <v>159869.49429037501</v>
      </c>
      <c r="P15" s="3">
        <f t="shared" si="3"/>
        <v>456.16883116883099</v>
      </c>
      <c r="Q15" s="17">
        <f t="shared" si="4"/>
        <v>-1.55876288659793E-4</v>
      </c>
      <c r="R15" s="3">
        <f t="shared" si="5"/>
        <v>600.12414649286097</v>
      </c>
      <c r="S15" s="24">
        <f t="shared" si="5"/>
        <v>2.45705024311183</v>
      </c>
      <c r="T15" s="3">
        <f t="shared" si="5"/>
        <v>600.06180469715696</v>
      </c>
      <c r="U15" s="51">
        <f t="shared" si="5"/>
        <v>1.02941176470588</v>
      </c>
      <c r="V15" s="42">
        <f>((O21*(Q21)^2)/S15)*T15</f>
        <v>1.0555184778742219</v>
      </c>
      <c r="W15" s="49">
        <f t="shared" si="6"/>
        <v>-2.5360807077817904E-2</v>
      </c>
    </row>
    <row r="16" spans="1:23" x14ac:dyDescent="0.6">
      <c r="B16" s="2">
        <v>474.55621301775102</v>
      </c>
      <c r="C16" s="1">
        <v>1544.8613376835201</v>
      </c>
      <c r="D16" s="2"/>
      <c r="E16" s="1"/>
      <c r="F16" s="2">
        <v>480.84415584415501</v>
      </c>
      <c r="G16" s="1">
        <v>-160.67010309278299</v>
      </c>
      <c r="H16" s="2">
        <v>650.09310986964601</v>
      </c>
      <c r="I16" s="1">
        <v>2.43111831442463</v>
      </c>
      <c r="J16" s="2">
        <v>650.12360939431301</v>
      </c>
      <c r="K16" s="1">
        <v>1.12205882352941</v>
      </c>
      <c r="N16" s="3">
        <f t="shared" si="1"/>
        <v>474.55621301775102</v>
      </c>
      <c r="O16" s="21">
        <f t="shared" si="2"/>
        <v>154486.13376835201</v>
      </c>
      <c r="P16" s="3">
        <f t="shared" si="3"/>
        <v>480.84415584415501</v>
      </c>
      <c r="Q16" s="17">
        <f t="shared" si="4"/>
        <v>-1.60670103092783E-4</v>
      </c>
      <c r="R16" s="3">
        <f t="shared" si="5"/>
        <v>650.09310986964601</v>
      </c>
      <c r="S16" s="24">
        <f t="shared" si="5"/>
        <v>2.43111831442463</v>
      </c>
      <c r="T16" s="3">
        <f t="shared" si="5"/>
        <v>650.12360939431301</v>
      </c>
      <c r="U16" s="51">
        <f t="shared" si="5"/>
        <v>1.12205882352941</v>
      </c>
      <c r="V16" s="42">
        <f>((O23*(Q23)^2)/S16)*T16</f>
        <v>1.1260455762027726</v>
      </c>
      <c r="W16" s="49">
        <f t="shared" si="6"/>
        <v>-3.5530692239666476E-3</v>
      </c>
    </row>
    <row r="17" spans="2:23" x14ac:dyDescent="0.6">
      <c r="B17" s="2">
        <v>501.84089414858602</v>
      </c>
      <c r="C17" s="1">
        <v>1539.9673735725901</v>
      </c>
      <c r="D17" s="2"/>
      <c r="E17" s="1"/>
      <c r="F17" s="2">
        <v>506.16883116883099</v>
      </c>
      <c r="G17" s="1">
        <v>-161.59793814432899</v>
      </c>
      <c r="H17" s="2">
        <v>700.06207324643003</v>
      </c>
      <c r="I17" s="1">
        <v>2.41166936790923</v>
      </c>
      <c r="J17" s="2">
        <v>700.49443757725601</v>
      </c>
      <c r="K17" s="1">
        <v>1.2</v>
      </c>
      <c r="N17" s="3">
        <f t="shared" si="1"/>
        <v>501.84089414858602</v>
      </c>
      <c r="O17" s="21">
        <f t="shared" si="2"/>
        <v>153996.737357259</v>
      </c>
      <c r="P17" s="3">
        <f t="shared" si="3"/>
        <v>506.16883116883099</v>
      </c>
      <c r="Q17" s="17">
        <f t="shared" si="4"/>
        <v>-1.6159793814432899E-4</v>
      </c>
      <c r="R17" s="3">
        <f t="shared" si="5"/>
        <v>700.06207324643003</v>
      </c>
      <c r="S17" s="24">
        <f t="shared" si="5"/>
        <v>2.41166936790923</v>
      </c>
      <c r="T17" s="3">
        <f t="shared" si="5"/>
        <v>700.49443757725601</v>
      </c>
      <c r="U17" s="51">
        <f t="shared" si="5"/>
        <v>1.2</v>
      </c>
      <c r="V17" s="42">
        <f>((O25*(Q25)^2)/S17)*T17</f>
        <v>1.2103112854000955</v>
      </c>
      <c r="W17" s="49">
        <f t="shared" si="6"/>
        <v>-8.5927378334129303E-3</v>
      </c>
    </row>
    <row r="18" spans="2:23" x14ac:dyDescent="0.6">
      <c r="B18" s="2">
        <v>524.85207100591697</v>
      </c>
      <c r="C18" s="1">
        <v>1498.3686786296901</v>
      </c>
      <c r="D18" s="2"/>
      <c r="E18" s="1"/>
      <c r="F18" s="2">
        <v>531.49350649350595</v>
      </c>
      <c r="G18" s="1">
        <v>-167.628865979381</v>
      </c>
      <c r="H18" s="2">
        <v>750.03103662321496</v>
      </c>
      <c r="I18" s="1">
        <v>2.43111831442463</v>
      </c>
      <c r="J18" s="2">
        <v>749.93819530284304</v>
      </c>
      <c r="K18" s="1">
        <v>1.2691176470588199</v>
      </c>
      <c r="N18" s="3">
        <f t="shared" si="1"/>
        <v>524.85207100591697</v>
      </c>
      <c r="O18" s="21">
        <f t="shared" si="2"/>
        <v>149836.867862969</v>
      </c>
      <c r="P18" s="3">
        <f t="shared" si="3"/>
        <v>531.49350649350595</v>
      </c>
      <c r="Q18" s="17">
        <f t="shared" si="4"/>
        <v>-1.6762886597938099E-4</v>
      </c>
      <c r="R18" s="3">
        <f t="shared" si="5"/>
        <v>750.03103662321496</v>
      </c>
      <c r="S18" s="24">
        <f t="shared" si="5"/>
        <v>2.43111831442463</v>
      </c>
      <c r="T18" s="3">
        <f t="shared" si="5"/>
        <v>749.93819530284304</v>
      </c>
      <c r="U18" s="51">
        <f t="shared" si="5"/>
        <v>1.2691176470588199</v>
      </c>
      <c r="V18" s="42">
        <f>((O27*(Q27)^2)/S18)*T18</f>
        <v>1.288735790289987</v>
      </c>
      <c r="W18" s="49">
        <f t="shared" si="6"/>
        <v>-1.5458096636377336E-2</v>
      </c>
    </row>
    <row r="19" spans="2:23" x14ac:dyDescent="0.6">
      <c r="B19" s="2">
        <v>552.13675213675197</v>
      </c>
      <c r="C19" s="1">
        <v>1456.7699836867801</v>
      </c>
      <c r="D19" s="2"/>
      <c r="E19" s="1"/>
      <c r="F19" s="2">
        <v>556.49350649350595</v>
      </c>
      <c r="G19" s="1">
        <v>-171.185567010309</v>
      </c>
      <c r="H19" s="2">
        <v>800</v>
      </c>
      <c r="I19" s="1">
        <v>2.45705024311183</v>
      </c>
      <c r="J19" s="2">
        <v>800</v>
      </c>
      <c r="K19" s="1">
        <v>1.35147058823529</v>
      </c>
      <c r="N19" s="3">
        <f t="shared" si="1"/>
        <v>552.13675213675197</v>
      </c>
      <c r="O19" s="21">
        <f t="shared" si="2"/>
        <v>145676.998368678</v>
      </c>
      <c r="P19" s="3">
        <f t="shared" si="3"/>
        <v>556.49350649350595</v>
      </c>
      <c r="Q19" s="17">
        <f t="shared" si="4"/>
        <v>-1.7118556701030898E-4</v>
      </c>
      <c r="R19" s="3">
        <f t="shared" si="5"/>
        <v>800</v>
      </c>
      <c r="S19" s="24">
        <f t="shared" si="5"/>
        <v>2.45705024311183</v>
      </c>
      <c r="T19" s="3">
        <f t="shared" si="5"/>
        <v>800</v>
      </c>
      <c r="U19" s="51">
        <f t="shared" si="5"/>
        <v>1.35147058823529</v>
      </c>
      <c r="V19" s="42">
        <f>((O29*(Q29)^2)/S19)*T19</f>
        <v>1.3668320555371642</v>
      </c>
      <c r="W19" s="49">
        <f t="shared" si="6"/>
        <v>-1.136648287842713E-2</v>
      </c>
    </row>
    <row r="20" spans="2:23" x14ac:dyDescent="0.6">
      <c r="B20" s="2">
        <v>577.12031558185402</v>
      </c>
      <c r="C20" s="1">
        <v>1373.57259380097</v>
      </c>
      <c r="D20" s="2"/>
      <c r="E20" s="1"/>
      <c r="F20" s="2">
        <v>581.16883116883105</v>
      </c>
      <c r="G20" s="1">
        <v>-173.505154639175</v>
      </c>
      <c r="H20" s="2"/>
      <c r="I20" s="1"/>
      <c r="J20" s="2"/>
      <c r="K20" s="1"/>
      <c r="N20" s="3">
        <f t="shared" si="1"/>
        <v>577.12031558185402</v>
      </c>
      <c r="O20" s="21">
        <f t="shared" si="2"/>
        <v>137357.25938009701</v>
      </c>
      <c r="P20" s="3">
        <f t="shared" si="3"/>
        <v>581.16883116883105</v>
      </c>
      <c r="Q20" s="17">
        <f t="shared" si="4"/>
        <v>-1.7350515463917499E-4</v>
      </c>
      <c r="R20" s="3"/>
      <c r="S20" s="24"/>
      <c r="T20" s="3"/>
      <c r="U20" s="24"/>
      <c r="V20"/>
    </row>
    <row r="21" spans="2:23" x14ac:dyDescent="0.6">
      <c r="B21" s="2">
        <v>600.13149243918394</v>
      </c>
      <c r="C21" s="1">
        <v>1393.1484502446899</v>
      </c>
      <c r="D21" s="2"/>
      <c r="E21" s="1"/>
      <c r="F21" s="2">
        <v>606.49350649350595</v>
      </c>
      <c r="G21" s="1">
        <v>-176.13402061855601</v>
      </c>
      <c r="H21" s="2"/>
      <c r="I21" s="1"/>
      <c r="J21" s="2"/>
      <c r="K21" s="1"/>
      <c r="N21" s="3">
        <f t="shared" si="1"/>
        <v>600.13149243918394</v>
      </c>
      <c r="O21" s="21">
        <f t="shared" si="2"/>
        <v>139314.84502446899</v>
      </c>
      <c r="P21" s="3">
        <f t="shared" si="3"/>
        <v>606.49350649350595</v>
      </c>
      <c r="Q21" s="17">
        <f t="shared" si="4"/>
        <v>-1.7613402061855601E-4</v>
      </c>
      <c r="R21" s="3"/>
      <c r="S21" s="24"/>
      <c r="T21" s="3"/>
      <c r="U21" s="24"/>
      <c r="V21"/>
    </row>
    <row r="22" spans="2:23" x14ac:dyDescent="0.6">
      <c r="B22" s="2">
        <v>624.45759368836195</v>
      </c>
      <c r="C22" s="1">
        <v>1307.5040783034201</v>
      </c>
      <c r="D22" s="2"/>
      <c r="E22" s="1"/>
      <c r="F22" s="2">
        <v>631.16883116883105</v>
      </c>
      <c r="G22" s="1">
        <v>-177.680412371134</v>
      </c>
      <c r="H22" s="2"/>
      <c r="I22" s="1"/>
      <c r="J22" s="2"/>
      <c r="K22" s="1"/>
      <c r="N22" s="3">
        <f t="shared" si="1"/>
        <v>624.45759368836195</v>
      </c>
      <c r="O22" s="21">
        <f t="shared" si="2"/>
        <v>130750.40783034201</v>
      </c>
      <c r="P22" s="3">
        <f t="shared" si="3"/>
        <v>631.16883116883105</v>
      </c>
      <c r="Q22" s="17">
        <f t="shared" si="4"/>
        <v>-1.7768041237113398E-4</v>
      </c>
      <c r="R22" s="3"/>
      <c r="S22" s="24"/>
      <c r="T22" s="3"/>
      <c r="U22" s="24"/>
      <c r="V22"/>
    </row>
    <row r="23" spans="2:23" x14ac:dyDescent="0.6">
      <c r="B23" s="2">
        <v>650.09861932938804</v>
      </c>
      <c r="C23" s="1">
        <v>1273.2463295269099</v>
      </c>
      <c r="D23" s="2"/>
      <c r="E23" s="1"/>
      <c r="F23" s="2">
        <v>656.16883116883105</v>
      </c>
      <c r="G23" s="1">
        <v>-181.855670103092</v>
      </c>
      <c r="H23" s="2"/>
      <c r="I23" s="1"/>
      <c r="J23" s="2"/>
      <c r="K23" s="1"/>
      <c r="N23" s="3">
        <f t="shared" si="1"/>
        <v>650.09861932938804</v>
      </c>
      <c r="O23" s="21">
        <f t="shared" si="2"/>
        <v>127324.63295269098</v>
      </c>
      <c r="P23" s="3">
        <f t="shared" si="3"/>
        <v>656.16883116883105</v>
      </c>
      <c r="Q23" s="17">
        <f t="shared" si="4"/>
        <v>-1.8185567010309199E-4</v>
      </c>
      <c r="R23" s="3"/>
      <c r="S23" s="24"/>
      <c r="T23" s="3"/>
      <c r="U23" s="24"/>
      <c r="V23"/>
    </row>
    <row r="24" spans="2:23" x14ac:dyDescent="0.6">
      <c r="B24" s="2">
        <v>675.08218277448998</v>
      </c>
      <c r="C24" s="1">
        <v>1253.67047308319</v>
      </c>
      <c r="D24" s="2"/>
      <c r="E24" s="1"/>
      <c r="F24" s="2">
        <v>680.84415584415501</v>
      </c>
      <c r="G24" s="1">
        <v>-181.855670103092</v>
      </c>
      <c r="H24" s="2"/>
      <c r="I24" s="1"/>
      <c r="J24" s="2"/>
      <c r="K24" s="1"/>
      <c r="N24" s="3">
        <f t="shared" si="1"/>
        <v>675.08218277448998</v>
      </c>
      <c r="O24" s="21">
        <f t="shared" si="2"/>
        <v>125367.047308319</v>
      </c>
      <c r="P24" s="3">
        <f t="shared" si="3"/>
        <v>680.84415584415501</v>
      </c>
      <c r="Q24" s="17">
        <f t="shared" si="4"/>
        <v>-1.8185567010309199E-4</v>
      </c>
      <c r="R24" s="3"/>
      <c r="S24" s="24"/>
      <c r="T24" s="3"/>
      <c r="U24" s="24"/>
      <c r="V24"/>
    </row>
    <row r="25" spans="2:23" x14ac:dyDescent="0.6">
      <c r="B25" s="2">
        <v>700.06574621959203</v>
      </c>
      <c r="C25" s="1">
        <v>1224.3066884176101</v>
      </c>
      <c r="D25" s="2"/>
      <c r="E25" s="1"/>
      <c r="F25" s="2">
        <v>705.84415584415501</v>
      </c>
      <c r="G25" s="1">
        <v>-184.48453608247399</v>
      </c>
      <c r="H25" s="2"/>
      <c r="I25" s="1"/>
      <c r="J25" s="2"/>
      <c r="K25" s="1"/>
      <c r="N25" s="3">
        <f t="shared" si="1"/>
        <v>700.06574621959203</v>
      </c>
      <c r="O25" s="21">
        <f t="shared" si="2"/>
        <v>122430.668841761</v>
      </c>
      <c r="P25" s="3">
        <f t="shared" si="3"/>
        <v>705.84415584415501</v>
      </c>
      <c r="Q25" s="17">
        <f t="shared" si="4"/>
        <v>-1.8448453608247399E-4</v>
      </c>
      <c r="R25" s="3"/>
      <c r="S25" s="24"/>
      <c r="T25" s="3"/>
      <c r="U25" s="24"/>
      <c r="V25"/>
    </row>
    <row r="26" spans="2:23" x14ac:dyDescent="0.6">
      <c r="B26" s="28">
        <v>724.720578566732</v>
      </c>
      <c r="C26" s="29">
        <v>1194.9429037520299</v>
      </c>
      <c r="D26" s="28"/>
      <c r="E26" s="29"/>
      <c r="F26" s="28">
        <v>730.19480519480499</v>
      </c>
      <c r="G26" s="29">
        <v>-186.95876288659699</v>
      </c>
      <c r="H26" s="28"/>
      <c r="I26" s="29"/>
      <c r="J26" s="28"/>
      <c r="K26" s="29"/>
      <c r="N26" s="3">
        <f t="shared" si="1"/>
        <v>724.720578566732</v>
      </c>
      <c r="O26" s="21">
        <f t="shared" si="2"/>
        <v>119494.29037520298</v>
      </c>
      <c r="P26" s="3">
        <f t="shared" si="3"/>
        <v>730.19480519480499</v>
      </c>
      <c r="Q26" s="17">
        <f t="shared" si="4"/>
        <v>-1.8695876288659697E-4</v>
      </c>
      <c r="R26" s="32"/>
      <c r="S26" s="35"/>
      <c r="T26" s="32"/>
      <c r="U26" s="35"/>
      <c r="V26"/>
    </row>
    <row r="27" spans="2:23" x14ac:dyDescent="0.6">
      <c r="B27" s="2">
        <v>750.03287310979601</v>
      </c>
      <c r="C27" s="50">
        <v>1168.02610114192</v>
      </c>
      <c r="D27" s="50"/>
      <c r="E27" s="50"/>
      <c r="F27" s="2">
        <v>755.51948051948</v>
      </c>
      <c r="G27" s="50">
        <v>-189.123711340206</v>
      </c>
      <c r="H27" s="50"/>
      <c r="I27" s="50"/>
      <c r="J27" s="50"/>
      <c r="K27" s="50"/>
      <c r="N27" s="3">
        <f t="shared" si="1"/>
        <v>750.03287310979601</v>
      </c>
      <c r="O27" s="21">
        <f t="shared" si="2"/>
        <v>116802.61011419199</v>
      </c>
      <c r="P27" s="3">
        <f t="shared" si="3"/>
        <v>755.51948051948</v>
      </c>
      <c r="Q27" s="17">
        <f t="shared" si="4"/>
        <v>-1.89123711340206E-4</v>
      </c>
      <c r="R27" s="30"/>
      <c r="S27" s="41"/>
      <c r="T27" s="30"/>
      <c r="U27" s="41"/>
      <c r="V27"/>
    </row>
    <row r="28" spans="2:23" x14ac:dyDescent="0.6">
      <c r="B28" s="2">
        <v>775.01643655489795</v>
      </c>
      <c r="C28" s="50">
        <v>1158.2381729200599</v>
      </c>
      <c r="D28" s="50"/>
      <c r="E28" s="50"/>
      <c r="F28" s="2">
        <v>780.19480519480499</v>
      </c>
      <c r="G28" s="50">
        <v>-189.58762886597901</v>
      </c>
      <c r="H28" s="50"/>
      <c r="I28" s="50"/>
      <c r="J28" s="50"/>
      <c r="K28" s="50"/>
      <c r="N28" s="3">
        <f t="shared" si="1"/>
        <v>775.01643655489795</v>
      </c>
      <c r="O28" s="21">
        <f t="shared" si="2"/>
        <v>115823.81729200599</v>
      </c>
      <c r="P28" s="3">
        <f t="shared" si="3"/>
        <v>780.19480519480499</v>
      </c>
      <c r="Q28" s="17">
        <f t="shared" si="4"/>
        <v>-1.89587628865979E-4</v>
      </c>
      <c r="R28" s="31"/>
      <c r="S28" s="38"/>
      <c r="T28" s="31"/>
      <c r="U28" s="38"/>
      <c r="V28"/>
    </row>
    <row r="29" spans="2:23" x14ac:dyDescent="0.6">
      <c r="B29" s="2">
        <v>800</v>
      </c>
      <c r="C29" s="50">
        <v>1143.5562805872701</v>
      </c>
      <c r="D29" s="50"/>
      <c r="E29" s="50"/>
      <c r="F29" s="2">
        <v>804.22077922077904</v>
      </c>
      <c r="G29" s="50">
        <v>-191.59793814432899</v>
      </c>
      <c r="H29" s="50"/>
      <c r="I29" s="50"/>
      <c r="J29" s="50"/>
      <c r="K29" s="50"/>
      <c r="N29" s="3">
        <f t="shared" si="1"/>
        <v>800</v>
      </c>
      <c r="O29" s="21">
        <f t="shared" si="2"/>
        <v>114355.628058727</v>
      </c>
      <c r="P29" s="3">
        <f t="shared" si="3"/>
        <v>804.22077922077904</v>
      </c>
      <c r="Q29" s="17">
        <f t="shared" si="4"/>
        <v>-1.9159793814432899E-4</v>
      </c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ht="17.25" thickBot="1" x14ac:dyDescent="0.65">
      <c r="B34" t="s">
        <v>79</v>
      </c>
      <c r="O34"/>
      <c r="Q34"/>
      <c r="S34"/>
      <c r="U34"/>
      <c r="V34"/>
    </row>
    <row r="35" spans="2:23" x14ac:dyDescent="0.6">
      <c r="B35" s="5" t="s">
        <v>3</v>
      </c>
      <c r="C35" s="6" t="s">
        <v>0</v>
      </c>
      <c r="D35" s="7" t="s">
        <v>3</v>
      </c>
      <c r="E35" s="6" t="s">
        <v>8</v>
      </c>
      <c r="F35" s="7" t="s">
        <v>3</v>
      </c>
      <c r="G35" s="6" t="s">
        <v>1</v>
      </c>
      <c r="H35" s="7" t="s">
        <v>3</v>
      </c>
      <c r="I35" s="6" t="s">
        <v>2</v>
      </c>
      <c r="J35" s="7" t="s">
        <v>3</v>
      </c>
      <c r="K35" s="8" t="s">
        <v>6</v>
      </c>
      <c r="N35" s="5" t="s">
        <v>3</v>
      </c>
      <c r="O35" s="19" t="s">
        <v>0</v>
      </c>
      <c r="P35" s="7" t="s">
        <v>3</v>
      </c>
      <c r="Q35" s="15" t="s">
        <v>1</v>
      </c>
      <c r="R35" s="7" t="s">
        <v>3</v>
      </c>
      <c r="S35" s="23" t="s">
        <v>2</v>
      </c>
      <c r="T35" s="7" t="s">
        <v>3</v>
      </c>
      <c r="U35" s="25" t="s">
        <v>6</v>
      </c>
    </row>
    <row r="36" spans="2:23" ht="17.25" thickBot="1" x14ac:dyDescent="0.65">
      <c r="B36" s="9" t="s">
        <v>4</v>
      </c>
      <c r="C36" s="10" t="s">
        <v>10</v>
      </c>
      <c r="D36" s="11" t="s">
        <v>4</v>
      </c>
      <c r="E36" s="10" t="s">
        <v>11</v>
      </c>
      <c r="F36" s="11" t="s">
        <v>4</v>
      </c>
      <c r="G36" s="27" t="s">
        <v>13</v>
      </c>
      <c r="H36" s="11" t="s">
        <v>4</v>
      </c>
      <c r="I36" s="10" t="s">
        <v>15</v>
      </c>
      <c r="J36" s="11" t="s">
        <v>4</v>
      </c>
      <c r="K36" s="12" t="s">
        <v>7</v>
      </c>
      <c r="N36" s="9" t="s">
        <v>4</v>
      </c>
      <c r="O36" s="20" t="s">
        <v>5</v>
      </c>
      <c r="P36" s="11" t="s">
        <v>4</v>
      </c>
      <c r="Q36" s="16" t="s">
        <v>14</v>
      </c>
      <c r="R36" s="11" t="s">
        <v>4</v>
      </c>
      <c r="S36" s="10" t="s">
        <v>15</v>
      </c>
      <c r="T36" s="11" t="s">
        <v>4</v>
      </c>
      <c r="U36" s="26" t="s">
        <v>7</v>
      </c>
      <c r="W36" t="s">
        <v>78</v>
      </c>
    </row>
    <row r="37" spans="2:23" x14ac:dyDescent="0.6">
      <c r="B37" s="3">
        <v>297.29000000000002</v>
      </c>
      <c r="C37" s="4">
        <v>2083.04</v>
      </c>
      <c r="D37" s="3"/>
      <c r="E37" s="4"/>
      <c r="F37" s="3">
        <v>300.84699999999998</v>
      </c>
      <c r="G37" s="4">
        <v>-123.467</v>
      </c>
      <c r="H37" s="3">
        <v>296.108</v>
      </c>
      <c r="I37" s="4">
        <v>2.5452900000000001</v>
      </c>
      <c r="J37" s="3">
        <v>301.185</v>
      </c>
      <c r="K37" s="4">
        <v>0.38320799999999999</v>
      </c>
      <c r="N37" s="3">
        <f>B37</f>
        <v>297.29000000000002</v>
      </c>
      <c r="O37" s="21">
        <f>C37*100</f>
        <v>208304</v>
      </c>
      <c r="P37" s="3">
        <f>F37</f>
        <v>300.84699999999998</v>
      </c>
      <c r="Q37" s="17">
        <f>G37*0.000001</f>
        <v>-1.2346699999999999E-4</v>
      </c>
      <c r="R37" s="3">
        <f>H37</f>
        <v>296.108</v>
      </c>
      <c r="S37" s="24">
        <f>I37</f>
        <v>2.5452900000000001</v>
      </c>
      <c r="T37" s="3">
        <f>J37</f>
        <v>301.185</v>
      </c>
      <c r="U37" s="51">
        <f>K37</f>
        <v>0.38320799999999999</v>
      </c>
      <c r="V37" s="42">
        <f>((O37*(Q37)^2)/S37)*T37</f>
        <v>0.37574695410199599</v>
      </c>
      <c r="W37" s="49">
        <f t="shared" ref="W37:W47" si="7">(U37-V37)/U37</f>
        <v>1.9469963826444135E-2</v>
      </c>
    </row>
    <row r="38" spans="2:23" x14ac:dyDescent="0.6">
      <c r="B38" s="3">
        <v>321.05</v>
      </c>
      <c r="C38" s="4">
        <v>1973.28</v>
      </c>
      <c r="D38" s="3"/>
      <c r="E38" s="4"/>
      <c r="F38" s="3">
        <v>327.54199999999997</v>
      </c>
      <c r="G38" s="4">
        <v>-127.733</v>
      </c>
      <c r="H38" s="3">
        <v>347.81400000000002</v>
      </c>
      <c r="I38" s="4">
        <v>2.6330499999999999</v>
      </c>
      <c r="J38" s="3">
        <v>348.87799999999999</v>
      </c>
      <c r="K38" s="4">
        <v>0.46336899999999998</v>
      </c>
      <c r="N38" s="3">
        <f t="shared" ref="N38:N54" si="8">B38</f>
        <v>321.05</v>
      </c>
      <c r="O38" s="21">
        <f t="shared" ref="O38:O54" si="9">C38*100</f>
        <v>197328</v>
      </c>
      <c r="P38" s="3">
        <f t="shared" ref="P38:P53" si="10">F38</f>
        <v>327.54199999999997</v>
      </c>
      <c r="Q38" s="17">
        <f t="shared" ref="Q38:Q53" si="11">G38*0.000001</f>
        <v>-1.2773299999999999E-4</v>
      </c>
      <c r="R38" s="3">
        <f t="shared" ref="R38:R47" si="12">H38</f>
        <v>347.81400000000002</v>
      </c>
      <c r="S38" s="24">
        <f t="shared" ref="S38:S47" si="13">I38</f>
        <v>2.6330499999999999</v>
      </c>
      <c r="T38" s="3">
        <f t="shared" ref="T38:T47" si="14">J38</f>
        <v>348.87799999999999</v>
      </c>
      <c r="U38" s="51">
        <f t="shared" ref="U38:U47" si="15">K38</f>
        <v>0.46336899999999998</v>
      </c>
      <c r="V38" s="42">
        <f>((O39*(Q39)^2)/S38)*T38</f>
        <v>0.4666362605081954</v>
      </c>
      <c r="W38" s="49">
        <f t="shared" si="7"/>
        <v>-7.0510986021840574E-3</v>
      </c>
    </row>
    <row r="39" spans="2:23" x14ac:dyDescent="0.6">
      <c r="B39" s="2">
        <v>349.25</v>
      </c>
      <c r="C39" s="1">
        <v>1896.63</v>
      </c>
      <c r="D39" s="2"/>
      <c r="E39" s="1"/>
      <c r="F39" s="2">
        <v>354.23700000000002</v>
      </c>
      <c r="G39" s="1">
        <v>-136.267</v>
      </c>
      <c r="H39" s="2">
        <v>398.01100000000002</v>
      </c>
      <c r="I39" s="1">
        <v>2.5670999999999999</v>
      </c>
      <c r="J39" s="2">
        <v>402.255</v>
      </c>
      <c r="K39" s="1">
        <v>0.56369100000000005</v>
      </c>
      <c r="N39" s="3">
        <f t="shared" si="8"/>
        <v>349.25</v>
      </c>
      <c r="O39" s="21">
        <f t="shared" si="9"/>
        <v>189663</v>
      </c>
      <c r="P39" s="3">
        <f t="shared" si="10"/>
        <v>354.23700000000002</v>
      </c>
      <c r="Q39" s="17">
        <f t="shared" si="11"/>
        <v>-1.36267E-4</v>
      </c>
      <c r="R39" s="3">
        <f t="shared" si="12"/>
        <v>398.01100000000002</v>
      </c>
      <c r="S39" s="24">
        <f t="shared" si="13"/>
        <v>2.5670999999999999</v>
      </c>
      <c r="T39" s="3">
        <f t="shared" si="14"/>
        <v>402.255</v>
      </c>
      <c r="U39" s="51">
        <f t="shared" si="15"/>
        <v>0.56369100000000005</v>
      </c>
      <c r="V39" s="42">
        <f>((O41*(Q40)^2)/S39)*T39</f>
        <v>0.55444383788654239</v>
      </c>
      <c r="W39" s="49">
        <f t="shared" si="7"/>
        <v>1.6404665168430331E-2</v>
      </c>
    </row>
    <row r="40" spans="2:23" x14ac:dyDescent="0.6">
      <c r="B40" s="2">
        <v>374.48099999999999</v>
      </c>
      <c r="C40" s="1">
        <v>1830.95</v>
      </c>
      <c r="D40" s="2"/>
      <c r="E40" s="1"/>
      <c r="F40" s="2">
        <v>404.661</v>
      </c>
      <c r="G40" s="1">
        <v>-143.37799999999999</v>
      </c>
      <c r="H40" s="2">
        <v>448.23399999999998</v>
      </c>
      <c r="I40" s="1">
        <v>2.6242299999999998</v>
      </c>
      <c r="J40" s="2">
        <v>451.10899999999998</v>
      </c>
      <c r="K40" s="1">
        <v>0.69112799999999996</v>
      </c>
      <c r="N40" s="3">
        <f t="shared" si="8"/>
        <v>374.48099999999999</v>
      </c>
      <c r="O40" s="21">
        <f t="shared" si="9"/>
        <v>183095</v>
      </c>
      <c r="P40" s="3">
        <f t="shared" si="10"/>
        <v>404.661</v>
      </c>
      <c r="Q40" s="17">
        <f t="shared" si="11"/>
        <v>-1.4337799999999997E-4</v>
      </c>
      <c r="R40" s="3">
        <f t="shared" si="12"/>
        <v>448.23399999999998</v>
      </c>
      <c r="S40" s="24">
        <f t="shared" si="13"/>
        <v>2.6242299999999998</v>
      </c>
      <c r="T40" s="3">
        <f t="shared" si="14"/>
        <v>451.10899999999998</v>
      </c>
      <c r="U40" s="51">
        <f t="shared" si="15"/>
        <v>0.69112799999999996</v>
      </c>
      <c r="V40" s="42">
        <f>((O43*(Q42)^2)/S40)*T40</f>
        <v>0.67124040176356814</v>
      </c>
      <c r="W40" s="49">
        <f t="shared" si="7"/>
        <v>2.8775564347605403E-2</v>
      </c>
    </row>
    <row r="41" spans="2:23" x14ac:dyDescent="0.6">
      <c r="B41" s="2">
        <v>399.72399999999999</v>
      </c>
      <c r="C41" s="1">
        <v>1721.21</v>
      </c>
      <c r="D41" s="2"/>
      <c r="E41" s="1"/>
      <c r="F41" s="2">
        <v>431.35599999999999</v>
      </c>
      <c r="G41" s="1">
        <v>-148.35599999999999</v>
      </c>
      <c r="H41" s="2">
        <v>502.88099999999997</v>
      </c>
      <c r="I41" s="1">
        <v>2.6501899999999998</v>
      </c>
      <c r="J41" s="2">
        <v>501.08600000000001</v>
      </c>
      <c r="K41" s="1">
        <v>0.79827199999999998</v>
      </c>
      <c r="N41" s="3">
        <f t="shared" si="8"/>
        <v>399.72399999999999</v>
      </c>
      <c r="O41" s="21">
        <f t="shared" si="9"/>
        <v>172121</v>
      </c>
      <c r="P41" s="3">
        <f t="shared" si="10"/>
        <v>431.35599999999999</v>
      </c>
      <c r="Q41" s="17">
        <f t="shared" si="11"/>
        <v>-1.4835599999999999E-4</v>
      </c>
      <c r="R41" s="3">
        <f t="shared" si="12"/>
        <v>502.88099999999997</v>
      </c>
      <c r="S41" s="24">
        <f t="shared" si="13"/>
        <v>2.6501899999999998</v>
      </c>
      <c r="T41" s="3">
        <f t="shared" si="14"/>
        <v>501.08600000000001</v>
      </c>
      <c r="U41" s="51">
        <f t="shared" si="15"/>
        <v>0.79827199999999998</v>
      </c>
      <c r="V41" s="42">
        <f>((AVERAGE(O44,O45)*(Q44)^2)/S41)*T41</f>
        <v>0.76464307153562738</v>
      </c>
      <c r="W41" s="49">
        <f t="shared" si="7"/>
        <v>4.2127155235775024E-2</v>
      </c>
    </row>
    <row r="42" spans="2:23" x14ac:dyDescent="0.6">
      <c r="B42" s="2">
        <v>426.43099999999998</v>
      </c>
      <c r="C42" s="1">
        <v>1677.58</v>
      </c>
      <c r="D42" s="2"/>
      <c r="E42" s="1"/>
      <c r="F42" s="2">
        <v>458.05099999999999</v>
      </c>
      <c r="G42" s="1">
        <v>-156.178</v>
      </c>
      <c r="H42" s="2">
        <v>547.15200000000004</v>
      </c>
      <c r="I42" s="1">
        <v>2.4924499999999998</v>
      </c>
      <c r="J42" s="2">
        <v>551.07500000000005</v>
      </c>
      <c r="K42" s="1">
        <v>0.92568700000000004</v>
      </c>
      <c r="N42" s="3">
        <f t="shared" si="8"/>
        <v>426.43099999999998</v>
      </c>
      <c r="O42" s="21">
        <f t="shared" si="9"/>
        <v>167758</v>
      </c>
      <c r="P42" s="3">
        <f t="shared" si="10"/>
        <v>458.05099999999999</v>
      </c>
      <c r="Q42" s="17">
        <f t="shared" si="11"/>
        <v>-1.5617799999999998E-4</v>
      </c>
      <c r="R42" s="3">
        <f t="shared" si="12"/>
        <v>547.15200000000004</v>
      </c>
      <c r="S42" s="24">
        <f t="shared" si="13"/>
        <v>2.4924499999999998</v>
      </c>
      <c r="T42" s="3">
        <f t="shared" si="14"/>
        <v>551.07500000000005</v>
      </c>
      <c r="U42" s="51">
        <f t="shared" si="15"/>
        <v>0.92568700000000004</v>
      </c>
      <c r="V42" s="42">
        <f>((AVERAGE(O45,O46)*(Q46)^2)/S42)*T42</f>
        <v>0.93339172435708806</v>
      </c>
      <c r="W42" s="49">
        <f t="shared" si="7"/>
        <v>-8.3232500370946354E-3</v>
      </c>
    </row>
    <row r="43" spans="2:23" x14ac:dyDescent="0.6">
      <c r="B43" s="2">
        <v>451.66500000000002</v>
      </c>
      <c r="C43" s="1">
        <v>1600.88</v>
      </c>
      <c r="D43" s="2"/>
      <c r="E43" s="1"/>
      <c r="F43" s="2">
        <v>481.78</v>
      </c>
      <c r="G43" s="1">
        <v>-159.02199999999999</v>
      </c>
      <c r="H43" s="2">
        <v>600.31600000000003</v>
      </c>
      <c r="I43" s="1">
        <v>2.4877699999999998</v>
      </c>
      <c r="J43" s="2">
        <v>601.05200000000002</v>
      </c>
      <c r="K43" s="1">
        <v>1.0328299999999999</v>
      </c>
      <c r="N43" s="3">
        <f t="shared" si="8"/>
        <v>451.66500000000002</v>
      </c>
      <c r="O43" s="21">
        <f t="shared" si="9"/>
        <v>160088</v>
      </c>
      <c r="P43" s="3">
        <f t="shared" si="10"/>
        <v>481.78</v>
      </c>
      <c r="Q43" s="17">
        <f t="shared" si="11"/>
        <v>-1.5902199999999998E-4</v>
      </c>
      <c r="R43" s="3">
        <f t="shared" si="12"/>
        <v>600.31600000000003</v>
      </c>
      <c r="S43" s="24">
        <f t="shared" si="13"/>
        <v>2.4877699999999998</v>
      </c>
      <c r="T43" s="3">
        <f t="shared" si="14"/>
        <v>601.05200000000002</v>
      </c>
      <c r="U43" s="51">
        <f t="shared" si="15"/>
        <v>1.0328299999999999</v>
      </c>
      <c r="V43" s="42">
        <f>((O46*(Q48)^2)/S43)*T43</f>
        <v>1.04428659159514</v>
      </c>
      <c r="W43" s="49">
        <f t="shared" si="7"/>
        <v>-1.1092427209841039E-2</v>
      </c>
    </row>
    <row r="44" spans="2:23" x14ac:dyDescent="0.6">
      <c r="B44" s="2">
        <v>475.40899999999999</v>
      </c>
      <c r="C44" s="1">
        <v>1546.19</v>
      </c>
      <c r="D44" s="2"/>
      <c r="E44" s="1"/>
      <c r="F44" s="2">
        <v>506.99200000000002</v>
      </c>
      <c r="G44" s="1">
        <v>-162.578</v>
      </c>
      <c r="H44" s="2">
        <v>647.57899999999995</v>
      </c>
      <c r="I44" s="1">
        <v>2.5143900000000001</v>
      </c>
      <c r="J44" s="2">
        <v>651.01499999999999</v>
      </c>
      <c r="K44" s="1">
        <v>1.1129500000000001</v>
      </c>
      <c r="N44" s="3">
        <f t="shared" si="8"/>
        <v>475.40899999999999</v>
      </c>
      <c r="O44" s="21">
        <f t="shared" si="9"/>
        <v>154619</v>
      </c>
      <c r="P44" s="3">
        <f t="shared" si="10"/>
        <v>506.99200000000002</v>
      </c>
      <c r="Q44" s="17">
        <f t="shared" si="11"/>
        <v>-1.62578E-4</v>
      </c>
      <c r="R44" s="3">
        <f t="shared" si="12"/>
        <v>647.57899999999995</v>
      </c>
      <c r="S44" s="24">
        <f t="shared" si="13"/>
        <v>2.5143900000000001</v>
      </c>
      <c r="T44" s="3">
        <f t="shared" si="14"/>
        <v>651.01499999999999</v>
      </c>
      <c r="U44" s="51">
        <f t="shared" si="15"/>
        <v>1.1129500000000001</v>
      </c>
      <c r="V44" s="42">
        <f>((O48*(AVERAGE(Q49,Q50))^2)/S44)*T44</f>
        <v>1.0874558201181406</v>
      </c>
      <c r="W44" s="49">
        <f t="shared" si="7"/>
        <v>2.2906851055177261E-2</v>
      </c>
    </row>
    <row r="45" spans="2:23" x14ac:dyDescent="0.6">
      <c r="B45" s="2">
        <v>521.39300000000003</v>
      </c>
      <c r="C45" s="1">
        <v>1513.87</v>
      </c>
      <c r="D45" s="2"/>
      <c r="E45" s="1"/>
      <c r="F45" s="2">
        <v>532.20299999999997</v>
      </c>
      <c r="G45" s="1">
        <v>-167.55600000000001</v>
      </c>
      <c r="H45" s="2">
        <v>699.25300000000004</v>
      </c>
      <c r="I45" s="1">
        <v>2.4483100000000002</v>
      </c>
      <c r="J45" s="2">
        <v>699.84299999999996</v>
      </c>
      <c r="K45" s="1">
        <v>1.19309</v>
      </c>
      <c r="N45" s="3">
        <f t="shared" si="8"/>
        <v>521.39300000000003</v>
      </c>
      <c r="O45" s="21">
        <f t="shared" si="9"/>
        <v>151387</v>
      </c>
      <c r="P45" s="3">
        <f t="shared" si="10"/>
        <v>532.20299999999997</v>
      </c>
      <c r="Q45" s="17">
        <f t="shared" si="11"/>
        <v>-1.6755599999999999E-4</v>
      </c>
      <c r="R45" s="3">
        <f t="shared" si="12"/>
        <v>699.25300000000004</v>
      </c>
      <c r="S45" s="24">
        <f t="shared" si="13"/>
        <v>2.4483100000000002</v>
      </c>
      <c r="T45" s="3">
        <f t="shared" si="14"/>
        <v>699.84299999999996</v>
      </c>
      <c r="U45" s="51">
        <f t="shared" si="15"/>
        <v>1.19309</v>
      </c>
      <c r="V45" s="42">
        <f>((O50*(Q51)^2)/S45)*T45</f>
        <v>1.2201005636588678</v>
      </c>
      <c r="W45" s="49">
        <f t="shared" si="7"/>
        <v>-2.2639166918562541E-2</v>
      </c>
    </row>
    <row r="46" spans="2:23" x14ac:dyDescent="0.6">
      <c r="B46" s="2">
        <v>600.029</v>
      </c>
      <c r="C46" s="1">
        <v>1393.97</v>
      </c>
      <c r="D46" s="2"/>
      <c r="E46" s="1"/>
      <c r="F46" s="2">
        <v>555.93200000000002</v>
      </c>
      <c r="G46" s="1">
        <v>-170.4</v>
      </c>
      <c r="H46" s="2">
        <v>747.99900000000002</v>
      </c>
      <c r="I46" s="1">
        <v>2.50556</v>
      </c>
      <c r="J46" s="2">
        <v>750.93200000000002</v>
      </c>
      <c r="K46" s="1">
        <v>1.2596700000000001</v>
      </c>
      <c r="N46" s="3">
        <f t="shared" si="8"/>
        <v>600.029</v>
      </c>
      <c r="O46" s="21">
        <f t="shared" si="9"/>
        <v>139397</v>
      </c>
      <c r="P46" s="3">
        <f t="shared" si="10"/>
        <v>555.93200000000002</v>
      </c>
      <c r="Q46" s="17">
        <f t="shared" si="11"/>
        <v>-1.7039999999999999E-4</v>
      </c>
      <c r="R46" s="3">
        <f t="shared" si="12"/>
        <v>747.99900000000002</v>
      </c>
      <c r="S46" s="24">
        <f t="shared" si="13"/>
        <v>2.50556</v>
      </c>
      <c r="T46" s="3">
        <f t="shared" si="14"/>
        <v>750.93200000000002</v>
      </c>
      <c r="U46" s="51">
        <f t="shared" si="15"/>
        <v>1.2596700000000001</v>
      </c>
      <c r="V46" s="42">
        <f>((O52*(Q52)^2)/S46)*T46</f>
        <v>1.2715617165949651</v>
      </c>
      <c r="W46" s="49">
        <f t="shared" si="7"/>
        <v>-9.440342784193494E-3</v>
      </c>
    </row>
    <row r="47" spans="2:23" x14ac:dyDescent="0.6">
      <c r="B47" s="2">
        <v>623.77700000000004</v>
      </c>
      <c r="C47" s="1">
        <v>1328.26</v>
      </c>
      <c r="D47" s="2"/>
      <c r="E47" s="1"/>
      <c r="F47" s="2">
        <v>582.62699999999995</v>
      </c>
      <c r="G47" s="1">
        <v>-172.53299999999999</v>
      </c>
      <c r="H47" s="2">
        <v>795.255</v>
      </c>
      <c r="I47" s="1">
        <v>2.5014099999999999</v>
      </c>
      <c r="J47" s="2">
        <v>799.73500000000001</v>
      </c>
      <c r="K47" s="1">
        <v>1.29251</v>
      </c>
      <c r="N47" s="3">
        <f t="shared" si="8"/>
        <v>623.77700000000004</v>
      </c>
      <c r="O47" s="21">
        <f t="shared" si="9"/>
        <v>132826</v>
      </c>
      <c r="P47" s="3">
        <f t="shared" si="10"/>
        <v>582.62699999999995</v>
      </c>
      <c r="Q47" s="17">
        <f t="shared" si="11"/>
        <v>-1.7253299999999997E-4</v>
      </c>
      <c r="R47" s="3">
        <f t="shared" si="12"/>
        <v>795.255</v>
      </c>
      <c r="S47" s="24">
        <f t="shared" si="13"/>
        <v>2.5014099999999999</v>
      </c>
      <c r="T47" s="3">
        <f t="shared" si="14"/>
        <v>799.73500000000001</v>
      </c>
      <c r="U47" s="51">
        <f t="shared" si="15"/>
        <v>1.29251</v>
      </c>
      <c r="V47" s="42">
        <f>((O54*(Q53)^2)/S47)*T47</f>
        <v>1.3600878122722975</v>
      </c>
      <c r="W47" s="49">
        <f t="shared" si="7"/>
        <v>-5.2284169772224137E-2</v>
      </c>
    </row>
    <row r="48" spans="2:23" x14ac:dyDescent="0.6">
      <c r="B48" s="2">
        <v>647.51199999999994</v>
      </c>
      <c r="C48" s="1">
        <v>1306.6099999999999</v>
      </c>
      <c r="D48" s="2"/>
      <c r="E48" s="1"/>
      <c r="F48" s="2">
        <v>607.83900000000006</v>
      </c>
      <c r="G48" s="1">
        <v>-176.089</v>
      </c>
      <c r="H48" s="2"/>
      <c r="I48" s="1"/>
      <c r="J48" s="2"/>
      <c r="K48" s="1"/>
      <c r="N48" s="3">
        <f t="shared" si="8"/>
        <v>647.51199999999994</v>
      </c>
      <c r="O48" s="21">
        <f t="shared" si="9"/>
        <v>130660.99999999999</v>
      </c>
      <c r="P48" s="3">
        <f t="shared" si="10"/>
        <v>607.83900000000006</v>
      </c>
      <c r="Q48" s="17">
        <f t="shared" si="11"/>
        <v>-1.7608899999999999E-4</v>
      </c>
      <c r="R48" s="3"/>
      <c r="S48" s="24"/>
      <c r="T48" s="3"/>
      <c r="U48" s="24"/>
      <c r="V48"/>
    </row>
    <row r="49" spans="2:22" x14ac:dyDescent="0.6">
      <c r="B49" s="2">
        <v>674.21600000000001</v>
      </c>
      <c r="C49" s="1">
        <v>1273.99</v>
      </c>
      <c r="D49" s="2"/>
      <c r="E49" s="1"/>
      <c r="F49" s="2">
        <v>633.05100000000004</v>
      </c>
      <c r="G49" s="1">
        <v>-177.511</v>
      </c>
      <c r="H49" s="2"/>
      <c r="I49" s="1"/>
      <c r="J49" s="2"/>
      <c r="K49" s="1"/>
      <c r="N49" s="3">
        <f t="shared" si="8"/>
        <v>674.21600000000001</v>
      </c>
      <c r="O49" s="21">
        <f t="shared" si="9"/>
        <v>127399</v>
      </c>
      <c r="P49" s="3">
        <f t="shared" si="10"/>
        <v>633.05100000000004</v>
      </c>
      <c r="Q49" s="17">
        <f t="shared" si="11"/>
        <v>-1.7751099999999999E-4</v>
      </c>
      <c r="R49" s="3"/>
      <c r="S49" s="24"/>
      <c r="T49" s="3"/>
      <c r="U49" s="24"/>
      <c r="V49"/>
    </row>
    <row r="50" spans="2:22" x14ac:dyDescent="0.6">
      <c r="B50" s="2">
        <v>693.50199999999995</v>
      </c>
      <c r="C50" s="1">
        <v>1252.26</v>
      </c>
      <c r="D50" s="2"/>
      <c r="E50" s="1"/>
      <c r="F50" s="2">
        <v>662.71199999999999</v>
      </c>
      <c r="G50" s="1">
        <v>-181.06700000000001</v>
      </c>
      <c r="H50" s="2"/>
      <c r="I50" s="1"/>
      <c r="J50" s="2"/>
      <c r="K50" s="1"/>
      <c r="N50" s="3">
        <f t="shared" si="8"/>
        <v>693.50199999999995</v>
      </c>
      <c r="O50" s="21">
        <f t="shared" si="9"/>
        <v>125226</v>
      </c>
      <c r="P50" s="3">
        <f t="shared" si="10"/>
        <v>662.71199999999999</v>
      </c>
      <c r="Q50" s="17">
        <f t="shared" si="11"/>
        <v>-1.8106700000000001E-4</v>
      </c>
      <c r="R50" s="3"/>
      <c r="S50" s="24"/>
      <c r="T50" s="3"/>
      <c r="U50" s="24"/>
      <c r="V50"/>
    </row>
    <row r="51" spans="2:22" x14ac:dyDescent="0.6">
      <c r="B51" s="2">
        <v>727.61800000000005</v>
      </c>
      <c r="C51" s="1">
        <v>1230.77</v>
      </c>
      <c r="D51" s="2"/>
      <c r="E51" s="1"/>
      <c r="F51" s="2">
        <v>708.68600000000004</v>
      </c>
      <c r="G51" s="1">
        <v>-184.62200000000001</v>
      </c>
      <c r="H51" s="2"/>
      <c r="I51" s="1"/>
      <c r="J51" s="2"/>
      <c r="K51" s="1"/>
      <c r="N51" s="3">
        <f t="shared" si="8"/>
        <v>727.61800000000005</v>
      </c>
      <c r="O51" s="21">
        <f t="shared" si="9"/>
        <v>123077</v>
      </c>
      <c r="P51" s="3">
        <f t="shared" si="10"/>
        <v>708.68600000000004</v>
      </c>
      <c r="Q51" s="17">
        <f t="shared" si="11"/>
        <v>-1.8462200000000001E-4</v>
      </c>
      <c r="R51" s="3"/>
      <c r="S51" s="24"/>
      <c r="T51" s="3"/>
      <c r="U51" s="24"/>
      <c r="V51"/>
    </row>
    <row r="52" spans="2:22" x14ac:dyDescent="0.6">
      <c r="B52" s="2">
        <v>752.83900000000006</v>
      </c>
      <c r="C52" s="1">
        <v>1198.1300000000001</v>
      </c>
      <c r="D52" s="2"/>
      <c r="E52" s="1"/>
      <c r="F52" s="2">
        <v>753.178</v>
      </c>
      <c r="G52" s="1">
        <v>-188.178</v>
      </c>
      <c r="H52" s="2"/>
      <c r="I52" s="1"/>
      <c r="J52" s="2"/>
      <c r="K52" s="1"/>
      <c r="N52" s="3">
        <f t="shared" si="8"/>
        <v>752.83900000000006</v>
      </c>
      <c r="O52" s="21">
        <f t="shared" si="9"/>
        <v>119813.00000000001</v>
      </c>
      <c r="P52" s="3">
        <f t="shared" si="10"/>
        <v>753.178</v>
      </c>
      <c r="Q52" s="17">
        <f t="shared" si="11"/>
        <v>-1.88178E-4</v>
      </c>
      <c r="R52" s="3"/>
      <c r="S52" s="24"/>
      <c r="T52" s="3"/>
      <c r="U52" s="24"/>
      <c r="V52"/>
    </row>
    <row r="53" spans="2:22" x14ac:dyDescent="0.6">
      <c r="B53" s="2">
        <v>773.60799999999995</v>
      </c>
      <c r="C53" s="1">
        <v>1176.43</v>
      </c>
      <c r="D53" s="2"/>
      <c r="E53" s="1"/>
      <c r="F53" s="2">
        <v>784.322</v>
      </c>
      <c r="G53" s="1">
        <v>-191.02199999999999</v>
      </c>
      <c r="H53" s="2"/>
      <c r="I53" s="1"/>
      <c r="J53" s="2"/>
      <c r="K53" s="1"/>
      <c r="N53" s="3">
        <f t="shared" si="8"/>
        <v>773.60799999999995</v>
      </c>
      <c r="O53" s="21">
        <f t="shared" si="9"/>
        <v>117643</v>
      </c>
      <c r="P53" s="3">
        <f t="shared" si="10"/>
        <v>784.322</v>
      </c>
      <c r="Q53" s="17">
        <f t="shared" si="11"/>
        <v>-1.9102199999999997E-4</v>
      </c>
      <c r="R53" s="3"/>
      <c r="S53" s="24"/>
      <c r="T53" s="3"/>
      <c r="U53" s="24"/>
      <c r="V53"/>
    </row>
    <row r="54" spans="2:22" x14ac:dyDescent="0.6">
      <c r="B54" s="28">
        <v>800.30600000000004</v>
      </c>
      <c r="C54" s="29">
        <v>1165.8399999999999</v>
      </c>
      <c r="D54" s="28"/>
      <c r="E54" s="29"/>
      <c r="F54" s="28"/>
      <c r="G54" s="29"/>
      <c r="H54" s="28"/>
      <c r="I54" s="29"/>
      <c r="J54" s="28"/>
      <c r="K54" s="29"/>
      <c r="N54" s="32">
        <f t="shared" si="8"/>
        <v>800.30600000000004</v>
      </c>
      <c r="O54" s="33">
        <f t="shared" si="9"/>
        <v>116583.99999999999</v>
      </c>
      <c r="P54" s="32"/>
      <c r="Q54" s="34"/>
      <c r="R54" s="32"/>
      <c r="S54" s="35"/>
      <c r="T54" s="32"/>
      <c r="U54" s="35"/>
      <c r="V54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1"/>
  </sheetPr>
  <dimension ref="A1:W3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302.04599999999999</v>
      </c>
      <c r="E9" s="17">
        <v>4.1547999999999996E-6</v>
      </c>
      <c r="F9" s="3">
        <v>300.322</v>
      </c>
      <c r="G9" s="4">
        <v>-126.129</v>
      </c>
      <c r="H9" s="3">
        <v>298.24599999999998</v>
      </c>
      <c r="I9" s="4">
        <v>2.6875</v>
      </c>
      <c r="J9" s="3">
        <v>297.22199999999998</v>
      </c>
      <c r="K9" s="4">
        <v>0.42553200000000002</v>
      </c>
      <c r="N9" s="3">
        <f>D9</f>
        <v>302.04599999999999</v>
      </c>
      <c r="O9" s="21">
        <f>1/E9</f>
        <v>240685.47222489654</v>
      </c>
      <c r="P9" s="3">
        <f>F9</f>
        <v>300.322</v>
      </c>
      <c r="Q9" s="17">
        <f>G9*(10^(-6))</f>
        <v>-1.26129E-4</v>
      </c>
      <c r="R9" s="3">
        <f>H9</f>
        <v>298.24599999999998</v>
      </c>
      <c r="S9" s="24">
        <f>I9</f>
        <v>2.6875</v>
      </c>
      <c r="T9" s="3">
        <f>J9</f>
        <v>297.22199999999998</v>
      </c>
      <c r="U9" s="51">
        <f>K9</f>
        <v>0.42553200000000002</v>
      </c>
      <c r="V9" s="42">
        <f>((O9*(Q9)^2)/S9)*T9</f>
        <v>0.42345987142669861</v>
      </c>
      <c r="W9" s="49">
        <f t="shared" ref="W9" si="0">(U9-V9)/U9</f>
        <v>4.8695011733580849E-3</v>
      </c>
    </row>
    <row r="10" spans="1:23" x14ac:dyDescent="0.6">
      <c r="B10" s="3"/>
      <c r="C10" s="4"/>
      <c r="D10" s="3">
        <v>350.38400000000001</v>
      </c>
      <c r="E10" s="17">
        <v>4.58185E-6</v>
      </c>
      <c r="F10" s="3">
        <v>348.55700000000002</v>
      </c>
      <c r="G10" s="4">
        <v>-132.417</v>
      </c>
      <c r="H10" s="3">
        <v>349.12299999999999</v>
      </c>
      <c r="I10" s="4">
        <v>2.7222200000000001</v>
      </c>
      <c r="J10" s="3">
        <v>353.78800000000001</v>
      </c>
      <c r="K10" s="4">
        <v>0.51063800000000004</v>
      </c>
      <c r="N10" s="3">
        <f t="shared" ref="N10:N20" si="1">D10</f>
        <v>350.38400000000001</v>
      </c>
      <c r="O10" s="21">
        <f t="shared" ref="O10:O20" si="2">1/E10</f>
        <v>218252.45261193623</v>
      </c>
      <c r="P10" s="3">
        <f t="shared" ref="P10:P20" si="3">F10</f>
        <v>348.55700000000002</v>
      </c>
      <c r="Q10" s="17">
        <f t="shared" ref="Q10:Q20" si="4">G10*(10^(-6))</f>
        <v>-1.3241699999999999E-4</v>
      </c>
      <c r="R10" s="3">
        <f t="shared" ref="R10:U20" si="5">H10</f>
        <v>349.12299999999999</v>
      </c>
      <c r="S10" s="24">
        <f t="shared" si="5"/>
        <v>2.7222200000000001</v>
      </c>
      <c r="T10" s="3">
        <f t="shared" si="5"/>
        <v>353.78800000000001</v>
      </c>
      <c r="U10" s="51">
        <f t="shared" si="5"/>
        <v>0.51063800000000004</v>
      </c>
      <c r="V10" s="42">
        <f t="shared" ref="V10:V20" si="6">((O10*(Q10)^2)/S10)*T10</f>
        <v>0.49735501262671561</v>
      </c>
      <c r="W10" s="49">
        <f t="shared" ref="W10:W20" si="7">(U10-V10)/U10</f>
        <v>2.6012532113325736E-2</v>
      </c>
    </row>
    <row r="11" spans="1:23" x14ac:dyDescent="0.6">
      <c r="B11" s="2"/>
      <c r="C11" s="1"/>
      <c r="D11" s="2">
        <v>402.30200000000002</v>
      </c>
      <c r="E11" s="44">
        <v>4.9021400000000003E-6</v>
      </c>
      <c r="F11" s="2">
        <v>398.52800000000002</v>
      </c>
      <c r="G11" s="1">
        <v>-142.095</v>
      </c>
      <c r="H11" s="2">
        <v>396.49099999999999</v>
      </c>
      <c r="I11" s="1">
        <v>2.7152799999999999</v>
      </c>
      <c r="J11" s="2">
        <v>396.21199999999999</v>
      </c>
      <c r="K11" s="1">
        <v>0.61702100000000004</v>
      </c>
      <c r="N11" s="3">
        <f t="shared" si="1"/>
        <v>402.30200000000002</v>
      </c>
      <c r="O11" s="21">
        <f t="shared" si="2"/>
        <v>203992.54203266327</v>
      </c>
      <c r="P11" s="3">
        <f t="shared" si="3"/>
        <v>398.52800000000002</v>
      </c>
      <c r="Q11" s="17">
        <f t="shared" si="4"/>
        <v>-1.4209499999999999E-4</v>
      </c>
      <c r="R11" s="3">
        <f t="shared" si="5"/>
        <v>396.49099999999999</v>
      </c>
      <c r="S11" s="24">
        <f t="shared" si="5"/>
        <v>2.7152799999999999</v>
      </c>
      <c r="T11" s="3">
        <f t="shared" si="5"/>
        <v>396.21199999999999</v>
      </c>
      <c r="U11" s="51">
        <f t="shared" si="5"/>
        <v>0.61702100000000004</v>
      </c>
      <c r="V11" s="42">
        <f t="shared" si="6"/>
        <v>0.60101441258562271</v>
      </c>
      <c r="W11" s="49">
        <f t="shared" si="7"/>
        <v>2.5941722266142199E-2</v>
      </c>
    </row>
    <row r="12" spans="1:23" x14ac:dyDescent="0.6">
      <c r="B12" s="2"/>
      <c r="C12" s="1"/>
      <c r="D12" s="2">
        <v>448.84899999999999</v>
      </c>
      <c r="E12" s="44">
        <v>5.3024899999999998E-6</v>
      </c>
      <c r="F12" s="2">
        <v>453.88799999999998</v>
      </c>
      <c r="G12" s="1">
        <v>-150.65199999999999</v>
      </c>
      <c r="H12" s="2">
        <v>447.36799999999999</v>
      </c>
      <c r="I12" s="1">
        <v>2.6666699999999999</v>
      </c>
      <c r="J12" s="2">
        <v>451.01</v>
      </c>
      <c r="K12" s="1">
        <v>0.73758900000000005</v>
      </c>
      <c r="N12" s="3">
        <f t="shared" si="1"/>
        <v>448.84899999999999</v>
      </c>
      <c r="O12" s="21">
        <f t="shared" si="2"/>
        <v>188590.64326382513</v>
      </c>
      <c r="P12" s="3">
        <f t="shared" si="3"/>
        <v>453.88799999999998</v>
      </c>
      <c r="Q12" s="17">
        <f t="shared" si="4"/>
        <v>-1.5065199999999998E-4</v>
      </c>
      <c r="R12" s="3">
        <f t="shared" si="5"/>
        <v>447.36799999999999</v>
      </c>
      <c r="S12" s="24">
        <f t="shared" si="5"/>
        <v>2.6666699999999999</v>
      </c>
      <c r="T12" s="3">
        <f t="shared" si="5"/>
        <v>451.01</v>
      </c>
      <c r="U12" s="51">
        <f t="shared" si="5"/>
        <v>0.73758900000000005</v>
      </c>
      <c r="V12" s="42">
        <f t="shared" si="6"/>
        <v>0.72391377591022188</v>
      </c>
      <c r="W12" s="49">
        <f t="shared" si="7"/>
        <v>1.8540439309396112E-2</v>
      </c>
    </row>
    <row r="13" spans="1:23" x14ac:dyDescent="0.6">
      <c r="B13" s="2"/>
      <c r="C13" s="1"/>
      <c r="D13" s="2">
        <v>500.767</v>
      </c>
      <c r="E13" s="44">
        <v>5.5960899999999998E-6</v>
      </c>
      <c r="F13" s="2">
        <v>503.887</v>
      </c>
      <c r="G13" s="1">
        <v>-158.636</v>
      </c>
      <c r="H13" s="2">
        <v>501.75400000000002</v>
      </c>
      <c r="I13" s="1">
        <v>2.6319400000000002</v>
      </c>
      <c r="J13" s="2">
        <v>498.73700000000002</v>
      </c>
      <c r="K13" s="1">
        <v>0.86524800000000002</v>
      </c>
      <c r="N13" s="3">
        <f t="shared" si="1"/>
        <v>500.767</v>
      </c>
      <c r="O13" s="21">
        <f t="shared" si="2"/>
        <v>178696.19680884332</v>
      </c>
      <c r="P13" s="3">
        <f t="shared" si="3"/>
        <v>503.887</v>
      </c>
      <c r="Q13" s="17">
        <f t="shared" si="4"/>
        <v>-1.5863599999999998E-4</v>
      </c>
      <c r="R13" s="3">
        <f t="shared" si="5"/>
        <v>501.75400000000002</v>
      </c>
      <c r="S13" s="24">
        <f t="shared" si="5"/>
        <v>2.6319400000000002</v>
      </c>
      <c r="T13" s="3">
        <f t="shared" si="5"/>
        <v>498.73700000000002</v>
      </c>
      <c r="U13" s="51">
        <f t="shared" si="5"/>
        <v>0.86524800000000002</v>
      </c>
      <c r="V13" s="42">
        <f t="shared" si="6"/>
        <v>0.85214679485769096</v>
      </c>
      <c r="W13" s="49">
        <f t="shared" si="7"/>
        <v>1.5141560734389513E-2</v>
      </c>
    </row>
    <row r="14" spans="1:23" x14ac:dyDescent="0.6">
      <c r="B14" s="2"/>
      <c r="C14" s="1"/>
      <c r="D14" s="2">
        <v>549.10500000000002</v>
      </c>
      <c r="E14" s="44">
        <v>5.9430599999999996E-6</v>
      </c>
      <c r="F14" s="2">
        <v>550.31399999999996</v>
      </c>
      <c r="G14" s="1">
        <v>-166.05</v>
      </c>
      <c r="H14" s="2">
        <v>545.61400000000003</v>
      </c>
      <c r="I14" s="1">
        <v>2.61111</v>
      </c>
      <c r="J14" s="2">
        <v>553.53499999999997</v>
      </c>
      <c r="K14" s="1">
        <v>0.97872300000000001</v>
      </c>
      <c r="N14" s="3">
        <f t="shared" si="1"/>
        <v>549.10500000000002</v>
      </c>
      <c r="O14" s="21">
        <f t="shared" si="2"/>
        <v>168263.48715981332</v>
      </c>
      <c r="P14" s="3">
        <f t="shared" si="3"/>
        <v>550.31399999999996</v>
      </c>
      <c r="Q14" s="17">
        <f t="shared" si="4"/>
        <v>-1.6605E-4</v>
      </c>
      <c r="R14" s="3">
        <f t="shared" si="5"/>
        <v>545.61400000000003</v>
      </c>
      <c r="S14" s="24">
        <f t="shared" si="5"/>
        <v>2.61111</v>
      </c>
      <c r="T14" s="3">
        <f t="shared" si="5"/>
        <v>553.53499999999997</v>
      </c>
      <c r="U14" s="51">
        <f t="shared" si="5"/>
        <v>0.97872300000000001</v>
      </c>
      <c r="V14" s="42">
        <f t="shared" si="6"/>
        <v>0.98352989140209413</v>
      </c>
      <c r="W14" s="49">
        <f t="shared" si="7"/>
        <v>-4.911391069888125E-3</v>
      </c>
    </row>
    <row r="15" spans="1:23" x14ac:dyDescent="0.6">
      <c r="B15" s="2"/>
      <c r="C15" s="1"/>
      <c r="D15" s="2">
        <v>601.02300000000002</v>
      </c>
      <c r="E15" s="44">
        <v>6.2366499999999998E-6</v>
      </c>
      <c r="F15" s="2">
        <v>600.35799999999995</v>
      </c>
      <c r="G15" s="1">
        <v>-171.21100000000001</v>
      </c>
      <c r="H15" s="2">
        <v>596.49099999999999</v>
      </c>
      <c r="I15" s="1">
        <v>2.5902799999999999</v>
      </c>
      <c r="J15" s="2">
        <v>601.26300000000003</v>
      </c>
      <c r="K15" s="1">
        <v>1.1205700000000001</v>
      </c>
      <c r="N15" s="3">
        <f t="shared" si="1"/>
        <v>601.02300000000002</v>
      </c>
      <c r="O15" s="21">
        <f t="shared" si="2"/>
        <v>160342.49156197638</v>
      </c>
      <c r="P15" s="3">
        <f t="shared" si="3"/>
        <v>600.35799999999995</v>
      </c>
      <c r="Q15" s="17">
        <f t="shared" si="4"/>
        <v>-1.71211E-4</v>
      </c>
      <c r="R15" s="3">
        <f t="shared" si="5"/>
        <v>596.49099999999999</v>
      </c>
      <c r="S15" s="24">
        <f t="shared" si="5"/>
        <v>2.5902799999999999</v>
      </c>
      <c r="T15" s="3">
        <f t="shared" si="5"/>
        <v>601.26300000000003</v>
      </c>
      <c r="U15" s="51">
        <f t="shared" si="5"/>
        <v>1.1205700000000001</v>
      </c>
      <c r="V15" s="42">
        <f t="shared" si="6"/>
        <v>1.0910124906356489</v>
      </c>
      <c r="W15" s="49">
        <f t="shared" si="7"/>
        <v>2.6377209245608213E-2</v>
      </c>
    </row>
    <row r="16" spans="1:23" x14ac:dyDescent="0.6">
      <c r="B16" s="2"/>
      <c r="C16" s="1"/>
      <c r="D16" s="2">
        <v>651.15099999999995</v>
      </c>
      <c r="E16" s="44">
        <v>6.5302499999999999E-6</v>
      </c>
      <c r="F16" s="2">
        <v>653.97299999999996</v>
      </c>
      <c r="G16" s="1">
        <v>-176.94300000000001</v>
      </c>
      <c r="H16" s="2">
        <v>650.87699999999995</v>
      </c>
      <c r="I16" s="1">
        <v>2.57639</v>
      </c>
      <c r="J16" s="2">
        <v>648.99</v>
      </c>
      <c r="K16" s="1">
        <v>1.25532</v>
      </c>
      <c r="N16" s="3">
        <f t="shared" si="1"/>
        <v>651.15099999999995</v>
      </c>
      <c r="O16" s="21">
        <f t="shared" si="2"/>
        <v>153133.49412350217</v>
      </c>
      <c r="P16" s="3">
        <f t="shared" si="3"/>
        <v>653.97299999999996</v>
      </c>
      <c r="Q16" s="17">
        <f t="shared" si="4"/>
        <v>-1.7694300000000002E-4</v>
      </c>
      <c r="R16" s="3">
        <f t="shared" si="5"/>
        <v>650.87699999999995</v>
      </c>
      <c r="S16" s="24">
        <f t="shared" si="5"/>
        <v>2.57639</v>
      </c>
      <c r="T16" s="3">
        <f t="shared" si="5"/>
        <v>648.99</v>
      </c>
      <c r="U16" s="51">
        <f t="shared" si="5"/>
        <v>1.25532</v>
      </c>
      <c r="V16" s="42">
        <f t="shared" si="6"/>
        <v>1.2077119537910099</v>
      </c>
      <c r="W16" s="49">
        <f t="shared" si="7"/>
        <v>3.7925028047820525E-2</v>
      </c>
    </row>
    <row r="17" spans="2:23" x14ac:dyDescent="0.6">
      <c r="B17" s="2"/>
      <c r="C17" s="1"/>
      <c r="D17" s="2">
        <v>703.06899999999996</v>
      </c>
      <c r="E17" s="44">
        <v>6.7971499999999998E-6</v>
      </c>
      <c r="F17" s="2">
        <v>704.00800000000004</v>
      </c>
      <c r="G17" s="1">
        <v>-182.66900000000001</v>
      </c>
      <c r="H17" s="2">
        <v>701.75400000000002</v>
      </c>
      <c r="I17" s="1">
        <v>2.5972200000000001</v>
      </c>
      <c r="J17" s="2">
        <v>700.25300000000004</v>
      </c>
      <c r="K17" s="1">
        <v>1.3546100000000001</v>
      </c>
      <c r="N17" s="3">
        <f t="shared" si="1"/>
        <v>703.06899999999996</v>
      </c>
      <c r="O17" s="21">
        <f t="shared" si="2"/>
        <v>147120.48432063439</v>
      </c>
      <c r="P17" s="3">
        <f t="shared" si="3"/>
        <v>704.00800000000004</v>
      </c>
      <c r="Q17" s="17">
        <f t="shared" si="4"/>
        <v>-1.82669E-4</v>
      </c>
      <c r="R17" s="3">
        <f t="shared" si="5"/>
        <v>701.75400000000002</v>
      </c>
      <c r="S17" s="24">
        <f t="shared" si="5"/>
        <v>2.5972200000000001</v>
      </c>
      <c r="T17" s="3">
        <f t="shared" si="5"/>
        <v>700.25300000000004</v>
      </c>
      <c r="U17" s="51">
        <f t="shared" si="5"/>
        <v>1.3546100000000001</v>
      </c>
      <c r="V17" s="42">
        <f t="shared" si="6"/>
        <v>1.3235766230793584</v>
      </c>
      <c r="W17" s="49">
        <f t="shared" si="7"/>
        <v>2.2909455061339921E-2</v>
      </c>
    </row>
    <row r="18" spans="2:23" x14ac:dyDescent="0.6">
      <c r="B18" s="2"/>
      <c r="C18" s="1"/>
      <c r="D18" s="2">
        <v>751.40700000000004</v>
      </c>
      <c r="E18" s="44">
        <v>7.0106799999999999E-6</v>
      </c>
      <c r="F18" s="2">
        <v>750.48099999999999</v>
      </c>
      <c r="G18" s="1">
        <v>-187.26</v>
      </c>
      <c r="H18" s="2">
        <v>752.63199999999995</v>
      </c>
      <c r="I18" s="1">
        <v>2.625</v>
      </c>
      <c r="J18" s="2">
        <v>751.51499999999999</v>
      </c>
      <c r="K18" s="1">
        <v>1.43262</v>
      </c>
      <c r="N18" s="3">
        <f t="shared" si="1"/>
        <v>751.40700000000004</v>
      </c>
      <c r="O18" s="21">
        <f t="shared" si="2"/>
        <v>142639.51571031625</v>
      </c>
      <c r="P18" s="3">
        <f t="shared" si="3"/>
        <v>750.48099999999999</v>
      </c>
      <c r="Q18" s="17">
        <f t="shared" si="4"/>
        <v>-1.8725999999999999E-4</v>
      </c>
      <c r="R18" s="3">
        <f t="shared" si="5"/>
        <v>752.63199999999995</v>
      </c>
      <c r="S18" s="24">
        <f t="shared" si="5"/>
        <v>2.625</v>
      </c>
      <c r="T18" s="3">
        <f t="shared" si="5"/>
        <v>751.51499999999999</v>
      </c>
      <c r="U18" s="51">
        <f t="shared" si="5"/>
        <v>1.43262</v>
      </c>
      <c r="V18" s="42">
        <f t="shared" si="6"/>
        <v>1.4319842436866523</v>
      </c>
      <c r="W18" s="49">
        <f t="shared" si="7"/>
        <v>4.4377177014677196E-4</v>
      </c>
    </row>
    <row r="19" spans="2:23" x14ac:dyDescent="0.6">
      <c r="B19" s="2"/>
      <c r="C19" s="1"/>
      <c r="D19" s="2">
        <v>801.53499999999997</v>
      </c>
      <c r="E19" s="44">
        <v>7.2508899999999996E-6</v>
      </c>
      <c r="F19" s="2">
        <v>798.77200000000005</v>
      </c>
      <c r="G19" s="1">
        <v>-190.161</v>
      </c>
      <c r="H19" s="2">
        <v>800</v>
      </c>
      <c r="I19" s="1">
        <v>2.625</v>
      </c>
      <c r="J19" s="2">
        <v>802.77800000000002</v>
      </c>
      <c r="K19" s="1">
        <v>1.5319100000000001</v>
      </c>
      <c r="N19" s="3">
        <f t="shared" si="1"/>
        <v>801.53499999999997</v>
      </c>
      <c r="O19" s="21">
        <f t="shared" si="2"/>
        <v>137914.1043375365</v>
      </c>
      <c r="P19" s="3">
        <f t="shared" si="3"/>
        <v>798.77200000000005</v>
      </c>
      <c r="Q19" s="17">
        <f t="shared" si="4"/>
        <v>-1.90161E-4</v>
      </c>
      <c r="R19" s="3">
        <f t="shared" si="5"/>
        <v>800</v>
      </c>
      <c r="S19" s="24">
        <f t="shared" si="5"/>
        <v>2.625</v>
      </c>
      <c r="T19" s="3">
        <f t="shared" si="5"/>
        <v>802.77800000000002</v>
      </c>
      <c r="U19" s="51">
        <f t="shared" si="5"/>
        <v>1.5319100000000001</v>
      </c>
      <c r="V19" s="42">
        <f t="shared" si="6"/>
        <v>1.5251682045388866</v>
      </c>
      <c r="W19" s="49">
        <f t="shared" si="7"/>
        <v>4.4009083177951255E-3</v>
      </c>
    </row>
    <row r="20" spans="2:23" x14ac:dyDescent="0.6">
      <c r="B20" s="28"/>
      <c r="C20" s="29"/>
      <c r="D20" s="28">
        <v>849.87199999999996</v>
      </c>
      <c r="E20" s="46">
        <v>7.4644099999999999E-6</v>
      </c>
      <c r="F20" s="28">
        <v>852.39599999999996</v>
      </c>
      <c r="G20" s="29">
        <v>-195.328</v>
      </c>
      <c r="H20" s="28">
        <v>847.36800000000005</v>
      </c>
      <c r="I20" s="29">
        <v>2.63889</v>
      </c>
      <c r="J20" s="28">
        <v>854.04</v>
      </c>
      <c r="K20" s="29">
        <v>1.6453899999999999</v>
      </c>
      <c r="N20" s="32">
        <f t="shared" si="1"/>
        <v>849.87199999999996</v>
      </c>
      <c r="O20" s="33">
        <f t="shared" si="2"/>
        <v>133969.06118500992</v>
      </c>
      <c r="P20" s="32">
        <f t="shared" si="3"/>
        <v>852.39599999999996</v>
      </c>
      <c r="Q20" s="17">
        <f t="shared" si="4"/>
        <v>-1.9532799999999998E-4</v>
      </c>
      <c r="R20" s="32">
        <f t="shared" si="5"/>
        <v>847.36800000000005</v>
      </c>
      <c r="S20" s="35">
        <f t="shared" si="5"/>
        <v>2.63889</v>
      </c>
      <c r="T20" s="32">
        <f t="shared" si="5"/>
        <v>854.04</v>
      </c>
      <c r="U20" s="52">
        <f t="shared" si="5"/>
        <v>1.6453899999999999</v>
      </c>
      <c r="V20" s="42">
        <f t="shared" si="6"/>
        <v>1.6542092500762726</v>
      </c>
      <c r="W20" s="49">
        <f t="shared" si="7"/>
        <v>-5.3599754929060661E-3</v>
      </c>
    </row>
    <row r="21" spans="2:23" x14ac:dyDescent="0.6">
      <c r="B21" s="30"/>
      <c r="C21" s="30"/>
      <c r="D21" s="30"/>
      <c r="E21" s="30"/>
      <c r="F21" s="30"/>
      <c r="G21" s="30"/>
      <c r="H21" s="30"/>
      <c r="I21" s="30"/>
      <c r="J21" s="30"/>
      <c r="K21" s="30"/>
      <c r="N21" s="30"/>
      <c r="O21" s="39"/>
      <c r="P21" s="30"/>
      <c r="Q21" s="40"/>
      <c r="R21" s="30"/>
      <c r="S21" s="41"/>
      <c r="T21" s="30"/>
      <c r="U21" s="41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1"/>
      <c r="P23" s="31"/>
      <c r="Q23" s="31"/>
      <c r="R23" s="31"/>
      <c r="S23" s="31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1"/>
      <c r="P24" s="31"/>
      <c r="Q24" s="31"/>
      <c r="R24" s="31"/>
      <c r="S24" s="31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1"/>
      <c r="P25" s="31"/>
      <c r="Q25" s="31"/>
      <c r="R25" s="31"/>
      <c r="S25" s="31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1"/>
      <c r="P26" s="31"/>
      <c r="Q26" s="31"/>
      <c r="R26" s="31"/>
      <c r="S26" s="31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1"/>
      <c r="P27" s="31"/>
      <c r="Q27" s="31"/>
      <c r="R27" s="31"/>
      <c r="S27" s="31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1"/>
      <c r="P28" s="31"/>
      <c r="Q28" s="31"/>
      <c r="R28" s="31"/>
      <c r="S28" s="31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1"/>
      <c r="P29" s="31"/>
      <c r="Q29" s="31"/>
      <c r="R29" s="31"/>
      <c r="S29" s="31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1"/>
      <c r="P30" s="31"/>
      <c r="Q30" s="31"/>
      <c r="R30" s="31"/>
      <c r="S30" s="31"/>
      <c r="T30" s="31"/>
      <c r="U30" s="38"/>
      <c r="V30"/>
    </row>
    <row r="31" spans="2:23" x14ac:dyDescent="0.6">
      <c r="N31" s="31"/>
      <c r="O31" s="31"/>
      <c r="P31" s="31"/>
      <c r="Q31" s="31"/>
      <c r="R31" s="31"/>
      <c r="S31" s="31"/>
      <c r="T31" s="31"/>
      <c r="V31"/>
    </row>
    <row r="32" spans="2:23" x14ac:dyDescent="0.6">
      <c r="N32" s="31"/>
      <c r="O32" s="31"/>
      <c r="P32" s="31"/>
      <c r="Q32" s="31"/>
      <c r="R32" s="31"/>
      <c r="S32" s="31"/>
      <c r="T32" s="31"/>
      <c r="V32"/>
    </row>
    <row r="33" spans="14:20" customFormat="1" x14ac:dyDescent="0.6">
      <c r="N33" s="31"/>
      <c r="O33" s="31"/>
      <c r="P33" s="31"/>
      <c r="Q33" s="31"/>
      <c r="R33" s="31"/>
      <c r="S33" s="31"/>
      <c r="T33" s="31"/>
    </row>
    <row r="34" spans="14:20" customFormat="1" x14ac:dyDescent="0.6">
      <c r="N34" s="31"/>
      <c r="O34" s="31"/>
      <c r="P34" s="31"/>
      <c r="Q34" s="31"/>
      <c r="R34" s="31"/>
      <c r="S34" s="31"/>
      <c r="T34" s="31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/>
  </sheetPr>
  <dimension ref="A1:AF5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  <c r="O5"/>
    </row>
    <row r="6" spans="1:23" ht="17.25" thickBot="1" x14ac:dyDescent="0.65">
      <c r="A6" s="13"/>
      <c r="M6" s="13"/>
    </row>
    <row r="7" spans="1:23" x14ac:dyDescent="0.6">
      <c r="B7" s="5" t="s">
        <v>73</v>
      </c>
      <c r="C7" s="6" t="s">
        <v>74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75</v>
      </c>
      <c r="C8" s="10" t="s">
        <v>83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300.45248868778202</v>
      </c>
      <c r="C9" s="4">
        <v>682.46552463745297</v>
      </c>
      <c r="D9" s="3"/>
      <c r="E9" s="4"/>
      <c r="F9" s="3">
        <v>299.85528219971002</v>
      </c>
      <c r="G9" s="4">
        <v>-130.06535947712399</v>
      </c>
      <c r="H9" s="3">
        <v>300.47393364928899</v>
      </c>
      <c r="I9" s="4">
        <v>4.6854599406528097</v>
      </c>
      <c r="J9" s="3">
        <v>298.91222805701398</v>
      </c>
      <c r="K9" s="4">
        <v>7.30538922155686E-2</v>
      </c>
      <c r="N9" s="3">
        <f>B9</f>
        <v>300.45248868778202</v>
      </c>
      <c r="O9" s="21">
        <f>C9/(10^(-2))</f>
        <v>68246.552463745291</v>
      </c>
      <c r="P9" s="3">
        <f>F9</f>
        <v>299.85528219971002</v>
      </c>
      <c r="Q9" s="17">
        <f>G9*(10^(-6))</f>
        <v>-1.3006535947712399E-4</v>
      </c>
      <c r="R9" s="3">
        <f>H9</f>
        <v>300.47393364928899</v>
      </c>
      <c r="S9" s="24">
        <f>I9</f>
        <v>4.6854599406528097</v>
      </c>
      <c r="T9" s="3">
        <f>J9</f>
        <v>298.91222805701398</v>
      </c>
      <c r="U9" s="51">
        <f>K9</f>
        <v>7.30538922155686E-2</v>
      </c>
      <c r="V9" s="42">
        <f t="shared" ref="V9:V19" si="0">((O9*(Q9)^2)/S9)*T9</f>
        <v>7.3653851402726608E-2</v>
      </c>
      <c r="W9" s="49">
        <f t="shared" ref="W9" si="1">(U9-V9)/U9</f>
        <v>-8.2125560865071948E-3</v>
      </c>
    </row>
    <row r="10" spans="1:23" x14ac:dyDescent="0.6">
      <c r="B10" s="3">
        <v>330.76923076922998</v>
      </c>
      <c r="C10" s="4">
        <v>673.13418121847099</v>
      </c>
      <c r="D10" s="3"/>
      <c r="E10" s="4"/>
      <c r="F10" s="3">
        <v>330.89725036179402</v>
      </c>
      <c r="G10" s="4">
        <v>-138.725490196078</v>
      </c>
      <c r="H10" s="3">
        <v>330.80568720379102</v>
      </c>
      <c r="I10" s="4">
        <v>4.5103857566765502</v>
      </c>
      <c r="J10" s="3">
        <v>330.87021755438798</v>
      </c>
      <c r="K10" s="4">
        <v>9.4011976047904094E-2</v>
      </c>
      <c r="N10" s="3">
        <f t="shared" ref="N10:N21" si="2">B10</f>
        <v>330.76923076922998</v>
      </c>
      <c r="O10" s="21">
        <f t="shared" ref="O10:O21" si="3">C10/(10^(-2))</f>
        <v>67313.418121847091</v>
      </c>
      <c r="P10" s="3">
        <f t="shared" ref="P10:P24" si="4">F10</f>
        <v>330.89725036179402</v>
      </c>
      <c r="Q10" s="17">
        <f t="shared" ref="Q10:Q24" si="5">G10*(10^(-6))</f>
        <v>-1.3872549019607798E-4</v>
      </c>
      <c r="R10" s="3">
        <f t="shared" ref="R10:U21" si="6">H10</f>
        <v>330.80568720379102</v>
      </c>
      <c r="S10" s="24">
        <f t="shared" si="6"/>
        <v>4.5103857566765502</v>
      </c>
      <c r="T10" s="3">
        <f t="shared" si="6"/>
        <v>330.87021755438798</v>
      </c>
      <c r="U10" s="51">
        <f t="shared" si="6"/>
        <v>9.4011976047904094E-2</v>
      </c>
      <c r="V10" s="42">
        <f t="shared" si="0"/>
        <v>9.5029440077641691E-2</v>
      </c>
      <c r="W10" s="49">
        <f t="shared" ref="W10:W21" si="7">(U10-V10)/U10</f>
        <v>-1.0822706558355343E-2</v>
      </c>
    </row>
    <row r="11" spans="1:23" x14ac:dyDescent="0.6">
      <c r="B11" s="2">
        <v>370.13574660633401</v>
      </c>
      <c r="C11" s="1">
        <v>673.13418121847099</v>
      </c>
      <c r="D11" s="2"/>
      <c r="E11" s="1"/>
      <c r="F11" s="2">
        <v>370.62228654124402</v>
      </c>
      <c r="G11" s="1">
        <v>-149.67320261437899</v>
      </c>
      <c r="H11" s="2">
        <v>370.142180094786</v>
      </c>
      <c r="I11" s="1">
        <v>4.3175074183976196</v>
      </c>
      <c r="J11" s="2">
        <v>369.129782445611</v>
      </c>
      <c r="K11" s="1">
        <v>0.12694610778443</v>
      </c>
      <c r="N11" s="3">
        <f t="shared" si="2"/>
        <v>370.13574660633401</v>
      </c>
      <c r="O11" s="21">
        <f t="shared" si="3"/>
        <v>67313.418121847091</v>
      </c>
      <c r="P11" s="3">
        <f t="shared" si="4"/>
        <v>370.62228654124402</v>
      </c>
      <c r="Q11" s="17">
        <f t="shared" si="5"/>
        <v>-1.4967320261437898E-4</v>
      </c>
      <c r="R11" s="3">
        <f t="shared" si="6"/>
        <v>370.142180094786</v>
      </c>
      <c r="S11" s="24">
        <f t="shared" si="6"/>
        <v>4.3175074183976196</v>
      </c>
      <c r="T11" s="3">
        <f t="shared" si="6"/>
        <v>369.129782445611</v>
      </c>
      <c r="U11" s="51">
        <f t="shared" si="6"/>
        <v>0.12694610778443</v>
      </c>
      <c r="V11" s="42">
        <f t="shared" si="0"/>
        <v>0.12892458483773092</v>
      </c>
      <c r="W11" s="49">
        <f t="shared" si="7"/>
        <v>-1.558517301421026E-2</v>
      </c>
    </row>
    <row r="12" spans="1:23" x14ac:dyDescent="0.6">
      <c r="B12" s="2">
        <v>401.80995475113099</v>
      </c>
      <c r="C12" s="1">
        <v>673.13418121847099</v>
      </c>
      <c r="D12" s="2"/>
      <c r="E12" s="1"/>
      <c r="F12" s="2">
        <v>402.53256150506502</v>
      </c>
      <c r="G12" s="1">
        <v>-159.640522875817</v>
      </c>
      <c r="H12" s="2">
        <v>401.658767772511</v>
      </c>
      <c r="I12" s="1">
        <v>4.16617210682492</v>
      </c>
      <c r="J12" s="2">
        <v>401.53788447111702</v>
      </c>
      <c r="K12" s="1">
        <v>0.165868263473053</v>
      </c>
      <c r="N12" s="3">
        <f t="shared" si="2"/>
        <v>401.80995475113099</v>
      </c>
      <c r="O12" s="21">
        <f t="shared" si="3"/>
        <v>67313.418121847091</v>
      </c>
      <c r="P12" s="3">
        <f t="shared" si="4"/>
        <v>402.53256150506502</v>
      </c>
      <c r="Q12" s="17">
        <f t="shared" si="5"/>
        <v>-1.5964052287581698E-4</v>
      </c>
      <c r="R12" s="3">
        <f t="shared" si="6"/>
        <v>401.658767772511</v>
      </c>
      <c r="S12" s="24">
        <f t="shared" si="6"/>
        <v>4.16617210682492</v>
      </c>
      <c r="T12" s="3">
        <f t="shared" si="6"/>
        <v>401.53788447111702</v>
      </c>
      <c r="U12" s="51">
        <f t="shared" si="6"/>
        <v>0.165868263473053</v>
      </c>
      <c r="V12" s="42">
        <f t="shared" si="0"/>
        <v>0.16533973873074592</v>
      </c>
      <c r="W12" s="49">
        <f t="shared" si="7"/>
        <v>3.1864127063278964E-3</v>
      </c>
    </row>
    <row r="13" spans="1:23" x14ac:dyDescent="0.6">
      <c r="B13" s="2">
        <v>438.00904977375501</v>
      </c>
      <c r="C13" s="1">
        <v>675.45498708548996</v>
      </c>
      <c r="D13" s="2"/>
      <c r="E13" s="1"/>
      <c r="F13" s="2">
        <v>439.00144717800202</v>
      </c>
      <c r="G13" s="1">
        <v>-170.588235294117</v>
      </c>
      <c r="H13" s="2">
        <v>438.86255924170598</v>
      </c>
      <c r="I13" s="1">
        <v>4.0237388724035599</v>
      </c>
      <c r="J13" s="2">
        <v>437.99699924981201</v>
      </c>
      <c r="K13" s="1">
        <v>0.214371257485029</v>
      </c>
      <c r="N13" s="3">
        <f t="shared" si="2"/>
        <v>438.00904977375501</v>
      </c>
      <c r="O13" s="21">
        <f t="shared" si="3"/>
        <v>67545.498708548999</v>
      </c>
      <c r="P13" s="3">
        <f t="shared" si="4"/>
        <v>439.00144717800202</v>
      </c>
      <c r="Q13" s="17">
        <f t="shared" si="5"/>
        <v>-1.7058823529411698E-4</v>
      </c>
      <c r="R13" s="3">
        <f t="shared" si="6"/>
        <v>438.86255924170598</v>
      </c>
      <c r="S13" s="24">
        <f t="shared" si="6"/>
        <v>4.0237388724035599</v>
      </c>
      <c r="T13" s="3">
        <f t="shared" si="6"/>
        <v>437.99699924981201</v>
      </c>
      <c r="U13" s="51">
        <f t="shared" si="6"/>
        <v>0.214371257485029</v>
      </c>
      <c r="V13" s="42">
        <f t="shared" si="0"/>
        <v>0.21396163704278467</v>
      </c>
      <c r="W13" s="49">
        <f t="shared" si="7"/>
        <v>1.9107992696872178E-3</v>
      </c>
    </row>
    <row r="14" spans="1:23" x14ac:dyDescent="0.6">
      <c r="B14" s="2">
        <v>476.01809954751099</v>
      </c>
      <c r="C14" s="1">
        <v>699.10771637625101</v>
      </c>
      <c r="D14" s="2"/>
      <c r="E14" s="1"/>
      <c r="F14" s="2">
        <v>476.12156295224298</v>
      </c>
      <c r="G14" s="1">
        <v>-181.20915032679699</v>
      </c>
      <c r="H14" s="2">
        <v>476.0663507109</v>
      </c>
      <c r="I14" s="1">
        <v>3.9050445103857498</v>
      </c>
      <c r="J14" s="2">
        <v>476.03150787696899</v>
      </c>
      <c r="K14" s="1">
        <v>0.27844311377245401</v>
      </c>
      <c r="N14" s="3">
        <f t="shared" si="2"/>
        <v>476.01809954751099</v>
      </c>
      <c r="O14" s="21">
        <f t="shared" si="3"/>
        <v>69910.771637625105</v>
      </c>
      <c r="P14" s="3">
        <f t="shared" si="4"/>
        <v>476.12156295224298</v>
      </c>
      <c r="Q14" s="17">
        <f t="shared" si="5"/>
        <v>-1.8120915032679698E-4</v>
      </c>
      <c r="R14" s="3">
        <f t="shared" si="6"/>
        <v>476.0663507109</v>
      </c>
      <c r="S14" s="24">
        <f t="shared" si="6"/>
        <v>3.9050445103857498</v>
      </c>
      <c r="T14" s="3">
        <f t="shared" si="6"/>
        <v>476.03150787696899</v>
      </c>
      <c r="U14" s="51">
        <f t="shared" si="6"/>
        <v>0.27844311377245401</v>
      </c>
      <c r="V14" s="42">
        <f t="shared" si="0"/>
        <v>0.27984274636133416</v>
      </c>
      <c r="W14" s="49">
        <f t="shared" si="7"/>
        <v>-5.0266374697416367E-3</v>
      </c>
    </row>
    <row r="15" spans="1:23" x14ac:dyDescent="0.6">
      <c r="B15" s="2">
        <v>501.357466063348</v>
      </c>
      <c r="C15" s="1">
        <v>708.79911873017397</v>
      </c>
      <c r="D15" s="2"/>
      <c r="E15" s="1"/>
      <c r="F15" s="2">
        <v>501.30246020260398</v>
      </c>
      <c r="G15" s="1">
        <v>-188.07189542483599</v>
      </c>
      <c r="H15" s="2">
        <v>501.42180094786698</v>
      </c>
      <c r="I15" s="1">
        <v>3.8338278931750698</v>
      </c>
      <c r="J15" s="2">
        <v>501.46286571642901</v>
      </c>
      <c r="K15" s="1">
        <v>0.32634730538922102</v>
      </c>
      <c r="N15" s="3">
        <f t="shared" si="2"/>
        <v>501.357466063348</v>
      </c>
      <c r="O15" s="21">
        <f t="shared" si="3"/>
        <v>70879.911873017394</v>
      </c>
      <c r="P15" s="3">
        <f t="shared" si="4"/>
        <v>501.30246020260398</v>
      </c>
      <c r="Q15" s="17">
        <f t="shared" si="5"/>
        <v>-1.8807189542483597E-4</v>
      </c>
      <c r="R15" s="3">
        <f t="shared" si="6"/>
        <v>501.42180094786698</v>
      </c>
      <c r="S15" s="24">
        <f t="shared" si="6"/>
        <v>3.8338278931750698</v>
      </c>
      <c r="T15" s="3">
        <f t="shared" si="6"/>
        <v>501.46286571642901</v>
      </c>
      <c r="U15" s="51">
        <f t="shared" si="6"/>
        <v>0.32634730538922102</v>
      </c>
      <c r="V15" s="42">
        <f t="shared" si="0"/>
        <v>0.32792697081606392</v>
      </c>
      <c r="W15" s="49">
        <f t="shared" si="7"/>
        <v>-4.8404426840874329E-3</v>
      </c>
    </row>
    <row r="16" spans="1:23" x14ac:dyDescent="0.6">
      <c r="B16" s="2">
        <v>530.542986425339</v>
      </c>
      <c r="C16" s="1">
        <v>716.15573454271998</v>
      </c>
      <c r="D16" s="2"/>
      <c r="E16" s="1"/>
      <c r="F16" s="2">
        <v>531.47612156295202</v>
      </c>
      <c r="G16" s="1">
        <v>-195.09803921568599</v>
      </c>
      <c r="H16" s="2">
        <v>531.51658767772506</v>
      </c>
      <c r="I16" s="1">
        <v>3.7715133531157199</v>
      </c>
      <c r="J16" s="2">
        <v>530.94523630907702</v>
      </c>
      <c r="K16" s="1">
        <v>0.38502994011975999</v>
      </c>
      <c r="N16" s="3">
        <f t="shared" si="2"/>
        <v>530.542986425339</v>
      </c>
      <c r="O16" s="21">
        <f t="shared" si="3"/>
        <v>71615.573454272002</v>
      </c>
      <c r="P16" s="3">
        <f t="shared" si="4"/>
        <v>531.47612156295202</v>
      </c>
      <c r="Q16" s="17">
        <f t="shared" si="5"/>
        <v>-1.9509803921568598E-4</v>
      </c>
      <c r="R16" s="3">
        <f t="shared" si="6"/>
        <v>531.51658767772506</v>
      </c>
      <c r="S16" s="24">
        <f t="shared" si="6"/>
        <v>3.7715133531157199</v>
      </c>
      <c r="T16" s="3">
        <f t="shared" si="6"/>
        <v>530.94523630907702</v>
      </c>
      <c r="U16" s="51">
        <f t="shared" si="6"/>
        <v>0.38502994011975999</v>
      </c>
      <c r="V16" s="42">
        <f t="shared" si="0"/>
        <v>0.38374909304992638</v>
      </c>
      <c r="W16" s="49">
        <f t="shared" si="7"/>
        <v>3.3266168065663078E-3</v>
      </c>
    </row>
    <row r="17" spans="2:23" x14ac:dyDescent="0.6">
      <c r="B17" s="2">
        <v>553.39366515837105</v>
      </c>
      <c r="C17" s="1">
        <v>728.58682792769298</v>
      </c>
      <c r="D17" s="2"/>
      <c r="E17" s="1"/>
      <c r="F17" s="2">
        <v>553.40086830680104</v>
      </c>
      <c r="G17" s="1">
        <v>-199.50980392156799</v>
      </c>
      <c r="H17" s="2">
        <v>554.26540284360101</v>
      </c>
      <c r="I17" s="1">
        <v>3.7210682492581602</v>
      </c>
      <c r="J17" s="2">
        <v>554.12603150787697</v>
      </c>
      <c r="K17" s="1">
        <v>0.428742514970059</v>
      </c>
      <c r="N17" s="3">
        <f t="shared" si="2"/>
        <v>553.39366515837105</v>
      </c>
      <c r="O17" s="21">
        <f t="shared" si="3"/>
        <v>72858.682792769294</v>
      </c>
      <c r="P17" s="3">
        <f t="shared" si="4"/>
        <v>553.40086830680104</v>
      </c>
      <c r="Q17" s="17">
        <f t="shared" si="5"/>
        <v>-1.9950980392156799E-4</v>
      </c>
      <c r="R17" s="3">
        <f t="shared" si="6"/>
        <v>554.26540284360101</v>
      </c>
      <c r="S17" s="24">
        <f t="shared" si="6"/>
        <v>3.7210682492581602</v>
      </c>
      <c r="T17" s="3">
        <f t="shared" si="6"/>
        <v>554.12603150787697</v>
      </c>
      <c r="U17" s="51">
        <f t="shared" si="6"/>
        <v>0.428742514970059</v>
      </c>
      <c r="V17" s="42">
        <f t="shared" si="0"/>
        <v>0.43186769240354639</v>
      </c>
      <c r="W17" s="49">
        <f t="shared" si="7"/>
        <v>-7.2891708295027297E-3</v>
      </c>
    </row>
    <row r="18" spans="2:23" x14ac:dyDescent="0.6">
      <c r="B18" s="2">
        <v>596.15384615384596</v>
      </c>
      <c r="C18" s="1">
        <v>754.10010021863798</v>
      </c>
      <c r="D18" s="2"/>
      <c r="E18" s="1"/>
      <c r="F18" s="2">
        <v>596.59913169319805</v>
      </c>
      <c r="G18" s="1">
        <v>-206.53594771241799</v>
      </c>
      <c r="H18" s="2">
        <v>596.68246445497596</v>
      </c>
      <c r="I18" s="1">
        <v>3.66765578635014</v>
      </c>
      <c r="J18" s="2">
        <v>596.66166541635403</v>
      </c>
      <c r="K18" s="1">
        <v>0.51976047904191502</v>
      </c>
      <c r="N18" s="3">
        <f t="shared" si="2"/>
        <v>596.15384615384596</v>
      </c>
      <c r="O18" s="21">
        <f t="shared" si="3"/>
        <v>75410.010021863796</v>
      </c>
      <c r="P18" s="3">
        <f t="shared" si="4"/>
        <v>596.59913169319805</v>
      </c>
      <c r="Q18" s="17">
        <f t="shared" si="5"/>
        <v>-2.06535947712418E-4</v>
      </c>
      <c r="R18" s="3">
        <f t="shared" si="6"/>
        <v>596.68246445497596</v>
      </c>
      <c r="S18" s="24">
        <f t="shared" si="6"/>
        <v>3.66765578635014</v>
      </c>
      <c r="T18" s="3">
        <f t="shared" si="6"/>
        <v>596.66166541635403</v>
      </c>
      <c r="U18" s="51">
        <f t="shared" si="6"/>
        <v>0.51976047904191502</v>
      </c>
      <c r="V18" s="42">
        <f t="shared" si="0"/>
        <v>0.52331100543818165</v>
      </c>
      <c r="W18" s="49">
        <f t="shared" si="7"/>
        <v>-6.831081891434658E-3</v>
      </c>
    </row>
    <row r="19" spans="2:23" x14ac:dyDescent="0.6">
      <c r="B19" s="2">
        <v>615.83710407239801</v>
      </c>
      <c r="C19" s="1">
        <v>754.10010021863798</v>
      </c>
      <c r="D19" s="2"/>
      <c r="E19" s="1"/>
      <c r="F19" s="2">
        <v>617.22141823444201</v>
      </c>
      <c r="G19" s="1">
        <v>-208.66013071895401</v>
      </c>
      <c r="H19" s="2">
        <v>616.58767772511806</v>
      </c>
      <c r="I19" s="1">
        <v>3.6468842729970299</v>
      </c>
      <c r="J19" s="2">
        <v>616.69167291822896</v>
      </c>
      <c r="K19" s="1">
        <v>0.55329341317365199</v>
      </c>
      <c r="N19" s="3">
        <f t="shared" si="2"/>
        <v>615.83710407239801</v>
      </c>
      <c r="O19" s="21">
        <f t="shared" si="3"/>
        <v>75410.010021863796</v>
      </c>
      <c r="P19" s="3">
        <f t="shared" si="4"/>
        <v>617.22141823444201</v>
      </c>
      <c r="Q19" s="17">
        <f t="shared" si="5"/>
        <v>-2.08660130718954E-4</v>
      </c>
      <c r="R19" s="3">
        <f t="shared" si="6"/>
        <v>616.58767772511806</v>
      </c>
      <c r="S19" s="24">
        <f t="shared" si="6"/>
        <v>3.6468842729970299</v>
      </c>
      <c r="T19" s="3">
        <f t="shared" si="6"/>
        <v>616.69167291822896</v>
      </c>
      <c r="U19" s="51">
        <f t="shared" si="6"/>
        <v>0.55329341317365199</v>
      </c>
      <c r="V19" s="42">
        <f t="shared" si="0"/>
        <v>0.55520587239215236</v>
      </c>
      <c r="W19" s="49">
        <f t="shared" si="7"/>
        <v>-3.456500968501741E-3</v>
      </c>
    </row>
    <row r="20" spans="2:23" x14ac:dyDescent="0.6">
      <c r="B20" s="2">
        <v>645.70135746606297</v>
      </c>
      <c r="C20" s="1">
        <v>761.92689426354195</v>
      </c>
      <c r="D20" s="2"/>
      <c r="E20" s="1"/>
      <c r="F20" s="2">
        <v>643.92185238784305</v>
      </c>
      <c r="G20" s="1">
        <v>-209.640522875816</v>
      </c>
      <c r="H20" s="2">
        <v>646.91943127961997</v>
      </c>
      <c r="I20" s="1">
        <v>3.6409495548961401</v>
      </c>
      <c r="J20" s="2">
        <v>647.07426856714096</v>
      </c>
      <c r="K20" s="1">
        <v>0.59940119760479005</v>
      </c>
      <c r="N20" s="3">
        <f t="shared" si="2"/>
        <v>645.70135746606297</v>
      </c>
      <c r="O20" s="21">
        <f t="shared" si="3"/>
        <v>76192.689426354191</v>
      </c>
      <c r="P20" s="3">
        <f t="shared" si="4"/>
        <v>643.92185238784305</v>
      </c>
      <c r="Q20" s="17">
        <f t="shared" si="5"/>
        <v>-2.09640522875816E-4</v>
      </c>
      <c r="R20" s="3">
        <f t="shared" si="6"/>
        <v>646.91943127961997</v>
      </c>
      <c r="S20" s="24">
        <f t="shared" si="6"/>
        <v>3.6409495548961401</v>
      </c>
      <c r="T20" s="3">
        <f t="shared" si="6"/>
        <v>647.07426856714096</v>
      </c>
      <c r="U20" s="51">
        <f t="shared" si="6"/>
        <v>0.59940119760479005</v>
      </c>
      <c r="V20" s="42">
        <f>((O20*(Q20)^2)/S20)*T20</f>
        <v>0.59511821096693507</v>
      </c>
      <c r="W20" s="49">
        <f t="shared" si="7"/>
        <v>7.1454422429748461E-3</v>
      </c>
    </row>
    <row r="21" spans="2:23" x14ac:dyDescent="0.6">
      <c r="B21" s="2">
        <v>678.95927601809899</v>
      </c>
      <c r="C21" s="1">
        <v>772.48912941502499</v>
      </c>
      <c r="D21" s="2"/>
      <c r="E21" s="1"/>
      <c r="F21" s="2">
        <v>666.93198263386296</v>
      </c>
      <c r="G21" s="1">
        <v>-209.640522875816</v>
      </c>
      <c r="H21" s="2">
        <v>680.09478672985699</v>
      </c>
      <c r="I21" s="1">
        <v>3.6379821958456899</v>
      </c>
      <c r="J21" s="2">
        <v>680.15753938484602</v>
      </c>
      <c r="K21" s="1">
        <v>0.63293413173652602</v>
      </c>
      <c r="N21" s="3">
        <f t="shared" si="2"/>
        <v>678.95927601809899</v>
      </c>
      <c r="O21" s="21">
        <f t="shared" si="3"/>
        <v>77248.912941502495</v>
      </c>
      <c r="P21" s="3">
        <f t="shared" si="4"/>
        <v>666.93198263386296</v>
      </c>
      <c r="Q21" s="17">
        <f t="shared" si="5"/>
        <v>-2.09640522875816E-4</v>
      </c>
      <c r="R21" s="3">
        <f t="shared" si="6"/>
        <v>680.09478672985699</v>
      </c>
      <c r="S21" s="24">
        <f t="shared" si="6"/>
        <v>3.6379821958456899</v>
      </c>
      <c r="T21" s="3">
        <f t="shared" si="6"/>
        <v>680.15753938484602</v>
      </c>
      <c r="U21" s="51">
        <f t="shared" si="6"/>
        <v>0.63293413173652602</v>
      </c>
      <c r="V21" s="42">
        <f>((O21*(Q22)^2)/S21)*T21</f>
        <v>0.63078240189685642</v>
      </c>
      <c r="W21" s="49">
        <f t="shared" si="7"/>
        <v>3.3996110049652243E-3</v>
      </c>
    </row>
    <row r="22" spans="2:23" x14ac:dyDescent="0.6">
      <c r="B22" s="2"/>
      <c r="C22" s="1"/>
      <c r="D22" s="2"/>
      <c r="E22" s="1"/>
      <c r="F22" s="2">
        <v>679.95658465991301</v>
      </c>
      <c r="G22" s="1">
        <v>-208.98692810457499</v>
      </c>
      <c r="H22" s="2"/>
      <c r="I22" s="1"/>
      <c r="J22" s="2"/>
      <c r="K22" s="1"/>
      <c r="N22" s="3"/>
      <c r="O22" s="21"/>
      <c r="P22" s="3">
        <f t="shared" si="4"/>
        <v>679.95658465991301</v>
      </c>
      <c r="Q22" s="17">
        <f t="shared" si="5"/>
        <v>-2.0898692810457497E-4</v>
      </c>
      <c r="R22" s="3"/>
      <c r="S22" s="24"/>
      <c r="T22" s="3"/>
      <c r="U22" s="24"/>
    </row>
    <row r="23" spans="2:23" x14ac:dyDescent="0.6">
      <c r="B23" s="2"/>
      <c r="C23" s="1"/>
      <c r="D23" s="2"/>
      <c r="E23" s="1"/>
      <c r="F23" s="2">
        <v>691.67872648335697</v>
      </c>
      <c r="G23" s="1">
        <v>-208.169934640522</v>
      </c>
      <c r="H23" s="2"/>
      <c r="I23" s="1"/>
      <c r="J23" s="2"/>
      <c r="K23" s="1"/>
      <c r="N23" s="3"/>
      <c r="O23" s="21"/>
      <c r="P23" s="3">
        <f t="shared" si="4"/>
        <v>691.67872648335697</v>
      </c>
      <c r="Q23" s="17">
        <f t="shared" si="5"/>
        <v>-2.0816993464052201E-4</v>
      </c>
      <c r="R23" s="3"/>
      <c r="S23" s="24"/>
      <c r="T23" s="3"/>
      <c r="U23" s="24"/>
      <c r="V23"/>
    </row>
    <row r="24" spans="2:23" x14ac:dyDescent="0.6">
      <c r="B24" s="28"/>
      <c r="C24" s="29"/>
      <c r="D24" s="28"/>
      <c r="E24" s="29"/>
      <c r="F24" s="28">
        <v>711.64978292329897</v>
      </c>
      <c r="G24" s="29">
        <v>-206.04575163398599</v>
      </c>
      <c r="H24" s="28"/>
      <c r="I24" s="29"/>
      <c r="J24" s="28"/>
      <c r="K24" s="29"/>
      <c r="N24" s="32"/>
      <c r="O24" s="33"/>
      <c r="P24" s="32">
        <f t="shared" si="4"/>
        <v>711.64978292329897</v>
      </c>
      <c r="Q24" s="17">
        <f t="shared" si="5"/>
        <v>-2.0604575163398598E-4</v>
      </c>
      <c r="R24" s="32"/>
      <c r="S24" s="35"/>
      <c r="T24" s="32"/>
      <c r="U24" s="35"/>
      <c r="V24"/>
    </row>
    <row r="25" spans="2:23" x14ac:dyDescent="0.6">
      <c r="B25" s="30"/>
      <c r="C25" s="30"/>
      <c r="D25" s="30"/>
      <c r="E25" s="30"/>
      <c r="F25" s="30"/>
      <c r="G25" s="30"/>
      <c r="H25" s="30"/>
      <c r="I25" s="30"/>
      <c r="J25" s="30"/>
      <c r="K25" s="30"/>
      <c r="N25" s="30"/>
      <c r="O25" s="39"/>
      <c r="P25" s="30"/>
      <c r="Q25" s="40"/>
      <c r="R25" s="30"/>
      <c r="S25" s="41"/>
      <c r="T25" s="30"/>
      <c r="U25" s="41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33" spans="2:32" ht="17.25" thickBot="1" x14ac:dyDescent="0.65">
      <c r="B33" t="s">
        <v>79</v>
      </c>
    </row>
    <row r="34" spans="2:32" x14ac:dyDescent="0.6">
      <c r="B34" s="5" t="s">
        <v>73</v>
      </c>
      <c r="C34" s="6" t="s">
        <v>74</v>
      </c>
      <c r="D34" s="7" t="s">
        <v>3</v>
      </c>
      <c r="E34" s="6" t="s">
        <v>8</v>
      </c>
      <c r="F34" s="7" t="s">
        <v>3</v>
      </c>
      <c r="G34" s="6" t="s">
        <v>1</v>
      </c>
      <c r="H34" s="7" t="s">
        <v>3</v>
      </c>
      <c r="I34" s="6" t="s">
        <v>2</v>
      </c>
      <c r="J34" s="7" t="s">
        <v>3</v>
      </c>
      <c r="K34" s="8" t="s">
        <v>6</v>
      </c>
      <c r="N34" s="5" t="s">
        <v>3</v>
      </c>
      <c r="O34" s="19" t="s">
        <v>0</v>
      </c>
      <c r="P34" s="7" t="s">
        <v>3</v>
      </c>
      <c r="Q34" s="15" t="s">
        <v>1</v>
      </c>
      <c r="R34" s="7" t="s">
        <v>3</v>
      </c>
      <c r="S34" s="23" t="s">
        <v>2</v>
      </c>
      <c r="T34" s="7" t="s">
        <v>3</v>
      </c>
      <c r="U34" s="25" t="s">
        <v>6</v>
      </c>
    </row>
    <row r="35" spans="2:32" ht="17.25" thickBot="1" x14ac:dyDescent="0.65">
      <c r="B35" s="9" t="s">
        <v>75</v>
      </c>
      <c r="C35" s="10" t="s">
        <v>76</v>
      </c>
      <c r="D35" s="11" t="s">
        <v>4</v>
      </c>
      <c r="E35" s="10" t="s">
        <v>11</v>
      </c>
      <c r="F35" s="11" t="s">
        <v>4</v>
      </c>
      <c r="G35" s="27" t="s">
        <v>13</v>
      </c>
      <c r="H35" s="11" t="s">
        <v>4</v>
      </c>
      <c r="I35" s="10" t="s">
        <v>15</v>
      </c>
      <c r="J35" s="11" t="s">
        <v>4</v>
      </c>
      <c r="K35" s="12" t="s">
        <v>7</v>
      </c>
      <c r="N35" s="9" t="s">
        <v>4</v>
      </c>
      <c r="O35" s="20" t="s">
        <v>5</v>
      </c>
      <c r="P35" s="11" t="s">
        <v>4</v>
      </c>
      <c r="Q35" s="16" t="s">
        <v>14</v>
      </c>
      <c r="R35" s="11" t="s">
        <v>4</v>
      </c>
      <c r="S35" s="10" t="s">
        <v>15</v>
      </c>
      <c r="T35" s="11" t="s">
        <v>4</v>
      </c>
      <c r="U35" s="26" t="s">
        <v>7</v>
      </c>
      <c r="W35" t="s">
        <v>78</v>
      </c>
    </row>
    <row r="36" spans="2:32" x14ac:dyDescent="0.6">
      <c r="B36" s="3">
        <v>299.72500000000002</v>
      </c>
      <c r="C36" s="4">
        <v>70341.884639526237</v>
      </c>
      <c r="D36" s="3"/>
      <c r="E36" s="4"/>
      <c r="F36" s="3">
        <v>297.01799999999997</v>
      </c>
      <c r="G36" s="4">
        <v>-131.56100000000001</v>
      </c>
      <c r="H36" s="3">
        <v>301.81700000000001</v>
      </c>
      <c r="I36" s="4">
        <v>4.6753999999999998</v>
      </c>
      <c r="J36" s="3">
        <v>300.34199999999998</v>
      </c>
      <c r="K36" s="4">
        <v>7.0912000000000003E-2</v>
      </c>
      <c r="N36" s="3">
        <f>B36</f>
        <v>299.72500000000002</v>
      </c>
      <c r="O36" s="21">
        <v>70341.884639526237</v>
      </c>
      <c r="P36" s="3">
        <f>F36</f>
        <v>297.01799999999997</v>
      </c>
      <c r="Q36" s="17">
        <f>G36*0.000001</f>
        <v>-1.3156100000000001E-4</v>
      </c>
      <c r="R36" s="3">
        <f>H36</f>
        <v>301.81700000000001</v>
      </c>
      <c r="S36" s="24">
        <f>I36</f>
        <v>4.6753999999999998</v>
      </c>
      <c r="T36" s="3">
        <f>J36</f>
        <v>300.34199999999998</v>
      </c>
      <c r="U36" s="51">
        <f>K36</f>
        <v>7.0912000000000003E-2</v>
      </c>
      <c r="V36" s="42">
        <f>((O36*(Q36)^2)/S36)*T36</f>
        <v>7.821060182333725E-2</v>
      </c>
      <c r="W36" s="49">
        <f t="shared" ref="W36:W48" si="8">(U36-V36)/U36</f>
        <v>-0.10292477751772967</v>
      </c>
      <c r="AF36">
        <f>2+33*444</f>
        <v>14654</v>
      </c>
    </row>
    <row r="37" spans="2:32" x14ac:dyDescent="0.6">
      <c r="B37" s="3">
        <v>330.92599999999999</v>
      </c>
      <c r="C37" s="4">
        <v>70393.409380645127</v>
      </c>
      <c r="D37" s="3"/>
      <c r="E37" s="4"/>
      <c r="F37" s="3">
        <v>329.447</v>
      </c>
      <c r="G37" s="4">
        <v>-138.59200000000001</v>
      </c>
      <c r="H37" s="3">
        <v>329.87900000000002</v>
      </c>
      <c r="I37" s="4">
        <v>4.5288599999999999</v>
      </c>
      <c r="J37" s="3">
        <v>332.387</v>
      </c>
      <c r="K37" s="4">
        <v>9.9324899999999994E-2</v>
      </c>
      <c r="N37" s="3">
        <f t="shared" ref="N37:N48" si="9">B37</f>
        <v>330.92599999999999</v>
      </c>
      <c r="O37" s="21">
        <v>70393.409380645127</v>
      </c>
      <c r="P37" s="3">
        <f t="shared" ref="P37:P51" si="10">F37</f>
        <v>329.447</v>
      </c>
      <c r="Q37" s="17">
        <f t="shared" ref="Q37:Q51" si="11">G37*0.000001</f>
        <v>-1.3859200000000002E-4</v>
      </c>
      <c r="R37" s="3">
        <f t="shared" ref="R37:R48" si="12">H37</f>
        <v>329.87900000000002</v>
      </c>
      <c r="S37" s="24">
        <f t="shared" ref="S37:S48" si="13">I37</f>
        <v>4.5288599999999999</v>
      </c>
      <c r="T37" s="3">
        <f t="shared" ref="T37:T48" si="14">J37</f>
        <v>332.387</v>
      </c>
      <c r="U37" s="51">
        <f t="shared" ref="U37:U48" si="15">K37</f>
        <v>9.9324899999999994E-2</v>
      </c>
      <c r="V37" s="42">
        <f t="shared" ref="V37:V39" si="16">((O37*(Q37)^2)/S37)*T37</f>
        <v>9.9234676494435001E-2</v>
      </c>
      <c r="W37" s="49">
        <f t="shared" si="8"/>
        <v>9.0836744426617136E-4</v>
      </c>
    </row>
    <row r="38" spans="2:32" x14ac:dyDescent="0.6">
      <c r="B38" s="2">
        <v>370.70499999999998</v>
      </c>
      <c r="C38" s="1">
        <v>72134.661805842668</v>
      </c>
      <c r="D38" s="2"/>
      <c r="E38" s="1"/>
      <c r="F38" s="2">
        <v>362.63400000000001</v>
      </c>
      <c r="G38" s="1">
        <v>-149.10400000000001</v>
      </c>
      <c r="H38" s="2">
        <v>370.41500000000002</v>
      </c>
      <c r="I38" s="1">
        <v>4.3236999999999997</v>
      </c>
      <c r="J38" s="2">
        <v>370.536</v>
      </c>
      <c r="K38" s="1">
        <v>0.131803</v>
      </c>
      <c r="N38" s="3">
        <f t="shared" si="9"/>
        <v>370.70499999999998</v>
      </c>
      <c r="O38" s="21">
        <v>72134.661805842668</v>
      </c>
      <c r="P38" s="3">
        <f t="shared" si="10"/>
        <v>362.63400000000001</v>
      </c>
      <c r="Q38" s="17">
        <f t="shared" si="11"/>
        <v>-1.49104E-4</v>
      </c>
      <c r="R38" s="3">
        <f t="shared" si="12"/>
        <v>370.41500000000002</v>
      </c>
      <c r="S38" s="24">
        <f t="shared" si="13"/>
        <v>4.3236999999999997</v>
      </c>
      <c r="T38" s="3">
        <f t="shared" si="14"/>
        <v>370.536</v>
      </c>
      <c r="U38" s="51">
        <f t="shared" si="15"/>
        <v>0.131803</v>
      </c>
      <c r="V38" s="42">
        <f t="shared" si="16"/>
        <v>0.13743503105161722</v>
      </c>
      <c r="W38" s="49">
        <f t="shared" si="8"/>
        <v>-4.2730674200262664E-2</v>
      </c>
    </row>
    <row r="39" spans="2:32" x14ac:dyDescent="0.6">
      <c r="B39" s="2">
        <v>402.68900000000002</v>
      </c>
      <c r="C39" s="1">
        <v>70512.156975252394</v>
      </c>
      <c r="D39" s="2"/>
      <c r="E39" s="1"/>
      <c r="F39" s="2">
        <v>394.28199999999998</v>
      </c>
      <c r="G39" s="1">
        <v>-157.87299999999999</v>
      </c>
      <c r="H39" s="2">
        <v>402.37799999999999</v>
      </c>
      <c r="I39" s="1">
        <v>4.1770899999999997</v>
      </c>
      <c r="J39" s="2">
        <v>401.04899999999998</v>
      </c>
      <c r="K39" s="1">
        <v>0.168291</v>
      </c>
      <c r="N39" s="3">
        <f t="shared" si="9"/>
        <v>402.68900000000002</v>
      </c>
      <c r="O39" s="21">
        <v>70512.156975252394</v>
      </c>
      <c r="P39" s="3">
        <f t="shared" si="10"/>
        <v>394.28199999999998</v>
      </c>
      <c r="Q39" s="17">
        <f t="shared" si="11"/>
        <v>-1.5787299999999997E-4</v>
      </c>
      <c r="R39" s="3">
        <f t="shared" si="12"/>
        <v>402.37799999999999</v>
      </c>
      <c r="S39" s="24">
        <f t="shared" si="13"/>
        <v>4.1770899999999997</v>
      </c>
      <c r="T39" s="3">
        <f t="shared" si="14"/>
        <v>401.04899999999998</v>
      </c>
      <c r="U39" s="51">
        <f t="shared" si="15"/>
        <v>0.168291</v>
      </c>
      <c r="V39" s="42">
        <f t="shared" si="16"/>
        <v>0.16873428230888809</v>
      </c>
      <c r="W39" s="49">
        <f t="shared" si="8"/>
        <v>-2.6340226684023436E-3</v>
      </c>
    </row>
    <row r="40" spans="2:32" x14ac:dyDescent="0.6">
      <c r="B40" s="2">
        <v>439.34800000000001</v>
      </c>
      <c r="C40" s="1">
        <v>72251.355623505267</v>
      </c>
      <c r="D40" s="2"/>
      <c r="E40" s="1"/>
      <c r="F40" s="2">
        <v>422.06700000000001</v>
      </c>
      <c r="G40" s="1">
        <v>-166.63300000000001</v>
      </c>
      <c r="H40" s="2">
        <v>439.79899999999998</v>
      </c>
      <c r="I40" s="1">
        <v>4.01091</v>
      </c>
      <c r="J40" s="2">
        <v>438.43</v>
      </c>
      <c r="K40" s="1">
        <v>0.208847</v>
      </c>
      <c r="N40" s="3">
        <f t="shared" si="9"/>
        <v>439.34800000000001</v>
      </c>
      <c r="O40" s="21">
        <v>72251.355623505267</v>
      </c>
      <c r="P40" s="3">
        <f t="shared" si="10"/>
        <v>422.06700000000001</v>
      </c>
      <c r="Q40" s="17">
        <f t="shared" si="11"/>
        <v>-1.6663300000000002E-4</v>
      </c>
      <c r="R40" s="3">
        <f t="shared" si="12"/>
        <v>439.79899999999998</v>
      </c>
      <c r="S40" s="24">
        <f t="shared" si="13"/>
        <v>4.01091</v>
      </c>
      <c r="T40" s="3">
        <f t="shared" si="14"/>
        <v>438.43</v>
      </c>
      <c r="U40" s="51">
        <f t="shared" si="15"/>
        <v>0.208847</v>
      </c>
      <c r="V40" s="42">
        <f>((O40*(Q41)^2)/S40)*T40</f>
        <v>0.23812385283489496</v>
      </c>
      <c r="W40" s="49">
        <f t="shared" si="8"/>
        <v>-0.14018325776714508</v>
      </c>
    </row>
    <row r="41" spans="2:32" x14ac:dyDescent="0.6">
      <c r="B41" s="2">
        <v>475.22899999999998</v>
      </c>
      <c r="C41" s="1">
        <v>72312.270839284713</v>
      </c>
      <c r="D41" s="2"/>
      <c r="E41" s="1"/>
      <c r="F41" s="2">
        <v>443.67599999999999</v>
      </c>
      <c r="G41" s="1">
        <v>-173.64</v>
      </c>
      <c r="H41" s="2">
        <v>476.447</v>
      </c>
      <c r="I41" s="1">
        <v>3.9031400000000001</v>
      </c>
      <c r="J41" s="2">
        <v>476.55599999999998</v>
      </c>
      <c r="K41" s="1">
        <v>0.28172999999999998</v>
      </c>
      <c r="N41" s="3">
        <f t="shared" si="9"/>
        <v>475.22899999999998</v>
      </c>
      <c r="O41" s="21">
        <v>72312.270839284713</v>
      </c>
      <c r="P41" s="3">
        <f t="shared" si="10"/>
        <v>443.67599999999999</v>
      </c>
      <c r="Q41" s="17">
        <f t="shared" si="11"/>
        <v>-1.7363999999999997E-4</v>
      </c>
      <c r="R41" s="3">
        <f t="shared" si="12"/>
        <v>476.447</v>
      </c>
      <c r="S41" s="24">
        <f t="shared" si="13"/>
        <v>3.9031400000000001</v>
      </c>
      <c r="T41" s="3">
        <f t="shared" si="14"/>
        <v>476.55599999999998</v>
      </c>
      <c r="U41" s="51">
        <f t="shared" si="15"/>
        <v>0.28172999999999998</v>
      </c>
      <c r="V41" s="42">
        <f>((O41*(Q42)^2)/S41)*T41</f>
        <v>0.28815822258185281</v>
      </c>
      <c r="W41" s="49">
        <f t="shared" si="8"/>
        <v>-2.2816961565516016E-2</v>
      </c>
    </row>
    <row r="42" spans="2:32" x14ac:dyDescent="0.6">
      <c r="B42" s="2">
        <v>500.96600000000001</v>
      </c>
      <c r="C42" s="1">
        <v>74952.133589681631</v>
      </c>
      <c r="D42" s="2"/>
      <c r="E42" s="1"/>
      <c r="F42" s="2">
        <v>470.69499999999999</v>
      </c>
      <c r="G42" s="1">
        <v>-180.65899999999999</v>
      </c>
      <c r="H42" s="2">
        <v>501.40300000000002</v>
      </c>
      <c r="I42" s="1">
        <v>3.8637199999999998</v>
      </c>
      <c r="J42" s="2">
        <v>498.666</v>
      </c>
      <c r="K42" s="1">
        <v>0.33030500000000002</v>
      </c>
      <c r="N42" s="3">
        <f t="shared" si="9"/>
        <v>500.96600000000001</v>
      </c>
      <c r="O42" s="21">
        <v>74952.133589681631</v>
      </c>
      <c r="P42" s="3">
        <f t="shared" si="10"/>
        <v>470.69499999999999</v>
      </c>
      <c r="Q42" s="17">
        <f t="shared" si="11"/>
        <v>-1.8065899999999998E-4</v>
      </c>
      <c r="R42" s="3">
        <f t="shared" si="12"/>
        <v>501.40300000000002</v>
      </c>
      <c r="S42" s="24">
        <f t="shared" si="13"/>
        <v>3.8637199999999998</v>
      </c>
      <c r="T42" s="3">
        <f t="shared" si="14"/>
        <v>498.666</v>
      </c>
      <c r="U42" s="51">
        <f t="shared" si="15"/>
        <v>0.33030500000000002</v>
      </c>
      <c r="V42" s="42">
        <f>((O42*(Q43)^2)/S42)*T42</f>
        <v>0.33863075773343598</v>
      </c>
      <c r="W42" s="49">
        <f t="shared" si="8"/>
        <v>-2.5206272183091287E-2</v>
      </c>
    </row>
    <row r="43" spans="2:32" x14ac:dyDescent="0.6">
      <c r="B43" s="2">
        <v>530.60699999999997</v>
      </c>
      <c r="C43" s="1">
        <v>75004.271982575185</v>
      </c>
      <c r="D43" s="2"/>
      <c r="E43" s="1"/>
      <c r="F43" s="2">
        <v>497.71699999999998</v>
      </c>
      <c r="G43" s="1">
        <v>-187.09800000000001</v>
      </c>
      <c r="H43" s="2">
        <v>533.375</v>
      </c>
      <c r="I43" s="1">
        <v>3.7852399999999999</v>
      </c>
      <c r="J43" s="2">
        <v>531.45799999999997</v>
      </c>
      <c r="K43" s="1">
        <v>0.38498399999999999</v>
      </c>
      <c r="N43" s="3">
        <f t="shared" si="9"/>
        <v>530.60699999999997</v>
      </c>
      <c r="O43" s="21">
        <v>75004.271982575185</v>
      </c>
      <c r="P43" s="3">
        <f t="shared" si="10"/>
        <v>497.71699999999998</v>
      </c>
      <c r="Q43" s="17">
        <f t="shared" si="11"/>
        <v>-1.8709800000000002E-4</v>
      </c>
      <c r="R43" s="3">
        <f t="shared" si="12"/>
        <v>533.375</v>
      </c>
      <c r="S43" s="24">
        <f t="shared" si="13"/>
        <v>3.7852399999999999</v>
      </c>
      <c r="T43" s="3">
        <f t="shared" si="14"/>
        <v>531.45799999999997</v>
      </c>
      <c r="U43" s="51">
        <f t="shared" si="15"/>
        <v>0.38498399999999999</v>
      </c>
      <c r="V43" s="42">
        <f>((O43*(Q44)^2)/S43)*T43</f>
        <v>0.39921906721439393</v>
      </c>
      <c r="W43" s="49">
        <f t="shared" si="8"/>
        <v>-3.6975737210881328E-2</v>
      </c>
    </row>
    <row r="44" spans="2:32" x14ac:dyDescent="0.6">
      <c r="B44" s="2">
        <v>553.22299999999996</v>
      </c>
      <c r="C44" s="1">
        <v>78655.663698970588</v>
      </c>
      <c r="D44" s="2"/>
      <c r="E44" s="1"/>
      <c r="F44" s="2">
        <v>527.82500000000005</v>
      </c>
      <c r="G44" s="1">
        <v>-194.70400000000001</v>
      </c>
      <c r="H44" s="2">
        <v>553.64800000000002</v>
      </c>
      <c r="I44" s="1">
        <v>3.7264499999999998</v>
      </c>
      <c r="J44" s="2">
        <v>553.57100000000003</v>
      </c>
      <c r="K44" s="1">
        <v>0.42749799999999999</v>
      </c>
      <c r="N44" s="3">
        <f t="shared" si="9"/>
        <v>553.22299999999996</v>
      </c>
      <c r="O44" s="21">
        <v>78655.663698970588</v>
      </c>
      <c r="P44" s="3">
        <f t="shared" si="10"/>
        <v>527.82500000000005</v>
      </c>
      <c r="Q44" s="17">
        <f t="shared" si="11"/>
        <v>-1.94704E-4</v>
      </c>
      <c r="R44" s="3">
        <f t="shared" si="12"/>
        <v>553.64800000000002</v>
      </c>
      <c r="S44" s="24">
        <f t="shared" si="13"/>
        <v>3.7264499999999998</v>
      </c>
      <c r="T44" s="3">
        <f t="shared" si="14"/>
        <v>553.57100000000003</v>
      </c>
      <c r="U44" s="51">
        <f t="shared" si="15"/>
        <v>0.42749799999999999</v>
      </c>
      <c r="V44" s="42">
        <f>((O44*(Q45)^2)/S44)*T44</f>
        <v>0.47551248721866257</v>
      </c>
      <c r="W44" s="49">
        <f t="shared" si="8"/>
        <v>-0.11231511543600808</v>
      </c>
    </row>
    <row r="45" spans="2:32" x14ac:dyDescent="0.6">
      <c r="B45" s="2">
        <v>596.12599999999998</v>
      </c>
      <c r="C45" s="1">
        <v>77815.121519167413</v>
      </c>
      <c r="D45" s="2"/>
      <c r="E45" s="1"/>
      <c r="F45" s="2">
        <v>558.70799999999997</v>
      </c>
      <c r="G45" s="1">
        <v>-201.733</v>
      </c>
      <c r="H45" s="2">
        <v>598.88099999999997</v>
      </c>
      <c r="I45" s="1">
        <v>3.6574499999999999</v>
      </c>
      <c r="J45" s="2">
        <v>594.74</v>
      </c>
      <c r="K45" s="1">
        <v>0.51857600000000004</v>
      </c>
      <c r="N45" s="3">
        <f t="shared" si="9"/>
        <v>596.12599999999998</v>
      </c>
      <c r="O45" s="21">
        <v>77815.121519167413</v>
      </c>
      <c r="P45" s="3">
        <f t="shared" si="10"/>
        <v>558.70799999999997</v>
      </c>
      <c r="Q45" s="17">
        <f t="shared" si="11"/>
        <v>-2.01733E-4</v>
      </c>
      <c r="R45" s="3">
        <f t="shared" si="12"/>
        <v>598.88099999999997</v>
      </c>
      <c r="S45" s="24">
        <f t="shared" si="13"/>
        <v>3.6574499999999999</v>
      </c>
      <c r="T45" s="3">
        <f t="shared" si="14"/>
        <v>594.74</v>
      </c>
      <c r="U45" s="51">
        <f t="shared" si="15"/>
        <v>0.51857600000000004</v>
      </c>
      <c r="V45" s="42">
        <f t="shared" ref="V45:V47" si="17">((O45*(Q46)^2)/S45)*T45</f>
        <v>0.54837048269453148</v>
      </c>
      <c r="W45" s="49">
        <f t="shared" si="8"/>
        <v>-5.7454418821024193E-2</v>
      </c>
    </row>
    <row r="46" spans="2:32" x14ac:dyDescent="0.6">
      <c r="B46" s="2">
        <v>615.62699999999995</v>
      </c>
      <c r="C46" s="1">
        <v>77850.964959555015</v>
      </c>
      <c r="D46" s="2"/>
      <c r="E46" s="1"/>
      <c r="F46" s="2">
        <v>587.27499999999998</v>
      </c>
      <c r="G46" s="1">
        <v>-208.17599999999999</v>
      </c>
      <c r="H46" s="2">
        <v>617.59900000000005</v>
      </c>
      <c r="I46" s="1">
        <v>3.6376200000000001</v>
      </c>
      <c r="J46" s="2">
        <v>616.85500000000002</v>
      </c>
      <c r="K46" s="1">
        <v>0.55705000000000005</v>
      </c>
      <c r="N46" s="3">
        <f t="shared" si="9"/>
        <v>615.62699999999995</v>
      </c>
      <c r="O46" s="21">
        <v>77850.964959555015</v>
      </c>
      <c r="P46" s="3">
        <f t="shared" si="10"/>
        <v>587.27499999999998</v>
      </c>
      <c r="Q46" s="17">
        <f t="shared" si="11"/>
        <v>-2.0817599999999997E-4</v>
      </c>
      <c r="R46" s="3">
        <f t="shared" si="12"/>
        <v>617.59900000000005</v>
      </c>
      <c r="S46" s="24">
        <f t="shared" si="13"/>
        <v>3.6376200000000001</v>
      </c>
      <c r="T46" s="3">
        <f t="shared" si="14"/>
        <v>616.85500000000002</v>
      </c>
      <c r="U46" s="51">
        <f t="shared" si="15"/>
        <v>0.55705000000000005</v>
      </c>
      <c r="V46" s="42">
        <f t="shared" si="17"/>
        <v>0.58527065974827419</v>
      </c>
      <c r="W46" s="49">
        <f t="shared" si="8"/>
        <v>-5.0660909699800992E-2</v>
      </c>
    </row>
    <row r="47" spans="2:32" x14ac:dyDescent="0.6">
      <c r="B47" s="2">
        <v>644.48400000000004</v>
      </c>
      <c r="C47" s="1">
        <v>80698.599920510635</v>
      </c>
      <c r="D47" s="2"/>
      <c r="E47" s="1"/>
      <c r="F47" s="2">
        <v>612.76700000000005</v>
      </c>
      <c r="G47" s="1">
        <v>-210.554</v>
      </c>
      <c r="H47" s="2">
        <v>648.02300000000002</v>
      </c>
      <c r="I47" s="1">
        <v>3.6564899999999998</v>
      </c>
      <c r="J47" s="2">
        <v>647.36300000000006</v>
      </c>
      <c r="K47" s="1">
        <v>0.60363900000000004</v>
      </c>
      <c r="N47" s="3">
        <f t="shared" si="9"/>
        <v>644.48400000000004</v>
      </c>
      <c r="O47" s="21">
        <v>80698.599920510635</v>
      </c>
      <c r="P47" s="3">
        <f t="shared" si="10"/>
        <v>612.76700000000005</v>
      </c>
      <c r="Q47" s="17">
        <f t="shared" si="11"/>
        <v>-2.10554E-4</v>
      </c>
      <c r="R47" s="3">
        <f t="shared" si="12"/>
        <v>648.02300000000002</v>
      </c>
      <c r="S47" s="24">
        <f t="shared" si="13"/>
        <v>3.6564899999999998</v>
      </c>
      <c r="T47" s="3">
        <f t="shared" si="14"/>
        <v>647.36300000000006</v>
      </c>
      <c r="U47" s="51">
        <f t="shared" si="15"/>
        <v>0.60363900000000004</v>
      </c>
      <c r="V47" s="42">
        <f t="shared" si="17"/>
        <v>0.64071671221054516</v>
      </c>
      <c r="W47" s="49">
        <f t="shared" si="8"/>
        <v>-6.1423652564769872E-2</v>
      </c>
    </row>
    <row r="48" spans="2:32" x14ac:dyDescent="0.6">
      <c r="B48" s="2">
        <v>680.36699999999996</v>
      </c>
      <c r="C48" s="1">
        <v>79823.359160979016</v>
      </c>
      <c r="D48" s="2"/>
      <c r="E48" s="1"/>
      <c r="F48" s="2">
        <v>635.94600000000003</v>
      </c>
      <c r="G48" s="1">
        <v>-211.767</v>
      </c>
      <c r="H48" s="2">
        <v>679.22299999999996</v>
      </c>
      <c r="I48" s="1">
        <v>3.64615</v>
      </c>
      <c r="J48" s="2">
        <v>680.93200000000002</v>
      </c>
      <c r="K48" s="1">
        <v>0.63609800000000005</v>
      </c>
      <c r="N48" s="3">
        <f t="shared" si="9"/>
        <v>680.36699999999996</v>
      </c>
      <c r="O48" s="21">
        <v>79823.359160979016</v>
      </c>
      <c r="P48" s="3">
        <f t="shared" si="10"/>
        <v>635.94600000000003</v>
      </c>
      <c r="Q48" s="17">
        <f t="shared" si="11"/>
        <v>-2.1176699999999999E-4</v>
      </c>
      <c r="R48" s="3">
        <f t="shared" si="12"/>
        <v>679.22299999999996</v>
      </c>
      <c r="S48" s="24">
        <f t="shared" si="13"/>
        <v>3.64615</v>
      </c>
      <c r="T48" s="3">
        <f t="shared" si="14"/>
        <v>680.93200000000002</v>
      </c>
      <c r="U48" s="51">
        <f t="shared" si="15"/>
        <v>0.63609800000000005</v>
      </c>
      <c r="V48" s="42">
        <f>((O48*(Q50)^2)/S48)*T48</f>
        <v>0.65837055764448127</v>
      </c>
      <c r="W48" s="49">
        <f t="shared" si="8"/>
        <v>-3.5014349431190188E-2</v>
      </c>
    </row>
    <row r="49" spans="2:22" x14ac:dyDescent="0.6">
      <c r="B49" s="2"/>
      <c r="C49" s="1"/>
      <c r="D49" s="2"/>
      <c r="E49" s="1"/>
      <c r="F49" s="2">
        <v>663.76599999999996</v>
      </c>
      <c r="G49" s="1">
        <v>-211.83099999999999</v>
      </c>
      <c r="H49" s="2"/>
      <c r="I49" s="1"/>
      <c r="J49" s="2"/>
      <c r="K49" s="1"/>
      <c r="N49" s="3"/>
      <c r="O49" s="21"/>
      <c r="P49" s="3">
        <f t="shared" si="10"/>
        <v>663.76599999999996</v>
      </c>
      <c r="Q49" s="17">
        <f t="shared" si="11"/>
        <v>-2.1183099999999997E-4</v>
      </c>
      <c r="R49" s="3"/>
      <c r="S49" s="24"/>
      <c r="T49" s="3"/>
      <c r="U49" s="24"/>
    </row>
    <row r="50" spans="2:22" x14ac:dyDescent="0.6">
      <c r="B50" s="2"/>
      <c r="C50" s="1"/>
      <c r="D50" s="2"/>
      <c r="E50" s="1"/>
      <c r="F50" s="2">
        <v>690.048</v>
      </c>
      <c r="G50" s="1">
        <v>-210.15299999999999</v>
      </c>
      <c r="H50" s="2"/>
      <c r="I50" s="1"/>
      <c r="J50" s="2"/>
      <c r="K50" s="1"/>
      <c r="N50" s="3"/>
      <c r="O50" s="21"/>
      <c r="P50" s="3">
        <f t="shared" si="10"/>
        <v>690.048</v>
      </c>
      <c r="Q50" s="17">
        <f t="shared" si="11"/>
        <v>-2.1015299999999998E-4</v>
      </c>
      <c r="R50" s="3"/>
      <c r="S50" s="24"/>
      <c r="T50" s="3"/>
      <c r="U50" s="24"/>
      <c r="V50"/>
    </row>
    <row r="51" spans="2:22" x14ac:dyDescent="0.6">
      <c r="B51" s="28"/>
      <c r="C51" s="29"/>
      <c r="D51" s="28"/>
      <c r="E51" s="29"/>
      <c r="F51" s="28">
        <v>711.69600000000003</v>
      </c>
      <c r="G51" s="29">
        <v>-207.88399999999999</v>
      </c>
      <c r="H51" s="28"/>
      <c r="I51" s="29"/>
      <c r="J51" s="28"/>
      <c r="K51" s="29"/>
      <c r="N51" s="32"/>
      <c r="O51" s="33"/>
      <c r="P51" s="32">
        <f t="shared" si="10"/>
        <v>711.69600000000003</v>
      </c>
      <c r="Q51" s="34">
        <f t="shared" si="11"/>
        <v>-2.0788399999999998E-4</v>
      </c>
      <c r="R51" s="32"/>
      <c r="S51" s="35"/>
      <c r="T51" s="32"/>
      <c r="U51" s="35"/>
      <c r="V51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1"/>
  </sheetPr>
  <dimension ref="A1:W6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299.35483870967698</v>
      </c>
      <c r="C9" s="4">
        <v>160975.60975609699</v>
      </c>
      <c r="D9" s="3"/>
      <c r="E9" s="4"/>
      <c r="F9" s="3">
        <v>299.582587954681</v>
      </c>
      <c r="G9" s="4">
        <v>-129.43283582089501</v>
      </c>
      <c r="H9" s="3">
        <v>299.59040374487898</v>
      </c>
      <c r="I9" s="4">
        <v>4.4509090909090903</v>
      </c>
      <c r="J9" s="3">
        <v>300</v>
      </c>
      <c r="K9" s="4">
        <v>0.18092566619915801</v>
      </c>
      <c r="N9" s="3">
        <f>B9</f>
        <v>299.35483870967698</v>
      </c>
      <c r="O9" s="21">
        <f>C9</f>
        <v>160975.60975609699</v>
      </c>
      <c r="P9" s="3">
        <f>F9</f>
        <v>299.582587954681</v>
      </c>
      <c r="Q9" s="17">
        <f>G9*(10^(-6))</f>
        <v>-1.2943283582089499E-4</v>
      </c>
      <c r="R9" s="3">
        <f>H9</f>
        <v>299.59040374487898</v>
      </c>
      <c r="S9" s="24">
        <f>I9</f>
        <v>4.4509090909090903</v>
      </c>
      <c r="T9" s="3">
        <f>J9</f>
        <v>300</v>
      </c>
      <c r="U9" s="51">
        <f>K9</f>
        <v>0.18092566619915801</v>
      </c>
      <c r="V9" s="42">
        <f>((O9*(Q9)^2)/S9)*T9</f>
        <v>0.18176972181001458</v>
      </c>
      <c r="W9" s="49">
        <f t="shared" ref="W9" si="0">(U9-V9)/U9</f>
        <v>-4.6652065933390384E-3</v>
      </c>
    </row>
    <row r="10" spans="1:23" x14ac:dyDescent="0.6">
      <c r="B10" s="3">
        <v>320</v>
      </c>
      <c r="C10" s="4">
        <v>157317.07317073099</v>
      </c>
      <c r="D10" s="3"/>
      <c r="E10" s="4"/>
      <c r="F10" s="3">
        <v>320.09540846750099</v>
      </c>
      <c r="G10" s="4">
        <v>-131.82089552238801</v>
      </c>
      <c r="H10" s="3">
        <v>320.18724400233998</v>
      </c>
      <c r="I10" s="4">
        <v>4.34181818181818</v>
      </c>
      <c r="J10" s="3">
        <v>320.06472491909301</v>
      </c>
      <c r="K10" s="4">
        <v>0.20196353436185099</v>
      </c>
      <c r="N10" s="3">
        <f t="shared" ref="N10:N34" si="1">B10</f>
        <v>320</v>
      </c>
      <c r="O10" s="21">
        <f t="shared" ref="O10:O34" si="2">C10</f>
        <v>157317.07317073099</v>
      </c>
      <c r="P10" s="3">
        <f t="shared" ref="P10:P34" si="3">F10</f>
        <v>320.09540846750099</v>
      </c>
      <c r="Q10" s="17">
        <f t="shared" ref="Q10:Q34" si="4">G10*(10^(-6))</f>
        <v>-1.3182089552238801E-4</v>
      </c>
      <c r="R10" s="3">
        <f t="shared" ref="R10:R34" si="5">H10</f>
        <v>320.18724400233998</v>
      </c>
      <c r="S10" s="24">
        <f t="shared" ref="S10:S34" si="6">I10</f>
        <v>4.34181818181818</v>
      </c>
      <c r="T10" s="3">
        <f t="shared" ref="T10:T34" si="7">J10</f>
        <v>320.06472491909301</v>
      </c>
      <c r="U10" s="51">
        <f t="shared" ref="U10:U34" si="8">K10</f>
        <v>0.20196353436185099</v>
      </c>
      <c r="V10" s="42">
        <f t="shared" ref="V10:V34" si="9">((O10*(Q10)^2)/S10)*T10</f>
        <v>0.2015164725755767</v>
      </c>
      <c r="W10" s="49">
        <f t="shared" ref="W10:W34" si="10">(U10-V10)/U10</f>
        <v>2.2135767612053636E-3</v>
      </c>
    </row>
    <row r="11" spans="1:23" x14ac:dyDescent="0.6">
      <c r="B11" s="2">
        <v>340.17595307917799</v>
      </c>
      <c r="C11" s="1">
        <v>154065.04065040601</v>
      </c>
      <c r="D11" s="2"/>
      <c r="E11" s="1"/>
      <c r="F11" s="2">
        <v>340.13118664281399</v>
      </c>
      <c r="G11" s="1">
        <v>-134.925373134328</v>
      </c>
      <c r="H11" s="2">
        <v>339.84786424809801</v>
      </c>
      <c r="I11" s="1">
        <v>4.24727272727272</v>
      </c>
      <c r="J11" s="2">
        <v>340.12944983818699</v>
      </c>
      <c r="K11" s="1">
        <v>0.224403927068723</v>
      </c>
      <c r="N11" s="3">
        <f t="shared" si="1"/>
        <v>340.17595307917799</v>
      </c>
      <c r="O11" s="21">
        <f t="shared" si="2"/>
        <v>154065.04065040601</v>
      </c>
      <c r="P11" s="3">
        <f t="shared" si="3"/>
        <v>340.13118664281399</v>
      </c>
      <c r="Q11" s="17">
        <f t="shared" si="4"/>
        <v>-1.34925373134328E-4</v>
      </c>
      <c r="R11" s="3">
        <f t="shared" si="5"/>
        <v>339.84786424809801</v>
      </c>
      <c r="S11" s="24">
        <f t="shared" si="6"/>
        <v>4.24727272727272</v>
      </c>
      <c r="T11" s="3">
        <f t="shared" si="7"/>
        <v>340.12944983818699</v>
      </c>
      <c r="U11" s="51">
        <f t="shared" si="8"/>
        <v>0.224403927068723</v>
      </c>
      <c r="V11" s="42">
        <f t="shared" si="9"/>
        <v>0.22460811654060187</v>
      </c>
      <c r="W11" s="49">
        <f t="shared" si="10"/>
        <v>-9.0991933406018536E-4</v>
      </c>
    </row>
    <row r="12" spans="1:23" x14ac:dyDescent="0.6">
      <c r="B12" s="2">
        <v>359.88269794721401</v>
      </c>
      <c r="C12" s="1">
        <v>151084.01084010801</v>
      </c>
      <c r="D12" s="2"/>
      <c r="E12" s="1"/>
      <c r="F12" s="2">
        <v>360.16696481812698</v>
      </c>
      <c r="G12" s="1">
        <v>-138.26865671641701</v>
      </c>
      <c r="H12" s="2">
        <v>359.97659449970701</v>
      </c>
      <c r="I12" s="1">
        <v>4.16</v>
      </c>
      <c r="J12" s="2">
        <v>360.19417475728102</v>
      </c>
      <c r="K12" s="1">
        <v>0.250350631136044</v>
      </c>
      <c r="N12" s="3">
        <f t="shared" si="1"/>
        <v>359.88269794721401</v>
      </c>
      <c r="O12" s="21">
        <f t="shared" si="2"/>
        <v>151084.01084010801</v>
      </c>
      <c r="P12" s="3">
        <f t="shared" si="3"/>
        <v>360.16696481812698</v>
      </c>
      <c r="Q12" s="17">
        <f t="shared" si="4"/>
        <v>-1.3826865671641702E-4</v>
      </c>
      <c r="R12" s="3">
        <f t="shared" si="5"/>
        <v>359.97659449970701</v>
      </c>
      <c r="S12" s="24">
        <f t="shared" si="6"/>
        <v>4.16</v>
      </c>
      <c r="T12" s="3">
        <f t="shared" si="7"/>
        <v>360.19417475728102</v>
      </c>
      <c r="U12" s="51">
        <f t="shared" si="8"/>
        <v>0.250350631136044</v>
      </c>
      <c r="V12" s="42">
        <f t="shared" si="9"/>
        <v>0.25009749810472937</v>
      </c>
      <c r="W12" s="49">
        <f t="shared" si="10"/>
        <v>1.0111140130382897E-3</v>
      </c>
    </row>
    <row r="13" spans="1:23" x14ac:dyDescent="0.6">
      <c r="B13" s="2">
        <v>380.05865102639302</v>
      </c>
      <c r="C13" s="1">
        <v>148373.98373983699</v>
      </c>
      <c r="D13" s="2"/>
      <c r="E13" s="1"/>
      <c r="F13" s="2">
        <v>380.20274299343998</v>
      </c>
      <c r="G13" s="1">
        <v>-141.850746268656</v>
      </c>
      <c r="H13" s="2">
        <v>380.105324751316</v>
      </c>
      <c r="I13" s="1">
        <v>4.0727272727272696</v>
      </c>
      <c r="J13" s="2">
        <v>380.25889967637499</v>
      </c>
      <c r="K13" s="1">
        <v>0.27840112201963502</v>
      </c>
      <c r="N13" s="3">
        <f t="shared" si="1"/>
        <v>380.05865102639302</v>
      </c>
      <c r="O13" s="21">
        <f t="shared" si="2"/>
        <v>148373.98373983699</v>
      </c>
      <c r="P13" s="3">
        <f t="shared" si="3"/>
        <v>380.20274299343998</v>
      </c>
      <c r="Q13" s="17">
        <f t="shared" si="4"/>
        <v>-1.4185074626865598E-4</v>
      </c>
      <c r="R13" s="3">
        <f t="shared" si="5"/>
        <v>380.105324751316</v>
      </c>
      <c r="S13" s="24">
        <f t="shared" si="6"/>
        <v>4.0727272727272696</v>
      </c>
      <c r="T13" s="3">
        <f t="shared" si="7"/>
        <v>380.25889967637499</v>
      </c>
      <c r="U13" s="51">
        <f t="shared" si="8"/>
        <v>0.27840112201963502</v>
      </c>
      <c r="V13" s="42">
        <f t="shared" si="9"/>
        <v>0.27875012163776275</v>
      </c>
      <c r="W13" s="49">
        <f t="shared" si="10"/>
        <v>-1.2535855301011251E-3</v>
      </c>
    </row>
    <row r="14" spans="1:23" x14ac:dyDescent="0.6">
      <c r="B14" s="2">
        <v>399.76539589442802</v>
      </c>
      <c r="C14" s="1">
        <v>145528.45528455201</v>
      </c>
      <c r="D14" s="2"/>
      <c r="E14" s="1"/>
      <c r="F14" s="2">
        <v>400.23852116875298</v>
      </c>
      <c r="G14" s="1">
        <v>-145.43283582089501</v>
      </c>
      <c r="H14" s="2">
        <v>400.234055002925</v>
      </c>
      <c r="I14" s="1">
        <v>3.99272727272727</v>
      </c>
      <c r="J14" s="2">
        <v>400.32362459546903</v>
      </c>
      <c r="K14" s="1">
        <v>0.30995792426367402</v>
      </c>
      <c r="N14" s="3">
        <f t="shared" si="1"/>
        <v>399.76539589442802</v>
      </c>
      <c r="O14" s="21">
        <f t="shared" si="2"/>
        <v>145528.45528455201</v>
      </c>
      <c r="P14" s="3">
        <f t="shared" si="3"/>
        <v>400.23852116875298</v>
      </c>
      <c r="Q14" s="17">
        <f t="shared" si="4"/>
        <v>-1.45432835820895E-4</v>
      </c>
      <c r="R14" s="3">
        <f t="shared" si="5"/>
        <v>400.234055002925</v>
      </c>
      <c r="S14" s="24">
        <f t="shared" si="6"/>
        <v>3.99272727272727</v>
      </c>
      <c r="T14" s="3">
        <f t="shared" si="7"/>
        <v>400.32362459546903</v>
      </c>
      <c r="U14" s="51">
        <f t="shared" si="8"/>
        <v>0.30995792426367402</v>
      </c>
      <c r="V14" s="42">
        <f t="shared" si="9"/>
        <v>0.30861315798477518</v>
      </c>
      <c r="W14" s="49">
        <f t="shared" si="10"/>
        <v>4.3385446011532979E-3</v>
      </c>
    </row>
    <row r="15" spans="1:23" x14ac:dyDescent="0.6">
      <c r="B15" s="2">
        <v>419.47214076246303</v>
      </c>
      <c r="C15" s="1">
        <v>142953.929539295</v>
      </c>
      <c r="D15" s="2"/>
      <c r="E15" s="1"/>
      <c r="F15" s="2">
        <v>419.79725700655899</v>
      </c>
      <c r="G15" s="1">
        <v>-149.25373134328299</v>
      </c>
      <c r="H15" s="2">
        <v>419.89467524868297</v>
      </c>
      <c r="I15" s="1">
        <v>3.8981818181818202</v>
      </c>
      <c r="J15" s="2">
        <v>420.06472491909301</v>
      </c>
      <c r="K15" s="1">
        <v>0.34221598877980303</v>
      </c>
      <c r="N15" s="3">
        <f t="shared" si="1"/>
        <v>419.47214076246303</v>
      </c>
      <c r="O15" s="21">
        <f t="shared" si="2"/>
        <v>142953.929539295</v>
      </c>
      <c r="P15" s="3">
        <f t="shared" si="3"/>
        <v>419.79725700655899</v>
      </c>
      <c r="Q15" s="17">
        <f t="shared" si="4"/>
        <v>-1.4925373134328299E-4</v>
      </c>
      <c r="R15" s="3">
        <f t="shared" si="5"/>
        <v>419.89467524868297</v>
      </c>
      <c r="S15" s="24">
        <f t="shared" si="6"/>
        <v>3.8981818181818202</v>
      </c>
      <c r="T15" s="3">
        <f t="shared" si="7"/>
        <v>420.06472491909301</v>
      </c>
      <c r="U15" s="51">
        <f t="shared" si="8"/>
        <v>0.34221598877980303</v>
      </c>
      <c r="V15" s="42">
        <f t="shared" si="9"/>
        <v>0.343163124894173</v>
      </c>
      <c r="W15" s="49">
        <f t="shared" si="10"/>
        <v>-2.7676559407614426E-3</v>
      </c>
    </row>
    <row r="16" spans="1:23" x14ac:dyDescent="0.6">
      <c r="B16" s="2">
        <v>440.11730205278502</v>
      </c>
      <c r="C16" s="1">
        <v>140514.90514905099</v>
      </c>
      <c r="D16" s="2"/>
      <c r="E16" s="1"/>
      <c r="F16" s="2">
        <v>439.83303518187199</v>
      </c>
      <c r="G16" s="1">
        <v>-153.07462686567101</v>
      </c>
      <c r="H16" s="2">
        <v>440.02340550029197</v>
      </c>
      <c r="I16" s="1">
        <v>3.8327272727272699</v>
      </c>
      <c r="J16" s="2">
        <v>440.12944983818699</v>
      </c>
      <c r="K16" s="1">
        <v>0.37798036465638102</v>
      </c>
      <c r="N16" s="3">
        <f t="shared" si="1"/>
        <v>440.11730205278502</v>
      </c>
      <c r="O16" s="21">
        <f t="shared" si="2"/>
        <v>140514.90514905099</v>
      </c>
      <c r="P16" s="3">
        <f t="shared" si="3"/>
        <v>439.83303518187199</v>
      </c>
      <c r="Q16" s="17">
        <f t="shared" si="4"/>
        <v>-1.53074626865671E-4</v>
      </c>
      <c r="R16" s="3">
        <f t="shared" si="5"/>
        <v>440.02340550029197</v>
      </c>
      <c r="S16" s="24">
        <f t="shared" si="6"/>
        <v>3.8327272727272699</v>
      </c>
      <c r="T16" s="3">
        <f t="shared" si="7"/>
        <v>440.12944983818699</v>
      </c>
      <c r="U16" s="51">
        <f t="shared" si="8"/>
        <v>0.37798036465638102</v>
      </c>
      <c r="V16" s="42">
        <f t="shared" si="9"/>
        <v>0.3780953405816635</v>
      </c>
      <c r="W16" s="49">
        <f t="shared" si="10"/>
        <v>-3.041849154968741E-4</v>
      </c>
    </row>
    <row r="17" spans="2:23" x14ac:dyDescent="0.6">
      <c r="B17" s="2">
        <v>459.82404692082099</v>
      </c>
      <c r="C17" s="1">
        <v>138211.38211382099</v>
      </c>
      <c r="D17" s="2"/>
      <c r="E17" s="1"/>
      <c r="F17" s="2">
        <v>459.86881335718499</v>
      </c>
      <c r="G17" s="1">
        <v>-156.89552238805899</v>
      </c>
      <c r="H17" s="2">
        <v>460.15213575190103</v>
      </c>
      <c r="I17" s="1">
        <v>3.7527272727272698</v>
      </c>
      <c r="J17" s="2">
        <v>459.87055016181199</v>
      </c>
      <c r="K17" s="1">
        <v>0.415848527349228</v>
      </c>
      <c r="N17" s="3">
        <f t="shared" si="1"/>
        <v>459.82404692082099</v>
      </c>
      <c r="O17" s="21">
        <f t="shared" si="2"/>
        <v>138211.38211382099</v>
      </c>
      <c r="P17" s="3">
        <f t="shared" si="3"/>
        <v>459.86881335718499</v>
      </c>
      <c r="Q17" s="17">
        <f t="shared" si="4"/>
        <v>-1.5689552238805899E-4</v>
      </c>
      <c r="R17" s="3">
        <f t="shared" si="5"/>
        <v>460.15213575190103</v>
      </c>
      <c r="S17" s="24">
        <f t="shared" si="6"/>
        <v>3.7527272727272698</v>
      </c>
      <c r="T17" s="3">
        <f t="shared" si="7"/>
        <v>459.87055016181199</v>
      </c>
      <c r="U17" s="51">
        <f t="shared" si="8"/>
        <v>0.415848527349228</v>
      </c>
      <c r="V17" s="42">
        <f t="shared" si="9"/>
        <v>0.4169207439151435</v>
      </c>
      <c r="W17" s="49">
        <f t="shared" si="10"/>
        <v>-2.5783825008355806E-3</v>
      </c>
    </row>
    <row r="18" spans="2:23" x14ac:dyDescent="0.6">
      <c r="B18" s="2">
        <v>479.99999999999898</v>
      </c>
      <c r="C18" s="1">
        <v>135907.85907859</v>
      </c>
      <c r="D18" s="2"/>
      <c r="E18" s="1"/>
      <c r="F18" s="2">
        <v>479.90459153249799</v>
      </c>
      <c r="G18" s="1">
        <v>-160.71641791044701</v>
      </c>
      <c r="H18" s="2">
        <v>479.812755997659</v>
      </c>
      <c r="I18" s="1">
        <v>3.6872727272727301</v>
      </c>
      <c r="J18" s="2">
        <v>479.61165048543597</v>
      </c>
      <c r="K18" s="1">
        <v>0.45792426367461397</v>
      </c>
      <c r="N18" s="3">
        <f t="shared" si="1"/>
        <v>479.99999999999898</v>
      </c>
      <c r="O18" s="21">
        <f t="shared" si="2"/>
        <v>135907.85907859</v>
      </c>
      <c r="P18" s="3">
        <f t="shared" si="3"/>
        <v>479.90459153249799</v>
      </c>
      <c r="Q18" s="17">
        <f t="shared" si="4"/>
        <v>-1.6071641791044701E-4</v>
      </c>
      <c r="R18" s="3">
        <f t="shared" si="5"/>
        <v>479.812755997659</v>
      </c>
      <c r="S18" s="24">
        <f t="shared" si="6"/>
        <v>3.6872727272727301</v>
      </c>
      <c r="T18" s="3">
        <f t="shared" si="7"/>
        <v>479.61165048543597</v>
      </c>
      <c r="U18" s="51">
        <f t="shared" si="8"/>
        <v>0.45792426367461397</v>
      </c>
      <c r="V18" s="42">
        <f t="shared" si="9"/>
        <v>0.45661431497157867</v>
      </c>
      <c r="W18" s="49">
        <f t="shared" si="10"/>
        <v>2.8606230482822997E-3</v>
      </c>
    </row>
    <row r="19" spans="2:23" x14ac:dyDescent="0.6">
      <c r="B19" s="2">
        <v>500.17595307917799</v>
      </c>
      <c r="C19" s="1">
        <v>133875.33875338701</v>
      </c>
      <c r="D19" s="2"/>
      <c r="E19" s="1"/>
      <c r="F19" s="2">
        <v>499.94036970781099</v>
      </c>
      <c r="G19" s="1">
        <v>-164.29850746268599</v>
      </c>
      <c r="H19" s="2">
        <v>499.941486249268</v>
      </c>
      <c r="I19" s="1">
        <v>3.6072727272727199</v>
      </c>
      <c r="J19" s="2">
        <v>499.67637540453001</v>
      </c>
      <c r="K19" s="1">
        <v>0.501402524544179</v>
      </c>
      <c r="N19" s="3">
        <f t="shared" si="1"/>
        <v>500.17595307917799</v>
      </c>
      <c r="O19" s="21">
        <f t="shared" si="2"/>
        <v>133875.33875338701</v>
      </c>
      <c r="P19" s="3">
        <f t="shared" si="3"/>
        <v>499.94036970781099</v>
      </c>
      <c r="Q19" s="17">
        <f t="shared" si="4"/>
        <v>-1.6429850746268597E-4</v>
      </c>
      <c r="R19" s="3">
        <f t="shared" si="5"/>
        <v>499.941486249268</v>
      </c>
      <c r="S19" s="24">
        <f t="shared" si="6"/>
        <v>3.6072727272727199</v>
      </c>
      <c r="T19" s="3">
        <f t="shared" si="7"/>
        <v>499.67637540453001</v>
      </c>
      <c r="U19" s="51">
        <f t="shared" si="8"/>
        <v>0.501402524544179</v>
      </c>
      <c r="V19" s="42">
        <f t="shared" si="9"/>
        <v>0.50058479890838359</v>
      </c>
      <c r="W19" s="49">
        <f t="shared" si="10"/>
        <v>1.6308765827192345E-3</v>
      </c>
    </row>
    <row r="20" spans="2:23" x14ac:dyDescent="0.6">
      <c r="B20" s="2">
        <v>519.88269794721396</v>
      </c>
      <c r="C20" s="1">
        <v>131842.81842818399</v>
      </c>
      <c r="D20" s="2"/>
      <c r="E20" s="1"/>
      <c r="F20" s="2">
        <v>519.97614788312399</v>
      </c>
      <c r="G20" s="1">
        <v>-168.119402985074</v>
      </c>
      <c r="H20" s="2">
        <v>520.070216500877</v>
      </c>
      <c r="I20" s="1">
        <v>3.55636363636363</v>
      </c>
      <c r="J20" s="2">
        <v>519.41747572815495</v>
      </c>
      <c r="K20" s="1">
        <v>0.54698457223001296</v>
      </c>
      <c r="N20" s="3">
        <f t="shared" si="1"/>
        <v>519.88269794721396</v>
      </c>
      <c r="O20" s="21">
        <f t="shared" si="2"/>
        <v>131842.81842818399</v>
      </c>
      <c r="P20" s="3">
        <f t="shared" si="3"/>
        <v>519.97614788312399</v>
      </c>
      <c r="Q20" s="17">
        <f t="shared" si="4"/>
        <v>-1.6811940298507399E-4</v>
      </c>
      <c r="R20" s="3">
        <f t="shared" si="5"/>
        <v>520.070216500877</v>
      </c>
      <c r="S20" s="24">
        <f t="shared" si="6"/>
        <v>3.55636363636363</v>
      </c>
      <c r="T20" s="3">
        <f t="shared" si="7"/>
        <v>519.41747572815495</v>
      </c>
      <c r="U20" s="51">
        <f t="shared" si="8"/>
        <v>0.54698457223001296</v>
      </c>
      <c r="V20" s="42">
        <f t="shared" si="9"/>
        <v>0.54425515722565387</v>
      </c>
      <c r="W20" s="49">
        <f t="shared" si="10"/>
        <v>4.9899305079693047E-3</v>
      </c>
    </row>
    <row r="21" spans="2:23" x14ac:dyDescent="0.6">
      <c r="B21" s="2">
        <v>540.058651026392</v>
      </c>
      <c r="C21" s="1">
        <v>129945.799457994</v>
      </c>
      <c r="D21" s="2"/>
      <c r="E21" s="1"/>
      <c r="F21" s="2">
        <v>540.01192605843698</v>
      </c>
      <c r="G21" s="1">
        <v>-171.94029850746199</v>
      </c>
      <c r="H21" s="2">
        <v>540.19894675248599</v>
      </c>
      <c r="I21" s="1">
        <v>3.4909090909090899</v>
      </c>
      <c r="J21" s="2">
        <v>539.48220064724899</v>
      </c>
      <c r="K21" s="1">
        <v>0.59467040673211702</v>
      </c>
      <c r="N21" s="3">
        <f t="shared" si="1"/>
        <v>540.058651026392</v>
      </c>
      <c r="O21" s="21">
        <f t="shared" si="2"/>
        <v>129945.799457994</v>
      </c>
      <c r="P21" s="3">
        <f t="shared" si="3"/>
        <v>540.01192605843698</v>
      </c>
      <c r="Q21" s="17">
        <f t="shared" si="4"/>
        <v>-1.7194029850746198E-4</v>
      </c>
      <c r="R21" s="3">
        <f t="shared" si="5"/>
        <v>540.19894675248599</v>
      </c>
      <c r="S21" s="24">
        <f t="shared" si="6"/>
        <v>3.4909090909090899</v>
      </c>
      <c r="T21" s="3">
        <f t="shared" si="7"/>
        <v>539.48220064724899</v>
      </c>
      <c r="U21" s="51">
        <f t="shared" si="8"/>
        <v>0.59467040673211702</v>
      </c>
      <c r="V21" s="42">
        <f t="shared" si="9"/>
        <v>0.59368514093992886</v>
      </c>
      <c r="W21" s="49">
        <f t="shared" si="10"/>
        <v>1.6568266741277358E-3</v>
      </c>
    </row>
    <row r="22" spans="2:23" x14ac:dyDescent="0.6">
      <c r="B22" s="2">
        <v>559.76539589442802</v>
      </c>
      <c r="C22" s="1">
        <v>128184.281842818</v>
      </c>
      <c r="D22" s="2"/>
      <c r="E22" s="1"/>
      <c r="F22" s="2">
        <v>560.04770423374998</v>
      </c>
      <c r="G22" s="1">
        <v>-175.283582089552</v>
      </c>
      <c r="H22" s="2">
        <v>559.85956699824396</v>
      </c>
      <c r="I22" s="1">
        <v>3.4399999999999902</v>
      </c>
      <c r="J22" s="2">
        <v>559.87055016181205</v>
      </c>
      <c r="K22" s="1">
        <v>0.64516129032257996</v>
      </c>
      <c r="N22" s="3">
        <f t="shared" si="1"/>
        <v>559.76539589442802</v>
      </c>
      <c r="O22" s="21">
        <f t="shared" si="2"/>
        <v>128184.281842818</v>
      </c>
      <c r="P22" s="3">
        <f t="shared" si="3"/>
        <v>560.04770423374998</v>
      </c>
      <c r="Q22" s="17">
        <f t="shared" si="4"/>
        <v>-1.75283582089552E-4</v>
      </c>
      <c r="R22" s="3">
        <f t="shared" si="5"/>
        <v>559.85956699824396</v>
      </c>
      <c r="S22" s="24">
        <f t="shared" si="6"/>
        <v>3.4399999999999902</v>
      </c>
      <c r="T22" s="3">
        <f t="shared" si="7"/>
        <v>559.87055016181205</v>
      </c>
      <c r="U22" s="51">
        <f t="shared" si="8"/>
        <v>0.64516129032257996</v>
      </c>
      <c r="V22" s="42">
        <f t="shared" si="9"/>
        <v>0.64098288788606195</v>
      </c>
      <c r="W22" s="49">
        <f t="shared" si="10"/>
        <v>6.4765237766029283E-3</v>
      </c>
    </row>
    <row r="23" spans="2:23" x14ac:dyDescent="0.6">
      <c r="B23" s="2">
        <v>579.94134897360595</v>
      </c>
      <c r="C23" s="1">
        <v>126422.76422764199</v>
      </c>
      <c r="D23" s="2"/>
      <c r="E23" s="1"/>
      <c r="F23" s="2">
        <v>580.08348240906298</v>
      </c>
      <c r="G23" s="1">
        <v>-178.86567164179101</v>
      </c>
      <c r="H23" s="2">
        <v>579.98829724985296</v>
      </c>
      <c r="I23" s="1">
        <v>3.3890909090908998</v>
      </c>
      <c r="J23" s="2">
        <v>579.93527508090597</v>
      </c>
      <c r="K23" s="1">
        <v>0.69354838709677402</v>
      </c>
      <c r="N23" s="3">
        <f t="shared" si="1"/>
        <v>579.94134897360595</v>
      </c>
      <c r="O23" s="21">
        <f t="shared" si="2"/>
        <v>126422.76422764199</v>
      </c>
      <c r="P23" s="3">
        <f t="shared" si="3"/>
        <v>580.08348240906298</v>
      </c>
      <c r="Q23" s="17">
        <f t="shared" si="4"/>
        <v>-1.7886567164179101E-4</v>
      </c>
      <c r="R23" s="3">
        <f t="shared" si="5"/>
        <v>579.98829724985296</v>
      </c>
      <c r="S23" s="24">
        <f t="shared" si="6"/>
        <v>3.3890909090908998</v>
      </c>
      <c r="T23" s="3">
        <f t="shared" si="7"/>
        <v>579.93527508090597</v>
      </c>
      <c r="U23" s="51">
        <f t="shared" si="8"/>
        <v>0.69354838709677402</v>
      </c>
      <c r="V23" s="42">
        <f t="shared" si="9"/>
        <v>0.69211073369681919</v>
      </c>
      <c r="W23" s="49">
        <f t="shared" si="10"/>
        <v>2.0728955999348721E-3</v>
      </c>
    </row>
    <row r="24" spans="2:23" x14ac:dyDescent="0.6">
      <c r="B24" s="2">
        <v>600.11730205278502</v>
      </c>
      <c r="C24" s="1">
        <v>124661.246612466</v>
      </c>
      <c r="D24" s="2"/>
      <c r="E24" s="1"/>
      <c r="F24" s="2">
        <v>600.11926058437598</v>
      </c>
      <c r="G24" s="1">
        <v>-181.97014925373099</v>
      </c>
      <c r="H24" s="2">
        <v>600.11702750146196</v>
      </c>
      <c r="I24" s="1">
        <v>3.3309090909090902</v>
      </c>
      <c r="J24" s="2">
        <v>600</v>
      </c>
      <c r="K24" s="1">
        <v>0.74403927068723696</v>
      </c>
      <c r="N24" s="3">
        <f t="shared" si="1"/>
        <v>600.11730205278502</v>
      </c>
      <c r="O24" s="21">
        <f t="shared" si="2"/>
        <v>124661.246612466</v>
      </c>
      <c r="P24" s="3">
        <f t="shared" si="3"/>
        <v>600.11926058437598</v>
      </c>
      <c r="Q24" s="17">
        <f t="shared" si="4"/>
        <v>-1.8197014925373098E-4</v>
      </c>
      <c r="R24" s="3">
        <f t="shared" si="5"/>
        <v>600.11702750146196</v>
      </c>
      <c r="S24" s="24">
        <f t="shared" si="6"/>
        <v>3.3309090909090902</v>
      </c>
      <c r="T24" s="3">
        <f t="shared" si="7"/>
        <v>600</v>
      </c>
      <c r="U24" s="51">
        <f t="shared" si="8"/>
        <v>0.74403927068723696</v>
      </c>
      <c r="V24" s="42">
        <f t="shared" si="9"/>
        <v>0.74356722498975325</v>
      </c>
      <c r="W24" s="49">
        <f t="shared" si="10"/>
        <v>6.3443653592061837E-4</v>
      </c>
    </row>
    <row r="25" spans="2:23" x14ac:dyDescent="0.6">
      <c r="B25" s="28">
        <v>619.82404692082105</v>
      </c>
      <c r="C25" s="29">
        <v>123035.230352303</v>
      </c>
      <c r="D25" s="28"/>
      <c r="E25" s="29"/>
      <c r="F25" s="28">
        <v>620.15503875969</v>
      </c>
      <c r="G25" s="29">
        <v>-185.07462686567101</v>
      </c>
      <c r="H25" s="28">
        <v>620.24575775307198</v>
      </c>
      <c r="I25" s="29">
        <v>3.28727272727272</v>
      </c>
      <c r="J25" s="28">
        <v>619.74110032362398</v>
      </c>
      <c r="K25" s="29">
        <v>0.79523141654978902</v>
      </c>
      <c r="N25" s="3">
        <f t="shared" si="1"/>
        <v>619.82404692082105</v>
      </c>
      <c r="O25" s="21">
        <f t="shared" si="2"/>
        <v>123035.230352303</v>
      </c>
      <c r="P25" s="3">
        <f t="shared" si="3"/>
        <v>620.15503875969</v>
      </c>
      <c r="Q25" s="17">
        <f t="shared" si="4"/>
        <v>-1.85074626865671E-4</v>
      </c>
      <c r="R25" s="3">
        <f t="shared" si="5"/>
        <v>620.24575775307198</v>
      </c>
      <c r="S25" s="24">
        <f t="shared" si="6"/>
        <v>3.28727272727272</v>
      </c>
      <c r="T25" s="3">
        <f t="shared" si="7"/>
        <v>619.74110032362398</v>
      </c>
      <c r="U25" s="51">
        <f t="shared" si="8"/>
        <v>0.79523141654978902</v>
      </c>
      <c r="V25" s="42">
        <f t="shared" si="9"/>
        <v>0.79450715723119847</v>
      </c>
      <c r="W25" s="49">
        <f t="shared" si="10"/>
        <v>9.1075289974437549E-4</v>
      </c>
    </row>
    <row r="26" spans="2:23" x14ac:dyDescent="0.6">
      <c r="B26" s="2">
        <v>640</v>
      </c>
      <c r="C26" s="1">
        <v>121544.715447154</v>
      </c>
      <c r="D26" s="2"/>
      <c r="E26" s="1"/>
      <c r="F26" s="2">
        <v>640.190816935003</v>
      </c>
      <c r="G26" s="1">
        <v>-187.46268656716401</v>
      </c>
      <c r="H26" s="2">
        <v>639.90637799882904</v>
      </c>
      <c r="I26" s="1">
        <v>3.2436363636363601</v>
      </c>
      <c r="J26" s="2">
        <v>639.80582524271802</v>
      </c>
      <c r="K26" s="1">
        <v>0.84502103786816196</v>
      </c>
      <c r="N26" s="3">
        <f t="shared" si="1"/>
        <v>640</v>
      </c>
      <c r="O26" s="21">
        <f t="shared" si="2"/>
        <v>121544.715447154</v>
      </c>
      <c r="P26" s="3">
        <f t="shared" si="3"/>
        <v>640.190816935003</v>
      </c>
      <c r="Q26" s="17">
        <f t="shared" si="4"/>
        <v>-1.8746268656716402E-4</v>
      </c>
      <c r="R26" s="3">
        <f t="shared" si="5"/>
        <v>639.90637799882904</v>
      </c>
      <c r="S26" s="24">
        <f t="shared" si="6"/>
        <v>3.2436363636363601</v>
      </c>
      <c r="T26" s="3">
        <f t="shared" si="7"/>
        <v>639.80582524271802</v>
      </c>
      <c r="U26" s="51">
        <f t="shared" si="8"/>
        <v>0.84502103786816196</v>
      </c>
      <c r="V26" s="42">
        <f t="shared" si="9"/>
        <v>0.84252303583668031</v>
      </c>
      <c r="W26" s="49">
        <f t="shared" si="10"/>
        <v>2.9561418231475816E-3</v>
      </c>
    </row>
    <row r="27" spans="2:23" x14ac:dyDescent="0.6">
      <c r="B27" s="2">
        <v>660.17595307917895</v>
      </c>
      <c r="C27" s="1">
        <v>120054.200542005</v>
      </c>
      <c r="D27" s="2"/>
      <c r="E27" s="1"/>
      <c r="F27" s="2">
        <v>660.226595110316</v>
      </c>
      <c r="G27" s="1">
        <v>-190.08955223880599</v>
      </c>
      <c r="H27" s="2">
        <v>660.03510825043804</v>
      </c>
      <c r="I27" s="1">
        <v>3.2072727272727199</v>
      </c>
      <c r="J27" s="2">
        <v>659.87055016181205</v>
      </c>
      <c r="K27" s="1">
        <v>0.89270687237026602</v>
      </c>
      <c r="N27" s="3">
        <f t="shared" si="1"/>
        <v>660.17595307917895</v>
      </c>
      <c r="O27" s="21">
        <f t="shared" si="2"/>
        <v>120054.200542005</v>
      </c>
      <c r="P27" s="3">
        <f t="shared" si="3"/>
        <v>660.226595110316</v>
      </c>
      <c r="Q27" s="17">
        <f t="shared" si="4"/>
        <v>-1.9008955223880598E-4</v>
      </c>
      <c r="R27" s="3">
        <f t="shared" si="5"/>
        <v>660.03510825043804</v>
      </c>
      <c r="S27" s="24">
        <f t="shared" si="6"/>
        <v>3.2072727272727199</v>
      </c>
      <c r="T27" s="3">
        <f t="shared" si="7"/>
        <v>659.87055016181205</v>
      </c>
      <c r="U27" s="51">
        <f t="shared" si="8"/>
        <v>0.89270687237026602</v>
      </c>
      <c r="V27" s="42">
        <f t="shared" si="9"/>
        <v>0.89251743880427326</v>
      </c>
      <c r="W27" s="49">
        <f t="shared" si="10"/>
        <v>2.1220130801703782E-4</v>
      </c>
    </row>
    <row r="28" spans="2:23" x14ac:dyDescent="0.6">
      <c r="B28" s="2">
        <v>679.88269794721396</v>
      </c>
      <c r="C28" s="1">
        <v>118563.685636856</v>
      </c>
      <c r="D28" s="2"/>
      <c r="E28" s="1"/>
      <c r="F28" s="2">
        <v>679.78533094812099</v>
      </c>
      <c r="G28" s="1">
        <v>-191.76119402985</v>
      </c>
      <c r="H28" s="2">
        <v>680.16383850204795</v>
      </c>
      <c r="I28" s="1">
        <v>3.17090909090909</v>
      </c>
      <c r="J28" s="2">
        <v>679.93527508090597</v>
      </c>
      <c r="K28" s="1">
        <v>0.93899018232818998</v>
      </c>
      <c r="N28" s="3">
        <f t="shared" si="1"/>
        <v>679.88269794721396</v>
      </c>
      <c r="O28" s="21">
        <f t="shared" si="2"/>
        <v>118563.685636856</v>
      </c>
      <c r="P28" s="3">
        <f t="shared" si="3"/>
        <v>679.78533094812099</v>
      </c>
      <c r="Q28" s="17">
        <f t="shared" si="4"/>
        <v>-1.9176119402985E-4</v>
      </c>
      <c r="R28" s="3">
        <f t="shared" si="5"/>
        <v>680.16383850204795</v>
      </c>
      <c r="S28" s="24">
        <f t="shared" si="6"/>
        <v>3.17090909090909</v>
      </c>
      <c r="T28" s="3">
        <f t="shared" si="7"/>
        <v>679.93527508090597</v>
      </c>
      <c r="U28" s="51">
        <f t="shared" si="8"/>
        <v>0.93899018232818998</v>
      </c>
      <c r="V28" s="42">
        <f t="shared" si="9"/>
        <v>0.93488227013344893</v>
      </c>
      <c r="W28" s="49">
        <f t="shared" si="10"/>
        <v>4.3748191110535763E-3</v>
      </c>
    </row>
    <row r="29" spans="2:23" x14ac:dyDescent="0.6">
      <c r="B29" s="2">
        <v>700.058651026392</v>
      </c>
      <c r="C29" s="1">
        <v>117208.67208672001</v>
      </c>
      <c r="D29" s="2"/>
      <c r="E29" s="1"/>
      <c r="F29" s="2">
        <v>699.82110912343398</v>
      </c>
      <c r="G29" s="1">
        <v>-193.67164179104401</v>
      </c>
      <c r="H29" s="2">
        <v>699.82445874780501</v>
      </c>
      <c r="I29" s="1">
        <v>3.1418181818181798</v>
      </c>
      <c r="J29" s="2">
        <v>699.67637540452995</v>
      </c>
      <c r="K29" s="1">
        <v>0.98036465638148595</v>
      </c>
      <c r="N29" s="3">
        <f t="shared" si="1"/>
        <v>700.058651026392</v>
      </c>
      <c r="O29" s="21">
        <f t="shared" si="2"/>
        <v>117208.67208672001</v>
      </c>
      <c r="P29" s="3">
        <f t="shared" si="3"/>
        <v>699.82110912343398</v>
      </c>
      <c r="Q29" s="17">
        <f t="shared" si="4"/>
        <v>-1.93671641791044E-4</v>
      </c>
      <c r="R29" s="3">
        <f t="shared" si="5"/>
        <v>699.82445874780501</v>
      </c>
      <c r="S29" s="24">
        <f t="shared" si="6"/>
        <v>3.1418181818181798</v>
      </c>
      <c r="T29" s="3">
        <f t="shared" si="7"/>
        <v>699.67637540452995</v>
      </c>
      <c r="U29" s="51">
        <f t="shared" si="8"/>
        <v>0.98036465638148595</v>
      </c>
      <c r="V29" s="42">
        <f t="shared" si="9"/>
        <v>0.9790569969882672</v>
      </c>
      <c r="W29" s="49">
        <f t="shared" si="10"/>
        <v>1.3338499962302873E-3</v>
      </c>
    </row>
    <row r="30" spans="2:23" x14ac:dyDescent="0.6">
      <c r="B30" s="2">
        <v>720.23460410557095</v>
      </c>
      <c r="C30" s="1">
        <v>115718.157181571</v>
      </c>
      <c r="D30" s="2"/>
      <c r="E30" s="1"/>
      <c r="F30" s="2">
        <v>719.85688729874698</v>
      </c>
      <c r="G30" s="1">
        <v>-194.86567164179101</v>
      </c>
      <c r="H30" s="2">
        <v>719.95318899941401</v>
      </c>
      <c r="I30" s="1">
        <v>3.1127272727272701</v>
      </c>
      <c r="J30" s="2">
        <v>720.06472491909301</v>
      </c>
      <c r="K30" s="1">
        <v>1.0182328190743299</v>
      </c>
      <c r="N30" s="3">
        <f t="shared" si="1"/>
        <v>720.23460410557095</v>
      </c>
      <c r="O30" s="21">
        <f t="shared" si="2"/>
        <v>115718.157181571</v>
      </c>
      <c r="P30" s="3">
        <f t="shared" si="3"/>
        <v>719.85688729874698</v>
      </c>
      <c r="Q30" s="17">
        <f t="shared" si="4"/>
        <v>-1.94865671641791E-4</v>
      </c>
      <c r="R30" s="3">
        <f t="shared" si="5"/>
        <v>719.95318899941401</v>
      </c>
      <c r="S30" s="24">
        <f t="shared" si="6"/>
        <v>3.1127272727272701</v>
      </c>
      <c r="T30" s="3">
        <f t="shared" si="7"/>
        <v>720.06472491909301</v>
      </c>
      <c r="U30" s="51">
        <f t="shared" si="8"/>
        <v>1.0182328190743299</v>
      </c>
      <c r="V30" s="42">
        <f t="shared" si="9"/>
        <v>1.0164889252774456</v>
      </c>
      <c r="W30" s="49">
        <f t="shared" si="10"/>
        <v>1.7126670484552808E-3</v>
      </c>
    </row>
    <row r="31" spans="2:23" x14ac:dyDescent="0.6">
      <c r="B31" s="2">
        <v>739.94134897360698</v>
      </c>
      <c r="C31" s="1">
        <v>114363.143631436</v>
      </c>
      <c r="D31" s="2"/>
      <c r="E31" s="1"/>
      <c r="F31" s="2">
        <v>739.89266547405998</v>
      </c>
      <c r="G31" s="1">
        <v>-195.82089552238801</v>
      </c>
      <c r="H31" s="2">
        <v>740.08191925102301</v>
      </c>
      <c r="I31" s="1">
        <v>3.07636363636363</v>
      </c>
      <c r="J31" s="2">
        <v>740.12944983818704</v>
      </c>
      <c r="K31" s="1">
        <v>1.0504908835904601</v>
      </c>
      <c r="N31" s="3">
        <f t="shared" si="1"/>
        <v>739.94134897360698</v>
      </c>
      <c r="O31" s="21">
        <f t="shared" si="2"/>
        <v>114363.143631436</v>
      </c>
      <c r="P31" s="3">
        <f t="shared" si="3"/>
        <v>739.89266547405998</v>
      </c>
      <c r="Q31" s="17">
        <f t="shared" si="4"/>
        <v>-1.9582089552238799E-4</v>
      </c>
      <c r="R31" s="3">
        <f t="shared" si="5"/>
        <v>740.08191925102301</v>
      </c>
      <c r="S31" s="24">
        <f t="shared" si="6"/>
        <v>3.07636363636363</v>
      </c>
      <c r="T31" s="3">
        <f t="shared" si="7"/>
        <v>740.12944983818704</v>
      </c>
      <c r="U31" s="51">
        <f t="shared" si="8"/>
        <v>1.0504908835904601</v>
      </c>
      <c r="V31" s="42">
        <f t="shared" si="9"/>
        <v>1.0550527296868524</v>
      </c>
      <c r="W31" s="49">
        <f t="shared" si="10"/>
        <v>-4.3425851358180672E-3</v>
      </c>
    </row>
    <row r="32" spans="2:23" x14ac:dyDescent="0.6">
      <c r="B32" s="2">
        <v>760.11730205278604</v>
      </c>
      <c r="C32" s="1">
        <v>112872.628726287</v>
      </c>
      <c r="D32" s="2"/>
      <c r="E32" s="1"/>
      <c r="F32" s="2">
        <v>759.92844364937298</v>
      </c>
      <c r="G32" s="1">
        <v>-196.05970149253699</v>
      </c>
      <c r="H32" s="2">
        <v>760.21064950263303</v>
      </c>
      <c r="I32" s="1">
        <v>3.0618181818181802</v>
      </c>
      <c r="J32" s="2">
        <v>759.87055016181205</v>
      </c>
      <c r="K32" s="1">
        <v>1.0764375876577801</v>
      </c>
      <c r="N32" s="3">
        <f t="shared" si="1"/>
        <v>760.11730205278604</v>
      </c>
      <c r="O32" s="21">
        <f t="shared" si="2"/>
        <v>112872.628726287</v>
      </c>
      <c r="P32" s="3">
        <f t="shared" si="3"/>
        <v>759.92844364937298</v>
      </c>
      <c r="Q32" s="17">
        <f t="shared" si="4"/>
        <v>-1.9605970149253697E-4</v>
      </c>
      <c r="R32" s="3">
        <f t="shared" si="5"/>
        <v>760.21064950263303</v>
      </c>
      <c r="S32" s="24">
        <f t="shared" si="6"/>
        <v>3.0618181818181802</v>
      </c>
      <c r="T32" s="3">
        <f t="shared" si="7"/>
        <v>759.87055016181205</v>
      </c>
      <c r="U32" s="51">
        <f t="shared" si="8"/>
        <v>1.0764375876577801</v>
      </c>
      <c r="V32" s="42">
        <f t="shared" si="9"/>
        <v>1.0767764019332977</v>
      </c>
      <c r="W32" s="49">
        <f t="shared" si="10"/>
        <v>-3.1475515106719294E-4</v>
      </c>
    </row>
    <row r="33" spans="2:23" x14ac:dyDescent="0.6">
      <c r="B33" s="2">
        <v>779.82404692082105</v>
      </c>
      <c r="C33" s="1">
        <v>111517.615176151</v>
      </c>
      <c r="D33" s="2"/>
      <c r="E33" s="1"/>
      <c r="F33" s="2">
        <v>779.96422182468598</v>
      </c>
      <c r="G33" s="1">
        <v>-196.05970149253699</v>
      </c>
      <c r="H33" s="2">
        <v>779.87126974838998</v>
      </c>
      <c r="I33" s="1">
        <v>3.0472727272727198</v>
      </c>
      <c r="J33" s="2">
        <v>779.93527508090597</v>
      </c>
      <c r="K33" s="1">
        <v>1.0995792426367399</v>
      </c>
      <c r="N33" s="3">
        <f t="shared" si="1"/>
        <v>779.82404692082105</v>
      </c>
      <c r="O33" s="21">
        <f t="shared" si="2"/>
        <v>111517.615176151</v>
      </c>
      <c r="P33" s="3">
        <f t="shared" si="3"/>
        <v>779.96422182468598</v>
      </c>
      <c r="Q33" s="17">
        <f t="shared" si="4"/>
        <v>-1.9605970149253697E-4</v>
      </c>
      <c r="R33" s="3">
        <f t="shared" si="5"/>
        <v>779.87126974838998</v>
      </c>
      <c r="S33" s="24">
        <f t="shared" si="6"/>
        <v>3.0472727272727198</v>
      </c>
      <c r="T33" s="3">
        <f t="shared" si="7"/>
        <v>779.93527508090597</v>
      </c>
      <c r="U33" s="51">
        <f t="shared" si="8"/>
        <v>1.0995792426367399</v>
      </c>
      <c r="V33" s="42">
        <f t="shared" si="9"/>
        <v>1.0971534823382865</v>
      </c>
      <c r="W33" s="49">
        <f t="shared" si="10"/>
        <v>2.2060804755067651E-3</v>
      </c>
    </row>
    <row r="34" spans="2:23" x14ac:dyDescent="0.6">
      <c r="B34" s="2">
        <v>800</v>
      </c>
      <c r="C34" s="1">
        <v>110027.100271002</v>
      </c>
      <c r="D34" s="2"/>
      <c r="E34" s="1"/>
      <c r="F34" s="2">
        <v>799.99999999999898</v>
      </c>
      <c r="G34" s="1">
        <v>-195.10447761194001</v>
      </c>
      <c r="H34" s="2">
        <v>799.99999999999898</v>
      </c>
      <c r="I34" s="1">
        <v>3.0254545454545401</v>
      </c>
      <c r="J34" s="2">
        <v>800</v>
      </c>
      <c r="K34" s="1">
        <v>1.1093969144460001</v>
      </c>
      <c r="N34" s="3">
        <f t="shared" si="1"/>
        <v>800</v>
      </c>
      <c r="O34" s="21">
        <f t="shared" si="2"/>
        <v>110027.100271002</v>
      </c>
      <c r="P34" s="3">
        <f t="shared" si="3"/>
        <v>799.99999999999898</v>
      </c>
      <c r="Q34" s="17">
        <f t="shared" si="4"/>
        <v>-1.9510447761194E-4</v>
      </c>
      <c r="R34" s="3">
        <f t="shared" si="5"/>
        <v>799.99999999999898</v>
      </c>
      <c r="S34" s="24">
        <f t="shared" si="6"/>
        <v>3.0254545454545401</v>
      </c>
      <c r="T34" s="3">
        <f t="shared" si="7"/>
        <v>800</v>
      </c>
      <c r="U34" s="51">
        <f t="shared" si="8"/>
        <v>1.1093969144460001</v>
      </c>
      <c r="V34" s="42">
        <f t="shared" si="9"/>
        <v>1.1074738872261403</v>
      </c>
      <c r="W34" s="49">
        <f t="shared" si="10"/>
        <v>1.7333987455879318E-3</v>
      </c>
    </row>
    <row r="35" spans="2:23" x14ac:dyDescent="0.6">
      <c r="B35" s="2"/>
      <c r="C35" s="1"/>
      <c r="D35" s="2"/>
      <c r="E35" s="1"/>
      <c r="F35" s="2"/>
      <c r="G35" s="1"/>
      <c r="H35" s="2"/>
      <c r="I35" s="1"/>
      <c r="J35" s="2"/>
      <c r="K35" s="1"/>
      <c r="N35" s="2"/>
      <c r="O35" s="43"/>
      <c r="P35" s="2"/>
      <c r="Q35" s="44"/>
      <c r="R35" s="2"/>
      <c r="S35" s="45"/>
      <c r="T35" s="2"/>
      <c r="U35" s="54"/>
      <c r="V35" s="42"/>
      <c r="W35" s="49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2"/>
      <c r="O36" s="43"/>
      <c r="P36" s="2"/>
      <c r="Q36" s="44"/>
      <c r="R36" s="2"/>
      <c r="S36" s="45"/>
      <c r="T36" s="2"/>
      <c r="U36" s="54"/>
      <c r="V36" s="42"/>
      <c r="W36" s="49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2"/>
      <c r="O37" s="43"/>
      <c r="P37" s="2"/>
      <c r="Q37" s="44"/>
      <c r="R37" s="2"/>
      <c r="S37" s="45"/>
      <c r="T37" s="2"/>
      <c r="U37" s="54"/>
      <c r="V37" s="42"/>
      <c r="W37" s="49"/>
    </row>
    <row r="38" spans="2:23" x14ac:dyDescent="0.6">
      <c r="B38" s="30"/>
      <c r="C38" s="30"/>
      <c r="D38" s="30"/>
      <c r="E38" s="30"/>
      <c r="F38" s="30"/>
      <c r="G38" s="30"/>
      <c r="H38" s="30"/>
      <c r="I38" s="30"/>
      <c r="J38" s="30"/>
      <c r="K38" s="30"/>
      <c r="N38" s="30"/>
      <c r="O38" s="39"/>
      <c r="P38" s="30"/>
      <c r="Q38" s="40"/>
      <c r="R38" s="30"/>
      <c r="S38" s="41"/>
      <c r="T38" s="30"/>
      <c r="U38" s="41"/>
      <c r="V38"/>
    </row>
    <row r="39" spans="2:23" x14ac:dyDescent="0.6">
      <c r="B39" s="31"/>
      <c r="C39" s="31"/>
      <c r="D39" s="31"/>
      <c r="E39" s="31"/>
      <c r="F39" s="31"/>
      <c r="G39" s="31"/>
      <c r="H39" s="31"/>
      <c r="I39" s="31"/>
      <c r="J39" s="31"/>
      <c r="K39" s="31"/>
      <c r="N39" s="31"/>
      <c r="O39" s="36"/>
      <c r="P39" s="31"/>
      <c r="Q39" s="37"/>
      <c r="R39" s="31"/>
      <c r="S39" s="38"/>
      <c r="T39" s="31"/>
      <c r="U39" s="38"/>
      <c r="V39"/>
    </row>
    <row r="40" spans="2:23" x14ac:dyDescent="0.6">
      <c r="B40" s="31"/>
      <c r="C40" s="31"/>
      <c r="D40" s="31"/>
      <c r="E40" s="31"/>
      <c r="F40" s="31"/>
      <c r="G40" s="31"/>
      <c r="H40" s="31"/>
      <c r="I40" s="31"/>
      <c r="J40" s="31"/>
      <c r="K40" s="31"/>
      <c r="N40" s="31"/>
      <c r="O40" s="36"/>
      <c r="P40" s="31"/>
      <c r="Q40" s="37"/>
      <c r="R40" s="31"/>
      <c r="S40" s="38"/>
      <c r="T40" s="31"/>
      <c r="U40" s="38"/>
      <c r="V40"/>
    </row>
    <row r="41" spans="2:23" x14ac:dyDescent="0.6">
      <c r="B41" s="31"/>
      <c r="C41" s="31"/>
      <c r="D41" s="31"/>
      <c r="E41" s="31"/>
      <c r="F41" s="31"/>
      <c r="G41" s="31"/>
      <c r="H41" s="31"/>
      <c r="I41" s="31"/>
      <c r="J41" s="31"/>
      <c r="K41" s="31"/>
      <c r="N41" s="31"/>
      <c r="O41" s="36"/>
      <c r="P41" s="31"/>
      <c r="Q41" s="37"/>
      <c r="R41" s="31"/>
      <c r="S41" s="38"/>
      <c r="T41" s="31"/>
      <c r="U41" s="38"/>
      <c r="V41"/>
    </row>
    <row r="42" spans="2:23" x14ac:dyDescent="0.6">
      <c r="B42" s="31"/>
      <c r="C42" s="31"/>
      <c r="D42" s="31"/>
      <c r="E42" s="31"/>
      <c r="F42" s="31"/>
      <c r="G42" s="31"/>
      <c r="H42" s="31"/>
      <c r="I42" s="31"/>
      <c r="J42" s="31"/>
      <c r="K42" s="31"/>
      <c r="N42" s="31"/>
      <c r="O42" s="36"/>
      <c r="P42" s="31"/>
      <c r="Q42" s="37"/>
      <c r="R42" s="31"/>
      <c r="S42" s="38"/>
      <c r="T42" s="31"/>
      <c r="U42" s="38"/>
      <c r="V42"/>
    </row>
    <row r="44" spans="2:23" ht="17.25" thickBot="1" x14ac:dyDescent="0.65">
      <c r="B44" t="s">
        <v>79</v>
      </c>
    </row>
    <row r="45" spans="2:23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  <c r="N45" s="5" t="s">
        <v>3</v>
      </c>
      <c r="O45" s="19" t="s">
        <v>0</v>
      </c>
      <c r="P45" s="7" t="s">
        <v>3</v>
      </c>
      <c r="Q45" s="15" t="s">
        <v>1</v>
      </c>
      <c r="R45" s="7" t="s">
        <v>3</v>
      </c>
      <c r="S45" s="23" t="s">
        <v>2</v>
      </c>
      <c r="T45" s="7" t="s">
        <v>3</v>
      </c>
      <c r="U45" s="25" t="s">
        <v>6</v>
      </c>
    </row>
    <row r="46" spans="2:23" ht="17.25" thickBot="1" x14ac:dyDescent="0.65">
      <c r="B46" s="9" t="s">
        <v>4</v>
      </c>
      <c r="C46" s="10" t="s">
        <v>46</v>
      </c>
      <c r="D46" s="11" t="s">
        <v>4</v>
      </c>
      <c r="E46" s="10" t="s">
        <v>11</v>
      </c>
      <c r="F46" s="11" t="s">
        <v>4</v>
      </c>
      <c r="G46" s="27" t="s">
        <v>13</v>
      </c>
      <c r="H46" s="11" t="s">
        <v>4</v>
      </c>
      <c r="I46" s="10" t="s">
        <v>15</v>
      </c>
      <c r="J46" s="11" t="s">
        <v>4</v>
      </c>
      <c r="K46" s="12" t="s">
        <v>7</v>
      </c>
      <c r="N46" s="9" t="s">
        <v>4</v>
      </c>
      <c r="O46" s="20" t="s">
        <v>5</v>
      </c>
      <c r="P46" s="11" t="s">
        <v>4</v>
      </c>
      <c r="Q46" s="16" t="s">
        <v>14</v>
      </c>
      <c r="R46" s="11" t="s">
        <v>4</v>
      </c>
      <c r="S46" s="10" t="s">
        <v>15</v>
      </c>
      <c r="T46" s="11" t="s">
        <v>4</v>
      </c>
      <c r="U46" s="26" t="s">
        <v>7</v>
      </c>
      <c r="W46" t="s">
        <v>78</v>
      </c>
    </row>
    <row r="47" spans="2:23" x14ac:dyDescent="0.6">
      <c r="B47" s="3">
        <v>37.479799999999997</v>
      </c>
      <c r="C47" s="4">
        <v>222388</v>
      </c>
      <c r="D47" s="3"/>
      <c r="E47" s="4"/>
      <c r="F47" s="3">
        <v>36.498600000000003</v>
      </c>
      <c r="G47" s="4">
        <v>-17.501999999999999</v>
      </c>
      <c r="H47" s="3">
        <v>24.860700000000001</v>
      </c>
      <c r="I47" s="4">
        <v>7.5469400000000002</v>
      </c>
      <c r="J47" s="3">
        <v>300</v>
      </c>
      <c r="K47" s="4">
        <v>0.180092</v>
      </c>
      <c r="N47" s="3">
        <f>B47</f>
        <v>37.479799999999997</v>
      </c>
      <c r="O47" s="21">
        <f>C47</f>
        <v>222388</v>
      </c>
      <c r="P47" s="3">
        <f>F47</f>
        <v>36.498600000000003</v>
      </c>
      <c r="Q47" s="17">
        <f>G47*0.000001</f>
        <v>-1.7501999999999999E-5</v>
      </c>
      <c r="R47" s="3">
        <f>H47</f>
        <v>24.860700000000001</v>
      </c>
      <c r="S47" s="24">
        <f>I47</f>
        <v>7.5469400000000002</v>
      </c>
      <c r="T47" s="3">
        <f>J47</f>
        <v>300</v>
      </c>
      <c r="U47" s="51">
        <f>K47</f>
        <v>0.180092</v>
      </c>
      <c r="V47" s="42">
        <f>((O54*(Q54)^2)/S55)*T47</f>
        <v>0.17505958765387872</v>
      </c>
      <c r="W47" s="49">
        <f t="shared" ref="W47:W63" si="11">(U47-V47)/U47</f>
        <v>2.7943564101244277E-2</v>
      </c>
    </row>
    <row r="48" spans="2:23" x14ac:dyDescent="0.6">
      <c r="B48" s="3">
        <v>73.667199999999994</v>
      </c>
      <c r="C48" s="4">
        <v>210075</v>
      </c>
      <c r="D48" s="3"/>
      <c r="E48" s="4"/>
      <c r="F48" s="3">
        <v>65.311800000000005</v>
      </c>
      <c r="G48" s="4">
        <v>-33.141199999999998</v>
      </c>
      <c r="H48" s="3">
        <v>43.025700000000001</v>
      </c>
      <c r="I48" s="4">
        <v>8.2275899999999993</v>
      </c>
      <c r="J48" s="3">
        <v>340.74700000000001</v>
      </c>
      <c r="K48" s="4">
        <v>0.22787099999999999</v>
      </c>
      <c r="N48" s="3">
        <f t="shared" ref="N48:N63" si="12">B48</f>
        <v>73.667199999999994</v>
      </c>
      <c r="O48" s="21">
        <f t="shared" ref="O48:O63" si="13">C48</f>
        <v>210075</v>
      </c>
      <c r="P48" s="3">
        <f t="shared" ref="P48:P63" si="14">F48</f>
        <v>65.311800000000005</v>
      </c>
      <c r="Q48" s="17">
        <f t="shared" ref="Q48:Q63" si="15">G48*0.000001</f>
        <v>-3.3141199999999994E-5</v>
      </c>
      <c r="R48" s="3">
        <f t="shared" ref="R48:R63" si="16">H48</f>
        <v>43.025700000000001</v>
      </c>
      <c r="S48" s="24">
        <f t="shared" ref="S48:S63" si="17">I48</f>
        <v>8.2275899999999993</v>
      </c>
      <c r="T48" s="3">
        <f t="shared" ref="T48:T63" si="18">J48</f>
        <v>340.74700000000001</v>
      </c>
      <c r="U48" s="51">
        <f t="shared" ref="U48:U63" si="19">K48</f>
        <v>0.22787099999999999</v>
      </c>
      <c r="V48" s="42">
        <f>((O55*(Q55)^2)/S55)*T48</f>
        <v>0.21199652162357704</v>
      </c>
      <c r="W48" s="49">
        <f t="shared" si="11"/>
        <v>6.9664320498979457E-2</v>
      </c>
    </row>
    <row r="49" spans="2:23" x14ac:dyDescent="0.6">
      <c r="B49" s="2">
        <v>107.27</v>
      </c>
      <c r="C49" s="1">
        <v>200373</v>
      </c>
      <c r="D49" s="2"/>
      <c r="E49" s="1"/>
      <c r="F49" s="2">
        <v>94.133399999999995</v>
      </c>
      <c r="G49" s="1">
        <v>-50.087699999999998</v>
      </c>
      <c r="H49" s="2">
        <v>69.529799999999994</v>
      </c>
      <c r="I49" s="1">
        <v>7.79183</v>
      </c>
      <c r="J49" s="2">
        <v>386.58699999999999</v>
      </c>
      <c r="K49" s="1">
        <v>0.28851500000000002</v>
      </c>
      <c r="N49" s="3">
        <f t="shared" si="12"/>
        <v>107.27</v>
      </c>
      <c r="O49" s="21">
        <f t="shared" si="13"/>
        <v>200373</v>
      </c>
      <c r="P49" s="3">
        <f t="shared" si="14"/>
        <v>94.133399999999995</v>
      </c>
      <c r="Q49" s="17">
        <f t="shared" si="15"/>
        <v>-5.0087699999999998E-5</v>
      </c>
      <c r="R49" s="3">
        <f t="shared" si="16"/>
        <v>69.529799999999994</v>
      </c>
      <c r="S49" s="24">
        <f t="shared" si="17"/>
        <v>7.79183</v>
      </c>
      <c r="T49" s="3">
        <f t="shared" si="18"/>
        <v>386.58699999999999</v>
      </c>
      <c r="U49" s="51">
        <f t="shared" si="19"/>
        <v>0.28851500000000002</v>
      </c>
      <c r="V49" s="42">
        <f>((O56*(Q56)^2)/S56)*T49</f>
        <v>0.2835393815381283</v>
      </c>
      <c r="W49" s="49">
        <f t="shared" si="11"/>
        <v>1.7245614480604899E-2</v>
      </c>
    </row>
    <row r="50" spans="2:23" x14ac:dyDescent="0.6">
      <c r="B50" s="2">
        <v>148.62700000000001</v>
      </c>
      <c r="C50" s="1">
        <v>191418</v>
      </c>
      <c r="D50" s="2"/>
      <c r="E50" s="1"/>
      <c r="F50" s="2">
        <v>125.54</v>
      </c>
      <c r="G50" s="1">
        <v>-63.1083</v>
      </c>
      <c r="H50" s="2">
        <v>92.381200000000007</v>
      </c>
      <c r="I50" s="1">
        <v>7.0156099999999997</v>
      </c>
      <c r="J50" s="2">
        <v>428.18299999999999</v>
      </c>
      <c r="K50" s="1">
        <v>0.35650799999999999</v>
      </c>
      <c r="N50" s="3">
        <f t="shared" si="12"/>
        <v>148.62700000000001</v>
      </c>
      <c r="O50" s="21">
        <f t="shared" si="13"/>
        <v>191418</v>
      </c>
      <c r="P50" s="3">
        <f t="shared" si="14"/>
        <v>125.54</v>
      </c>
      <c r="Q50" s="17">
        <f t="shared" si="15"/>
        <v>-6.31083E-5</v>
      </c>
      <c r="R50" s="3">
        <f t="shared" si="16"/>
        <v>92.381200000000007</v>
      </c>
      <c r="S50" s="24">
        <f t="shared" si="17"/>
        <v>7.0156099999999997</v>
      </c>
      <c r="T50" s="3">
        <f t="shared" si="18"/>
        <v>428.18299999999999</v>
      </c>
      <c r="U50" s="51">
        <f t="shared" si="19"/>
        <v>0.35650799999999999</v>
      </c>
      <c r="V50" s="42">
        <f>((O57*(Q57)^2)/S57)*T50</f>
        <v>0.35877350457650142</v>
      </c>
      <c r="W50" s="49">
        <f t="shared" si="11"/>
        <v>-6.3547089448243279E-3</v>
      </c>
    </row>
    <row r="51" spans="2:23" x14ac:dyDescent="0.6">
      <c r="B51" s="2">
        <v>184.81399999999999</v>
      </c>
      <c r="C51" s="1">
        <v>182090</v>
      </c>
      <c r="D51" s="2"/>
      <c r="E51" s="1"/>
      <c r="F51" s="2">
        <v>163.49700000000001</v>
      </c>
      <c r="G51" s="1">
        <v>-80.039900000000003</v>
      </c>
      <c r="H51" s="2">
        <v>128.48599999999999</v>
      </c>
      <c r="I51" s="1">
        <v>6.0309699999999999</v>
      </c>
      <c r="J51" s="2">
        <v>468.08100000000002</v>
      </c>
      <c r="K51" s="1">
        <v>0.43185299999999999</v>
      </c>
      <c r="N51" s="3">
        <f t="shared" si="12"/>
        <v>184.81399999999999</v>
      </c>
      <c r="O51" s="21">
        <f t="shared" si="13"/>
        <v>182090</v>
      </c>
      <c r="P51" s="3">
        <f t="shared" si="14"/>
        <v>163.49700000000001</v>
      </c>
      <c r="Q51" s="17">
        <f t="shared" si="15"/>
        <v>-8.0039900000000006E-5</v>
      </c>
      <c r="R51" s="3">
        <f t="shared" si="16"/>
        <v>128.48599999999999</v>
      </c>
      <c r="S51" s="24">
        <f t="shared" si="17"/>
        <v>6.0309699999999999</v>
      </c>
      <c r="T51" s="3">
        <f t="shared" si="18"/>
        <v>468.08100000000002</v>
      </c>
      <c r="U51" s="51">
        <f t="shared" si="19"/>
        <v>0.43185299999999999</v>
      </c>
      <c r="V51" s="42">
        <f>((O58*(Q58)^2)/S58)*T51</f>
        <v>0.44640589985226231</v>
      </c>
      <c r="W51" s="49">
        <f t="shared" si="11"/>
        <v>-3.3698735107229372E-2</v>
      </c>
    </row>
    <row r="52" spans="2:23" x14ac:dyDescent="0.6">
      <c r="B52" s="2">
        <v>223.58600000000001</v>
      </c>
      <c r="C52" s="1">
        <v>174627</v>
      </c>
      <c r="D52" s="2"/>
      <c r="E52" s="1"/>
      <c r="F52" s="2">
        <v>202.75899999999999</v>
      </c>
      <c r="G52" s="1">
        <v>-96.969300000000004</v>
      </c>
      <c r="H52" s="2">
        <v>164.637</v>
      </c>
      <c r="I52" s="1">
        <v>5.5382199999999999</v>
      </c>
      <c r="J52" s="2">
        <v>507.13099999999997</v>
      </c>
      <c r="K52" s="1">
        <v>0.51454800000000001</v>
      </c>
      <c r="N52" s="3">
        <f t="shared" si="12"/>
        <v>223.58600000000001</v>
      </c>
      <c r="O52" s="21">
        <f t="shared" si="13"/>
        <v>174627</v>
      </c>
      <c r="P52" s="3">
        <f t="shared" si="14"/>
        <v>202.75899999999999</v>
      </c>
      <c r="Q52" s="17">
        <f t="shared" si="15"/>
        <v>-9.6969299999999993E-5</v>
      </c>
      <c r="R52" s="3">
        <f t="shared" si="16"/>
        <v>164.637</v>
      </c>
      <c r="S52" s="24">
        <f t="shared" si="17"/>
        <v>5.5382199999999999</v>
      </c>
      <c r="T52" s="3">
        <f t="shared" si="18"/>
        <v>507.13099999999997</v>
      </c>
      <c r="U52" s="51">
        <f t="shared" si="19"/>
        <v>0.51454800000000001</v>
      </c>
      <c r="V52" s="42">
        <f>((O59*(Q59)^2)/S59)*T52</f>
        <v>0.56033542281594384</v>
      </c>
      <c r="W52" s="49">
        <f t="shared" si="11"/>
        <v>-8.8985717204116688E-2</v>
      </c>
    </row>
    <row r="53" spans="2:23" x14ac:dyDescent="0.6">
      <c r="B53" s="2">
        <v>262.35899999999998</v>
      </c>
      <c r="C53" s="1">
        <v>167164</v>
      </c>
      <c r="D53" s="2"/>
      <c r="E53" s="1"/>
      <c r="F53" s="2">
        <v>247.22800000000001</v>
      </c>
      <c r="G53" s="1">
        <v>-111.929</v>
      </c>
      <c r="H53" s="2">
        <v>215.261</v>
      </c>
      <c r="I53" s="1">
        <v>4.9694500000000001</v>
      </c>
      <c r="J53" s="2">
        <v>541.93499999999995</v>
      </c>
      <c r="K53" s="1">
        <v>0.60275699999999999</v>
      </c>
      <c r="N53" s="3">
        <f t="shared" si="12"/>
        <v>262.35899999999998</v>
      </c>
      <c r="O53" s="21">
        <f t="shared" si="13"/>
        <v>167164</v>
      </c>
      <c r="P53" s="3">
        <f t="shared" si="14"/>
        <v>247.22800000000001</v>
      </c>
      <c r="Q53" s="17">
        <f t="shared" si="15"/>
        <v>-1.1192899999999999E-4</v>
      </c>
      <c r="R53" s="3">
        <f t="shared" si="16"/>
        <v>215.261</v>
      </c>
      <c r="S53" s="24">
        <f t="shared" si="17"/>
        <v>4.9694500000000001</v>
      </c>
      <c r="T53" s="3">
        <f t="shared" si="18"/>
        <v>541.93499999999995</v>
      </c>
      <c r="U53" s="51">
        <f t="shared" si="19"/>
        <v>0.60275699999999999</v>
      </c>
      <c r="V53" s="42">
        <f>((O59*(Q59)^2)/S59)*T53</f>
        <v>0.59879080033316534</v>
      </c>
      <c r="W53" s="49">
        <f t="shared" si="11"/>
        <v>6.5800972312800125E-3</v>
      </c>
    </row>
    <row r="54" spans="2:23" x14ac:dyDescent="0.6">
      <c r="B54" s="2">
        <v>305.00799999999998</v>
      </c>
      <c r="C54" s="1">
        <v>159702</v>
      </c>
      <c r="D54" s="2"/>
      <c r="E54" s="1"/>
      <c r="F54" s="2">
        <v>290.38799999999998</v>
      </c>
      <c r="G54" s="1">
        <v>-126.238</v>
      </c>
      <c r="H54" s="2">
        <v>265.90699999999998</v>
      </c>
      <c r="I54" s="1">
        <v>4.6277200000000001</v>
      </c>
      <c r="J54" s="2">
        <v>571.64700000000005</v>
      </c>
      <c r="K54" s="1">
        <v>0.67626299999999995</v>
      </c>
      <c r="N54" s="3">
        <f t="shared" si="12"/>
        <v>305.00799999999998</v>
      </c>
      <c r="O54" s="21">
        <f t="shared" si="13"/>
        <v>159702</v>
      </c>
      <c r="P54" s="3">
        <f t="shared" si="14"/>
        <v>290.38799999999998</v>
      </c>
      <c r="Q54" s="17">
        <f t="shared" si="15"/>
        <v>-1.2623800000000001E-4</v>
      </c>
      <c r="R54" s="3">
        <f t="shared" si="16"/>
        <v>265.90699999999998</v>
      </c>
      <c r="S54" s="24">
        <f t="shared" si="17"/>
        <v>4.6277200000000001</v>
      </c>
      <c r="T54" s="3">
        <f t="shared" si="18"/>
        <v>571.64700000000005</v>
      </c>
      <c r="U54" s="51">
        <f t="shared" si="19"/>
        <v>0.67626299999999995</v>
      </c>
      <c r="V54" s="42">
        <f t="shared" ref="V54" si="20">((O61*(Q61)^2)/S54)*T54</f>
        <v>0.51757304304331353</v>
      </c>
      <c r="W54" s="49">
        <f t="shared" si="11"/>
        <v>0.23465716290361358</v>
      </c>
    </row>
    <row r="55" spans="2:23" x14ac:dyDescent="0.6">
      <c r="B55" s="2">
        <v>348.95</v>
      </c>
      <c r="C55" s="1">
        <v>152612</v>
      </c>
      <c r="D55" s="2"/>
      <c r="E55" s="1"/>
      <c r="F55" s="2">
        <v>342.637</v>
      </c>
      <c r="G55" s="1">
        <v>-133.34200000000001</v>
      </c>
      <c r="H55" s="2">
        <v>327.42</v>
      </c>
      <c r="I55" s="1">
        <v>4.3613999999999997</v>
      </c>
      <c r="J55" s="2">
        <v>603.05600000000004</v>
      </c>
      <c r="K55" s="1">
        <v>0.74977000000000005</v>
      </c>
      <c r="N55" s="3">
        <f t="shared" si="12"/>
        <v>348.95</v>
      </c>
      <c r="O55" s="21">
        <f t="shared" si="13"/>
        <v>152612</v>
      </c>
      <c r="P55" s="3">
        <f t="shared" si="14"/>
        <v>342.637</v>
      </c>
      <c r="Q55" s="17">
        <f t="shared" si="15"/>
        <v>-1.33342E-4</v>
      </c>
      <c r="R55" s="3">
        <f t="shared" si="16"/>
        <v>327.42</v>
      </c>
      <c r="S55" s="24">
        <f t="shared" si="17"/>
        <v>4.3613999999999997</v>
      </c>
      <c r="T55" s="3">
        <f t="shared" si="18"/>
        <v>603.05600000000004</v>
      </c>
      <c r="U55" s="51">
        <f t="shared" si="19"/>
        <v>0.74977000000000005</v>
      </c>
      <c r="V55" s="42">
        <f>((O60*(Q60)^2)/S60)*T55</f>
        <v>0.72934192540426623</v>
      </c>
      <c r="W55" s="49">
        <f t="shared" si="11"/>
        <v>2.724578816935035E-2</v>
      </c>
    </row>
    <row r="56" spans="2:23" x14ac:dyDescent="0.6">
      <c r="B56" s="2">
        <v>401.93900000000002</v>
      </c>
      <c r="C56" s="1">
        <v>144776</v>
      </c>
      <c r="D56" s="2"/>
      <c r="E56" s="1"/>
      <c r="F56" s="2">
        <v>393.60599999999999</v>
      </c>
      <c r="G56" s="1">
        <v>-144.37</v>
      </c>
      <c r="H56" s="2">
        <v>380.488</v>
      </c>
      <c r="I56" s="1">
        <v>4.1141899999999998</v>
      </c>
      <c r="J56" s="2">
        <v>620.88300000000004</v>
      </c>
      <c r="K56" s="1">
        <v>0.79387399999999997</v>
      </c>
      <c r="N56" s="3">
        <f t="shared" si="12"/>
        <v>401.93900000000002</v>
      </c>
      <c r="O56" s="21">
        <f t="shared" si="13"/>
        <v>144776</v>
      </c>
      <c r="P56" s="3">
        <f t="shared" si="14"/>
        <v>393.60599999999999</v>
      </c>
      <c r="Q56" s="17">
        <f t="shared" si="15"/>
        <v>-1.4437E-4</v>
      </c>
      <c r="R56" s="3">
        <f t="shared" si="16"/>
        <v>380.488</v>
      </c>
      <c r="S56" s="24">
        <f t="shared" si="17"/>
        <v>4.1141899999999998</v>
      </c>
      <c r="T56" s="3">
        <f t="shared" si="18"/>
        <v>620.88300000000004</v>
      </c>
      <c r="U56" s="51">
        <f t="shared" si="19"/>
        <v>0.79387399999999997</v>
      </c>
      <c r="V56" s="42">
        <f>((O60*(Q60)^2)/S61)*T56</f>
        <v>0.77330431901138641</v>
      </c>
      <c r="W56" s="49">
        <f t="shared" si="11"/>
        <v>2.5910510973546887E-2</v>
      </c>
    </row>
    <row r="57" spans="2:23" x14ac:dyDescent="0.6">
      <c r="B57" s="2">
        <v>460.09699999999998</v>
      </c>
      <c r="C57" s="1">
        <v>138806</v>
      </c>
      <c r="D57" s="2"/>
      <c r="E57" s="1"/>
      <c r="F57" s="2">
        <v>444.55799999999999</v>
      </c>
      <c r="G57" s="1">
        <v>-152.78399999999999</v>
      </c>
      <c r="H57" s="2">
        <v>433.55599999999998</v>
      </c>
      <c r="I57" s="1">
        <v>3.8669899999999999</v>
      </c>
      <c r="J57" s="2">
        <v>642.10500000000002</v>
      </c>
      <c r="K57" s="1">
        <v>0.85267999999999999</v>
      </c>
      <c r="N57" s="3">
        <f t="shared" si="12"/>
        <v>460.09699999999998</v>
      </c>
      <c r="O57" s="21">
        <f t="shared" si="13"/>
        <v>138806</v>
      </c>
      <c r="P57" s="3">
        <f t="shared" si="14"/>
        <v>444.55799999999999</v>
      </c>
      <c r="Q57" s="17">
        <f t="shared" si="15"/>
        <v>-1.5278399999999999E-4</v>
      </c>
      <c r="R57" s="3">
        <f t="shared" si="16"/>
        <v>433.55599999999998</v>
      </c>
      <c r="S57" s="24">
        <f t="shared" si="17"/>
        <v>3.8669899999999999</v>
      </c>
      <c r="T57" s="3">
        <f t="shared" si="18"/>
        <v>642.10500000000002</v>
      </c>
      <c r="U57" s="51">
        <f t="shared" si="19"/>
        <v>0.85267999999999999</v>
      </c>
      <c r="V57" s="42">
        <f>((O60*(Q61)^2)/S61)*T57</f>
        <v>0.86287984771737014</v>
      </c>
      <c r="W57" s="49">
        <f t="shared" si="11"/>
        <v>-1.1962105030457085E-2</v>
      </c>
    </row>
    <row r="58" spans="2:23" x14ac:dyDescent="0.6">
      <c r="B58" s="2">
        <v>520.84</v>
      </c>
      <c r="C58" s="1">
        <v>131716</v>
      </c>
      <c r="D58" s="2"/>
      <c r="E58" s="1"/>
      <c r="F58" s="2">
        <v>494.21800000000002</v>
      </c>
      <c r="G58" s="1">
        <v>-163.16</v>
      </c>
      <c r="H58" s="2">
        <v>480.59699999999998</v>
      </c>
      <c r="I58" s="1">
        <v>3.6766899999999998</v>
      </c>
      <c r="J58" s="2">
        <v>668.42100000000005</v>
      </c>
      <c r="K58" s="1">
        <v>0.91699799999999998</v>
      </c>
      <c r="N58" s="3">
        <f t="shared" si="12"/>
        <v>520.84</v>
      </c>
      <c r="O58" s="21">
        <f t="shared" si="13"/>
        <v>131716</v>
      </c>
      <c r="P58" s="3">
        <f t="shared" si="14"/>
        <v>494.21800000000002</v>
      </c>
      <c r="Q58" s="17">
        <f t="shared" si="15"/>
        <v>-1.6315999999999998E-4</v>
      </c>
      <c r="R58" s="3">
        <f t="shared" si="16"/>
        <v>480.59699999999998</v>
      </c>
      <c r="S58" s="24">
        <f t="shared" si="17"/>
        <v>3.6766899999999998</v>
      </c>
      <c r="T58" s="3">
        <f t="shared" si="18"/>
        <v>668.42100000000005</v>
      </c>
      <c r="U58" s="51">
        <f t="shared" si="19"/>
        <v>0.91699799999999998</v>
      </c>
      <c r="V58" s="42">
        <f>((O61*(Q61)^2)/S62)*T58</f>
        <v>0.89694412021560455</v>
      </c>
      <c r="W58" s="49">
        <f t="shared" si="11"/>
        <v>2.1869055095425981E-2</v>
      </c>
    </row>
    <row r="59" spans="2:23" x14ac:dyDescent="0.6">
      <c r="B59" s="2">
        <v>577.70600000000002</v>
      </c>
      <c r="C59" s="1">
        <v>127239</v>
      </c>
      <c r="D59" s="2"/>
      <c r="E59" s="1"/>
      <c r="F59" s="2">
        <v>555.62300000000005</v>
      </c>
      <c r="G59" s="1">
        <v>-173.517</v>
      </c>
      <c r="H59" s="2">
        <v>539.702</v>
      </c>
      <c r="I59" s="1">
        <v>3.4671799999999999</v>
      </c>
      <c r="J59" s="2">
        <v>689.64300000000003</v>
      </c>
      <c r="K59" s="1">
        <v>0.96110300000000004</v>
      </c>
      <c r="N59" s="3">
        <f t="shared" si="12"/>
        <v>577.70600000000002</v>
      </c>
      <c r="O59" s="21">
        <f t="shared" si="13"/>
        <v>127239</v>
      </c>
      <c r="P59" s="3">
        <f t="shared" si="14"/>
        <v>555.62300000000005</v>
      </c>
      <c r="Q59" s="17">
        <f t="shared" si="15"/>
        <v>-1.7351699999999999E-4</v>
      </c>
      <c r="R59" s="3">
        <f t="shared" si="16"/>
        <v>539.702</v>
      </c>
      <c r="S59" s="24">
        <f t="shared" si="17"/>
        <v>3.4671799999999999</v>
      </c>
      <c r="T59" s="3">
        <f t="shared" si="18"/>
        <v>689.64300000000003</v>
      </c>
      <c r="U59" s="51">
        <f t="shared" si="19"/>
        <v>0.96110300000000004</v>
      </c>
      <c r="V59" s="42">
        <f>((O61*(Q61)^2)/S62)*T59</f>
        <v>0.9254216038961226</v>
      </c>
      <c r="W59" s="49">
        <f t="shared" si="11"/>
        <v>3.7125465328770625E-2</v>
      </c>
    </row>
    <row r="60" spans="2:23" x14ac:dyDescent="0.6">
      <c r="B60" s="2">
        <v>641.03399999999999</v>
      </c>
      <c r="C60" s="1">
        <v>119403</v>
      </c>
      <c r="D60" s="2"/>
      <c r="E60" s="1"/>
      <c r="F60" s="2">
        <v>613.10799999999995</v>
      </c>
      <c r="G60" s="1">
        <v>-183.227</v>
      </c>
      <c r="H60" s="2">
        <v>595.19299999999998</v>
      </c>
      <c r="I60" s="1">
        <v>3.3145199999999999</v>
      </c>
      <c r="J60" s="2">
        <v>721.053</v>
      </c>
      <c r="K60" s="1">
        <v>1.0199100000000001</v>
      </c>
      <c r="N60" s="3">
        <f t="shared" si="12"/>
        <v>641.03399999999999</v>
      </c>
      <c r="O60" s="21">
        <f t="shared" si="13"/>
        <v>119403</v>
      </c>
      <c r="P60" s="3">
        <f t="shared" si="14"/>
        <v>613.10799999999995</v>
      </c>
      <c r="Q60" s="17">
        <f t="shared" si="15"/>
        <v>-1.83227E-4</v>
      </c>
      <c r="R60" s="3">
        <f t="shared" si="16"/>
        <v>595.19299999999998</v>
      </c>
      <c r="S60" s="24">
        <f t="shared" si="17"/>
        <v>3.3145199999999999</v>
      </c>
      <c r="T60" s="3">
        <f t="shared" si="18"/>
        <v>721.053</v>
      </c>
      <c r="U60" s="51">
        <f t="shared" si="19"/>
        <v>1.0199100000000001</v>
      </c>
      <c r="V60" s="42">
        <f>((O62*(Q62)^2)/S62)*T60</f>
        <v>0.97746938610085476</v>
      </c>
      <c r="W60" s="49">
        <f t="shared" si="11"/>
        <v>4.1612116656514132E-2</v>
      </c>
    </row>
    <row r="61" spans="2:23" x14ac:dyDescent="0.6">
      <c r="B61" s="2">
        <v>703.06899999999996</v>
      </c>
      <c r="C61" s="1">
        <v>115672</v>
      </c>
      <c r="D61" s="2"/>
      <c r="E61" s="1"/>
      <c r="F61" s="2">
        <v>670.577</v>
      </c>
      <c r="G61" s="1">
        <v>-190.32300000000001</v>
      </c>
      <c r="H61" s="2">
        <v>655.51499999999999</v>
      </c>
      <c r="I61" s="1">
        <v>3.2185000000000001</v>
      </c>
      <c r="J61" s="2">
        <v>741.42600000000004</v>
      </c>
      <c r="K61" s="1">
        <v>1.0529900000000001</v>
      </c>
      <c r="N61" s="3">
        <f t="shared" si="12"/>
        <v>703.06899999999996</v>
      </c>
      <c r="O61" s="21">
        <f t="shared" si="13"/>
        <v>115672</v>
      </c>
      <c r="P61" s="3">
        <f t="shared" si="14"/>
        <v>670.577</v>
      </c>
      <c r="Q61" s="17">
        <f t="shared" si="15"/>
        <v>-1.90323E-4</v>
      </c>
      <c r="R61" s="3">
        <f t="shared" si="16"/>
        <v>655.51499999999999</v>
      </c>
      <c r="S61" s="24">
        <f t="shared" si="17"/>
        <v>3.2185000000000001</v>
      </c>
      <c r="T61" s="3">
        <f t="shared" si="18"/>
        <v>741.42600000000004</v>
      </c>
      <c r="U61" s="51">
        <f t="shared" si="19"/>
        <v>1.0529900000000001</v>
      </c>
      <c r="V61" s="42">
        <f>((O62*(Q62)^2)/S62)*T61</f>
        <v>1.0050873057309413</v>
      </c>
      <c r="W61" s="49">
        <f t="shared" si="11"/>
        <v>4.5492069505939085E-2</v>
      </c>
    </row>
    <row r="62" spans="2:23" x14ac:dyDescent="0.6">
      <c r="B62" s="2">
        <v>747.01099999999997</v>
      </c>
      <c r="C62" s="1">
        <v>113806</v>
      </c>
      <c r="D62" s="2"/>
      <c r="E62" s="1"/>
      <c r="F62" s="2">
        <v>720.18600000000004</v>
      </c>
      <c r="G62" s="1">
        <v>-192.85599999999999</v>
      </c>
      <c r="H62" s="2">
        <v>717.04399999999998</v>
      </c>
      <c r="I62" s="1">
        <v>3.1224500000000002</v>
      </c>
      <c r="J62" s="2">
        <v>769.44</v>
      </c>
      <c r="K62" s="1">
        <v>1.0879000000000001</v>
      </c>
      <c r="N62" s="3">
        <f t="shared" si="12"/>
        <v>747.01099999999997</v>
      </c>
      <c r="O62" s="21">
        <f t="shared" si="13"/>
        <v>113806</v>
      </c>
      <c r="P62" s="3">
        <f t="shared" si="14"/>
        <v>720.18600000000004</v>
      </c>
      <c r="Q62" s="17">
        <f t="shared" si="15"/>
        <v>-1.9285599999999998E-4</v>
      </c>
      <c r="R62" s="3">
        <f t="shared" si="16"/>
        <v>717.04399999999998</v>
      </c>
      <c r="S62" s="24">
        <f t="shared" si="17"/>
        <v>3.1224500000000002</v>
      </c>
      <c r="T62" s="3">
        <f t="shared" si="18"/>
        <v>769.44</v>
      </c>
      <c r="U62" s="51">
        <f t="shared" si="19"/>
        <v>1.0879000000000001</v>
      </c>
      <c r="V62" s="42">
        <f>((O63*(Q63)^2)/S63)*T62</f>
        <v>1.0220219192075637</v>
      </c>
      <c r="W62" s="49">
        <f t="shared" si="11"/>
        <v>6.055527235263939E-2</v>
      </c>
    </row>
    <row r="63" spans="2:23" x14ac:dyDescent="0.6">
      <c r="B63" s="28">
        <v>800</v>
      </c>
      <c r="C63" s="29">
        <v>110821</v>
      </c>
      <c r="D63" s="28"/>
      <c r="E63" s="29"/>
      <c r="F63" s="28">
        <v>788.05200000000002</v>
      </c>
      <c r="G63" s="29">
        <v>-193.399</v>
      </c>
      <c r="H63" s="28">
        <v>793.06200000000001</v>
      </c>
      <c r="I63" s="29">
        <v>3.1206499999999999</v>
      </c>
      <c r="J63" s="28">
        <v>803.39599999999996</v>
      </c>
      <c r="K63" s="29">
        <v>1.11547</v>
      </c>
      <c r="N63" s="32">
        <f t="shared" si="12"/>
        <v>800</v>
      </c>
      <c r="O63" s="33">
        <f t="shared" si="13"/>
        <v>110821</v>
      </c>
      <c r="P63" s="32">
        <f t="shared" si="14"/>
        <v>788.05200000000002</v>
      </c>
      <c r="Q63" s="34">
        <f t="shared" si="15"/>
        <v>-1.93399E-4</v>
      </c>
      <c r="R63" s="32">
        <f t="shared" si="16"/>
        <v>793.06200000000001</v>
      </c>
      <c r="S63" s="35">
        <f t="shared" si="17"/>
        <v>3.1206499999999999</v>
      </c>
      <c r="T63" s="32">
        <f t="shared" si="18"/>
        <v>803.39599999999996</v>
      </c>
      <c r="U63" s="52">
        <f t="shared" si="19"/>
        <v>1.11547</v>
      </c>
      <c r="V63" s="42">
        <f>((O63*(Q63)^2)/S63)*T63</f>
        <v>1.0671245604643373</v>
      </c>
      <c r="W63" s="49">
        <f t="shared" si="11"/>
        <v>4.334086935162991E-2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1"/>
  </sheetPr>
  <dimension ref="A1:W3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84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85</v>
      </c>
      <c r="C8" s="10" t="s">
        <v>48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3.3621761658031</v>
      </c>
      <c r="C9" s="4">
        <v>92243.626044835793</v>
      </c>
      <c r="D9" s="3"/>
      <c r="E9" s="4"/>
      <c r="F9" s="3">
        <v>299.61315280464203</v>
      </c>
      <c r="G9" s="4">
        <v>64.617486338797903</v>
      </c>
      <c r="H9" s="3">
        <v>299.19093851132601</v>
      </c>
      <c r="I9" s="4">
        <v>2.7171964140179199</v>
      </c>
      <c r="J9" s="3">
        <v>301.78343949044501</v>
      </c>
      <c r="K9" s="4">
        <v>4.0506329113923899E-2</v>
      </c>
      <c r="N9" s="3">
        <f>1/B9*(10^(3))</f>
        <v>297.42641393126905</v>
      </c>
      <c r="O9" s="21">
        <f>C9</f>
        <v>92243.626044835793</v>
      </c>
      <c r="P9" s="3">
        <f>F9</f>
        <v>299.61315280464203</v>
      </c>
      <c r="Q9" s="17">
        <f>G9*(10^(-6))</f>
        <v>6.4617486338797896E-5</v>
      </c>
      <c r="R9" s="3">
        <f>H9</f>
        <v>299.19093851132601</v>
      </c>
      <c r="S9" s="24">
        <f>I9</f>
        <v>2.7171964140179199</v>
      </c>
      <c r="T9" s="3">
        <f>J9</f>
        <v>301.78343949044501</v>
      </c>
      <c r="U9" s="51">
        <f>K9</f>
        <v>4.0506329113923899E-2</v>
      </c>
      <c r="V9" s="42">
        <f>((O9*(Q9)^2)/S9)*T9</f>
        <v>4.2777052531826232E-2</v>
      </c>
      <c r="W9" s="49">
        <f t="shared" ref="W9:W19" si="0">(U9-V9)/U9</f>
        <v>-5.6058484379464056E-2</v>
      </c>
    </row>
    <row r="10" spans="1:23" x14ac:dyDescent="0.6">
      <c r="B10" s="3">
        <v>2.89274611398963</v>
      </c>
      <c r="C10" s="4">
        <v>87657.870047263801</v>
      </c>
      <c r="D10" s="3"/>
      <c r="E10" s="4"/>
      <c r="F10" s="3">
        <v>348.74274661508701</v>
      </c>
      <c r="G10" s="4">
        <v>84.972677595628596</v>
      </c>
      <c r="H10" s="3">
        <v>349.35275080906098</v>
      </c>
      <c r="I10" s="4">
        <v>2.71067644661776</v>
      </c>
      <c r="J10" s="3">
        <v>350.70063694267498</v>
      </c>
      <c r="K10" s="4">
        <v>8.2820976491862403E-2</v>
      </c>
      <c r="N10" s="3">
        <f t="shared" ref="N10:N19" si="1">1/B10*(10^(3))</f>
        <v>345.69228013612843</v>
      </c>
      <c r="O10" s="21">
        <f t="shared" ref="O10:O19" si="2">C10</f>
        <v>87657.870047263801</v>
      </c>
      <c r="P10" s="3">
        <f t="shared" ref="P10:P19" si="3">F10</f>
        <v>348.74274661508701</v>
      </c>
      <c r="Q10" s="17">
        <f t="shared" ref="Q10:Q19" si="4">G10*(10^(-6))</f>
        <v>8.4972677595628599E-5</v>
      </c>
      <c r="R10" s="3">
        <f t="shared" ref="R10:U19" si="5">H10</f>
        <v>349.35275080906098</v>
      </c>
      <c r="S10" s="24">
        <f t="shared" si="5"/>
        <v>2.71067644661776</v>
      </c>
      <c r="T10" s="3">
        <f t="shared" si="5"/>
        <v>350.70063694267498</v>
      </c>
      <c r="U10" s="51">
        <f t="shared" si="5"/>
        <v>8.2820976491862403E-2</v>
      </c>
      <c r="V10" s="42">
        <f t="shared" ref="V10:V19" si="6">((O10*(Q10)^2)/S10)*T10</f>
        <v>8.1885761761769482E-2</v>
      </c>
      <c r="W10" s="49">
        <f t="shared" si="0"/>
        <v>1.1292003182126331E-2</v>
      </c>
    </row>
    <row r="11" spans="1:23" x14ac:dyDescent="0.6">
      <c r="B11" s="2">
        <v>2.51658031088082</v>
      </c>
      <c r="C11" s="1">
        <v>84249.372084001399</v>
      </c>
      <c r="D11" s="2"/>
      <c r="E11" s="1"/>
      <c r="F11" s="2">
        <v>397.87234042553098</v>
      </c>
      <c r="G11" s="1">
        <v>105.19125683060101</v>
      </c>
      <c r="H11" s="2">
        <v>397.49190938511299</v>
      </c>
      <c r="I11" s="1">
        <v>2.6650366748166201</v>
      </c>
      <c r="J11" s="2">
        <v>400</v>
      </c>
      <c r="K11" s="1">
        <v>0.14412296564195201</v>
      </c>
      <c r="N11" s="3">
        <f t="shared" si="1"/>
        <v>397.36462837142409</v>
      </c>
      <c r="O11" s="21">
        <f t="shared" si="2"/>
        <v>84249.372084001399</v>
      </c>
      <c r="P11" s="3">
        <f t="shared" si="3"/>
        <v>397.87234042553098</v>
      </c>
      <c r="Q11" s="17">
        <f t="shared" si="4"/>
        <v>1.0519125683060101E-4</v>
      </c>
      <c r="R11" s="3">
        <f t="shared" si="5"/>
        <v>397.49190938511299</v>
      </c>
      <c r="S11" s="24">
        <f t="shared" si="5"/>
        <v>2.6650366748166201</v>
      </c>
      <c r="T11" s="3">
        <f t="shared" si="5"/>
        <v>400</v>
      </c>
      <c r="U11" s="51">
        <f t="shared" si="5"/>
        <v>0.14412296564195201</v>
      </c>
      <c r="V11" s="42">
        <f t="shared" si="6"/>
        <v>0.13992095554461961</v>
      </c>
      <c r="W11" s="49">
        <f t="shared" si="0"/>
        <v>2.9155728780738167E-2</v>
      </c>
    </row>
    <row r="12" spans="1:23" x14ac:dyDescent="0.6">
      <c r="B12" s="2">
        <v>2.2150259067357498</v>
      </c>
      <c r="C12" s="1">
        <v>81433.488086165104</v>
      </c>
      <c r="D12" s="2"/>
      <c r="E12" s="1"/>
      <c r="F12" s="2">
        <v>447.00193423597602</v>
      </c>
      <c r="G12" s="1">
        <v>127.32240437158499</v>
      </c>
      <c r="H12" s="2">
        <v>448.05825242718402</v>
      </c>
      <c r="I12" s="1">
        <v>2.67155664221678</v>
      </c>
      <c r="J12" s="2">
        <v>448.917197452229</v>
      </c>
      <c r="K12" s="1">
        <v>0.22495479204339899</v>
      </c>
      <c r="N12" s="3">
        <f t="shared" si="1"/>
        <v>451.46198830409384</v>
      </c>
      <c r="O12" s="21">
        <f t="shared" si="2"/>
        <v>81433.488086165104</v>
      </c>
      <c r="P12" s="3">
        <f t="shared" si="3"/>
        <v>447.00193423597602</v>
      </c>
      <c r="Q12" s="17">
        <f t="shared" si="4"/>
        <v>1.2732240437158499E-4</v>
      </c>
      <c r="R12" s="3">
        <f t="shared" si="5"/>
        <v>448.05825242718402</v>
      </c>
      <c r="S12" s="24">
        <f t="shared" si="5"/>
        <v>2.67155664221678</v>
      </c>
      <c r="T12" s="3">
        <f t="shared" si="5"/>
        <v>448.917197452229</v>
      </c>
      <c r="U12" s="51">
        <f t="shared" si="5"/>
        <v>0.22495479204339899</v>
      </c>
      <c r="V12" s="42">
        <f t="shared" si="6"/>
        <v>0.22182707703793952</v>
      </c>
      <c r="W12" s="49">
        <f t="shared" si="0"/>
        <v>1.3903749180217778E-2</v>
      </c>
    </row>
    <row r="13" spans="1:23" x14ac:dyDescent="0.6">
      <c r="B13" s="2">
        <v>1.99430051813471</v>
      </c>
      <c r="C13" s="1">
        <v>78935.016727842798</v>
      </c>
      <c r="D13" s="2"/>
      <c r="E13" s="1"/>
      <c r="F13" s="2">
        <v>498.45261121856799</v>
      </c>
      <c r="G13" s="1">
        <v>148.49726775956299</v>
      </c>
      <c r="H13" s="2">
        <v>499.02912621359201</v>
      </c>
      <c r="I13" s="1">
        <v>2.6324368378158098</v>
      </c>
      <c r="J13" s="2">
        <v>500.127388535031</v>
      </c>
      <c r="K13" s="1">
        <v>0.33128390596745</v>
      </c>
      <c r="N13" s="3">
        <f t="shared" si="1"/>
        <v>501.42894258249027</v>
      </c>
      <c r="O13" s="21">
        <f t="shared" si="2"/>
        <v>78935.016727842798</v>
      </c>
      <c r="P13" s="3">
        <f t="shared" si="3"/>
        <v>498.45261121856799</v>
      </c>
      <c r="Q13" s="17">
        <f t="shared" si="4"/>
        <v>1.4849726775956299E-4</v>
      </c>
      <c r="R13" s="3">
        <f t="shared" si="5"/>
        <v>499.02912621359201</v>
      </c>
      <c r="S13" s="24">
        <f t="shared" si="5"/>
        <v>2.6324368378158098</v>
      </c>
      <c r="T13" s="3">
        <f t="shared" si="5"/>
        <v>500.127388535031</v>
      </c>
      <c r="U13" s="51">
        <f t="shared" si="5"/>
        <v>0.33128390596745</v>
      </c>
      <c r="V13" s="42">
        <f t="shared" si="6"/>
        <v>0.33069628056629896</v>
      </c>
      <c r="W13" s="49">
        <f t="shared" si="0"/>
        <v>1.773781915046528E-3</v>
      </c>
    </row>
    <row r="14" spans="1:23" x14ac:dyDescent="0.6">
      <c r="B14" s="2">
        <v>1.81088082901554</v>
      </c>
      <c r="C14" s="1">
        <v>76513.201291734702</v>
      </c>
      <c r="D14" s="2"/>
      <c r="E14" s="1"/>
      <c r="F14" s="2">
        <v>547.19535783365495</v>
      </c>
      <c r="G14" s="1">
        <v>166.120218579235</v>
      </c>
      <c r="H14" s="2">
        <v>549.59546925566303</v>
      </c>
      <c r="I14" s="1">
        <v>2.6650366748166201</v>
      </c>
      <c r="J14" s="2">
        <v>549.42675159235603</v>
      </c>
      <c r="K14" s="1">
        <v>0.44358047016274799</v>
      </c>
      <c r="N14" s="3">
        <f t="shared" si="1"/>
        <v>552.21745350500839</v>
      </c>
      <c r="O14" s="21">
        <f t="shared" si="2"/>
        <v>76513.201291734702</v>
      </c>
      <c r="P14" s="3">
        <f t="shared" si="3"/>
        <v>547.19535783365495</v>
      </c>
      <c r="Q14" s="17">
        <f t="shared" si="4"/>
        <v>1.66120218579235E-4</v>
      </c>
      <c r="R14" s="3">
        <f t="shared" si="5"/>
        <v>549.59546925566303</v>
      </c>
      <c r="S14" s="24">
        <f t="shared" si="5"/>
        <v>2.6650366748166201</v>
      </c>
      <c r="T14" s="3">
        <f t="shared" si="5"/>
        <v>549.42675159235603</v>
      </c>
      <c r="U14" s="51">
        <f t="shared" si="5"/>
        <v>0.44358047016274799</v>
      </c>
      <c r="V14" s="42">
        <f t="shared" si="6"/>
        <v>0.43529930356675722</v>
      </c>
      <c r="W14" s="49">
        <f t="shared" si="0"/>
        <v>1.8668916133644103E-2</v>
      </c>
    </row>
    <row r="15" spans="1:23" x14ac:dyDescent="0.6">
      <c r="B15" s="2">
        <v>1.66165803108808</v>
      </c>
      <c r="C15" s="1">
        <v>74587.087108737003</v>
      </c>
      <c r="D15" s="2"/>
      <c r="E15" s="1"/>
      <c r="F15" s="2">
        <v>596.71179883945797</v>
      </c>
      <c r="G15" s="1">
        <v>181.967213114755</v>
      </c>
      <c r="H15" s="2">
        <v>599.757281553398</v>
      </c>
      <c r="I15" s="1">
        <v>2.6650366748166201</v>
      </c>
      <c r="J15" s="2">
        <v>597.96178343948998</v>
      </c>
      <c r="K15" s="1">
        <v>0.56021699819168103</v>
      </c>
      <c r="N15" s="3">
        <f t="shared" si="1"/>
        <v>601.80854381041581</v>
      </c>
      <c r="O15" s="21">
        <f t="shared" si="2"/>
        <v>74587.087108737003</v>
      </c>
      <c r="P15" s="3">
        <f t="shared" si="3"/>
        <v>596.71179883945797</v>
      </c>
      <c r="Q15" s="17">
        <f t="shared" si="4"/>
        <v>1.8196721311475498E-4</v>
      </c>
      <c r="R15" s="3">
        <f t="shared" si="5"/>
        <v>599.757281553398</v>
      </c>
      <c r="S15" s="24">
        <f t="shared" si="5"/>
        <v>2.6650366748166201</v>
      </c>
      <c r="T15" s="3">
        <f t="shared" si="5"/>
        <v>597.96178343948998</v>
      </c>
      <c r="U15" s="51">
        <f t="shared" si="5"/>
        <v>0.56021699819168103</v>
      </c>
      <c r="V15" s="42">
        <f t="shared" si="6"/>
        <v>0.55414085808246061</v>
      </c>
      <c r="W15" s="49">
        <f t="shared" si="0"/>
        <v>1.0846047386697533E-2</v>
      </c>
    </row>
    <row r="16" spans="1:23" x14ac:dyDescent="0.6">
      <c r="B16" s="2">
        <v>1.54352331606217</v>
      </c>
      <c r="C16" s="1">
        <v>73433.965413700396</v>
      </c>
      <c r="D16" s="2"/>
      <c r="E16" s="1"/>
      <c r="F16" s="2">
        <v>648.54932301740803</v>
      </c>
      <c r="G16" s="1">
        <v>192.62295081967301</v>
      </c>
      <c r="H16" s="2">
        <v>650.32362459546903</v>
      </c>
      <c r="I16" s="1">
        <v>2.6259168704156401</v>
      </c>
      <c r="J16" s="2">
        <v>649.554140127388</v>
      </c>
      <c r="K16" s="1">
        <v>0.65949367088607602</v>
      </c>
      <c r="N16" s="3">
        <f t="shared" si="1"/>
        <v>647.868412218868</v>
      </c>
      <c r="O16" s="21">
        <f t="shared" si="2"/>
        <v>73433.965413700396</v>
      </c>
      <c r="P16" s="3">
        <f t="shared" si="3"/>
        <v>648.54932301740803</v>
      </c>
      <c r="Q16" s="17">
        <f t="shared" si="4"/>
        <v>1.9262295081967301E-4</v>
      </c>
      <c r="R16" s="3">
        <f t="shared" si="5"/>
        <v>650.32362459546903</v>
      </c>
      <c r="S16" s="24">
        <f t="shared" si="5"/>
        <v>2.6259168704156401</v>
      </c>
      <c r="T16" s="3">
        <f t="shared" si="5"/>
        <v>649.554140127388</v>
      </c>
      <c r="U16" s="51">
        <f t="shared" si="5"/>
        <v>0.65949367088607602</v>
      </c>
      <c r="V16" s="42">
        <f t="shared" si="6"/>
        <v>0.67398064623278442</v>
      </c>
      <c r="W16" s="49">
        <f t="shared" si="0"/>
        <v>-2.196681482514325E-2</v>
      </c>
    </row>
    <row r="17" spans="2:23" x14ac:dyDescent="0.6">
      <c r="B17" s="2">
        <v>1.42538860103626</v>
      </c>
      <c r="C17" s="1">
        <v>71992.102992198095</v>
      </c>
      <c r="D17" s="2"/>
      <c r="E17" s="1"/>
      <c r="F17" s="2">
        <v>698.06576402321002</v>
      </c>
      <c r="G17" s="1">
        <v>199.04371584699501</v>
      </c>
      <c r="H17" s="2">
        <v>700.88996763754005</v>
      </c>
      <c r="I17" s="1">
        <v>2.6324368378158098</v>
      </c>
      <c r="J17" s="2">
        <v>698.85350318471296</v>
      </c>
      <c r="K17" s="1">
        <v>0.73056057866184398</v>
      </c>
      <c r="N17" s="3">
        <f t="shared" si="1"/>
        <v>701.56306797528634</v>
      </c>
      <c r="O17" s="21">
        <f t="shared" si="2"/>
        <v>71992.102992198095</v>
      </c>
      <c r="P17" s="3">
        <f t="shared" si="3"/>
        <v>698.06576402321002</v>
      </c>
      <c r="Q17" s="17">
        <f t="shared" si="4"/>
        <v>1.99043715846995E-4</v>
      </c>
      <c r="R17" s="3">
        <f t="shared" si="5"/>
        <v>700.88996763754005</v>
      </c>
      <c r="S17" s="24">
        <f t="shared" si="5"/>
        <v>2.6324368378158098</v>
      </c>
      <c r="T17" s="3">
        <f t="shared" si="5"/>
        <v>698.85350318471296</v>
      </c>
      <c r="U17" s="51">
        <f t="shared" si="5"/>
        <v>0.73056057866184398</v>
      </c>
      <c r="V17" s="42">
        <f t="shared" si="6"/>
        <v>0.75719892453351223</v>
      </c>
      <c r="W17" s="49">
        <f t="shared" si="0"/>
        <v>-3.6462884324337995E-2</v>
      </c>
    </row>
    <row r="18" spans="2:23" x14ac:dyDescent="0.6">
      <c r="B18" s="2">
        <v>1.32746113989637</v>
      </c>
      <c r="C18" s="1">
        <v>70979.566965485006</v>
      </c>
      <c r="D18" s="2"/>
      <c r="E18" s="1"/>
      <c r="F18" s="2">
        <v>747.96905222437101</v>
      </c>
      <c r="G18" s="1">
        <v>204.23497267759601</v>
      </c>
      <c r="H18" s="2">
        <v>749.02912621359201</v>
      </c>
      <c r="I18" s="1">
        <v>2.6259168704156401</v>
      </c>
      <c r="J18" s="2">
        <v>747.77070063694202</v>
      </c>
      <c r="K18" s="1">
        <v>0.8</v>
      </c>
      <c r="N18" s="3">
        <f t="shared" si="1"/>
        <v>753.31772053083705</v>
      </c>
      <c r="O18" s="21">
        <f t="shared" si="2"/>
        <v>70979.566965485006</v>
      </c>
      <c r="P18" s="3">
        <f t="shared" si="3"/>
        <v>747.96905222437101</v>
      </c>
      <c r="Q18" s="17">
        <f t="shared" si="4"/>
        <v>2.0423497267759599E-4</v>
      </c>
      <c r="R18" s="3">
        <f t="shared" si="5"/>
        <v>749.02912621359201</v>
      </c>
      <c r="S18" s="24">
        <f t="shared" si="5"/>
        <v>2.6259168704156401</v>
      </c>
      <c r="T18" s="3">
        <f t="shared" si="5"/>
        <v>747.77070063694202</v>
      </c>
      <c r="U18" s="51">
        <f t="shared" si="5"/>
        <v>0.8</v>
      </c>
      <c r="V18" s="42">
        <f t="shared" si="6"/>
        <v>0.84310378655236018</v>
      </c>
      <c r="W18" s="49">
        <f t="shared" si="0"/>
        <v>-5.3879733190450169E-2</v>
      </c>
    </row>
    <row r="19" spans="2:23" x14ac:dyDescent="0.6">
      <c r="B19" s="28">
        <v>1.23886010362694</v>
      </c>
      <c r="C19" s="29">
        <v>70378.893842723803</v>
      </c>
      <c r="D19" s="28"/>
      <c r="E19" s="29"/>
      <c r="F19" s="28">
        <v>797.09864603481606</v>
      </c>
      <c r="G19" s="29">
        <v>193.44262295082001</v>
      </c>
      <c r="H19" s="28">
        <v>799.59546925566303</v>
      </c>
      <c r="I19" s="29">
        <v>2.58679706601467</v>
      </c>
      <c r="J19" s="28">
        <v>797.83439490445801</v>
      </c>
      <c r="K19" s="29">
        <v>0.74086799276672699</v>
      </c>
      <c r="N19" s="3">
        <f t="shared" si="1"/>
        <v>807.19364282727088</v>
      </c>
      <c r="O19" s="21">
        <f t="shared" si="2"/>
        <v>70378.893842723803</v>
      </c>
      <c r="P19" s="32">
        <f t="shared" si="3"/>
        <v>797.09864603481606</v>
      </c>
      <c r="Q19" s="17">
        <f t="shared" si="4"/>
        <v>1.9344262295081999E-4</v>
      </c>
      <c r="R19" s="32">
        <f t="shared" si="5"/>
        <v>799.59546925566303</v>
      </c>
      <c r="S19" s="35">
        <f t="shared" si="5"/>
        <v>2.58679706601467</v>
      </c>
      <c r="T19" s="32">
        <f t="shared" si="5"/>
        <v>797.83439490445801</v>
      </c>
      <c r="U19" s="52">
        <f t="shared" si="5"/>
        <v>0.74086799276672699</v>
      </c>
      <c r="V19" s="42">
        <f t="shared" si="6"/>
        <v>0.81226394584030503</v>
      </c>
      <c r="W19" s="49">
        <f t="shared" si="0"/>
        <v>-9.6367981571121933E-2</v>
      </c>
    </row>
    <row r="20" spans="2:23" x14ac:dyDescent="0.6">
      <c r="B20" s="30"/>
      <c r="C20" s="30"/>
      <c r="D20" s="30"/>
      <c r="E20" s="30"/>
      <c r="F20" s="30"/>
      <c r="G20" s="30"/>
      <c r="H20" s="30"/>
      <c r="I20" s="30"/>
      <c r="J20" s="30"/>
      <c r="K20" s="30"/>
      <c r="N20" s="30"/>
      <c r="O20" s="39"/>
      <c r="P20" s="30"/>
      <c r="Q20" s="40"/>
      <c r="R20" s="30"/>
      <c r="S20" s="41"/>
      <c r="T20" s="30"/>
      <c r="U20" s="41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ht="17.25" thickBot="1" x14ac:dyDescent="0.65">
      <c r="B23" s="31" t="s">
        <v>79</v>
      </c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48</v>
      </c>
      <c r="D25" s="11" t="s">
        <v>4</v>
      </c>
      <c r="E25" s="10" t="s">
        <v>11</v>
      </c>
      <c r="F25" s="11" t="s">
        <v>4</v>
      </c>
      <c r="G25" s="27" t="s">
        <v>13</v>
      </c>
      <c r="H25" s="11" t="s">
        <v>4</v>
      </c>
      <c r="I25" s="10" t="s">
        <v>15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/>
      <c r="E26" s="4"/>
      <c r="F26" s="3">
        <v>300.77699999999999</v>
      </c>
      <c r="G26" s="4">
        <v>64.912800000000004</v>
      </c>
      <c r="H26" s="3">
        <v>300.18</v>
      </c>
      <c r="I26" s="4">
        <v>2.6289699999999998</v>
      </c>
      <c r="J26" s="3">
        <v>299.76100000000002</v>
      </c>
      <c r="K26" s="4">
        <v>4.1180899999999999E-2</v>
      </c>
      <c r="N26" s="3">
        <f>AVERAGE(P26,R26,T26)</f>
        <v>300.23933333333338</v>
      </c>
      <c r="O26" s="21">
        <f>U26/T26/Q26^2*S26</f>
        <v>85712.793520413368</v>
      </c>
      <c r="P26" s="3">
        <f>F26</f>
        <v>300.77699999999999</v>
      </c>
      <c r="Q26" s="17">
        <f>G26*0.000001</f>
        <v>6.4912800000000006E-5</v>
      </c>
      <c r="R26" s="3">
        <f>H26</f>
        <v>300.18</v>
      </c>
      <c r="S26" s="24">
        <f>I26</f>
        <v>2.6289699999999998</v>
      </c>
      <c r="T26" s="3">
        <f>J26</f>
        <v>299.76100000000002</v>
      </c>
      <c r="U26" s="51">
        <f>K26</f>
        <v>4.1180899999999999E-2</v>
      </c>
      <c r="V26" s="42">
        <f>((O26*(Q26)^2)/S26)*T26</f>
        <v>4.1180900000000006E-2</v>
      </c>
      <c r="W26" s="49">
        <f t="shared" ref="W26:W36" si="7">(U26-V26)/U26</f>
        <v>-1.6849786925266879E-16</v>
      </c>
    </row>
    <row r="27" spans="2:23" x14ac:dyDescent="0.6">
      <c r="B27" s="3"/>
      <c r="C27" s="4"/>
      <c r="D27" s="3"/>
      <c r="E27" s="4"/>
      <c r="F27" s="3">
        <v>351.12099999999998</v>
      </c>
      <c r="G27" s="4">
        <v>85.558499999999995</v>
      </c>
      <c r="H27" s="3">
        <v>350.83699999999999</v>
      </c>
      <c r="I27" s="4">
        <v>2.6449799999999999</v>
      </c>
      <c r="J27" s="3">
        <v>348.685</v>
      </c>
      <c r="K27" s="4">
        <v>8.2463900000000007E-2</v>
      </c>
      <c r="N27" s="3">
        <f t="shared" ref="N27:N36" si="8">AVERAGE(P27,R27,T27)</f>
        <v>350.21433333333334</v>
      </c>
      <c r="O27" s="21">
        <f t="shared" ref="O27:O36" si="9">U27/T27/Q27^2*S27</f>
        <v>85452.874007212056</v>
      </c>
      <c r="P27" s="3">
        <f t="shared" ref="P27:P36" si="10">F27</f>
        <v>351.12099999999998</v>
      </c>
      <c r="Q27" s="17">
        <f t="shared" ref="Q27:Q36" si="11">G27*0.000001</f>
        <v>8.5558499999999991E-5</v>
      </c>
      <c r="R27" s="3">
        <f t="shared" ref="R27:R36" si="12">H27</f>
        <v>350.83699999999999</v>
      </c>
      <c r="S27" s="24">
        <f t="shared" ref="S27:S36" si="13">I27</f>
        <v>2.6449799999999999</v>
      </c>
      <c r="T27" s="3">
        <f t="shared" ref="T27:T36" si="14">J27</f>
        <v>348.685</v>
      </c>
      <c r="U27" s="51">
        <f t="shared" ref="U27:U36" si="15">K27</f>
        <v>8.2463900000000007E-2</v>
      </c>
      <c r="V27" s="42">
        <f t="shared" ref="V27:V36" si="16">((O27*(Q27)^2)/S27)*T27</f>
        <v>8.2463900000000007E-2</v>
      </c>
      <c r="W27" s="49">
        <f t="shared" si="7"/>
        <v>0</v>
      </c>
    </row>
    <row r="28" spans="2:23" x14ac:dyDescent="0.6">
      <c r="B28" s="2"/>
      <c r="C28" s="1"/>
      <c r="D28" s="2"/>
      <c r="E28" s="1"/>
      <c r="F28" s="2">
        <v>399.60199999999998</v>
      </c>
      <c r="G28" s="1">
        <v>105.877</v>
      </c>
      <c r="H28" s="2">
        <v>399.65600000000001</v>
      </c>
      <c r="I28" s="1">
        <v>2.6012400000000002</v>
      </c>
      <c r="J28" s="2">
        <v>397.63</v>
      </c>
      <c r="K28" s="1">
        <v>0.145816</v>
      </c>
      <c r="N28" s="3">
        <f t="shared" si="8"/>
        <v>398.96266666666662</v>
      </c>
      <c r="O28" s="21">
        <f t="shared" si="9"/>
        <v>85094.836210292124</v>
      </c>
      <c r="P28" s="3">
        <f t="shared" si="10"/>
        <v>399.60199999999998</v>
      </c>
      <c r="Q28" s="17">
        <f t="shared" si="11"/>
        <v>1.0587699999999999E-4</v>
      </c>
      <c r="R28" s="3">
        <f t="shared" si="12"/>
        <v>399.65600000000001</v>
      </c>
      <c r="S28" s="24">
        <f t="shared" si="13"/>
        <v>2.6012400000000002</v>
      </c>
      <c r="T28" s="3">
        <f t="shared" si="14"/>
        <v>397.63</v>
      </c>
      <c r="U28" s="51">
        <f t="shared" si="15"/>
        <v>0.145816</v>
      </c>
      <c r="V28" s="42">
        <f t="shared" si="16"/>
        <v>0.145816</v>
      </c>
      <c r="W28" s="49">
        <f t="shared" si="7"/>
        <v>0</v>
      </c>
    </row>
    <row r="29" spans="2:23" x14ac:dyDescent="0.6">
      <c r="B29" s="2"/>
      <c r="C29" s="1"/>
      <c r="D29" s="2"/>
      <c r="E29" s="1"/>
      <c r="F29" s="2">
        <v>448.08499999999998</v>
      </c>
      <c r="G29" s="1">
        <v>126.852</v>
      </c>
      <c r="H29" s="2">
        <v>449.39299999999997</v>
      </c>
      <c r="I29" s="1">
        <v>2.6023000000000001</v>
      </c>
      <c r="J29" s="2">
        <v>447.57</v>
      </c>
      <c r="K29" s="1">
        <v>0.225718</v>
      </c>
      <c r="N29" s="3">
        <f t="shared" si="8"/>
        <v>448.34933333333333</v>
      </c>
      <c r="O29" s="21">
        <f t="shared" si="9"/>
        <v>81558.259441969421</v>
      </c>
      <c r="P29" s="3">
        <f t="shared" si="10"/>
        <v>448.08499999999998</v>
      </c>
      <c r="Q29" s="17">
        <f t="shared" si="11"/>
        <v>1.26852E-4</v>
      </c>
      <c r="R29" s="3">
        <f t="shared" si="12"/>
        <v>449.39299999999997</v>
      </c>
      <c r="S29" s="24">
        <f t="shared" si="13"/>
        <v>2.6023000000000001</v>
      </c>
      <c r="T29" s="3">
        <f t="shared" si="14"/>
        <v>447.57</v>
      </c>
      <c r="U29" s="51">
        <f t="shared" si="15"/>
        <v>0.225718</v>
      </c>
      <c r="V29" s="42">
        <f t="shared" si="16"/>
        <v>0.22571800000000006</v>
      </c>
      <c r="W29" s="49">
        <f t="shared" si="7"/>
        <v>-2.4593143316553322E-16</v>
      </c>
    </row>
    <row r="30" spans="2:23" x14ac:dyDescent="0.6">
      <c r="B30" s="2"/>
      <c r="C30" s="1"/>
      <c r="D30" s="2"/>
      <c r="E30" s="1"/>
      <c r="F30" s="2">
        <v>500.29399999999998</v>
      </c>
      <c r="G30" s="1">
        <v>148.48099999999999</v>
      </c>
      <c r="H30" s="2">
        <v>499.13099999999997</v>
      </c>
      <c r="I30" s="1">
        <v>2.5884399999999999</v>
      </c>
      <c r="J30" s="2">
        <v>499.48899999999998</v>
      </c>
      <c r="K30" s="1">
        <v>0.33044299999999999</v>
      </c>
      <c r="N30" s="3">
        <f t="shared" si="8"/>
        <v>499.63799999999998</v>
      </c>
      <c r="O30" s="21">
        <f t="shared" si="9"/>
        <v>77672.442600787646</v>
      </c>
      <c r="P30" s="3">
        <f t="shared" si="10"/>
        <v>500.29399999999998</v>
      </c>
      <c r="Q30" s="17">
        <f t="shared" si="11"/>
        <v>1.4848099999999998E-4</v>
      </c>
      <c r="R30" s="3">
        <f t="shared" si="12"/>
        <v>499.13099999999997</v>
      </c>
      <c r="S30" s="24">
        <f t="shared" si="13"/>
        <v>2.5884399999999999</v>
      </c>
      <c r="T30" s="3">
        <f t="shared" si="14"/>
        <v>499.48899999999998</v>
      </c>
      <c r="U30" s="51">
        <f t="shared" si="15"/>
        <v>0.33044299999999999</v>
      </c>
      <c r="V30" s="42">
        <f t="shared" si="16"/>
        <v>0.33044299999999993</v>
      </c>
      <c r="W30" s="49">
        <f t="shared" si="7"/>
        <v>1.6799009581458172E-16</v>
      </c>
    </row>
    <row r="31" spans="2:23" x14ac:dyDescent="0.6">
      <c r="B31" s="2"/>
      <c r="C31" s="1"/>
      <c r="D31" s="2"/>
      <c r="E31" s="1"/>
      <c r="F31" s="2">
        <v>549.69899999999996</v>
      </c>
      <c r="G31" s="1">
        <v>166.83099999999999</v>
      </c>
      <c r="H31" s="2">
        <v>550.70500000000004</v>
      </c>
      <c r="I31" s="1">
        <v>2.6492399999999998</v>
      </c>
      <c r="J31" s="2">
        <v>548.48199999999997</v>
      </c>
      <c r="K31" s="1">
        <v>0.44207099999999999</v>
      </c>
      <c r="N31" s="3">
        <f t="shared" si="8"/>
        <v>549.62866666666662</v>
      </c>
      <c r="O31" s="21">
        <f t="shared" si="9"/>
        <v>76718.030324345891</v>
      </c>
      <c r="P31" s="3">
        <f t="shared" si="10"/>
        <v>549.69899999999996</v>
      </c>
      <c r="Q31" s="17">
        <f t="shared" si="11"/>
        <v>1.6683099999999999E-4</v>
      </c>
      <c r="R31" s="3">
        <f t="shared" si="12"/>
        <v>550.70500000000004</v>
      </c>
      <c r="S31" s="24">
        <f t="shared" si="13"/>
        <v>2.6492399999999998</v>
      </c>
      <c r="T31" s="3">
        <f t="shared" si="14"/>
        <v>548.48199999999997</v>
      </c>
      <c r="U31" s="51">
        <f t="shared" si="15"/>
        <v>0.44207099999999999</v>
      </c>
      <c r="V31" s="42">
        <f t="shared" si="16"/>
        <v>0.44207099999999999</v>
      </c>
      <c r="W31" s="49">
        <f t="shared" si="7"/>
        <v>0</v>
      </c>
    </row>
    <row r="32" spans="2:23" x14ac:dyDescent="0.6">
      <c r="B32" s="2"/>
      <c r="C32" s="1"/>
      <c r="D32" s="2"/>
      <c r="E32" s="1"/>
      <c r="F32" s="2">
        <v>600.02300000000002</v>
      </c>
      <c r="G32" s="1">
        <v>182.227</v>
      </c>
      <c r="H32" s="2">
        <v>602.28700000000003</v>
      </c>
      <c r="I32" s="1">
        <v>2.6055600000000001</v>
      </c>
      <c r="J32" s="2">
        <v>597.47799999999995</v>
      </c>
      <c r="K32" s="1">
        <v>0.55645699999999998</v>
      </c>
      <c r="N32" s="3">
        <f t="shared" si="8"/>
        <v>599.92933333333337</v>
      </c>
      <c r="O32" s="21">
        <f t="shared" si="9"/>
        <v>73077.775515768706</v>
      </c>
      <c r="P32" s="3">
        <f t="shared" si="10"/>
        <v>600.02300000000002</v>
      </c>
      <c r="Q32" s="17">
        <f t="shared" si="11"/>
        <v>1.82227E-4</v>
      </c>
      <c r="R32" s="3">
        <f t="shared" si="12"/>
        <v>602.28700000000003</v>
      </c>
      <c r="S32" s="24">
        <f t="shared" si="13"/>
        <v>2.6055600000000001</v>
      </c>
      <c r="T32" s="3">
        <f t="shared" si="14"/>
        <v>597.47799999999995</v>
      </c>
      <c r="U32" s="51">
        <f t="shared" si="15"/>
        <v>0.55645699999999998</v>
      </c>
      <c r="V32" s="42">
        <f t="shared" si="16"/>
        <v>0.55645700000000009</v>
      </c>
      <c r="W32" s="49">
        <f t="shared" si="7"/>
        <v>-1.9951640910711099E-16</v>
      </c>
    </row>
    <row r="33" spans="2:23" x14ac:dyDescent="0.6">
      <c r="B33" s="2"/>
      <c r="C33" s="1"/>
      <c r="D33" s="2"/>
      <c r="E33" s="1"/>
      <c r="F33" s="2">
        <v>652.19000000000005</v>
      </c>
      <c r="G33" s="1">
        <v>192.70099999999999</v>
      </c>
      <c r="H33" s="2">
        <v>650.18200000000002</v>
      </c>
      <c r="I33" s="1">
        <v>2.6065800000000001</v>
      </c>
      <c r="J33" s="2">
        <v>647.44100000000003</v>
      </c>
      <c r="K33" s="1">
        <v>0.65980700000000003</v>
      </c>
      <c r="N33" s="3">
        <f t="shared" si="8"/>
        <v>649.9376666666667</v>
      </c>
      <c r="O33" s="21">
        <f t="shared" si="9"/>
        <v>71535.207698055834</v>
      </c>
      <c r="P33" s="3">
        <f t="shared" si="10"/>
        <v>652.19000000000005</v>
      </c>
      <c r="Q33" s="17">
        <f t="shared" si="11"/>
        <v>1.9270099999999998E-4</v>
      </c>
      <c r="R33" s="3">
        <f t="shared" si="12"/>
        <v>650.18200000000002</v>
      </c>
      <c r="S33" s="24">
        <f t="shared" si="13"/>
        <v>2.6065800000000001</v>
      </c>
      <c r="T33" s="3">
        <f t="shared" si="14"/>
        <v>647.44100000000003</v>
      </c>
      <c r="U33" s="51">
        <f t="shared" si="15"/>
        <v>0.65980700000000003</v>
      </c>
      <c r="V33" s="42">
        <f t="shared" si="16"/>
        <v>0.65980700000000014</v>
      </c>
      <c r="W33" s="49">
        <f t="shared" si="7"/>
        <v>-1.6826481450259795E-16</v>
      </c>
    </row>
    <row r="34" spans="2:23" x14ac:dyDescent="0.6">
      <c r="B34" s="2"/>
      <c r="C34" s="1"/>
      <c r="D34" s="2"/>
      <c r="E34" s="1"/>
      <c r="F34" s="2">
        <v>700.61699999999996</v>
      </c>
      <c r="G34" s="1">
        <v>198.91200000000001</v>
      </c>
      <c r="H34" s="2">
        <v>702.68399999999997</v>
      </c>
      <c r="I34" s="1">
        <v>2.5778500000000002</v>
      </c>
      <c r="J34" s="2">
        <v>696.39400000000001</v>
      </c>
      <c r="K34" s="1">
        <v>0.73143499999999995</v>
      </c>
      <c r="N34" s="3">
        <f t="shared" si="8"/>
        <v>699.8983333333332</v>
      </c>
      <c r="O34" s="21">
        <f t="shared" si="9"/>
        <v>68431.552375283965</v>
      </c>
      <c r="P34" s="3">
        <f t="shared" si="10"/>
        <v>700.61699999999996</v>
      </c>
      <c r="Q34" s="17">
        <f t="shared" si="11"/>
        <v>1.9891200000000001E-4</v>
      </c>
      <c r="R34" s="3">
        <f t="shared" si="12"/>
        <v>702.68399999999997</v>
      </c>
      <c r="S34" s="24">
        <f t="shared" si="13"/>
        <v>2.5778500000000002</v>
      </c>
      <c r="T34" s="3">
        <f t="shared" si="14"/>
        <v>696.39400000000001</v>
      </c>
      <c r="U34" s="51">
        <f t="shared" si="15"/>
        <v>0.73143499999999995</v>
      </c>
      <c r="V34" s="42">
        <f t="shared" si="16"/>
        <v>0.73143499999999984</v>
      </c>
      <c r="W34" s="49">
        <f t="shared" si="7"/>
        <v>1.5178697008280389E-16</v>
      </c>
    </row>
    <row r="35" spans="2:23" x14ac:dyDescent="0.6">
      <c r="B35" s="2"/>
      <c r="C35" s="1"/>
      <c r="D35" s="2"/>
      <c r="E35" s="1"/>
      <c r="F35" s="2">
        <v>751.83500000000004</v>
      </c>
      <c r="G35" s="1">
        <v>204.46600000000001</v>
      </c>
      <c r="H35" s="2">
        <v>749.65499999999997</v>
      </c>
      <c r="I35" s="1">
        <v>2.6086999999999998</v>
      </c>
      <c r="J35" s="2">
        <v>748.27800000000002</v>
      </c>
      <c r="K35" s="1">
        <v>0.80029899999999998</v>
      </c>
      <c r="N35" s="3">
        <f t="shared" si="8"/>
        <v>749.92266666666671</v>
      </c>
      <c r="O35" s="21">
        <f t="shared" si="9"/>
        <v>66737.699763856537</v>
      </c>
      <c r="P35" s="3">
        <f t="shared" si="10"/>
        <v>751.83500000000004</v>
      </c>
      <c r="Q35" s="17">
        <f t="shared" si="11"/>
        <v>2.0446599999999999E-4</v>
      </c>
      <c r="R35" s="3">
        <f t="shared" si="12"/>
        <v>749.65499999999997</v>
      </c>
      <c r="S35" s="24">
        <f t="shared" si="13"/>
        <v>2.6086999999999998</v>
      </c>
      <c r="T35" s="3">
        <f t="shared" si="14"/>
        <v>748.27800000000002</v>
      </c>
      <c r="U35" s="51">
        <f t="shared" si="15"/>
        <v>0.80029899999999998</v>
      </c>
      <c r="V35" s="42">
        <f t="shared" si="16"/>
        <v>0.80029900000000009</v>
      </c>
      <c r="W35" s="49">
        <f t="shared" si="7"/>
        <v>-1.3872602922472184E-16</v>
      </c>
    </row>
    <row r="36" spans="2:23" x14ac:dyDescent="0.6">
      <c r="B36" s="28"/>
      <c r="C36" s="29"/>
      <c r="D36" s="28"/>
      <c r="E36" s="29"/>
      <c r="F36" s="28">
        <v>802.06</v>
      </c>
      <c r="G36" s="29">
        <v>193.61500000000001</v>
      </c>
      <c r="H36" s="28">
        <v>800.31799999999998</v>
      </c>
      <c r="I36" s="29">
        <v>2.5500799999999999</v>
      </c>
      <c r="J36" s="28">
        <v>796.12300000000005</v>
      </c>
      <c r="K36" s="29">
        <v>0.73951500000000003</v>
      </c>
      <c r="N36" s="3">
        <f t="shared" si="8"/>
        <v>799.5003333333334</v>
      </c>
      <c r="O36" s="21">
        <f t="shared" si="9"/>
        <v>63189.165609804346</v>
      </c>
      <c r="P36" s="32">
        <f t="shared" si="10"/>
        <v>802.06</v>
      </c>
      <c r="Q36" s="34">
        <f t="shared" si="11"/>
        <v>1.9361500000000001E-4</v>
      </c>
      <c r="R36" s="32">
        <f t="shared" si="12"/>
        <v>800.31799999999998</v>
      </c>
      <c r="S36" s="35">
        <f t="shared" si="13"/>
        <v>2.5500799999999999</v>
      </c>
      <c r="T36" s="32">
        <f t="shared" si="14"/>
        <v>796.12300000000005</v>
      </c>
      <c r="U36" s="52">
        <f t="shared" si="15"/>
        <v>0.73951500000000003</v>
      </c>
      <c r="V36" s="42">
        <f t="shared" si="16"/>
        <v>0.73951499999999992</v>
      </c>
      <c r="W36" s="49">
        <f t="shared" si="7"/>
        <v>1.5012853351523046E-16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1" tint="0.499984740745262"/>
  </sheetPr>
  <dimension ref="A1:W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  <col min="23" max="23" width="9.87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84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86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86</v>
      </c>
      <c r="T7" s="7" t="s">
        <v>3</v>
      </c>
      <c r="U7" s="25" t="s">
        <v>6</v>
      </c>
    </row>
    <row r="8" spans="1:23" ht="17.25" thickBot="1" x14ac:dyDescent="0.65">
      <c r="B8" s="9" t="s">
        <v>85</v>
      </c>
      <c r="C8" s="10" t="s">
        <v>49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3.3313679245282999</v>
      </c>
      <c r="C9" s="4">
        <v>401452.99653706403</v>
      </c>
      <c r="D9" s="3"/>
      <c r="E9" s="4"/>
      <c r="F9" s="3">
        <v>300</v>
      </c>
      <c r="G9" s="4">
        <v>-99.521531100478001</v>
      </c>
      <c r="H9" s="3">
        <v>300</v>
      </c>
      <c r="I9" s="4">
        <v>3.1299117882919001</v>
      </c>
      <c r="J9" s="3">
        <v>299.32795698924701</v>
      </c>
      <c r="K9" s="4">
        <v>0.199523052464228</v>
      </c>
      <c r="N9" s="3">
        <f>1/(B9*10^(-3))</f>
        <v>300.17699115044269</v>
      </c>
      <c r="O9" s="21">
        <f>C9</f>
        <v>401452.99653706403</v>
      </c>
      <c r="P9" s="3">
        <f>F9</f>
        <v>300</v>
      </c>
      <c r="Q9" s="17">
        <f>G9*(10^(-6))</f>
        <v>-9.9521531100477993E-5</v>
      </c>
      <c r="R9" s="3">
        <f>H9</f>
        <v>300</v>
      </c>
      <c r="S9" s="24">
        <f>I9</f>
        <v>3.1299117882919001</v>
      </c>
      <c r="T9" s="3">
        <f>J9</f>
        <v>299.32795698924701</v>
      </c>
      <c r="U9" s="24">
        <f>K9</f>
        <v>0.199523052464228</v>
      </c>
      <c r="V9" s="42">
        <f>((O9*(Q9)^2)/S9)*T9</f>
        <v>0.38026292573273135</v>
      </c>
      <c r="W9" s="49">
        <f t="shared" ref="W9" si="0">(U9-V9)/U9</f>
        <v>-0.90585960387162667</v>
      </c>
    </row>
    <row r="10" spans="1:23" x14ac:dyDescent="0.6">
      <c r="B10" s="3">
        <v>3.0813679245282999</v>
      </c>
      <c r="C10" s="4">
        <v>391523.81557560503</v>
      </c>
      <c r="D10" s="3"/>
      <c r="E10" s="4"/>
      <c r="F10" s="3">
        <v>324.44273635664803</v>
      </c>
      <c r="G10" s="4">
        <v>-103.987240829345</v>
      </c>
      <c r="H10" s="3">
        <v>325.83025830258299</v>
      </c>
      <c r="I10" s="4">
        <v>3.0240577385725702</v>
      </c>
      <c r="J10" s="3">
        <v>323.52150537634401</v>
      </c>
      <c r="K10" s="4">
        <v>0.22972972972972899</v>
      </c>
      <c r="N10" s="3">
        <f t="shared" ref="N10:N29" si="1">1/(B10*10^(-3))</f>
        <v>324.53119020283219</v>
      </c>
      <c r="O10" s="21">
        <f t="shared" ref="O10:O29" si="2">C10</f>
        <v>391523.81557560503</v>
      </c>
      <c r="P10" s="3">
        <f t="shared" ref="P10:P33" si="3">F10</f>
        <v>324.44273635664803</v>
      </c>
      <c r="Q10" s="17">
        <f t="shared" ref="Q10:Q33" si="4">G10*(10^(-6))</f>
        <v>-1.03987240829345E-4</v>
      </c>
      <c r="R10" s="3">
        <f t="shared" ref="R10:R32" si="5">H10</f>
        <v>325.83025830258299</v>
      </c>
      <c r="S10" s="24">
        <f t="shared" ref="S10:S32" si="6">I10</f>
        <v>3.0240577385725702</v>
      </c>
      <c r="T10" s="3">
        <f t="shared" ref="T10:T33" si="7">J10</f>
        <v>323.52150537634401</v>
      </c>
      <c r="U10" s="24">
        <f t="shared" ref="U10:U33" si="8">K10</f>
        <v>0.22972972972972899</v>
      </c>
      <c r="V10" s="42">
        <f t="shared" ref="V10:V29" si="9">((O10*(Q10)^2)/S10)*T10</f>
        <v>0.45293029485485015</v>
      </c>
      <c r="W10" s="49">
        <f t="shared" ref="W10:W29" si="10">(U10-V10)/U10</f>
        <v>-0.97157893054464817</v>
      </c>
    </row>
    <row r="11" spans="1:23" x14ac:dyDescent="0.6">
      <c r="B11" s="2">
        <v>2.8596698113207499</v>
      </c>
      <c r="C11" s="1">
        <v>383531.51034894201</v>
      </c>
      <c r="D11" s="2"/>
      <c r="E11" s="1"/>
      <c r="F11" s="2">
        <v>349.80784012298199</v>
      </c>
      <c r="G11" s="1">
        <v>-107.814992025517</v>
      </c>
      <c r="H11" s="2">
        <v>350.43050430504297</v>
      </c>
      <c r="I11" s="1">
        <v>2.8668805132317501</v>
      </c>
      <c r="J11" s="2">
        <v>349.39516129032199</v>
      </c>
      <c r="K11" s="1">
        <v>0.25914149443561202</v>
      </c>
      <c r="N11" s="3">
        <f t="shared" si="1"/>
        <v>349.69072164948511</v>
      </c>
      <c r="O11" s="21">
        <f t="shared" si="2"/>
        <v>383531.51034894201</v>
      </c>
      <c r="P11" s="3">
        <f t="shared" si="3"/>
        <v>349.80784012298199</v>
      </c>
      <c r="Q11" s="17">
        <f t="shared" si="4"/>
        <v>-1.07814992025517E-4</v>
      </c>
      <c r="R11" s="3">
        <f t="shared" si="5"/>
        <v>350.43050430504297</v>
      </c>
      <c r="S11" s="24">
        <f t="shared" si="6"/>
        <v>2.8668805132317501</v>
      </c>
      <c r="T11" s="3">
        <f t="shared" si="7"/>
        <v>349.39516129032199</v>
      </c>
      <c r="U11" s="24">
        <f t="shared" si="8"/>
        <v>0.25914149443561202</v>
      </c>
      <c r="V11" s="42">
        <f t="shared" si="9"/>
        <v>0.54333371467098768</v>
      </c>
      <c r="W11" s="49">
        <f t="shared" si="10"/>
        <v>-1.0966681382089039</v>
      </c>
    </row>
    <row r="12" spans="1:23" x14ac:dyDescent="0.6">
      <c r="B12" s="2">
        <v>2.6721698113207499</v>
      </c>
      <c r="C12" s="1">
        <v>377366.46430456202</v>
      </c>
      <c r="D12" s="2"/>
      <c r="E12" s="1"/>
      <c r="F12" s="2">
        <v>373.78939277478798</v>
      </c>
      <c r="G12" s="1">
        <v>-113.875598086124</v>
      </c>
      <c r="H12" s="2">
        <v>375.03075030750301</v>
      </c>
      <c r="I12" s="1">
        <v>2.7032878909382498</v>
      </c>
      <c r="J12" s="2">
        <v>373.58870967741899</v>
      </c>
      <c r="K12" s="1">
        <v>0.31081081081081102</v>
      </c>
      <c r="N12" s="3">
        <f t="shared" si="1"/>
        <v>374.22771403353994</v>
      </c>
      <c r="O12" s="21">
        <f t="shared" si="2"/>
        <v>377366.46430456202</v>
      </c>
      <c r="P12" s="3">
        <f t="shared" si="3"/>
        <v>373.78939277478798</v>
      </c>
      <c r="Q12" s="17">
        <f t="shared" si="4"/>
        <v>-1.1387559808612399E-4</v>
      </c>
      <c r="R12" s="3">
        <f t="shared" si="5"/>
        <v>375.03075030750301</v>
      </c>
      <c r="S12" s="24">
        <f t="shared" si="6"/>
        <v>2.7032878909382498</v>
      </c>
      <c r="T12" s="3">
        <f t="shared" si="7"/>
        <v>373.58870967741899</v>
      </c>
      <c r="U12" s="24">
        <f t="shared" si="8"/>
        <v>0.31081081081081102</v>
      </c>
      <c r="V12" s="42">
        <f t="shared" si="9"/>
        <v>0.67627929066300352</v>
      </c>
      <c r="W12" s="49">
        <f t="shared" si="10"/>
        <v>-1.1758551090896621</v>
      </c>
    </row>
    <row r="13" spans="1:23" x14ac:dyDescent="0.6">
      <c r="B13" s="2">
        <v>2.5</v>
      </c>
      <c r="C13" s="1">
        <v>369118.97721724102</v>
      </c>
      <c r="D13" s="2"/>
      <c r="E13" s="1"/>
      <c r="F13" s="2">
        <v>399.154496541122</v>
      </c>
      <c r="G13" s="1">
        <v>-117.70334928229499</v>
      </c>
      <c r="H13" s="2">
        <v>400.24600246002399</v>
      </c>
      <c r="I13" s="1">
        <v>2.5717722534081702</v>
      </c>
      <c r="J13" s="2">
        <v>398.79032258064501</v>
      </c>
      <c r="K13" s="1">
        <v>0.34022257551669299</v>
      </c>
      <c r="N13" s="3">
        <f t="shared" si="1"/>
        <v>400</v>
      </c>
      <c r="O13" s="21">
        <f t="shared" si="2"/>
        <v>369118.97721724102</v>
      </c>
      <c r="P13" s="3">
        <f t="shared" si="3"/>
        <v>399.154496541122</v>
      </c>
      <c r="Q13" s="17">
        <f t="shared" si="4"/>
        <v>-1.1770334928229499E-4</v>
      </c>
      <c r="R13" s="3">
        <f t="shared" si="5"/>
        <v>400.24600246002399</v>
      </c>
      <c r="S13" s="24">
        <f t="shared" si="6"/>
        <v>2.5717722534081702</v>
      </c>
      <c r="T13" s="3">
        <f t="shared" si="7"/>
        <v>398.79032258064501</v>
      </c>
      <c r="U13" s="24">
        <f t="shared" si="8"/>
        <v>0.34022257551669299</v>
      </c>
      <c r="V13" s="42">
        <f t="shared" si="9"/>
        <v>0.79296883674208984</v>
      </c>
      <c r="W13" s="49">
        <f t="shared" si="10"/>
        <v>-1.3307355061251158</v>
      </c>
    </row>
    <row r="14" spans="1:23" x14ac:dyDescent="0.6">
      <c r="B14" s="2">
        <v>2.3525943396226401</v>
      </c>
      <c r="C14" s="1">
        <v>360520.23837965401</v>
      </c>
      <c r="D14" s="2"/>
      <c r="E14" s="1"/>
      <c r="F14" s="2">
        <v>424.98078401229799</v>
      </c>
      <c r="G14" s="1">
        <v>-121.850079744816</v>
      </c>
      <c r="H14" s="2">
        <v>425.15375153751501</v>
      </c>
      <c r="I14" s="1">
        <v>2.4306335204490699</v>
      </c>
      <c r="J14" s="2">
        <v>424.32795698924701</v>
      </c>
      <c r="K14" s="1">
        <v>0.38076311605723401</v>
      </c>
      <c r="N14" s="3">
        <f t="shared" si="1"/>
        <v>425.06265664160424</v>
      </c>
      <c r="O14" s="21">
        <f t="shared" si="2"/>
        <v>360520.23837965401</v>
      </c>
      <c r="P14" s="3">
        <f t="shared" si="3"/>
        <v>424.98078401229799</v>
      </c>
      <c r="Q14" s="17">
        <f t="shared" si="4"/>
        <v>-1.21850079744816E-4</v>
      </c>
      <c r="R14" s="3">
        <f t="shared" si="5"/>
        <v>425.15375153751501</v>
      </c>
      <c r="S14" s="24">
        <f t="shared" si="6"/>
        <v>2.4306335204490699</v>
      </c>
      <c r="T14" s="3">
        <f t="shared" si="7"/>
        <v>424.32795698924701</v>
      </c>
      <c r="U14" s="24">
        <f t="shared" si="8"/>
        <v>0.38076311605723401</v>
      </c>
      <c r="V14" s="42">
        <f t="shared" si="9"/>
        <v>0.93446587961440308</v>
      </c>
      <c r="W14" s="49">
        <f t="shared" si="10"/>
        <v>-1.4541922266282217</v>
      </c>
    </row>
    <row r="15" spans="1:23" x14ac:dyDescent="0.6">
      <c r="B15" s="2">
        <v>2.2216981132075402</v>
      </c>
      <c r="C15" s="1">
        <v>354202.89490917302</v>
      </c>
      <c r="D15" s="2"/>
      <c r="E15" s="1"/>
      <c r="F15" s="2">
        <v>448.96233666410399</v>
      </c>
      <c r="G15" s="1">
        <v>-124.720893141945</v>
      </c>
      <c r="H15" s="2">
        <v>450.06150061500603</v>
      </c>
      <c r="I15" s="1">
        <v>2.3055332798716899</v>
      </c>
      <c r="J15" s="2">
        <v>448.85752688171999</v>
      </c>
      <c r="K15" s="1">
        <v>0.43004769475357701</v>
      </c>
      <c r="N15" s="3">
        <f t="shared" si="1"/>
        <v>450.10615711252791</v>
      </c>
      <c r="O15" s="21">
        <f t="shared" si="2"/>
        <v>354202.89490917302</v>
      </c>
      <c r="P15" s="3">
        <f t="shared" si="3"/>
        <v>448.96233666410399</v>
      </c>
      <c r="Q15" s="17">
        <f t="shared" si="4"/>
        <v>-1.2472089314194499E-4</v>
      </c>
      <c r="R15" s="3">
        <f t="shared" si="5"/>
        <v>450.06150061500603</v>
      </c>
      <c r="S15" s="24">
        <f t="shared" si="6"/>
        <v>2.3055332798716899</v>
      </c>
      <c r="T15" s="3">
        <f t="shared" si="7"/>
        <v>448.85752688171999</v>
      </c>
      <c r="U15" s="24">
        <f t="shared" si="8"/>
        <v>0.43004769475357701</v>
      </c>
      <c r="V15" s="42">
        <f t="shared" si="9"/>
        <v>1.0726737367743724</v>
      </c>
      <c r="W15" s="49">
        <f t="shared" si="10"/>
        <v>-1.4943134211869886</v>
      </c>
    </row>
    <row r="16" spans="1:23" x14ac:dyDescent="0.6">
      <c r="B16" s="2">
        <v>2.1120283018867898</v>
      </c>
      <c r="C16" s="1">
        <v>347996.24932545499</v>
      </c>
      <c r="D16" s="2"/>
      <c r="E16" s="1"/>
      <c r="F16" s="2">
        <v>474.327440430438</v>
      </c>
      <c r="G16" s="1">
        <v>-128.22966507177</v>
      </c>
      <c r="H16" s="2">
        <v>475.276752767527</v>
      </c>
      <c r="I16" s="1">
        <v>2.1836407377706402</v>
      </c>
      <c r="J16" s="2">
        <v>474.05913978494601</v>
      </c>
      <c r="K16" s="1">
        <v>0.47058823529411797</v>
      </c>
      <c r="N16" s="3">
        <f t="shared" si="1"/>
        <v>473.47850362925794</v>
      </c>
      <c r="O16" s="21">
        <f t="shared" si="2"/>
        <v>347996.24932545499</v>
      </c>
      <c r="P16" s="3">
        <f t="shared" si="3"/>
        <v>474.327440430438</v>
      </c>
      <c r="Q16" s="17">
        <f t="shared" si="4"/>
        <v>-1.2822966507177E-4</v>
      </c>
      <c r="R16" s="3">
        <f t="shared" si="5"/>
        <v>475.276752767527</v>
      </c>
      <c r="S16" s="24">
        <f t="shared" si="6"/>
        <v>2.1836407377706402</v>
      </c>
      <c r="T16" s="3">
        <f t="shared" si="7"/>
        <v>474.05913978494601</v>
      </c>
      <c r="U16" s="24">
        <f t="shared" si="8"/>
        <v>0.47058823529411797</v>
      </c>
      <c r="V16" s="42">
        <f t="shared" si="9"/>
        <v>1.2422325799694882</v>
      </c>
      <c r="W16" s="49">
        <f t="shared" si="10"/>
        <v>-1.6397442324351605</v>
      </c>
    </row>
    <row r="17" spans="2:23" x14ac:dyDescent="0.6">
      <c r="B17" s="2">
        <v>2.0023584905660301</v>
      </c>
      <c r="C17" s="1">
        <v>342402.41194189602</v>
      </c>
      <c r="D17" s="2"/>
      <c r="E17" s="1"/>
      <c r="F17" s="2">
        <v>500.15372790161399</v>
      </c>
      <c r="G17" s="1">
        <v>-132.05741626794199</v>
      </c>
      <c r="H17" s="2">
        <v>500.18450184501802</v>
      </c>
      <c r="I17" s="1">
        <v>1.9815557337610199</v>
      </c>
      <c r="J17" s="2">
        <v>499.59677419354801</v>
      </c>
      <c r="K17" s="1">
        <v>0.52305246422893403</v>
      </c>
      <c r="N17" s="3">
        <f t="shared" si="1"/>
        <v>499.41107184923629</v>
      </c>
      <c r="O17" s="21">
        <f t="shared" si="2"/>
        <v>342402.41194189602</v>
      </c>
      <c r="P17" s="3">
        <f t="shared" si="3"/>
        <v>500.15372790161399</v>
      </c>
      <c r="Q17" s="17">
        <f t="shared" si="4"/>
        <v>-1.3205741626794198E-4</v>
      </c>
      <c r="R17" s="3">
        <f t="shared" si="5"/>
        <v>500.18450184501802</v>
      </c>
      <c r="S17" s="24">
        <f t="shared" si="6"/>
        <v>1.9815557337610199</v>
      </c>
      <c r="T17" s="3">
        <f t="shared" si="7"/>
        <v>499.59677419354801</v>
      </c>
      <c r="U17" s="24">
        <f t="shared" si="8"/>
        <v>0.52305246422893403</v>
      </c>
      <c r="V17" s="42">
        <f t="shared" si="9"/>
        <v>1.5054826013442688</v>
      </c>
      <c r="W17" s="49">
        <f t="shared" si="10"/>
        <v>-1.8782630888922387</v>
      </c>
    </row>
    <row r="18" spans="2:23" x14ac:dyDescent="0.6">
      <c r="B18" s="2">
        <v>1.89976415094339</v>
      </c>
      <c r="C18" s="1">
        <v>336898.49224203097</v>
      </c>
      <c r="D18" s="2"/>
      <c r="E18" s="1"/>
      <c r="F18" s="2">
        <v>525.05764796310496</v>
      </c>
      <c r="G18" s="1">
        <v>-136.84210526315701</v>
      </c>
      <c r="H18" s="2">
        <v>525.09225092250904</v>
      </c>
      <c r="I18" s="1">
        <v>1.85966319165998</v>
      </c>
      <c r="J18" s="2">
        <v>524.12634408602105</v>
      </c>
      <c r="K18" s="1">
        <v>0.57154213036565904</v>
      </c>
      <c r="N18" s="3">
        <f t="shared" si="1"/>
        <v>526.38112973308671</v>
      </c>
      <c r="O18" s="21">
        <f t="shared" si="2"/>
        <v>336898.49224203097</v>
      </c>
      <c r="P18" s="3">
        <f t="shared" si="3"/>
        <v>525.05764796310496</v>
      </c>
      <c r="Q18" s="17">
        <f t="shared" si="4"/>
        <v>-1.36842105263157E-4</v>
      </c>
      <c r="R18" s="3">
        <f t="shared" si="5"/>
        <v>525.09225092250904</v>
      </c>
      <c r="S18" s="24">
        <f t="shared" si="6"/>
        <v>1.85966319165998</v>
      </c>
      <c r="T18" s="3">
        <f t="shared" si="7"/>
        <v>524.12634408602105</v>
      </c>
      <c r="U18" s="24">
        <f t="shared" si="8"/>
        <v>0.57154213036565904</v>
      </c>
      <c r="V18" s="42">
        <f t="shared" si="9"/>
        <v>1.7780347940462959</v>
      </c>
      <c r="W18" s="49">
        <f t="shared" si="10"/>
        <v>-2.1109426577333008</v>
      </c>
    </row>
    <row r="19" spans="2:23" x14ac:dyDescent="0.6">
      <c r="B19" s="2">
        <v>1.8219339622641499</v>
      </c>
      <c r="C19" s="1">
        <v>330507.81185352203</v>
      </c>
      <c r="D19" s="2"/>
      <c r="E19" s="1"/>
      <c r="F19" s="2">
        <v>549.96156802459598</v>
      </c>
      <c r="G19" s="1">
        <v>-141.94577352472001</v>
      </c>
      <c r="H19" s="2">
        <v>550</v>
      </c>
      <c r="I19" s="1">
        <v>1.7281475541299101</v>
      </c>
      <c r="J19" s="2">
        <v>549.32795698924701</v>
      </c>
      <c r="K19" s="1">
        <v>0.63354531001589798</v>
      </c>
      <c r="N19" s="3">
        <f t="shared" si="1"/>
        <v>548.86731391585784</v>
      </c>
      <c r="O19" s="21">
        <f t="shared" si="2"/>
        <v>330507.81185352203</v>
      </c>
      <c r="P19" s="3">
        <f t="shared" si="3"/>
        <v>549.96156802459598</v>
      </c>
      <c r="Q19" s="17">
        <f t="shared" si="4"/>
        <v>-1.4194577352472001E-4</v>
      </c>
      <c r="R19" s="3">
        <f t="shared" si="5"/>
        <v>550</v>
      </c>
      <c r="S19" s="24">
        <f t="shared" si="6"/>
        <v>1.7281475541299101</v>
      </c>
      <c r="T19" s="3">
        <f t="shared" si="7"/>
        <v>549.32795698924701</v>
      </c>
      <c r="U19" s="24">
        <f t="shared" si="8"/>
        <v>0.63354531001589798</v>
      </c>
      <c r="V19" s="42">
        <f t="shared" si="9"/>
        <v>2.1167888618133213</v>
      </c>
      <c r="W19" s="49">
        <f t="shared" si="10"/>
        <v>-2.3411799098634369</v>
      </c>
    </row>
    <row r="20" spans="2:23" x14ac:dyDescent="0.6">
      <c r="B20" s="2">
        <v>1.7405660377358401</v>
      </c>
      <c r="C20" s="1">
        <v>325195.09093458002</v>
      </c>
      <c r="D20" s="2"/>
      <c r="E20" s="1"/>
      <c r="F20" s="2">
        <v>574.865488086087</v>
      </c>
      <c r="G20" s="1">
        <v>-145.77352472089299</v>
      </c>
      <c r="H20" s="2">
        <v>574.90774907749005</v>
      </c>
      <c r="I20" s="1">
        <v>1.62229350441058</v>
      </c>
      <c r="J20" s="2">
        <v>574.86559139784902</v>
      </c>
      <c r="K20" s="1">
        <v>0.68044515103338599</v>
      </c>
      <c r="N20" s="3">
        <f t="shared" si="1"/>
        <v>574.52574525745558</v>
      </c>
      <c r="O20" s="21">
        <f t="shared" si="2"/>
        <v>325195.09093458002</v>
      </c>
      <c r="P20" s="3">
        <f t="shared" si="3"/>
        <v>574.865488086087</v>
      </c>
      <c r="Q20" s="17">
        <f t="shared" si="4"/>
        <v>-1.4577352472089299E-4</v>
      </c>
      <c r="R20" s="3">
        <f t="shared" si="5"/>
        <v>574.90774907749005</v>
      </c>
      <c r="S20" s="24">
        <f t="shared" si="6"/>
        <v>1.62229350441058</v>
      </c>
      <c r="T20" s="3">
        <f t="shared" si="7"/>
        <v>574.86559139784902</v>
      </c>
      <c r="U20" s="24">
        <f t="shared" si="8"/>
        <v>0.68044515103338599</v>
      </c>
      <c r="V20" s="42">
        <f t="shared" si="9"/>
        <v>2.4487146312999326</v>
      </c>
      <c r="W20" s="49">
        <f t="shared" si="10"/>
        <v>-2.5986951006720989</v>
      </c>
    </row>
    <row r="21" spans="2:23" x14ac:dyDescent="0.6">
      <c r="B21" s="2">
        <v>1.6698113207547101</v>
      </c>
      <c r="C21" s="1">
        <v>320911.90129403502</v>
      </c>
      <c r="D21" s="2"/>
      <c r="E21" s="1"/>
      <c r="F21" s="2">
        <v>599.76940814757802</v>
      </c>
      <c r="G21" s="1">
        <v>-150.55821371610801</v>
      </c>
      <c r="H21" s="2">
        <v>600.12300123001205</v>
      </c>
      <c r="I21" s="1">
        <v>1.5453087409783399</v>
      </c>
      <c r="J21" s="2">
        <v>599.05913978494596</v>
      </c>
      <c r="K21" s="1">
        <v>0.74165341812400598</v>
      </c>
      <c r="N21" s="3">
        <f t="shared" si="1"/>
        <v>598.87005649717764</v>
      </c>
      <c r="O21" s="21">
        <f t="shared" si="2"/>
        <v>320911.90129403502</v>
      </c>
      <c r="P21" s="3">
        <f t="shared" si="3"/>
        <v>599.76940814757802</v>
      </c>
      <c r="Q21" s="17">
        <f t="shared" si="4"/>
        <v>-1.5055821371610801E-4</v>
      </c>
      <c r="R21" s="3">
        <f t="shared" si="5"/>
        <v>600.12300123001205</v>
      </c>
      <c r="S21" s="24">
        <f t="shared" si="6"/>
        <v>1.5453087409783399</v>
      </c>
      <c r="T21" s="3">
        <f t="shared" si="7"/>
        <v>599.05913978494596</v>
      </c>
      <c r="U21" s="24">
        <f t="shared" si="8"/>
        <v>0.74165341812400598</v>
      </c>
      <c r="V21" s="42">
        <f t="shared" si="9"/>
        <v>2.8200003867242187</v>
      </c>
      <c r="W21" s="49">
        <f t="shared" si="10"/>
        <v>-2.802315633975422</v>
      </c>
    </row>
    <row r="22" spans="2:23" x14ac:dyDescent="0.6">
      <c r="B22" s="28">
        <v>1.6002358490566</v>
      </c>
      <c r="C22" s="29">
        <v>314824.47305892798</v>
      </c>
      <c r="D22" s="28"/>
      <c r="E22" s="29"/>
      <c r="F22" s="28">
        <v>625.13451191391198</v>
      </c>
      <c r="G22" s="29">
        <v>-155.66188197767099</v>
      </c>
      <c r="H22" s="28">
        <v>625.03075030750301</v>
      </c>
      <c r="I22" s="29">
        <v>1.4426623897353601</v>
      </c>
      <c r="J22" s="28">
        <v>624.59677419354796</v>
      </c>
      <c r="K22" s="29">
        <v>0.78934817170111304</v>
      </c>
      <c r="N22" s="3">
        <f t="shared" si="1"/>
        <v>624.90788504053205</v>
      </c>
      <c r="O22" s="21">
        <f t="shared" si="2"/>
        <v>314824.47305892798</v>
      </c>
      <c r="P22" s="3">
        <f t="shared" si="3"/>
        <v>625.13451191391198</v>
      </c>
      <c r="Q22" s="17">
        <f t="shared" si="4"/>
        <v>-1.5566188197767099E-4</v>
      </c>
      <c r="R22" s="3">
        <f t="shared" si="5"/>
        <v>625.03075030750301</v>
      </c>
      <c r="S22" s="24">
        <f t="shared" si="6"/>
        <v>1.4426623897353601</v>
      </c>
      <c r="T22" s="3">
        <f t="shared" si="7"/>
        <v>624.59677419354796</v>
      </c>
      <c r="U22" s="24">
        <f t="shared" si="8"/>
        <v>0.78934817170111304</v>
      </c>
      <c r="V22" s="42">
        <f t="shared" si="9"/>
        <v>3.3026919345823074</v>
      </c>
      <c r="W22" s="49">
        <f t="shared" si="10"/>
        <v>-3.1840749785544231</v>
      </c>
    </row>
    <row r="23" spans="2:23" x14ac:dyDescent="0.6">
      <c r="B23" s="2">
        <v>1.5400943396226401</v>
      </c>
      <c r="C23" s="50">
        <v>310220.52784778603</v>
      </c>
      <c r="D23" s="2"/>
      <c r="E23" s="50"/>
      <c r="F23" s="2">
        <v>649.57724827056097</v>
      </c>
      <c r="G23" s="50">
        <v>-161.084529505582</v>
      </c>
      <c r="H23" s="2">
        <v>650.24600246002399</v>
      </c>
      <c r="I23" s="50">
        <v>1.3560545308740899</v>
      </c>
      <c r="J23" s="2">
        <v>649.46236559139697</v>
      </c>
      <c r="K23" s="50">
        <v>0.84022257551669299</v>
      </c>
      <c r="N23" s="3">
        <f t="shared" si="1"/>
        <v>649.31087289433435</v>
      </c>
      <c r="O23" s="21">
        <f t="shared" si="2"/>
        <v>310220.52784778603</v>
      </c>
      <c r="P23" s="3">
        <f t="shared" si="3"/>
        <v>649.57724827056097</v>
      </c>
      <c r="Q23" s="17">
        <f t="shared" si="4"/>
        <v>-1.6108452950558199E-4</v>
      </c>
      <c r="R23" s="3">
        <f t="shared" si="5"/>
        <v>650.24600246002399</v>
      </c>
      <c r="S23" s="24">
        <f t="shared" si="6"/>
        <v>1.3560545308740899</v>
      </c>
      <c r="T23" s="3">
        <f t="shared" si="7"/>
        <v>649.46236559139697</v>
      </c>
      <c r="U23" s="24">
        <f t="shared" si="8"/>
        <v>0.84022257551669299</v>
      </c>
      <c r="V23" s="42">
        <f t="shared" si="9"/>
        <v>3.8552720904624183</v>
      </c>
      <c r="W23" s="49">
        <f t="shared" si="10"/>
        <v>-3.5883938408720182</v>
      </c>
    </row>
    <row r="24" spans="2:23" x14ac:dyDescent="0.6">
      <c r="B24" s="2">
        <v>1.47995283018867</v>
      </c>
      <c r="C24" s="50">
        <v>304784.578856915</v>
      </c>
      <c r="D24" s="2"/>
      <c r="E24" s="50"/>
      <c r="F24" s="2">
        <v>674.94235203689402</v>
      </c>
      <c r="G24" s="50">
        <v>-164.91228070175401</v>
      </c>
      <c r="H24" s="2">
        <v>675.15375153751495</v>
      </c>
      <c r="I24" s="50">
        <v>1.27265437048917</v>
      </c>
      <c r="J24" s="2">
        <v>674.66397849462305</v>
      </c>
      <c r="K24" s="50">
        <v>0.890302066772655</v>
      </c>
      <c r="N24" s="3">
        <f t="shared" si="1"/>
        <v>675.69721115538266</v>
      </c>
      <c r="O24" s="21">
        <f t="shared" si="2"/>
        <v>304784.578856915</v>
      </c>
      <c r="P24" s="3">
        <f t="shared" si="3"/>
        <v>674.94235203689402</v>
      </c>
      <c r="Q24" s="17">
        <f t="shared" si="4"/>
        <v>-1.6491228070175402E-4</v>
      </c>
      <c r="R24" s="3">
        <f t="shared" si="5"/>
        <v>675.15375153751495</v>
      </c>
      <c r="S24" s="24">
        <f t="shared" si="6"/>
        <v>1.27265437048917</v>
      </c>
      <c r="T24" s="3">
        <f t="shared" si="7"/>
        <v>674.66397849462305</v>
      </c>
      <c r="U24" s="24">
        <f t="shared" si="8"/>
        <v>0.890302066772655</v>
      </c>
      <c r="V24" s="42">
        <f t="shared" si="9"/>
        <v>4.3941617048538202</v>
      </c>
      <c r="W24" s="49">
        <f t="shared" si="10"/>
        <v>-3.9355852006304515</v>
      </c>
    </row>
    <row r="25" spans="2:23" x14ac:dyDescent="0.6">
      <c r="B25" s="2">
        <v>1.4316037735849001</v>
      </c>
      <c r="C25" s="50">
        <v>302547.809533238</v>
      </c>
      <c r="D25" s="2"/>
      <c r="E25" s="50"/>
      <c r="F25" s="2">
        <v>699.84627209838504</v>
      </c>
      <c r="G25" s="50">
        <v>-169.37799043062199</v>
      </c>
      <c r="H25" s="2">
        <v>699.75399753997499</v>
      </c>
      <c r="I25" s="50">
        <v>1.21491579791499</v>
      </c>
      <c r="J25" s="2">
        <v>699.86559139784902</v>
      </c>
      <c r="K25" s="50">
        <v>0.948330683624801</v>
      </c>
      <c r="N25" s="3">
        <f t="shared" si="1"/>
        <v>698.51729818781155</v>
      </c>
      <c r="O25" s="21">
        <f t="shared" si="2"/>
        <v>302547.809533238</v>
      </c>
      <c r="P25" s="3">
        <f t="shared" si="3"/>
        <v>699.84627209838504</v>
      </c>
      <c r="Q25" s="17">
        <f t="shared" si="4"/>
        <v>-1.6937799043062197E-4</v>
      </c>
      <c r="R25" s="3">
        <f t="shared" si="5"/>
        <v>699.75399753997499</v>
      </c>
      <c r="S25" s="24">
        <f t="shared" si="6"/>
        <v>1.21491579791499</v>
      </c>
      <c r="T25" s="3">
        <f t="shared" si="7"/>
        <v>699.86559139784902</v>
      </c>
      <c r="U25" s="24">
        <f t="shared" si="8"/>
        <v>0.948330683624801</v>
      </c>
      <c r="V25" s="42">
        <f t="shared" si="9"/>
        <v>5.000073950619111</v>
      </c>
      <c r="W25" s="49">
        <f t="shared" si="10"/>
        <v>-4.2725004441566172</v>
      </c>
    </row>
    <row r="26" spans="2:23" x14ac:dyDescent="0.6">
      <c r="B26" s="2">
        <v>1.3808962264150899</v>
      </c>
      <c r="C26" s="50">
        <v>298562.91037674103</v>
      </c>
      <c r="D26" s="2"/>
      <c r="E26" s="50"/>
      <c r="F26" s="2">
        <v>724.28900845503404</v>
      </c>
      <c r="G26" s="50">
        <v>-172.56778309409799</v>
      </c>
      <c r="H26" s="2">
        <v>724.96924969249699</v>
      </c>
      <c r="I26" s="50">
        <v>1.1411387329591001</v>
      </c>
      <c r="J26" s="2">
        <v>723.72311827956901</v>
      </c>
      <c r="K26" s="50">
        <v>1</v>
      </c>
      <c r="N26" s="3">
        <f t="shared" si="1"/>
        <v>724.16737830913974</v>
      </c>
      <c r="O26" s="21">
        <f t="shared" si="2"/>
        <v>298562.91037674103</v>
      </c>
      <c r="P26" s="3">
        <f t="shared" si="3"/>
        <v>724.28900845503404</v>
      </c>
      <c r="Q26" s="17">
        <f t="shared" si="4"/>
        <v>-1.7256778309409799E-4</v>
      </c>
      <c r="R26" s="3">
        <f t="shared" si="5"/>
        <v>724.96924969249699</v>
      </c>
      <c r="S26" s="24">
        <f t="shared" si="6"/>
        <v>1.1411387329591001</v>
      </c>
      <c r="T26" s="3">
        <f t="shared" si="7"/>
        <v>723.72311827956901</v>
      </c>
      <c r="U26" s="24">
        <f t="shared" si="8"/>
        <v>1</v>
      </c>
      <c r="V26" s="42">
        <f t="shared" si="9"/>
        <v>5.6388338037721475</v>
      </c>
      <c r="W26" s="49">
        <f t="shared" si="10"/>
        <v>-4.6388338037721475</v>
      </c>
    </row>
    <row r="27" spans="2:23" x14ac:dyDescent="0.6">
      <c r="B27" s="2">
        <v>1.33372641509433</v>
      </c>
      <c r="C27" s="50">
        <v>296371.80096555199</v>
      </c>
      <c r="D27" s="2"/>
      <c r="E27" s="50"/>
      <c r="F27" s="2">
        <v>749.654112221368</v>
      </c>
      <c r="G27" s="50">
        <v>-176.07655502392299</v>
      </c>
      <c r="H27" s="2">
        <v>749.87699876998704</v>
      </c>
      <c r="I27" s="50">
        <v>1.06094627105052</v>
      </c>
      <c r="J27" s="2">
        <v>749.26075268817203</v>
      </c>
      <c r="K27" s="50">
        <v>1.0476947535771</v>
      </c>
      <c r="N27" s="3">
        <f t="shared" si="1"/>
        <v>749.77895667551388</v>
      </c>
      <c r="O27" s="21">
        <f t="shared" si="2"/>
        <v>296371.80096555199</v>
      </c>
      <c r="P27" s="3">
        <f t="shared" si="3"/>
        <v>749.654112221368</v>
      </c>
      <c r="Q27" s="17">
        <f t="shared" si="4"/>
        <v>-1.7607655502392298E-4</v>
      </c>
      <c r="R27" s="3">
        <f t="shared" si="5"/>
        <v>749.87699876998704</v>
      </c>
      <c r="S27" s="24">
        <f t="shared" si="6"/>
        <v>1.06094627105052</v>
      </c>
      <c r="T27" s="3">
        <f t="shared" si="7"/>
        <v>749.26075268817203</v>
      </c>
      <c r="U27" s="24">
        <f t="shared" si="8"/>
        <v>1.0476947535771</v>
      </c>
      <c r="V27" s="42">
        <f t="shared" si="9"/>
        <v>6.4890263530496135</v>
      </c>
      <c r="W27" s="49">
        <f t="shared" si="10"/>
        <v>-5.193623028935102</v>
      </c>
    </row>
    <row r="28" spans="2:23" x14ac:dyDescent="0.6">
      <c r="B28" s="2">
        <v>1.2900943396226401</v>
      </c>
      <c r="C28" s="50">
        <v>292468.24687438499</v>
      </c>
      <c r="D28" s="2"/>
      <c r="E28" s="50"/>
      <c r="F28" s="2">
        <v>775.48039969254398</v>
      </c>
      <c r="G28" s="50">
        <v>-178.628389154704</v>
      </c>
      <c r="H28" s="2">
        <v>774.16974169741604</v>
      </c>
      <c r="I28" s="50">
        <v>0.98396150761828305</v>
      </c>
      <c r="J28" s="2">
        <v>774.79838709677404</v>
      </c>
      <c r="K28" s="50">
        <v>1.1168521462639101</v>
      </c>
      <c r="N28" s="3">
        <f t="shared" si="1"/>
        <v>775.13711151736823</v>
      </c>
      <c r="O28" s="21">
        <f t="shared" si="2"/>
        <v>292468.24687438499</v>
      </c>
      <c r="P28" s="3">
        <f t="shared" si="3"/>
        <v>775.48039969254398</v>
      </c>
      <c r="Q28" s="17">
        <f t="shared" si="4"/>
        <v>-1.78628389154704E-4</v>
      </c>
      <c r="R28" s="3">
        <f t="shared" si="5"/>
        <v>774.16974169741604</v>
      </c>
      <c r="S28" s="24">
        <f t="shared" si="6"/>
        <v>0.98396150761828305</v>
      </c>
      <c r="T28" s="3">
        <f t="shared" si="7"/>
        <v>774.79838709677404</v>
      </c>
      <c r="U28" s="24">
        <f t="shared" si="8"/>
        <v>1.1168521462639101</v>
      </c>
      <c r="V28" s="42">
        <f t="shared" si="9"/>
        <v>7.348357627567748</v>
      </c>
      <c r="W28" s="49">
        <f t="shared" si="10"/>
        <v>-5.5795259042563945</v>
      </c>
    </row>
    <row r="29" spans="2:23" x14ac:dyDescent="0.6">
      <c r="B29" s="2">
        <v>1.2511792452830099</v>
      </c>
      <c r="C29" s="50">
        <v>293331.23611381103</v>
      </c>
      <c r="D29" s="2"/>
      <c r="E29" s="50"/>
      <c r="F29" s="2">
        <v>799.92313604919195</v>
      </c>
      <c r="G29" s="50">
        <v>-181.81818181818099</v>
      </c>
      <c r="H29" s="2">
        <v>800</v>
      </c>
      <c r="I29" s="50">
        <v>0.93263833199679202</v>
      </c>
      <c r="J29" s="2">
        <v>799.32795698924701</v>
      </c>
      <c r="K29" s="50">
        <v>1.17806041335453</v>
      </c>
      <c r="N29" s="3">
        <f t="shared" si="1"/>
        <v>799.24599434496338</v>
      </c>
      <c r="O29" s="21">
        <f t="shared" si="2"/>
        <v>293331.23611381103</v>
      </c>
      <c r="P29" s="3">
        <f t="shared" si="3"/>
        <v>799.92313604919195</v>
      </c>
      <c r="Q29" s="17">
        <f t="shared" si="4"/>
        <v>-1.8181818181818099E-4</v>
      </c>
      <c r="R29" s="3">
        <f t="shared" si="5"/>
        <v>800</v>
      </c>
      <c r="S29" s="24">
        <f t="shared" si="6"/>
        <v>0.93263833199679202</v>
      </c>
      <c r="T29" s="3">
        <f t="shared" si="7"/>
        <v>799.32795698924701</v>
      </c>
      <c r="U29" s="24">
        <f t="shared" si="8"/>
        <v>1.17806041335453</v>
      </c>
      <c r="V29" s="42">
        <f t="shared" si="9"/>
        <v>8.310835287250109</v>
      </c>
      <c r="W29" s="49">
        <f t="shared" si="10"/>
        <v>-6.0546766473418669</v>
      </c>
    </row>
    <row r="30" spans="2:23" x14ac:dyDescent="0.6">
      <c r="B30" s="31"/>
      <c r="C30" s="31"/>
      <c r="D30" s="31"/>
      <c r="E30" s="31"/>
      <c r="F30" s="2">
        <v>824.827056110684</v>
      </c>
      <c r="G30" s="50">
        <v>-183.094098883572</v>
      </c>
      <c r="H30" s="2">
        <v>824.90774907749005</v>
      </c>
      <c r="I30" s="50">
        <v>0.874899759422613</v>
      </c>
      <c r="J30" s="2">
        <v>824.86559139784902</v>
      </c>
      <c r="K30" s="50">
        <v>1.20667726550079</v>
      </c>
      <c r="N30" s="31"/>
      <c r="O30" s="36"/>
      <c r="P30" s="3">
        <f t="shared" si="3"/>
        <v>824.827056110684</v>
      </c>
      <c r="Q30" s="17">
        <f t="shared" si="4"/>
        <v>-1.83094098883572E-4</v>
      </c>
      <c r="R30" s="3">
        <f t="shared" si="5"/>
        <v>824.90774907749005</v>
      </c>
      <c r="S30" s="24">
        <f t="shared" si="6"/>
        <v>0.874899759422613</v>
      </c>
      <c r="T30" s="3">
        <f t="shared" si="7"/>
        <v>824.86559139784902</v>
      </c>
      <c r="U30" s="24">
        <f t="shared" si="8"/>
        <v>1.20667726550079</v>
      </c>
      <c r="V30" s="42"/>
      <c r="W30" s="49"/>
    </row>
    <row r="31" spans="2:23" x14ac:dyDescent="0.6">
      <c r="B31" s="31"/>
      <c r="C31" s="31"/>
      <c r="D31" s="31"/>
      <c r="E31" s="31"/>
      <c r="F31" s="2">
        <v>848.80860876249005</v>
      </c>
      <c r="G31" s="1">
        <v>-185.00797448165801</v>
      </c>
      <c r="H31" s="2">
        <v>849.20049200491997</v>
      </c>
      <c r="I31" s="1">
        <v>0.82036888532477903</v>
      </c>
      <c r="J31" s="2">
        <v>849.39516129032199</v>
      </c>
      <c r="K31" s="1">
        <v>1.23608903020667</v>
      </c>
      <c r="P31" s="3">
        <f t="shared" si="3"/>
        <v>848.80860876249005</v>
      </c>
      <c r="Q31" s="17">
        <f t="shared" si="4"/>
        <v>-1.8500797448165799E-4</v>
      </c>
      <c r="R31" s="3">
        <f t="shared" si="5"/>
        <v>849.20049200491997</v>
      </c>
      <c r="S31" s="24">
        <f t="shared" si="6"/>
        <v>0.82036888532477903</v>
      </c>
      <c r="T31" s="3">
        <f t="shared" si="7"/>
        <v>849.39516129032199</v>
      </c>
      <c r="U31" s="24">
        <f t="shared" si="8"/>
        <v>1.23608903020667</v>
      </c>
      <c r="V31" s="42"/>
      <c r="W31" s="49"/>
    </row>
    <row r="32" spans="2:23" x14ac:dyDescent="0.6">
      <c r="B32" s="31"/>
      <c r="C32" s="31"/>
      <c r="D32" s="31"/>
      <c r="E32" s="31"/>
      <c r="F32" s="2">
        <v>874.63489623366604</v>
      </c>
      <c r="G32" s="1">
        <v>-186.92185007974399</v>
      </c>
      <c r="H32" s="2">
        <v>875.03075030750301</v>
      </c>
      <c r="I32" s="1">
        <v>0.77546110665597301</v>
      </c>
      <c r="J32" s="2">
        <v>874.26075268817203</v>
      </c>
      <c r="K32" s="1">
        <v>1.2758346581875899</v>
      </c>
      <c r="P32" s="3">
        <f t="shared" si="3"/>
        <v>874.63489623366604</v>
      </c>
      <c r="Q32" s="17">
        <f t="shared" si="4"/>
        <v>-1.8692185007974398E-4</v>
      </c>
      <c r="R32" s="3">
        <f t="shared" si="5"/>
        <v>875.03075030750301</v>
      </c>
      <c r="S32" s="24">
        <f t="shared" si="6"/>
        <v>0.77546110665597301</v>
      </c>
      <c r="T32" s="3">
        <f t="shared" si="7"/>
        <v>874.26075268817203</v>
      </c>
      <c r="U32" s="24">
        <f t="shared" si="8"/>
        <v>1.2758346581875899</v>
      </c>
      <c r="V32" s="42"/>
      <c r="W32" s="49"/>
    </row>
    <row r="33" spans="2:23" x14ac:dyDescent="0.6">
      <c r="F33" s="2">
        <v>899.99999999999898</v>
      </c>
      <c r="G33" s="1">
        <v>-189.47368421052599</v>
      </c>
      <c r="J33" s="2">
        <v>899.79838709677404</v>
      </c>
      <c r="K33" s="1">
        <v>1.2949125596184401</v>
      </c>
      <c r="P33" s="3">
        <f t="shared" si="3"/>
        <v>899.99999999999898</v>
      </c>
      <c r="Q33" s="17">
        <f t="shared" si="4"/>
        <v>-1.8947368421052597E-4</v>
      </c>
      <c r="T33" s="3">
        <f t="shared" si="7"/>
        <v>899.79838709677404</v>
      </c>
      <c r="U33" s="24">
        <f t="shared" si="8"/>
        <v>1.2949125596184401</v>
      </c>
      <c r="V33" s="42"/>
      <c r="W33" s="49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0</v>
      </c>
      <c r="P41" s="7" t="s">
        <v>3</v>
      </c>
      <c r="Q41" s="15" t="s">
        <v>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46</v>
      </c>
      <c r="D42" s="11" t="s">
        <v>4</v>
      </c>
      <c r="E42" s="10" t="s">
        <v>11</v>
      </c>
      <c r="F42" s="11" t="s">
        <v>4</v>
      </c>
      <c r="G42" s="27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329.262</v>
      </c>
      <c r="C43" s="4">
        <v>268570</v>
      </c>
      <c r="D43" s="3"/>
      <c r="E43" s="4"/>
      <c r="F43" s="3">
        <v>301.19200000000001</v>
      </c>
      <c r="G43" s="4">
        <v>-101.27500000000001</v>
      </c>
      <c r="H43" s="3"/>
      <c r="I43" s="4"/>
      <c r="J43" s="3">
        <v>297.24599999999998</v>
      </c>
      <c r="K43" s="4">
        <v>0.206349</v>
      </c>
      <c r="N43" s="3">
        <f>B43</f>
        <v>329.262</v>
      </c>
      <c r="O43" s="21">
        <f>C43</f>
        <v>268570</v>
      </c>
      <c r="P43" s="3">
        <f>F43</f>
        <v>301.19200000000001</v>
      </c>
      <c r="Q43" s="17">
        <f>G43*0.000001</f>
        <v>-1.01275E-4</v>
      </c>
      <c r="R43" s="3"/>
      <c r="S43" s="24"/>
      <c r="T43" s="3">
        <f>J43</f>
        <v>297.24599999999998</v>
      </c>
      <c r="U43" s="24">
        <f>K43</f>
        <v>0.206349</v>
      </c>
      <c r="V43" s="42" t="e">
        <f>((O43*(Q43)^2)/S43)*T43</f>
        <v>#DIV/0!</v>
      </c>
      <c r="W43" s="49" t="e">
        <f t="shared" ref="W43:W55" si="11">(U43-V43)/U43</f>
        <v>#DIV/0!</v>
      </c>
    </row>
    <row r="44" spans="2:23" x14ac:dyDescent="0.6">
      <c r="B44" s="3">
        <v>401.02199999999999</v>
      </c>
      <c r="C44" s="4">
        <v>258647</v>
      </c>
      <c r="D44" s="3"/>
      <c r="E44" s="4"/>
      <c r="F44" s="3">
        <v>351.35599999999999</v>
      </c>
      <c r="G44" s="4">
        <v>-111.151</v>
      </c>
      <c r="H44" s="3"/>
      <c r="I44" s="4"/>
      <c r="J44" s="3">
        <v>348.38299999999998</v>
      </c>
      <c r="K44" s="4">
        <v>0.25992100000000001</v>
      </c>
      <c r="N44" s="3">
        <f t="shared" ref="N44:N56" si="12">B44</f>
        <v>401.02199999999999</v>
      </c>
      <c r="O44" s="21">
        <f t="shared" ref="O44:O56" si="13">C44</f>
        <v>258647</v>
      </c>
      <c r="P44" s="3">
        <f t="shared" ref="P44:P55" si="14">F44</f>
        <v>351.35599999999999</v>
      </c>
      <c r="Q44" s="17">
        <f t="shared" ref="Q44:Q55" si="15">G44*0.000001</f>
        <v>-1.1115099999999999E-4</v>
      </c>
      <c r="R44" s="3"/>
      <c r="S44" s="24"/>
      <c r="T44" s="3">
        <f t="shared" ref="T44:T55" si="16">J44</f>
        <v>348.38299999999998</v>
      </c>
      <c r="U44" s="24">
        <f t="shared" ref="U44:U55" si="17">K44</f>
        <v>0.25992100000000001</v>
      </c>
      <c r="V44" s="42" t="e">
        <f t="shared" ref="V44:V55" si="18">((O44*(Q44)^2)/S44)*T44</f>
        <v>#DIV/0!</v>
      </c>
      <c r="W44" s="49" t="e">
        <f t="shared" si="11"/>
        <v>#DIV/0!</v>
      </c>
    </row>
    <row r="45" spans="2:23" x14ac:dyDescent="0.6">
      <c r="B45" s="2">
        <v>464.33699999999999</v>
      </c>
      <c r="C45" s="1">
        <v>254570</v>
      </c>
      <c r="D45" s="2"/>
      <c r="E45" s="1"/>
      <c r="F45" s="2">
        <v>401.52300000000002</v>
      </c>
      <c r="G45" s="1">
        <v>-120.375</v>
      </c>
      <c r="H45" s="2"/>
      <c r="I45" s="1"/>
      <c r="J45" s="2">
        <v>401.19799999999998</v>
      </c>
      <c r="K45" s="1">
        <v>0.34920600000000002</v>
      </c>
      <c r="N45" s="3">
        <f t="shared" si="12"/>
        <v>464.33699999999999</v>
      </c>
      <c r="O45" s="21">
        <f t="shared" si="13"/>
        <v>254570</v>
      </c>
      <c r="P45" s="3">
        <f t="shared" si="14"/>
        <v>401.52300000000002</v>
      </c>
      <c r="Q45" s="17">
        <f t="shared" si="15"/>
        <v>-1.20375E-4</v>
      </c>
      <c r="R45" s="3"/>
      <c r="S45" s="24"/>
      <c r="T45" s="3">
        <f t="shared" si="16"/>
        <v>401.19799999999998</v>
      </c>
      <c r="U45" s="24">
        <f t="shared" si="17"/>
        <v>0.34920600000000002</v>
      </c>
      <c r="V45" s="42" t="e">
        <f t="shared" si="18"/>
        <v>#DIV/0!</v>
      </c>
      <c r="W45" s="49" t="e">
        <f t="shared" si="11"/>
        <v>#DIV/0!</v>
      </c>
    </row>
    <row r="46" spans="2:23" x14ac:dyDescent="0.6">
      <c r="B46" s="2">
        <v>523.43100000000004</v>
      </c>
      <c r="C46" s="1">
        <v>249187</v>
      </c>
      <c r="D46" s="2"/>
      <c r="E46" s="1"/>
      <c r="F46" s="2">
        <v>452.65199999999999</v>
      </c>
      <c r="G46" s="1">
        <v>-125.688</v>
      </c>
      <c r="H46" s="2"/>
      <c r="I46" s="1"/>
      <c r="J46" s="2">
        <v>448.14400000000001</v>
      </c>
      <c r="K46" s="1">
        <v>0.43650800000000001</v>
      </c>
      <c r="N46" s="3">
        <f t="shared" si="12"/>
        <v>523.43100000000004</v>
      </c>
      <c r="O46" s="21">
        <f t="shared" si="13"/>
        <v>249187</v>
      </c>
      <c r="P46" s="3">
        <f t="shared" si="14"/>
        <v>452.65199999999999</v>
      </c>
      <c r="Q46" s="17">
        <f t="shared" si="15"/>
        <v>-1.2568799999999999E-4</v>
      </c>
      <c r="R46" s="3"/>
      <c r="S46" s="24"/>
      <c r="T46" s="3">
        <f t="shared" si="16"/>
        <v>448.14400000000001</v>
      </c>
      <c r="U46" s="24">
        <f t="shared" si="17"/>
        <v>0.43650800000000001</v>
      </c>
      <c r="V46" s="42" t="e">
        <f t="shared" si="18"/>
        <v>#DIV/0!</v>
      </c>
      <c r="W46" s="49" t="e">
        <f t="shared" si="11"/>
        <v>#DIV/0!</v>
      </c>
    </row>
    <row r="47" spans="2:23" x14ac:dyDescent="0.6">
      <c r="B47" s="2">
        <v>569.86800000000005</v>
      </c>
      <c r="C47" s="1">
        <v>238628</v>
      </c>
      <c r="D47" s="2"/>
      <c r="E47" s="1"/>
      <c r="F47" s="2">
        <v>499.03300000000002</v>
      </c>
      <c r="G47" s="1">
        <v>-134.25299999999999</v>
      </c>
      <c r="H47" s="2"/>
      <c r="I47" s="1"/>
      <c r="J47" s="2">
        <v>500.12</v>
      </c>
      <c r="K47" s="1">
        <v>0.52579399999999998</v>
      </c>
      <c r="N47" s="3">
        <f t="shared" si="12"/>
        <v>569.86800000000005</v>
      </c>
      <c r="O47" s="21">
        <f t="shared" si="13"/>
        <v>238628</v>
      </c>
      <c r="P47" s="3">
        <f t="shared" si="14"/>
        <v>499.03300000000002</v>
      </c>
      <c r="Q47" s="17">
        <f t="shared" si="15"/>
        <v>-1.3425299999999998E-4</v>
      </c>
      <c r="R47" s="3"/>
      <c r="S47" s="24"/>
      <c r="T47" s="3">
        <f t="shared" si="16"/>
        <v>500.12</v>
      </c>
      <c r="U47" s="24">
        <f t="shared" si="17"/>
        <v>0.52579399999999998</v>
      </c>
      <c r="V47" s="42" t="e">
        <f t="shared" si="18"/>
        <v>#DIV/0!</v>
      </c>
      <c r="W47" s="49" t="e">
        <f t="shared" si="11"/>
        <v>#DIV/0!</v>
      </c>
    </row>
    <row r="48" spans="2:23" x14ac:dyDescent="0.6">
      <c r="B48" s="2">
        <v>614.61400000000003</v>
      </c>
      <c r="C48" s="1">
        <v>231021</v>
      </c>
      <c r="D48" s="2"/>
      <c r="E48" s="1"/>
      <c r="F48" s="2">
        <v>550.149</v>
      </c>
      <c r="G48" s="1">
        <v>-142.82599999999999</v>
      </c>
      <c r="H48" s="2"/>
      <c r="I48" s="1"/>
      <c r="J48" s="2">
        <v>548.74199999999996</v>
      </c>
      <c r="K48" s="1">
        <v>0.64682499999999998</v>
      </c>
      <c r="N48" s="3">
        <f t="shared" si="12"/>
        <v>614.61400000000003</v>
      </c>
      <c r="O48" s="21">
        <f t="shared" si="13"/>
        <v>231021</v>
      </c>
      <c r="P48" s="3">
        <f t="shared" si="14"/>
        <v>550.149</v>
      </c>
      <c r="Q48" s="17">
        <f t="shared" si="15"/>
        <v>-1.4282599999999998E-4</v>
      </c>
      <c r="R48" s="3"/>
      <c r="S48" s="24"/>
      <c r="T48" s="3">
        <f t="shared" si="16"/>
        <v>548.74199999999996</v>
      </c>
      <c r="U48" s="24">
        <f t="shared" si="17"/>
        <v>0.64682499999999998</v>
      </c>
      <c r="V48" s="42" t="e">
        <f t="shared" si="18"/>
        <v>#DIV/0!</v>
      </c>
      <c r="W48" s="49" t="e">
        <f t="shared" si="11"/>
        <v>#DIV/0!</v>
      </c>
    </row>
    <row r="49" spans="2:23" x14ac:dyDescent="0.6">
      <c r="B49" s="2">
        <v>656.82899999999995</v>
      </c>
      <c r="C49" s="1">
        <v>222436</v>
      </c>
      <c r="D49" s="2"/>
      <c r="E49" s="1"/>
      <c r="F49" s="2">
        <v>600.31899999999996</v>
      </c>
      <c r="G49" s="1">
        <v>-151.398</v>
      </c>
      <c r="H49" s="2"/>
      <c r="I49" s="1"/>
      <c r="J49" s="2">
        <v>596.52700000000004</v>
      </c>
      <c r="K49" s="1">
        <v>0.75198399999999999</v>
      </c>
      <c r="N49" s="3">
        <f t="shared" si="12"/>
        <v>656.82899999999995</v>
      </c>
      <c r="O49" s="21">
        <f t="shared" si="13"/>
        <v>222436</v>
      </c>
      <c r="P49" s="3">
        <f t="shared" si="14"/>
        <v>600.31899999999996</v>
      </c>
      <c r="Q49" s="17">
        <f t="shared" si="15"/>
        <v>-1.5139799999999999E-4</v>
      </c>
      <c r="R49" s="3"/>
      <c r="S49" s="24"/>
      <c r="T49" s="3">
        <f t="shared" si="16"/>
        <v>596.52700000000004</v>
      </c>
      <c r="U49" s="24">
        <f t="shared" si="17"/>
        <v>0.75198399999999999</v>
      </c>
      <c r="V49" s="42" t="e">
        <f t="shared" si="18"/>
        <v>#DIV/0!</v>
      </c>
      <c r="W49" s="49" t="e">
        <f t="shared" si="11"/>
        <v>#DIV/0!</v>
      </c>
    </row>
    <row r="50" spans="2:23" x14ac:dyDescent="0.6">
      <c r="B50" s="2">
        <v>697.35599999999999</v>
      </c>
      <c r="C50" s="1">
        <v>213001</v>
      </c>
      <c r="D50" s="2"/>
      <c r="E50" s="1"/>
      <c r="F50" s="2">
        <v>651.43299999999999</v>
      </c>
      <c r="G50" s="1">
        <v>-160.624</v>
      </c>
      <c r="H50" s="2"/>
      <c r="I50" s="1"/>
      <c r="J50" s="2">
        <v>646.82600000000002</v>
      </c>
      <c r="K50" s="1">
        <v>0.84126999999999996</v>
      </c>
      <c r="N50" s="3">
        <f t="shared" si="12"/>
        <v>697.35599999999999</v>
      </c>
      <c r="O50" s="21">
        <f t="shared" si="13"/>
        <v>213001</v>
      </c>
      <c r="P50" s="3">
        <f t="shared" si="14"/>
        <v>651.43299999999999</v>
      </c>
      <c r="Q50" s="17">
        <f t="shared" si="15"/>
        <v>-1.60624E-4</v>
      </c>
      <c r="R50" s="3"/>
      <c r="S50" s="24"/>
      <c r="T50" s="3">
        <f t="shared" si="16"/>
        <v>646.82600000000002</v>
      </c>
      <c r="U50" s="24">
        <f t="shared" si="17"/>
        <v>0.84126999999999996</v>
      </c>
      <c r="V50" s="42" t="e">
        <f t="shared" si="18"/>
        <v>#DIV/0!</v>
      </c>
      <c r="W50" s="49" t="e">
        <f t="shared" si="11"/>
        <v>#DIV/0!</v>
      </c>
    </row>
    <row r="51" spans="2:23" x14ac:dyDescent="0.6">
      <c r="B51" s="2">
        <v>743.79200000000003</v>
      </c>
      <c r="C51" s="1">
        <v>205091</v>
      </c>
      <c r="D51" s="2"/>
      <c r="E51" s="1"/>
      <c r="F51" s="2">
        <v>700.65700000000004</v>
      </c>
      <c r="G51" s="1">
        <v>-168.541</v>
      </c>
      <c r="H51" s="2"/>
      <c r="I51" s="1"/>
      <c r="J51" s="2">
        <v>696.28700000000003</v>
      </c>
      <c r="K51" s="1">
        <v>0.95039700000000005</v>
      </c>
      <c r="N51" s="3">
        <f t="shared" si="12"/>
        <v>743.79200000000003</v>
      </c>
      <c r="O51" s="21">
        <f t="shared" si="13"/>
        <v>205091</v>
      </c>
      <c r="P51" s="3">
        <f t="shared" si="14"/>
        <v>700.65700000000004</v>
      </c>
      <c r="Q51" s="17">
        <f t="shared" si="15"/>
        <v>-1.68541E-4</v>
      </c>
      <c r="R51" s="3"/>
      <c r="S51" s="24"/>
      <c r="T51" s="3">
        <f t="shared" si="16"/>
        <v>696.28700000000003</v>
      </c>
      <c r="U51" s="24">
        <f t="shared" si="17"/>
        <v>0.95039700000000005</v>
      </c>
      <c r="V51" s="42" t="e">
        <f t="shared" si="18"/>
        <v>#DIV/0!</v>
      </c>
      <c r="W51" s="49" t="e">
        <f t="shared" si="11"/>
        <v>#DIV/0!</v>
      </c>
    </row>
    <row r="52" spans="2:23" x14ac:dyDescent="0.6">
      <c r="B52" s="2">
        <v>777.56500000000005</v>
      </c>
      <c r="C52" s="1">
        <v>197457</v>
      </c>
      <c r="D52" s="2"/>
      <c r="E52" s="1"/>
      <c r="F52" s="2">
        <v>752.726</v>
      </c>
      <c r="G52" s="1">
        <v>-175.81200000000001</v>
      </c>
      <c r="H52" s="2"/>
      <c r="I52" s="1"/>
      <c r="J52" s="2">
        <v>744.91</v>
      </c>
      <c r="K52" s="1">
        <v>1.0555600000000001</v>
      </c>
      <c r="N52" s="3">
        <f t="shared" si="12"/>
        <v>777.56500000000005</v>
      </c>
      <c r="O52" s="21">
        <f t="shared" si="13"/>
        <v>197457</v>
      </c>
      <c r="P52" s="3">
        <f t="shared" si="14"/>
        <v>752.726</v>
      </c>
      <c r="Q52" s="17">
        <f t="shared" si="15"/>
        <v>-1.7581200000000002E-4</v>
      </c>
      <c r="R52" s="3"/>
      <c r="S52" s="24"/>
      <c r="T52" s="3">
        <f t="shared" si="16"/>
        <v>744.91</v>
      </c>
      <c r="U52" s="24">
        <f t="shared" si="17"/>
        <v>1.0555600000000001</v>
      </c>
      <c r="V52" s="42" t="e">
        <f t="shared" si="18"/>
        <v>#DIV/0!</v>
      </c>
      <c r="W52" s="49" t="e">
        <f t="shared" si="11"/>
        <v>#DIV/0!</v>
      </c>
    </row>
    <row r="53" spans="2:23" x14ac:dyDescent="0.6">
      <c r="B53" s="2">
        <v>817.24900000000002</v>
      </c>
      <c r="C53" s="1">
        <v>188051</v>
      </c>
      <c r="D53" s="2"/>
      <c r="E53" s="1"/>
      <c r="F53" s="2">
        <v>798.16899999999998</v>
      </c>
      <c r="G53" s="1">
        <v>-181.767</v>
      </c>
      <c r="H53" s="2"/>
      <c r="I53" s="1"/>
      <c r="J53" s="2">
        <v>795.21</v>
      </c>
      <c r="K53" s="1">
        <v>1.17262</v>
      </c>
      <c r="N53" s="3">
        <f t="shared" si="12"/>
        <v>817.24900000000002</v>
      </c>
      <c r="O53" s="21">
        <f t="shared" si="13"/>
        <v>188051</v>
      </c>
      <c r="P53" s="3">
        <f t="shared" si="14"/>
        <v>798.16899999999998</v>
      </c>
      <c r="Q53" s="17">
        <f t="shared" si="15"/>
        <v>-1.81767E-4</v>
      </c>
      <c r="R53" s="3"/>
      <c r="S53" s="24"/>
      <c r="T53" s="3">
        <f t="shared" si="16"/>
        <v>795.21</v>
      </c>
      <c r="U53" s="24">
        <f t="shared" si="17"/>
        <v>1.17262</v>
      </c>
      <c r="V53" s="42" t="e">
        <f t="shared" si="18"/>
        <v>#DIV/0!</v>
      </c>
      <c r="W53" s="49" t="e">
        <f t="shared" si="11"/>
        <v>#DIV/0!</v>
      </c>
    </row>
    <row r="54" spans="2:23" x14ac:dyDescent="0.6">
      <c r="B54" s="2">
        <v>852.70699999999999</v>
      </c>
      <c r="C54" s="1">
        <v>184041</v>
      </c>
      <c r="D54" s="2"/>
      <c r="E54" s="1"/>
      <c r="F54" s="2">
        <v>847.41200000000003</v>
      </c>
      <c r="G54" s="1">
        <v>-185.119</v>
      </c>
      <c r="H54" s="2"/>
      <c r="I54" s="1"/>
      <c r="J54" s="2">
        <v>847.18600000000004</v>
      </c>
      <c r="K54" s="1">
        <v>1.2420599999999999</v>
      </c>
      <c r="N54" s="3">
        <f t="shared" si="12"/>
        <v>852.70699999999999</v>
      </c>
      <c r="O54" s="21">
        <f t="shared" si="13"/>
        <v>184041</v>
      </c>
      <c r="P54" s="3">
        <f t="shared" si="14"/>
        <v>847.41200000000003</v>
      </c>
      <c r="Q54" s="17">
        <f t="shared" si="15"/>
        <v>-1.85119E-4</v>
      </c>
      <c r="R54" s="3"/>
      <c r="S54" s="24"/>
      <c r="T54" s="3">
        <f t="shared" si="16"/>
        <v>847.18600000000004</v>
      </c>
      <c r="U54" s="24">
        <f t="shared" si="17"/>
        <v>1.2420599999999999</v>
      </c>
      <c r="V54" s="42" t="e">
        <f t="shared" si="18"/>
        <v>#DIV/0!</v>
      </c>
      <c r="W54" s="49" t="e">
        <f t="shared" si="11"/>
        <v>#DIV/0!</v>
      </c>
    </row>
    <row r="55" spans="2:23" x14ac:dyDescent="0.6">
      <c r="B55" s="2">
        <v>887.327</v>
      </c>
      <c r="C55" s="1">
        <v>175268</v>
      </c>
      <c r="D55" s="2"/>
      <c r="E55" s="1"/>
      <c r="F55" s="2">
        <v>901.38300000000004</v>
      </c>
      <c r="G55" s="1">
        <v>-190.43700000000001</v>
      </c>
      <c r="H55" s="2"/>
      <c r="I55" s="1"/>
      <c r="J55" s="2">
        <v>896.64700000000005</v>
      </c>
      <c r="K55" s="1">
        <v>1.2996000000000001</v>
      </c>
      <c r="N55" s="3">
        <f t="shared" si="12"/>
        <v>887.327</v>
      </c>
      <c r="O55" s="21">
        <f t="shared" si="13"/>
        <v>175268</v>
      </c>
      <c r="P55" s="3">
        <f t="shared" si="14"/>
        <v>901.38300000000004</v>
      </c>
      <c r="Q55" s="17">
        <f t="shared" si="15"/>
        <v>-1.9043700000000001E-4</v>
      </c>
      <c r="R55" s="3"/>
      <c r="S55" s="24"/>
      <c r="T55" s="3">
        <f t="shared" si="16"/>
        <v>896.64700000000005</v>
      </c>
      <c r="U55" s="24">
        <f t="shared" si="17"/>
        <v>1.2996000000000001</v>
      </c>
      <c r="V55" s="42" t="e">
        <f t="shared" si="18"/>
        <v>#DIV/0!</v>
      </c>
      <c r="W55" s="49" t="e">
        <f t="shared" si="11"/>
        <v>#DIV/0!</v>
      </c>
    </row>
    <row r="56" spans="2:23" x14ac:dyDescent="0.6">
      <c r="B56" s="28">
        <v>928.69399999999996</v>
      </c>
      <c r="C56" s="29">
        <v>171538</v>
      </c>
      <c r="D56" s="28"/>
      <c r="E56" s="29"/>
      <c r="F56" s="28"/>
      <c r="G56" s="29"/>
      <c r="H56" s="28"/>
      <c r="I56" s="29"/>
      <c r="J56" s="28"/>
      <c r="K56" s="29"/>
      <c r="N56" s="32">
        <f t="shared" si="12"/>
        <v>928.69399999999996</v>
      </c>
      <c r="O56" s="33">
        <f t="shared" si="13"/>
        <v>171538</v>
      </c>
      <c r="P56" s="32"/>
      <c r="Q56" s="34"/>
      <c r="R56" s="32"/>
      <c r="S56" s="35"/>
      <c r="T56" s="32"/>
      <c r="U56" s="35"/>
      <c r="V56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1"/>
  </sheetPr>
  <dimension ref="A1:W6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47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11.952380952380899</v>
      </c>
      <c r="D9" s="3"/>
      <c r="E9" s="4"/>
      <c r="F9" s="3">
        <v>300</v>
      </c>
      <c r="G9" s="4">
        <v>-144.79584261321401</v>
      </c>
      <c r="H9" s="3">
        <v>300</v>
      </c>
      <c r="I9" s="4">
        <v>3.67581227436823</v>
      </c>
      <c r="J9" s="3">
        <v>300</v>
      </c>
      <c r="K9" s="4">
        <v>0.206024096385542</v>
      </c>
      <c r="N9" s="3">
        <f>B9</f>
        <v>300</v>
      </c>
      <c r="O9" s="21">
        <f>C9*(10^(4))</f>
        <v>119523.80952380899</v>
      </c>
      <c r="P9" s="3">
        <f>F9</f>
        <v>300</v>
      </c>
      <c r="Q9" s="17">
        <f>G9*(10^(-6))</f>
        <v>-1.4479584261321401E-4</v>
      </c>
      <c r="R9" s="3">
        <f>H9</f>
        <v>300</v>
      </c>
      <c r="S9" s="24">
        <f>I9</f>
        <v>3.67581227436823</v>
      </c>
      <c r="T9" s="3">
        <f>J9</f>
        <v>300</v>
      </c>
      <c r="U9" s="51">
        <f>K9</f>
        <v>0.206024096385542</v>
      </c>
      <c r="V9" s="42">
        <f>((O9*(Q9)^2)/S9)*T9</f>
        <v>0.20451941552584835</v>
      </c>
      <c r="W9" s="49">
        <f t="shared" ref="W9" si="0">(U9-V9)/U9</f>
        <v>7.3034217166417364E-3</v>
      </c>
    </row>
    <row r="10" spans="1:23" x14ac:dyDescent="0.6">
      <c r="B10" s="3">
        <v>325.09444144630299</v>
      </c>
      <c r="C10" s="4">
        <v>11.735531135531099</v>
      </c>
      <c r="D10" s="3"/>
      <c r="E10" s="4"/>
      <c r="F10" s="3">
        <v>324.98684902682697</v>
      </c>
      <c r="G10" s="4">
        <v>-152.51670378619099</v>
      </c>
      <c r="H10" s="3">
        <v>325.05112474437601</v>
      </c>
      <c r="I10" s="4">
        <v>3.5790613718411501</v>
      </c>
      <c r="J10" s="3">
        <v>325.12437810945198</v>
      </c>
      <c r="K10" s="4">
        <v>0.24819277108433699</v>
      </c>
      <c r="N10" s="3">
        <f t="shared" ref="N10:N29" si="1">B10</f>
        <v>325.09444144630299</v>
      </c>
      <c r="O10" s="21">
        <f t="shared" ref="O10:O29" si="2">C10*(10^(4))</f>
        <v>117355.31135531099</v>
      </c>
      <c r="P10" s="3">
        <f t="shared" ref="P10:P29" si="3">F10</f>
        <v>324.98684902682697</v>
      </c>
      <c r="Q10" s="17">
        <f t="shared" ref="Q10:Q29" si="4">G10*(10^(-6))</f>
        <v>-1.5251670378619097E-4</v>
      </c>
      <c r="R10" s="3">
        <f t="shared" ref="R10:U27" si="5">H10</f>
        <v>325.05112474437601</v>
      </c>
      <c r="S10" s="24">
        <f t="shared" si="5"/>
        <v>3.5790613718411501</v>
      </c>
      <c r="T10" s="3">
        <f t="shared" si="5"/>
        <v>325.12437810945198</v>
      </c>
      <c r="U10" s="51">
        <f t="shared" si="5"/>
        <v>0.24819277108433699</v>
      </c>
      <c r="V10" s="42">
        <f t="shared" ref="V10:V29" si="6">((O10*(Q10)^2)/S10)*T10</f>
        <v>0.24798074495818004</v>
      </c>
      <c r="W10" s="49">
        <f t="shared" ref="W10:W29" si="7">(U10-V10)/U10</f>
        <v>8.5428002286538245E-4</v>
      </c>
    </row>
    <row r="11" spans="1:23" x14ac:dyDescent="0.6">
      <c r="B11" s="2">
        <v>349.91905018888201</v>
      </c>
      <c r="C11" s="1">
        <v>11.5128205128205</v>
      </c>
      <c r="D11" s="2"/>
      <c r="E11" s="1"/>
      <c r="F11" s="2">
        <v>349.97369805365599</v>
      </c>
      <c r="G11" s="1">
        <v>-159.64365256124699</v>
      </c>
      <c r="H11" s="2">
        <v>350.10224948875202</v>
      </c>
      <c r="I11" s="1">
        <v>3.48158844765342</v>
      </c>
      <c r="J11" s="2">
        <v>350</v>
      </c>
      <c r="K11" s="1">
        <v>0.29437751004016099</v>
      </c>
      <c r="N11" s="3">
        <f t="shared" si="1"/>
        <v>349.91905018888201</v>
      </c>
      <c r="O11" s="21">
        <f t="shared" si="2"/>
        <v>115128.20512820501</v>
      </c>
      <c r="P11" s="3">
        <f t="shared" si="3"/>
        <v>349.97369805365599</v>
      </c>
      <c r="Q11" s="17">
        <f t="shared" si="4"/>
        <v>-1.5964365256124698E-4</v>
      </c>
      <c r="R11" s="3">
        <f t="shared" si="5"/>
        <v>350.10224948875202</v>
      </c>
      <c r="S11" s="24">
        <f t="shared" si="5"/>
        <v>3.48158844765342</v>
      </c>
      <c r="T11" s="3">
        <f t="shared" si="5"/>
        <v>350</v>
      </c>
      <c r="U11" s="51">
        <f t="shared" si="5"/>
        <v>0.29437751004016099</v>
      </c>
      <c r="V11" s="42">
        <f t="shared" si="6"/>
        <v>0.29496851175208411</v>
      </c>
      <c r="W11" s="49">
        <f t="shared" si="7"/>
        <v>-2.0076320091248919E-3</v>
      </c>
    </row>
    <row r="12" spans="1:23" x14ac:dyDescent="0.6">
      <c r="B12" s="2">
        <v>375.01349163518603</v>
      </c>
      <c r="C12" s="1">
        <v>11.278388278388199</v>
      </c>
      <c r="D12" s="2"/>
      <c r="E12" s="1"/>
      <c r="F12" s="2">
        <v>374.96054708048302</v>
      </c>
      <c r="G12" s="1">
        <v>-165.43429844097901</v>
      </c>
      <c r="H12" s="2">
        <v>374.89775051124701</v>
      </c>
      <c r="I12" s="1">
        <v>3.3870036101082999</v>
      </c>
      <c r="J12" s="2">
        <v>375.12437810945198</v>
      </c>
      <c r="K12" s="1">
        <v>0.342570281124498</v>
      </c>
      <c r="N12" s="3">
        <f t="shared" si="1"/>
        <v>375.01349163518603</v>
      </c>
      <c r="O12" s="21">
        <f t="shared" si="2"/>
        <v>112783.88278388199</v>
      </c>
      <c r="P12" s="3">
        <f t="shared" si="3"/>
        <v>374.96054708048302</v>
      </c>
      <c r="Q12" s="17">
        <f t="shared" si="4"/>
        <v>-1.6543429844097899E-4</v>
      </c>
      <c r="R12" s="3">
        <f t="shared" si="5"/>
        <v>374.89775051124701</v>
      </c>
      <c r="S12" s="24">
        <f t="shared" si="5"/>
        <v>3.3870036101082999</v>
      </c>
      <c r="T12" s="3">
        <f t="shared" si="5"/>
        <v>375.12437810945198</v>
      </c>
      <c r="U12" s="51">
        <f t="shared" si="5"/>
        <v>0.342570281124498</v>
      </c>
      <c r="V12" s="42">
        <f t="shared" si="6"/>
        <v>0.34186747072082474</v>
      </c>
      <c r="W12" s="49">
        <f t="shared" si="7"/>
        <v>2.0515801936065842E-3</v>
      </c>
    </row>
    <row r="13" spans="1:23" x14ac:dyDescent="0.6">
      <c r="B13" s="2">
        <v>400.10793308148902</v>
      </c>
      <c r="C13" s="1">
        <v>11.0556776556776</v>
      </c>
      <c r="D13" s="2"/>
      <c r="E13" s="1"/>
      <c r="F13" s="2">
        <v>399.94739610731102</v>
      </c>
      <c r="G13" s="1">
        <v>-171.96733481811401</v>
      </c>
      <c r="H13" s="2">
        <v>399.94887525562302</v>
      </c>
      <c r="I13" s="1">
        <v>3.3126353790613701</v>
      </c>
      <c r="J13" s="2">
        <v>400</v>
      </c>
      <c r="K13" s="1">
        <v>0.396117804551539</v>
      </c>
      <c r="N13" s="3">
        <f t="shared" si="1"/>
        <v>400.10793308148902</v>
      </c>
      <c r="O13" s="21">
        <f t="shared" si="2"/>
        <v>110556.77655677601</v>
      </c>
      <c r="P13" s="3">
        <f t="shared" si="3"/>
        <v>399.94739610731102</v>
      </c>
      <c r="Q13" s="17">
        <f t="shared" si="4"/>
        <v>-1.7196733481811399E-4</v>
      </c>
      <c r="R13" s="3">
        <f t="shared" si="5"/>
        <v>399.94887525562302</v>
      </c>
      <c r="S13" s="24">
        <f t="shared" si="5"/>
        <v>3.3126353790613701</v>
      </c>
      <c r="T13" s="3">
        <f t="shared" si="5"/>
        <v>400</v>
      </c>
      <c r="U13" s="51">
        <f t="shared" si="5"/>
        <v>0.396117804551539</v>
      </c>
      <c r="V13" s="42">
        <f t="shared" si="6"/>
        <v>0.39478772815204977</v>
      </c>
      <c r="W13" s="49">
        <f t="shared" si="7"/>
        <v>3.3577798932695442E-3</v>
      </c>
    </row>
    <row r="14" spans="1:23" x14ac:dyDescent="0.6">
      <c r="B14" s="2">
        <v>424.93254182406901</v>
      </c>
      <c r="C14" s="1">
        <v>10.832967032967</v>
      </c>
      <c r="D14" s="2"/>
      <c r="E14" s="1"/>
      <c r="F14" s="2">
        <v>424.93424513413902</v>
      </c>
      <c r="G14" s="1">
        <v>-178.79732739420899</v>
      </c>
      <c r="H14" s="2">
        <v>424.99999999999898</v>
      </c>
      <c r="I14" s="1">
        <v>3.26859205776173</v>
      </c>
      <c r="J14" s="2">
        <v>425.12437810945198</v>
      </c>
      <c r="K14" s="1">
        <v>0.45301204819277102</v>
      </c>
      <c r="N14" s="3">
        <f t="shared" si="1"/>
        <v>424.93254182406901</v>
      </c>
      <c r="O14" s="21">
        <f t="shared" si="2"/>
        <v>108329.67032967</v>
      </c>
      <c r="P14" s="3">
        <f t="shared" si="3"/>
        <v>424.93424513413902</v>
      </c>
      <c r="Q14" s="17">
        <f t="shared" si="4"/>
        <v>-1.7879732739420898E-4</v>
      </c>
      <c r="R14" s="3">
        <f t="shared" si="5"/>
        <v>424.99999999999898</v>
      </c>
      <c r="S14" s="24">
        <f t="shared" si="5"/>
        <v>3.26859205776173</v>
      </c>
      <c r="T14" s="3">
        <f t="shared" si="5"/>
        <v>425.12437810945198</v>
      </c>
      <c r="U14" s="51">
        <f t="shared" si="5"/>
        <v>0.45301204819277102</v>
      </c>
      <c r="V14" s="42">
        <f t="shared" si="6"/>
        <v>0.45042735270591605</v>
      </c>
      <c r="W14" s="49">
        <f t="shared" si="7"/>
        <v>5.7055778034298572E-3</v>
      </c>
    </row>
    <row r="15" spans="1:23" x14ac:dyDescent="0.6">
      <c r="B15" s="2">
        <v>450.026983270372</v>
      </c>
      <c r="C15" s="1">
        <v>10.6161172161172</v>
      </c>
      <c r="D15" s="2"/>
      <c r="E15" s="1"/>
      <c r="F15" s="2">
        <v>449.92109416096702</v>
      </c>
      <c r="G15" s="1">
        <v>-183.77134372680001</v>
      </c>
      <c r="H15" s="2">
        <v>450.05112474437601</v>
      </c>
      <c r="I15" s="1">
        <v>3.2353790613718401</v>
      </c>
      <c r="J15" s="2">
        <v>449.99999999999898</v>
      </c>
      <c r="K15" s="1">
        <v>0.49852744310575597</v>
      </c>
      <c r="N15" s="3">
        <f t="shared" si="1"/>
        <v>450.026983270372</v>
      </c>
      <c r="O15" s="21">
        <f t="shared" si="2"/>
        <v>106161.172161172</v>
      </c>
      <c r="P15" s="3">
        <f t="shared" si="3"/>
        <v>449.92109416096702</v>
      </c>
      <c r="Q15" s="17">
        <f t="shared" si="4"/>
        <v>-1.8377134372680001E-4</v>
      </c>
      <c r="R15" s="3">
        <f t="shared" si="5"/>
        <v>450.05112474437601</v>
      </c>
      <c r="S15" s="24">
        <f t="shared" si="5"/>
        <v>3.2353790613718401</v>
      </c>
      <c r="T15" s="3">
        <f t="shared" si="5"/>
        <v>449.99999999999898</v>
      </c>
      <c r="U15" s="51">
        <f t="shared" si="5"/>
        <v>0.49852744310575597</v>
      </c>
      <c r="V15" s="42">
        <f t="shared" si="6"/>
        <v>0.498664704695088</v>
      </c>
      <c r="W15" s="49">
        <f t="shared" si="7"/>
        <v>-2.7533406882659624E-4</v>
      </c>
    </row>
    <row r="16" spans="1:23" x14ac:dyDescent="0.6">
      <c r="B16" s="2">
        <v>475.12142471667499</v>
      </c>
      <c r="C16" s="1">
        <v>10.3934065934065</v>
      </c>
      <c r="D16" s="2"/>
      <c r="E16" s="1"/>
      <c r="F16" s="2">
        <v>474.90794318779501</v>
      </c>
      <c r="G16" s="1">
        <v>-187.33481811432799</v>
      </c>
      <c r="H16" s="2">
        <v>475.10224948875202</v>
      </c>
      <c r="I16" s="1">
        <v>3.1927797833935001</v>
      </c>
      <c r="J16" s="2">
        <v>475.12437810945198</v>
      </c>
      <c r="K16" s="1">
        <v>0.54337349397590295</v>
      </c>
      <c r="N16" s="3">
        <f t="shared" si="1"/>
        <v>475.12142471667499</v>
      </c>
      <c r="O16" s="21">
        <f t="shared" si="2"/>
        <v>103934.065934065</v>
      </c>
      <c r="P16" s="3">
        <f t="shared" si="3"/>
        <v>474.90794318779501</v>
      </c>
      <c r="Q16" s="17">
        <f t="shared" si="4"/>
        <v>-1.8733481811432798E-4</v>
      </c>
      <c r="R16" s="3">
        <f t="shared" si="5"/>
        <v>475.10224948875202</v>
      </c>
      <c r="S16" s="24">
        <f t="shared" si="5"/>
        <v>3.1927797833935001</v>
      </c>
      <c r="T16" s="3">
        <f t="shared" si="5"/>
        <v>475.12437810945198</v>
      </c>
      <c r="U16" s="51">
        <f t="shared" si="5"/>
        <v>0.54337349397590295</v>
      </c>
      <c r="V16" s="42">
        <f t="shared" si="6"/>
        <v>0.54279179320748361</v>
      </c>
      <c r="W16" s="49">
        <f t="shared" si="7"/>
        <v>1.0705357822351621E-3</v>
      </c>
    </row>
    <row r="17" spans="2:23" x14ac:dyDescent="0.6">
      <c r="B17" s="2">
        <v>499.94603345925498</v>
      </c>
      <c r="C17" s="1">
        <v>10.188278388278301</v>
      </c>
      <c r="D17" s="2"/>
      <c r="E17" s="1"/>
      <c r="F17" s="2">
        <v>499.89479221462301</v>
      </c>
      <c r="G17" s="1">
        <v>-191.93763919821799</v>
      </c>
      <c r="H17" s="2">
        <v>499.89775051124701</v>
      </c>
      <c r="I17" s="1">
        <v>3.14873646209386</v>
      </c>
      <c r="J17" s="2">
        <v>499.99999999999898</v>
      </c>
      <c r="K17" s="1">
        <v>0.59625167336010698</v>
      </c>
      <c r="N17" s="3">
        <f t="shared" si="1"/>
        <v>499.94603345925498</v>
      </c>
      <c r="O17" s="21">
        <f t="shared" si="2"/>
        <v>101882.78388278301</v>
      </c>
      <c r="P17" s="3">
        <f t="shared" si="3"/>
        <v>499.89479221462301</v>
      </c>
      <c r="Q17" s="17">
        <f t="shared" si="4"/>
        <v>-1.91937639198218E-4</v>
      </c>
      <c r="R17" s="3">
        <f t="shared" si="5"/>
        <v>499.89775051124701</v>
      </c>
      <c r="S17" s="24">
        <f t="shared" si="5"/>
        <v>3.14873646209386</v>
      </c>
      <c r="T17" s="3">
        <f t="shared" si="5"/>
        <v>499.99999999999898</v>
      </c>
      <c r="U17" s="51">
        <f t="shared" si="5"/>
        <v>0.59625167336010698</v>
      </c>
      <c r="V17" s="42">
        <f t="shared" si="6"/>
        <v>0.59601170905948131</v>
      </c>
      <c r="W17" s="49">
        <f t="shared" si="7"/>
        <v>4.0245472062725042E-4</v>
      </c>
    </row>
    <row r="18" spans="2:23" x14ac:dyDescent="0.6">
      <c r="B18" s="2">
        <v>525.04047490555797</v>
      </c>
      <c r="C18" s="1">
        <v>10.059340659340601</v>
      </c>
      <c r="D18" s="2"/>
      <c r="E18" s="1"/>
      <c r="F18" s="2">
        <v>524.88164124145101</v>
      </c>
      <c r="G18" s="1">
        <v>-195.57535263548601</v>
      </c>
      <c r="H18" s="2">
        <v>524.94887525562297</v>
      </c>
      <c r="I18" s="1">
        <v>3.1054151624548698</v>
      </c>
      <c r="J18" s="2">
        <v>525.12437810945198</v>
      </c>
      <c r="K18" s="1">
        <v>0.64979919678714804</v>
      </c>
      <c r="N18" s="3">
        <f t="shared" si="1"/>
        <v>525.04047490555797</v>
      </c>
      <c r="O18" s="21">
        <f t="shared" si="2"/>
        <v>100593.40659340601</v>
      </c>
      <c r="P18" s="3">
        <f t="shared" si="3"/>
        <v>524.88164124145101</v>
      </c>
      <c r="Q18" s="17">
        <f t="shared" si="4"/>
        <v>-1.9557535263548599E-4</v>
      </c>
      <c r="R18" s="3">
        <f t="shared" si="5"/>
        <v>524.94887525562297</v>
      </c>
      <c r="S18" s="24">
        <f t="shared" si="5"/>
        <v>3.1054151624548698</v>
      </c>
      <c r="T18" s="3">
        <f t="shared" si="5"/>
        <v>525.12437810945198</v>
      </c>
      <c r="U18" s="51">
        <f t="shared" si="5"/>
        <v>0.64979919678714804</v>
      </c>
      <c r="V18" s="42">
        <f t="shared" si="6"/>
        <v>0.65063926816626005</v>
      </c>
      <c r="W18" s="49">
        <f t="shared" si="7"/>
        <v>-1.2928168936890761E-3</v>
      </c>
    </row>
    <row r="19" spans="2:23" x14ac:dyDescent="0.6">
      <c r="B19" s="2">
        <v>550.13491635186097</v>
      </c>
      <c r="C19" s="1">
        <v>9.8483516483516507</v>
      </c>
      <c r="D19" s="2"/>
      <c r="E19" s="1"/>
      <c r="F19" s="2">
        <v>549.86849026827895</v>
      </c>
      <c r="G19" s="1">
        <v>-198.99034892353299</v>
      </c>
      <c r="H19" s="2">
        <v>550</v>
      </c>
      <c r="I19" s="1">
        <v>3.0693140794223801</v>
      </c>
      <c r="J19" s="2">
        <v>550</v>
      </c>
      <c r="K19" s="1">
        <v>0.69665327978581004</v>
      </c>
      <c r="N19" s="3">
        <f t="shared" si="1"/>
        <v>550.13491635186097</v>
      </c>
      <c r="O19" s="21">
        <f t="shared" si="2"/>
        <v>98483.516483516505</v>
      </c>
      <c r="P19" s="3">
        <f t="shared" si="3"/>
        <v>549.86849026827895</v>
      </c>
      <c r="Q19" s="17">
        <f t="shared" si="4"/>
        <v>-1.9899034892353299E-4</v>
      </c>
      <c r="R19" s="3">
        <f t="shared" si="5"/>
        <v>550</v>
      </c>
      <c r="S19" s="24">
        <f t="shared" si="5"/>
        <v>3.0693140794223801</v>
      </c>
      <c r="T19" s="3">
        <f t="shared" si="5"/>
        <v>550</v>
      </c>
      <c r="U19" s="51">
        <f t="shared" si="5"/>
        <v>0.69665327978581004</v>
      </c>
      <c r="V19" s="42">
        <f t="shared" si="6"/>
        <v>0.69879362169556691</v>
      </c>
      <c r="W19" s="49">
        <f t="shared" si="7"/>
        <v>-3.072320151015339E-3</v>
      </c>
    </row>
    <row r="20" spans="2:23" x14ac:dyDescent="0.6">
      <c r="B20" s="2">
        <v>574.95952509444101</v>
      </c>
      <c r="C20" s="1">
        <v>9.6783882783882795</v>
      </c>
      <c r="D20" s="2"/>
      <c r="E20" s="1"/>
      <c r="F20" s="2">
        <v>575.11835875854797</v>
      </c>
      <c r="G20" s="1">
        <v>-202.85077951002199</v>
      </c>
      <c r="H20" s="2">
        <v>575.05112474437601</v>
      </c>
      <c r="I20" s="1">
        <v>3.0288808664259901</v>
      </c>
      <c r="J20" s="2">
        <v>575.12437810945198</v>
      </c>
      <c r="K20" s="1">
        <v>0.75354752342704101</v>
      </c>
      <c r="N20" s="3">
        <f t="shared" si="1"/>
        <v>574.95952509444101</v>
      </c>
      <c r="O20" s="21">
        <f t="shared" si="2"/>
        <v>96783.8827838828</v>
      </c>
      <c r="P20" s="3">
        <f t="shared" si="3"/>
        <v>575.11835875854797</v>
      </c>
      <c r="Q20" s="17">
        <f t="shared" si="4"/>
        <v>-2.0285077951002199E-4</v>
      </c>
      <c r="R20" s="3">
        <f t="shared" si="5"/>
        <v>575.05112474437601</v>
      </c>
      <c r="S20" s="24">
        <f t="shared" si="5"/>
        <v>3.0288808664259901</v>
      </c>
      <c r="T20" s="3">
        <f t="shared" si="5"/>
        <v>575.12437810945198</v>
      </c>
      <c r="U20" s="51">
        <f t="shared" si="5"/>
        <v>0.75354752342704101</v>
      </c>
      <c r="V20" s="42">
        <f t="shared" si="6"/>
        <v>0.75619880715937293</v>
      </c>
      <c r="W20" s="49">
        <f t="shared" si="7"/>
        <v>-3.5184028211972763E-3</v>
      </c>
    </row>
    <row r="21" spans="2:23" x14ac:dyDescent="0.6">
      <c r="B21" s="2">
        <v>600.053966540744</v>
      </c>
      <c r="C21" s="1">
        <v>9.5260073260073206</v>
      </c>
      <c r="D21" s="2"/>
      <c r="E21" s="1"/>
      <c r="F21" s="2">
        <v>600.10520778537602</v>
      </c>
      <c r="G21" s="1">
        <v>-206.41425389755</v>
      </c>
      <c r="H21" s="2">
        <v>600.10224948875202</v>
      </c>
      <c r="I21" s="1">
        <v>3.0194945848375401</v>
      </c>
      <c r="J21" s="2">
        <v>600</v>
      </c>
      <c r="K21" s="1">
        <v>0.80374832663989304</v>
      </c>
      <c r="N21" s="3">
        <f t="shared" si="1"/>
        <v>600.053966540744</v>
      </c>
      <c r="O21" s="21">
        <f t="shared" si="2"/>
        <v>95260.073260073201</v>
      </c>
      <c r="P21" s="3">
        <f t="shared" si="3"/>
        <v>600.10520778537602</v>
      </c>
      <c r="Q21" s="17">
        <f t="shared" si="4"/>
        <v>-2.0641425389754999E-4</v>
      </c>
      <c r="R21" s="3">
        <f t="shared" si="5"/>
        <v>600.10224948875202</v>
      </c>
      <c r="S21" s="24">
        <f t="shared" si="5"/>
        <v>3.0194945848375401</v>
      </c>
      <c r="T21" s="3">
        <f t="shared" si="5"/>
        <v>600</v>
      </c>
      <c r="U21" s="51">
        <f t="shared" si="5"/>
        <v>0.80374832663989304</v>
      </c>
      <c r="V21" s="42">
        <f t="shared" si="6"/>
        <v>0.80650539094943008</v>
      </c>
      <c r="W21" s="49">
        <f t="shared" si="7"/>
        <v>-3.4302582265559084E-3</v>
      </c>
    </row>
    <row r="22" spans="2:23" x14ac:dyDescent="0.6">
      <c r="B22" s="2">
        <v>624.87857528332404</v>
      </c>
      <c r="C22" s="1">
        <v>9.4322344322344307</v>
      </c>
      <c r="D22" s="2"/>
      <c r="E22" s="1"/>
      <c r="F22" s="2">
        <v>625.09205681220396</v>
      </c>
      <c r="G22" s="1">
        <v>-210.72011878247901</v>
      </c>
      <c r="H22" s="2">
        <v>624.89775051124695</v>
      </c>
      <c r="I22" s="1">
        <v>3.0036101083032398</v>
      </c>
      <c r="J22" s="2">
        <v>625.12437810945198</v>
      </c>
      <c r="K22" s="1">
        <v>0.87001338688085605</v>
      </c>
      <c r="N22" s="3">
        <f t="shared" si="1"/>
        <v>624.87857528332404</v>
      </c>
      <c r="O22" s="21">
        <f t="shared" si="2"/>
        <v>94322.344322344303</v>
      </c>
      <c r="P22" s="3">
        <f t="shared" si="3"/>
        <v>625.09205681220396</v>
      </c>
      <c r="Q22" s="17">
        <f t="shared" si="4"/>
        <v>-2.1072011878247899E-4</v>
      </c>
      <c r="R22" s="3">
        <f t="shared" si="5"/>
        <v>624.89775051124695</v>
      </c>
      <c r="S22" s="24">
        <f t="shared" si="5"/>
        <v>3.0036101083032398</v>
      </c>
      <c r="T22" s="3">
        <f t="shared" si="5"/>
        <v>625.12437810945198</v>
      </c>
      <c r="U22" s="51">
        <f t="shared" si="5"/>
        <v>0.87001338688085605</v>
      </c>
      <c r="V22" s="42">
        <f t="shared" si="6"/>
        <v>0.87166472178568433</v>
      </c>
      <c r="W22" s="49">
        <f t="shared" si="7"/>
        <v>-1.8980568916859828E-3</v>
      </c>
    </row>
    <row r="23" spans="2:23" x14ac:dyDescent="0.6">
      <c r="B23" s="2">
        <v>649.97301672962703</v>
      </c>
      <c r="C23" s="1">
        <v>9.3384615384615408</v>
      </c>
      <c r="D23" s="2"/>
      <c r="E23" s="1"/>
      <c r="F23" s="2">
        <v>650.07890583903202</v>
      </c>
      <c r="G23" s="1">
        <v>-213.24424647364501</v>
      </c>
      <c r="H23" s="2">
        <v>649.94887525562297</v>
      </c>
      <c r="I23" s="1">
        <v>2.9891696750902499</v>
      </c>
      <c r="J23" s="2">
        <v>650</v>
      </c>
      <c r="K23" s="1">
        <v>0.92222222222222205</v>
      </c>
      <c r="N23" s="3">
        <f t="shared" si="1"/>
        <v>649.97301672962703</v>
      </c>
      <c r="O23" s="21">
        <f t="shared" si="2"/>
        <v>93384.615384615405</v>
      </c>
      <c r="P23" s="3">
        <f t="shared" si="3"/>
        <v>650.07890583903202</v>
      </c>
      <c r="Q23" s="17">
        <f t="shared" si="4"/>
        <v>-2.1324424647364501E-4</v>
      </c>
      <c r="R23" s="3">
        <f t="shared" si="5"/>
        <v>649.94887525562297</v>
      </c>
      <c r="S23" s="24">
        <f t="shared" si="5"/>
        <v>2.9891696750902499</v>
      </c>
      <c r="T23" s="3">
        <f t="shared" si="5"/>
        <v>650</v>
      </c>
      <c r="U23" s="51">
        <f t="shared" si="5"/>
        <v>0.92222222222222205</v>
      </c>
      <c r="V23" s="42">
        <f t="shared" si="6"/>
        <v>0.92340616135191533</v>
      </c>
      <c r="W23" s="49">
        <f t="shared" si="7"/>
        <v>-1.2837894177397003E-3</v>
      </c>
    </row>
    <row r="24" spans="2:23" x14ac:dyDescent="0.6">
      <c r="B24" s="2">
        <v>675.06745817593105</v>
      </c>
      <c r="C24" s="1">
        <v>9.2446886446886403</v>
      </c>
      <c r="D24" s="2"/>
      <c r="E24" s="1"/>
      <c r="F24" s="2">
        <v>675.06575486585996</v>
      </c>
      <c r="G24" s="1">
        <v>-216.51076466221201</v>
      </c>
      <c r="H24" s="2">
        <v>675</v>
      </c>
      <c r="I24" s="1">
        <v>2.9740072202165999</v>
      </c>
      <c r="J24" s="2">
        <v>675.12437810945198</v>
      </c>
      <c r="K24" s="1">
        <v>0.975769745649263</v>
      </c>
      <c r="N24" s="3">
        <f t="shared" si="1"/>
        <v>675.06745817593105</v>
      </c>
      <c r="O24" s="21">
        <f t="shared" si="2"/>
        <v>92446.886446886405</v>
      </c>
      <c r="P24" s="3">
        <f t="shared" si="3"/>
        <v>675.06575486585996</v>
      </c>
      <c r="Q24" s="17">
        <f t="shared" si="4"/>
        <v>-2.1651076466221199E-4</v>
      </c>
      <c r="R24" s="3">
        <f t="shared" si="5"/>
        <v>675</v>
      </c>
      <c r="S24" s="24">
        <f t="shared" si="5"/>
        <v>2.9740072202165999</v>
      </c>
      <c r="T24" s="3">
        <f t="shared" si="5"/>
        <v>675.12437810945198</v>
      </c>
      <c r="U24" s="51">
        <f t="shared" si="5"/>
        <v>0.975769745649263</v>
      </c>
      <c r="V24" s="42">
        <f t="shared" si="6"/>
        <v>0.98376880780864551</v>
      </c>
      <c r="W24" s="49">
        <f t="shared" si="7"/>
        <v>-8.1976943792821215E-3</v>
      </c>
    </row>
    <row r="25" spans="2:23" x14ac:dyDescent="0.6">
      <c r="B25" s="2">
        <v>699.89206691850995</v>
      </c>
      <c r="C25" s="1">
        <v>9.1509157509157504</v>
      </c>
      <c r="D25" s="2"/>
      <c r="E25" s="1"/>
      <c r="F25" s="2">
        <v>700.05260389268801</v>
      </c>
      <c r="G25" s="1">
        <v>-220</v>
      </c>
      <c r="H25" s="2">
        <v>700.05112474437601</v>
      </c>
      <c r="I25" s="1">
        <v>2.9653429602888002</v>
      </c>
      <c r="J25" s="2">
        <v>700</v>
      </c>
      <c r="K25" s="1">
        <v>1.0453815261044099</v>
      </c>
      <c r="N25" s="3">
        <f t="shared" si="1"/>
        <v>699.89206691850995</v>
      </c>
      <c r="O25" s="21">
        <f t="shared" si="2"/>
        <v>91509.157509157507</v>
      </c>
      <c r="P25" s="3">
        <f t="shared" si="3"/>
        <v>700.05260389268801</v>
      </c>
      <c r="Q25" s="17">
        <f t="shared" si="4"/>
        <v>-2.1999999999999998E-4</v>
      </c>
      <c r="R25" s="3">
        <f t="shared" si="5"/>
        <v>700.05112474437601</v>
      </c>
      <c r="S25" s="24">
        <f t="shared" si="5"/>
        <v>2.9653429602888002</v>
      </c>
      <c r="T25" s="3">
        <f t="shared" si="5"/>
        <v>700</v>
      </c>
      <c r="U25" s="51">
        <f t="shared" si="5"/>
        <v>1.0453815261044099</v>
      </c>
      <c r="V25" s="42">
        <f t="shared" si="6"/>
        <v>1.0455216472189475</v>
      </c>
      <c r="W25" s="49">
        <f t="shared" si="7"/>
        <v>-1.3403825401401271E-4</v>
      </c>
    </row>
    <row r="26" spans="2:23" x14ac:dyDescent="0.6">
      <c r="B26" s="2">
        <v>724.98650836481295</v>
      </c>
      <c r="C26" s="1">
        <v>9.0688644688644704</v>
      </c>
      <c r="D26" s="2"/>
      <c r="E26" s="1"/>
      <c r="F26" s="2">
        <v>725.03945291951595</v>
      </c>
      <c r="G26" s="1">
        <v>-222.22717149220401</v>
      </c>
      <c r="H26" s="2">
        <v>725.10224948875202</v>
      </c>
      <c r="I26" s="1">
        <v>2.9689530685920502</v>
      </c>
      <c r="J26" s="2">
        <v>725.12437810945198</v>
      </c>
      <c r="K26" s="1">
        <v>1.0929049531459101</v>
      </c>
      <c r="N26" s="3">
        <f t="shared" si="1"/>
        <v>724.98650836481295</v>
      </c>
      <c r="O26" s="21">
        <f t="shared" si="2"/>
        <v>90688.644688644708</v>
      </c>
      <c r="P26" s="3">
        <f t="shared" si="3"/>
        <v>725.03945291951595</v>
      </c>
      <c r="Q26" s="17">
        <f t="shared" si="4"/>
        <v>-2.2222717149220401E-4</v>
      </c>
      <c r="R26" s="3">
        <f t="shared" si="5"/>
        <v>725.10224948875202</v>
      </c>
      <c r="S26" s="24">
        <f t="shared" si="5"/>
        <v>2.9689530685920502</v>
      </c>
      <c r="T26" s="3">
        <f t="shared" si="5"/>
        <v>725.12437810945198</v>
      </c>
      <c r="U26" s="51">
        <f t="shared" si="5"/>
        <v>1.0929049531459101</v>
      </c>
      <c r="V26" s="42">
        <f t="shared" si="6"/>
        <v>1.0938465520417426</v>
      </c>
      <c r="W26" s="49">
        <f t="shared" si="7"/>
        <v>-8.6155606955772761E-4</v>
      </c>
    </row>
    <row r="27" spans="2:23" x14ac:dyDescent="0.6">
      <c r="B27" s="2">
        <v>750.08094981111697</v>
      </c>
      <c r="C27" s="1">
        <v>8.9868131868131904</v>
      </c>
      <c r="D27" s="2"/>
      <c r="E27" s="1"/>
      <c r="F27" s="2">
        <v>750.02630194634298</v>
      </c>
      <c r="G27" s="1">
        <v>-222.74684484038599</v>
      </c>
      <c r="H27" s="2">
        <v>749.89775051124695</v>
      </c>
      <c r="I27" s="1">
        <v>2.99061371841155</v>
      </c>
      <c r="J27" s="2">
        <v>749.99999999999898</v>
      </c>
      <c r="K27" s="1">
        <v>1.11767068273092</v>
      </c>
      <c r="N27" s="3">
        <f t="shared" si="1"/>
        <v>750.08094981111697</v>
      </c>
      <c r="O27" s="21">
        <f t="shared" si="2"/>
        <v>89868.13186813191</v>
      </c>
      <c r="P27" s="3">
        <f t="shared" si="3"/>
        <v>750.02630194634298</v>
      </c>
      <c r="Q27" s="17">
        <f t="shared" si="4"/>
        <v>-2.2274684484038598E-4</v>
      </c>
      <c r="R27" s="3">
        <f t="shared" si="5"/>
        <v>749.89775051124695</v>
      </c>
      <c r="S27" s="24">
        <f t="shared" si="5"/>
        <v>2.99061371841155</v>
      </c>
      <c r="T27" s="3">
        <f t="shared" si="5"/>
        <v>749.99999999999898</v>
      </c>
      <c r="U27" s="51">
        <f t="shared" si="5"/>
        <v>1.11767068273092</v>
      </c>
      <c r="V27" s="42">
        <f t="shared" si="6"/>
        <v>1.1182264953848189</v>
      </c>
      <c r="W27" s="49">
        <f t="shared" si="7"/>
        <v>-4.9729554732602405E-4</v>
      </c>
    </row>
    <row r="28" spans="2:23" x14ac:dyDescent="0.6">
      <c r="B28" s="2">
        <v>774.90555855369598</v>
      </c>
      <c r="C28" s="1">
        <v>8.8754578754578706</v>
      </c>
      <c r="D28" s="2"/>
      <c r="E28" s="1"/>
      <c r="F28" s="2">
        <v>775.01315097317195</v>
      </c>
      <c r="G28" s="1">
        <v>-222.15293244246399</v>
      </c>
      <c r="H28" s="2">
        <v>774.94887525562297</v>
      </c>
      <c r="I28" s="1">
        <v>3.0281588447653398</v>
      </c>
      <c r="J28" s="2">
        <v>775.12437810945198</v>
      </c>
      <c r="K28" s="1">
        <v>1.11900937081659</v>
      </c>
      <c r="N28" s="3">
        <f t="shared" si="1"/>
        <v>774.90555855369598</v>
      </c>
      <c r="O28" s="21">
        <f t="shared" si="2"/>
        <v>88754.578754578703</v>
      </c>
      <c r="P28" s="3">
        <f t="shared" si="3"/>
        <v>775.01315097317195</v>
      </c>
      <c r="Q28" s="17">
        <f t="shared" si="4"/>
        <v>-2.2215293244246399E-4</v>
      </c>
      <c r="R28" s="3">
        <f t="shared" ref="R28:U29" si="8">H28</f>
        <v>774.94887525562297</v>
      </c>
      <c r="S28" s="24">
        <f t="shared" si="8"/>
        <v>3.0281588447653398</v>
      </c>
      <c r="T28" s="3">
        <f t="shared" si="8"/>
        <v>775.12437810945198</v>
      </c>
      <c r="U28" s="51">
        <f t="shared" si="8"/>
        <v>1.11900937081659</v>
      </c>
      <c r="V28" s="42">
        <f t="shared" si="6"/>
        <v>1.1212116740421922</v>
      </c>
      <c r="W28" s="49">
        <f t="shared" si="7"/>
        <v>-1.968082916048418E-3</v>
      </c>
    </row>
    <row r="29" spans="2:23" x14ac:dyDescent="0.6">
      <c r="B29" s="28">
        <v>800</v>
      </c>
      <c r="C29" s="29">
        <v>8.7465201465201403</v>
      </c>
      <c r="D29" s="28"/>
      <c r="E29" s="29"/>
      <c r="F29" s="28">
        <v>800</v>
      </c>
      <c r="G29" s="29">
        <v>-222.44988864142499</v>
      </c>
      <c r="H29" s="28">
        <v>800</v>
      </c>
      <c r="I29" s="29">
        <v>3.0866425992779698</v>
      </c>
      <c r="J29" s="28">
        <v>799.99999999999898</v>
      </c>
      <c r="K29" s="29">
        <v>1.1210174029451101</v>
      </c>
      <c r="N29" s="32">
        <f t="shared" si="1"/>
        <v>800</v>
      </c>
      <c r="O29" s="21">
        <f t="shared" si="2"/>
        <v>87465.201465201404</v>
      </c>
      <c r="P29" s="32">
        <f t="shared" si="3"/>
        <v>800</v>
      </c>
      <c r="Q29" s="17">
        <f t="shared" si="4"/>
        <v>-2.2244988864142498E-4</v>
      </c>
      <c r="R29" s="32">
        <f t="shared" si="8"/>
        <v>800</v>
      </c>
      <c r="S29" s="35">
        <f t="shared" si="8"/>
        <v>3.0866425992779698</v>
      </c>
      <c r="T29" s="32">
        <f t="shared" si="8"/>
        <v>799.99999999999898</v>
      </c>
      <c r="U29" s="52">
        <f t="shared" si="8"/>
        <v>1.1210174029451101</v>
      </c>
      <c r="V29" s="42">
        <f t="shared" si="6"/>
        <v>1.1217687245434791</v>
      </c>
      <c r="W29" s="49">
        <f t="shared" si="7"/>
        <v>-6.7021403628091624E-4</v>
      </c>
    </row>
    <row r="30" spans="2:23" x14ac:dyDescent="0.6">
      <c r="B30" s="30"/>
      <c r="C30" s="30"/>
      <c r="D30" s="30"/>
      <c r="E30" s="30"/>
      <c r="F30" s="30"/>
      <c r="G30" s="30"/>
      <c r="H30" s="30"/>
      <c r="I30" s="30"/>
      <c r="J30" s="30"/>
      <c r="K30" s="30"/>
      <c r="N30" s="30"/>
      <c r="O30" s="39"/>
      <c r="P30" s="30"/>
      <c r="Q30" s="40"/>
      <c r="R30" s="30"/>
      <c r="S30" s="41"/>
      <c r="T30" s="30"/>
      <c r="U30" s="41"/>
      <c r="V30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0</v>
      </c>
      <c r="P41" s="7" t="s">
        <v>3</v>
      </c>
      <c r="Q41" s="15" t="s">
        <v>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41</v>
      </c>
      <c r="D42" s="11" t="s">
        <v>4</v>
      </c>
      <c r="E42" s="10" t="s">
        <v>11</v>
      </c>
      <c r="F42" s="11" t="s">
        <v>4</v>
      </c>
      <c r="G42" s="27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298.02300000000002</v>
      </c>
      <c r="C43" s="4">
        <v>11.9993</v>
      </c>
      <c r="D43" s="3"/>
      <c r="E43" s="4"/>
      <c r="F43" s="3">
        <v>298.33300000000003</v>
      </c>
      <c r="G43" s="4">
        <v>-144.84399999999999</v>
      </c>
      <c r="H43" s="3">
        <v>299.79399999999998</v>
      </c>
      <c r="I43" s="4">
        <v>3.6775799999999998</v>
      </c>
      <c r="J43" s="3">
        <v>299.32400000000001</v>
      </c>
      <c r="K43" s="4">
        <v>0.206312</v>
      </c>
      <c r="N43" s="3">
        <f>B43</f>
        <v>298.02300000000002</v>
      </c>
      <c r="O43" s="21">
        <f>C43*10000</f>
        <v>119993</v>
      </c>
      <c r="P43" s="3">
        <f>F43</f>
        <v>298.33300000000003</v>
      </c>
      <c r="Q43" s="17">
        <f>G43*0.000001</f>
        <v>-1.4484399999999998E-4</v>
      </c>
      <c r="R43" s="3">
        <f>H43</f>
        <v>299.79399999999998</v>
      </c>
      <c r="S43" s="24">
        <f>I43</f>
        <v>3.6775799999999998</v>
      </c>
      <c r="T43" s="3">
        <f>J43</f>
        <v>299.32400000000001</v>
      </c>
      <c r="U43" s="51">
        <f>K43</f>
        <v>0.206312</v>
      </c>
      <c r="V43" s="42">
        <f>((O43*(Q43)^2)/S43)*T43</f>
        <v>0.20489735035536888</v>
      </c>
      <c r="W43" s="49">
        <f t="shared" ref="W43:W63" si="9">(U43-V43)/U43</f>
        <v>6.8568461583965856E-3</v>
      </c>
    </row>
    <row r="44" spans="2:23" x14ac:dyDescent="0.6">
      <c r="B44" s="3">
        <v>323.85300000000001</v>
      </c>
      <c r="C44" s="4">
        <v>11.752800000000001</v>
      </c>
      <c r="D44" s="3"/>
      <c r="E44" s="4"/>
      <c r="F44" s="3">
        <v>323.33300000000003</v>
      </c>
      <c r="G44" s="4">
        <v>-153.047</v>
      </c>
      <c r="H44" s="3">
        <v>323.91000000000003</v>
      </c>
      <c r="I44" s="4">
        <v>3.5849600000000001</v>
      </c>
      <c r="J44" s="3">
        <v>323.99400000000003</v>
      </c>
      <c r="K44" s="4">
        <v>0.25311499999999998</v>
      </c>
      <c r="N44" s="3">
        <f t="shared" ref="N44:N63" si="10">B44</f>
        <v>323.85300000000001</v>
      </c>
      <c r="O44" s="21">
        <f t="shared" ref="O44:O63" si="11">C44*10000</f>
        <v>117528</v>
      </c>
      <c r="P44" s="3">
        <f t="shared" ref="P44:P63" si="12">F44</f>
        <v>323.33300000000003</v>
      </c>
      <c r="Q44" s="17">
        <f t="shared" ref="Q44:Q63" si="13">G44*0.000001</f>
        <v>-1.5304699999999999E-4</v>
      </c>
      <c r="R44" s="3">
        <f t="shared" ref="R44:R63" si="14">H44</f>
        <v>323.91000000000003</v>
      </c>
      <c r="S44" s="24">
        <f t="shared" ref="S44:S63" si="15">I44</f>
        <v>3.5849600000000001</v>
      </c>
      <c r="T44" s="3">
        <f t="shared" ref="T44:T63" si="16">J44</f>
        <v>323.99400000000003</v>
      </c>
      <c r="U44" s="51">
        <f t="shared" ref="U44:U63" si="17">K44</f>
        <v>0.25311499999999998</v>
      </c>
      <c r="V44" s="42">
        <f t="shared" ref="V44:V63" si="18">((O44*(Q44)^2)/S44)*T44</f>
        <v>0.24879614175811673</v>
      </c>
      <c r="W44" s="49">
        <f t="shared" si="9"/>
        <v>1.7062830104431759E-2</v>
      </c>
    </row>
    <row r="45" spans="2:23" x14ac:dyDescent="0.6">
      <c r="B45" s="2">
        <v>349.68299999999999</v>
      </c>
      <c r="C45" s="1">
        <v>11.5063</v>
      </c>
      <c r="D45" s="2"/>
      <c r="E45" s="1"/>
      <c r="F45" s="2">
        <v>350</v>
      </c>
      <c r="G45" s="1">
        <v>-159.60900000000001</v>
      </c>
      <c r="H45" s="2">
        <v>350.51799999999997</v>
      </c>
      <c r="I45" s="1">
        <v>3.4853999999999998</v>
      </c>
      <c r="J45" s="2">
        <v>349.45800000000003</v>
      </c>
      <c r="K45" s="1">
        <v>0.29778300000000002</v>
      </c>
      <c r="N45" s="3">
        <f t="shared" si="10"/>
        <v>349.68299999999999</v>
      </c>
      <c r="O45" s="21">
        <f t="shared" si="11"/>
        <v>115063</v>
      </c>
      <c r="P45" s="3">
        <f t="shared" si="12"/>
        <v>350</v>
      </c>
      <c r="Q45" s="17">
        <f t="shared" si="13"/>
        <v>-1.5960900000000001E-4</v>
      </c>
      <c r="R45" s="3">
        <f t="shared" si="14"/>
        <v>350.51799999999997</v>
      </c>
      <c r="S45" s="24">
        <f t="shared" si="15"/>
        <v>3.4853999999999998</v>
      </c>
      <c r="T45" s="3">
        <f t="shared" si="16"/>
        <v>349.45800000000003</v>
      </c>
      <c r="U45" s="51">
        <f t="shared" si="17"/>
        <v>0.29778300000000002</v>
      </c>
      <c r="V45" s="42">
        <f t="shared" si="18"/>
        <v>0.29389541208048736</v>
      </c>
      <c r="W45" s="49">
        <f t="shared" si="9"/>
        <v>1.3055103614083605E-2</v>
      </c>
    </row>
    <row r="46" spans="2:23" x14ac:dyDescent="0.6">
      <c r="B46" s="2">
        <v>375.512</v>
      </c>
      <c r="C46" s="1">
        <v>11.2598</v>
      </c>
      <c r="D46" s="2"/>
      <c r="E46" s="1"/>
      <c r="F46" s="2">
        <v>374.16699999999997</v>
      </c>
      <c r="G46" s="1">
        <v>-165.46899999999999</v>
      </c>
      <c r="H46" s="2">
        <v>373.81200000000001</v>
      </c>
      <c r="I46" s="1">
        <v>3.3881299999999999</v>
      </c>
      <c r="J46" s="2">
        <v>375.72</v>
      </c>
      <c r="K46" s="1">
        <v>0.34884399999999999</v>
      </c>
      <c r="N46" s="3">
        <f t="shared" si="10"/>
        <v>375.512</v>
      </c>
      <c r="O46" s="21">
        <f t="shared" si="11"/>
        <v>112598</v>
      </c>
      <c r="P46" s="3">
        <f t="shared" si="12"/>
        <v>374.16699999999997</v>
      </c>
      <c r="Q46" s="17">
        <f t="shared" si="13"/>
        <v>-1.6546899999999998E-4</v>
      </c>
      <c r="R46" s="3">
        <f t="shared" si="14"/>
        <v>373.81200000000001</v>
      </c>
      <c r="S46" s="24">
        <f t="shared" si="15"/>
        <v>3.3881299999999999</v>
      </c>
      <c r="T46" s="3">
        <f t="shared" si="16"/>
        <v>375.72</v>
      </c>
      <c r="U46" s="51">
        <f t="shared" si="17"/>
        <v>0.34884399999999999</v>
      </c>
      <c r="V46" s="42">
        <f t="shared" si="18"/>
        <v>0.34187568134330348</v>
      </c>
      <c r="W46" s="49">
        <f t="shared" si="9"/>
        <v>1.9975457960281686E-2</v>
      </c>
    </row>
    <row r="47" spans="2:23" x14ac:dyDescent="0.6">
      <c r="B47" s="2">
        <v>400.53800000000001</v>
      </c>
      <c r="C47" s="1">
        <v>11.065899999999999</v>
      </c>
      <c r="D47" s="2"/>
      <c r="E47" s="1"/>
      <c r="F47" s="2">
        <v>398.33300000000003</v>
      </c>
      <c r="G47" s="1">
        <v>-172.03100000000001</v>
      </c>
      <c r="H47" s="2">
        <v>400.38900000000001</v>
      </c>
      <c r="I47" s="1">
        <v>3.3140999999999998</v>
      </c>
      <c r="J47" s="2">
        <v>399.59800000000001</v>
      </c>
      <c r="K47" s="1">
        <v>0.39991500000000002</v>
      </c>
      <c r="N47" s="3">
        <f t="shared" si="10"/>
        <v>400.53800000000001</v>
      </c>
      <c r="O47" s="21">
        <f t="shared" si="11"/>
        <v>110658.99999999999</v>
      </c>
      <c r="P47" s="3">
        <f t="shared" si="12"/>
        <v>398.33300000000003</v>
      </c>
      <c r="Q47" s="17">
        <f t="shared" si="13"/>
        <v>-1.7203100000000001E-4</v>
      </c>
      <c r="R47" s="3">
        <f t="shared" si="14"/>
        <v>400.38900000000001</v>
      </c>
      <c r="S47" s="24">
        <f t="shared" si="15"/>
        <v>3.3140999999999998</v>
      </c>
      <c r="T47" s="3">
        <f t="shared" si="16"/>
        <v>399.59800000000001</v>
      </c>
      <c r="U47" s="51">
        <f t="shared" si="17"/>
        <v>0.39991500000000002</v>
      </c>
      <c r="V47" s="42">
        <f t="shared" si="18"/>
        <v>0.39487338816683026</v>
      </c>
      <c r="W47" s="49">
        <f t="shared" si="9"/>
        <v>1.2606708508482443E-2</v>
      </c>
    </row>
    <row r="48" spans="2:23" x14ac:dyDescent="0.6">
      <c r="B48" s="2">
        <v>424.75400000000002</v>
      </c>
      <c r="C48" s="1">
        <v>10.837</v>
      </c>
      <c r="D48" s="2"/>
      <c r="E48" s="1"/>
      <c r="F48" s="2">
        <v>423.33300000000003</v>
      </c>
      <c r="G48" s="1">
        <v>-178.828</v>
      </c>
      <c r="H48" s="2">
        <v>424.44799999999998</v>
      </c>
      <c r="I48" s="1">
        <v>3.2702200000000001</v>
      </c>
      <c r="J48" s="2">
        <v>425.86399999999998</v>
      </c>
      <c r="K48" s="1">
        <v>0.45737299999999997</v>
      </c>
      <c r="N48" s="3">
        <f t="shared" si="10"/>
        <v>424.75400000000002</v>
      </c>
      <c r="O48" s="21">
        <f t="shared" si="11"/>
        <v>108370</v>
      </c>
      <c r="P48" s="3">
        <f t="shared" si="12"/>
        <v>423.33300000000003</v>
      </c>
      <c r="Q48" s="17">
        <f t="shared" si="13"/>
        <v>-1.7882799999999999E-4</v>
      </c>
      <c r="R48" s="3">
        <f t="shared" si="14"/>
        <v>424.44799999999998</v>
      </c>
      <c r="S48" s="24">
        <f t="shared" si="15"/>
        <v>3.2702200000000001</v>
      </c>
      <c r="T48" s="3">
        <f t="shared" si="16"/>
        <v>425.86399999999998</v>
      </c>
      <c r="U48" s="51">
        <f t="shared" si="17"/>
        <v>0.45737299999999997</v>
      </c>
      <c r="V48" s="42">
        <f t="shared" si="18"/>
        <v>0.45130907967850342</v>
      </c>
      <c r="W48" s="49">
        <f t="shared" si="9"/>
        <v>1.3258151052853037E-2</v>
      </c>
    </row>
    <row r="49" spans="2:23" x14ac:dyDescent="0.6">
      <c r="B49" s="2">
        <v>449.78</v>
      </c>
      <c r="C49" s="1">
        <v>10.6431</v>
      </c>
      <c r="D49" s="2"/>
      <c r="E49" s="1"/>
      <c r="F49" s="2">
        <v>447.5</v>
      </c>
      <c r="G49" s="1">
        <v>-183.75</v>
      </c>
      <c r="H49" s="2">
        <v>450.14299999999997</v>
      </c>
      <c r="I49" s="1">
        <v>3.2425999999999999</v>
      </c>
      <c r="J49" s="2">
        <v>449.74</v>
      </c>
      <c r="K49" s="1">
        <v>0.50631199999999998</v>
      </c>
      <c r="N49" s="3">
        <f t="shared" si="10"/>
        <v>449.78</v>
      </c>
      <c r="O49" s="21">
        <f t="shared" si="11"/>
        <v>106431</v>
      </c>
      <c r="P49" s="3">
        <f t="shared" si="12"/>
        <v>447.5</v>
      </c>
      <c r="Q49" s="17">
        <f t="shared" si="13"/>
        <v>-1.8374999999999999E-4</v>
      </c>
      <c r="R49" s="3">
        <f t="shared" si="14"/>
        <v>450.14299999999997</v>
      </c>
      <c r="S49" s="24">
        <f t="shared" si="15"/>
        <v>3.2425999999999999</v>
      </c>
      <c r="T49" s="3">
        <f t="shared" si="16"/>
        <v>449.74</v>
      </c>
      <c r="U49" s="51">
        <f t="shared" si="17"/>
        <v>0.50631199999999998</v>
      </c>
      <c r="V49" s="42">
        <f t="shared" si="18"/>
        <v>0.49841485228166632</v>
      </c>
      <c r="W49" s="49">
        <f t="shared" si="9"/>
        <v>1.559739393562401E-2</v>
      </c>
    </row>
    <row r="50" spans="2:23" x14ac:dyDescent="0.6">
      <c r="B50" s="2">
        <v>475.61099999999999</v>
      </c>
      <c r="C50" s="1">
        <v>10.414199999999999</v>
      </c>
      <c r="D50" s="2"/>
      <c r="E50" s="1"/>
      <c r="F50" s="2">
        <v>473.33300000000003</v>
      </c>
      <c r="G50" s="1">
        <v>-187.26599999999999</v>
      </c>
      <c r="H50" s="2">
        <v>474.20600000000002</v>
      </c>
      <c r="I50" s="1">
        <v>3.19408</v>
      </c>
      <c r="J50" s="2">
        <v>475.99900000000002</v>
      </c>
      <c r="K50" s="1">
        <v>0.55097600000000002</v>
      </c>
      <c r="N50" s="3">
        <f t="shared" si="10"/>
        <v>475.61099999999999</v>
      </c>
      <c r="O50" s="21">
        <f t="shared" si="11"/>
        <v>104141.99999999999</v>
      </c>
      <c r="P50" s="3">
        <f t="shared" si="12"/>
        <v>473.33300000000003</v>
      </c>
      <c r="Q50" s="17">
        <f t="shared" si="13"/>
        <v>-1.8726599999999998E-4</v>
      </c>
      <c r="R50" s="3">
        <f t="shared" si="14"/>
        <v>474.20600000000002</v>
      </c>
      <c r="S50" s="24">
        <f t="shared" si="15"/>
        <v>3.19408</v>
      </c>
      <c r="T50" s="3">
        <f t="shared" si="16"/>
        <v>475.99900000000002</v>
      </c>
      <c r="U50" s="51">
        <f t="shared" si="17"/>
        <v>0.55097600000000002</v>
      </c>
      <c r="V50" s="42">
        <f t="shared" si="18"/>
        <v>0.54425701181080666</v>
      </c>
      <c r="W50" s="49">
        <f t="shared" si="9"/>
        <v>1.2194702108972741E-2</v>
      </c>
    </row>
    <row r="51" spans="2:23" x14ac:dyDescent="0.6">
      <c r="B51" s="2">
        <v>499.83100000000002</v>
      </c>
      <c r="C51" s="1">
        <v>10.2379</v>
      </c>
      <c r="D51" s="2"/>
      <c r="E51" s="1"/>
      <c r="F51" s="2">
        <v>498.33300000000003</v>
      </c>
      <c r="G51" s="1">
        <v>-192.18799999999999</v>
      </c>
      <c r="H51" s="2">
        <v>497.44</v>
      </c>
      <c r="I51" s="1">
        <v>3.1478700000000002</v>
      </c>
      <c r="J51" s="2">
        <v>500.67</v>
      </c>
      <c r="K51" s="1">
        <v>0.599912</v>
      </c>
      <c r="N51" s="3">
        <f t="shared" si="10"/>
        <v>499.83100000000002</v>
      </c>
      <c r="O51" s="21">
        <f t="shared" si="11"/>
        <v>102379</v>
      </c>
      <c r="P51" s="3">
        <f t="shared" si="12"/>
        <v>498.33300000000003</v>
      </c>
      <c r="Q51" s="17">
        <f t="shared" si="13"/>
        <v>-1.9218799999999998E-4</v>
      </c>
      <c r="R51" s="3">
        <f t="shared" si="14"/>
        <v>497.44</v>
      </c>
      <c r="S51" s="24">
        <f t="shared" si="15"/>
        <v>3.1478700000000002</v>
      </c>
      <c r="T51" s="3">
        <f t="shared" si="16"/>
        <v>500.67</v>
      </c>
      <c r="U51" s="51">
        <f t="shared" si="17"/>
        <v>0.599912</v>
      </c>
      <c r="V51" s="42">
        <f t="shared" si="18"/>
        <v>0.60144815720426392</v>
      </c>
      <c r="W51" s="49">
        <f t="shared" si="9"/>
        <v>-2.5606375672830709E-3</v>
      </c>
    </row>
    <row r="52" spans="2:23" x14ac:dyDescent="0.6">
      <c r="B52" s="2">
        <v>525.66600000000005</v>
      </c>
      <c r="C52" s="1">
        <v>10.061500000000001</v>
      </c>
      <c r="D52" s="2"/>
      <c r="E52" s="1"/>
      <c r="F52" s="2">
        <v>523.33299999999997</v>
      </c>
      <c r="G52" s="1">
        <v>-195</v>
      </c>
      <c r="H52" s="2">
        <v>525.62400000000002</v>
      </c>
      <c r="I52" s="1">
        <v>3.11564</v>
      </c>
      <c r="J52" s="2">
        <v>525.34400000000005</v>
      </c>
      <c r="K52" s="1">
        <v>0.65311200000000003</v>
      </c>
      <c r="N52" s="3">
        <f t="shared" si="10"/>
        <v>525.66600000000005</v>
      </c>
      <c r="O52" s="21">
        <f t="shared" si="11"/>
        <v>100615</v>
      </c>
      <c r="P52" s="3">
        <f t="shared" si="12"/>
        <v>523.33299999999997</v>
      </c>
      <c r="Q52" s="17">
        <f t="shared" si="13"/>
        <v>-1.95E-4</v>
      </c>
      <c r="R52" s="3">
        <f t="shared" si="14"/>
        <v>525.62400000000002</v>
      </c>
      <c r="S52" s="24">
        <f t="shared" si="15"/>
        <v>3.11564</v>
      </c>
      <c r="T52" s="3">
        <f t="shared" si="16"/>
        <v>525.34400000000005</v>
      </c>
      <c r="U52" s="51">
        <f t="shared" si="17"/>
        <v>0.65311200000000003</v>
      </c>
      <c r="V52" s="42">
        <f t="shared" si="18"/>
        <v>0.6451021062908423</v>
      </c>
      <c r="W52" s="49">
        <f t="shared" si="9"/>
        <v>1.2264196200893142E-2</v>
      </c>
    </row>
    <row r="53" spans="2:23" x14ac:dyDescent="0.6">
      <c r="B53" s="2">
        <v>551.49800000000005</v>
      </c>
      <c r="C53" s="1">
        <v>9.8500999999999994</v>
      </c>
      <c r="D53" s="2"/>
      <c r="E53" s="1"/>
      <c r="F53" s="2">
        <v>547.5</v>
      </c>
      <c r="G53" s="1">
        <v>-198.75</v>
      </c>
      <c r="H53" s="2">
        <v>549.68799999999999</v>
      </c>
      <c r="I53" s="1">
        <v>3.0671200000000001</v>
      </c>
      <c r="J53" s="2">
        <v>549.22</v>
      </c>
      <c r="K53" s="1">
        <v>0.70205099999999998</v>
      </c>
      <c r="N53" s="3">
        <f t="shared" si="10"/>
        <v>551.49800000000005</v>
      </c>
      <c r="O53" s="21">
        <f t="shared" si="11"/>
        <v>98501</v>
      </c>
      <c r="P53" s="3">
        <f t="shared" si="12"/>
        <v>547.5</v>
      </c>
      <c r="Q53" s="17">
        <f t="shared" si="13"/>
        <v>-1.9874999999999998E-4</v>
      </c>
      <c r="R53" s="3">
        <f t="shared" si="14"/>
        <v>549.68799999999999</v>
      </c>
      <c r="S53" s="24">
        <f t="shared" si="15"/>
        <v>3.0671200000000001</v>
      </c>
      <c r="T53" s="3">
        <f t="shared" si="16"/>
        <v>549.22</v>
      </c>
      <c r="U53" s="51">
        <f t="shared" si="17"/>
        <v>0.70205099999999998</v>
      </c>
      <c r="V53" s="42">
        <f t="shared" si="18"/>
        <v>0.69673959233377925</v>
      </c>
      <c r="W53" s="49">
        <f t="shared" si="9"/>
        <v>7.565558152072621E-3</v>
      </c>
    </row>
    <row r="54" spans="2:23" x14ac:dyDescent="0.6">
      <c r="B54" s="2">
        <v>574.10299999999995</v>
      </c>
      <c r="C54" s="1">
        <v>9.6914099999999994</v>
      </c>
      <c r="D54" s="2"/>
      <c r="E54" s="1"/>
      <c r="F54" s="2">
        <v>570</v>
      </c>
      <c r="G54" s="1">
        <v>-202.5</v>
      </c>
      <c r="H54" s="2">
        <v>575.39599999999996</v>
      </c>
      <c r="I54" s="1">
        <v>3.0278999999999998</v>
      </c>
      <c r="J54" s="2">
        <v>574.69000000000005</v>
      </c>
      <c r="K54" s="1">
        <v>0.75738000000000005</v>
      </c>
      <c r="N54" s="3">
        <f t="shared" si="10"/>
        <v>574.10299999999995</v>
      </c>
      <c r="O54" s="21">
        <f t="shared" si="11"/>
        <v>96914.099999999991</v>
      </c>
      <c r="P54" s="3">
        <f t="shared" si="12"/>
        <v>570</v>
      </c>
      <c r="Q54" s="17">
        <f t="shared" si="13"/>
        <v>-2.0249999999999999E-4</v>
      </c>
      <c r="R54" s="3">
        <f t="shared" si="14"/>
        <v>575.39599999999996</v>
      </c>
      <c r="S54" s="24">
        <f t="shared" si="15"/>
        <v>3.0278999999999998</v>
      </c>
      <c r="T54" s="3">
        <f t="shared" si="16"/>
        <v>574.69000000000005</v>
      </c>
      <c r="U54" s="51">
        <f t="shared" si="17"/>
        <v>0.75738000000000005</v>
      </c>
      <c r="V54" s="42">
        <f t="shared" si="18"/>
        <v>0.75427399404366269</v>
      </c>
      <c r="W54" s="49">
        <f t="shared" si="9"/>
        <v>4.100987557550193E-3</v>
      </c>
    </row>
    <row r="55" spans="2:23" x14ac:dyDescent="0.6">
      <c r="B55" s="2">
        <v>599.13599999999997</v>
      </c>
      <c r="C55" s="1">
        <v>9.5852699999999995</v>
      </c>
      <c r="D55" s="2"/>
      <c r="E55" s="1"/>
      <c r="F55" s="2">
        <v>599.16700000000003</v>
      </c>
      <c r="G55" s="1">
        <v>-206.71899999999999</v>
      </c>
      <c r="H55" s="2">
        <v>601.077</v>
      </c>
      <c r="I55" s="1">
        <v>3.0118900000000002</v>
      </c>
      <c r="J55" s="2">
        <v>600.95399999999995</v>
      </c>
      <c r="K55" s="1">
        <v>0.81057299999999999</v>
      </c>
      <c r="N55" s="3">
        <f t="shared" si="10"/>
        <v>599.13599999999997</v>
      </c>
      <c r="O55" s="21">
        <f t="shared" si="11"/>
        <v>95852.7</v>
      </c>
      <c r="P55" s="3">
        <f t="shared" si="12"/>
        <v>599.16700000000003</v>
      </c>
      <c r="Q55" s="17">
        <f t="shared" si="13"/>
        <v>-2.0671899999999998E-4</v>
      </c>
      <c r="R55" s="3">
        <f t="shared" si="14"/>
        <v>601.077</v>
      </c>
      <c r="S55" s="24">
        <f t="shared" si="15"/>
        <v>3.0118900000000002</v>
      </c>
      <c r="T55" s="3">
        <f t="shared" si="16"/>
        <v>600.95399999999995</v>
      </c>
      <c r="U55" s="51">
        <f t="shared" si="17"/>
        <v>0.81057299999999999</v>
      </c>
      <c r="V55" s="42">
        <f t="shared" si="18"/>
        <v>0.81727321398977215</v>
      </c>
      <c r="W55" s="49">
        <f t="shared" si="9"/>
        <v>-8.2660216782105538E-3</v>
      </c>
    </row>
    <row r="56" spans="2:23" x14ac:dyDescent="0.6">
      <c r="B56" s="2">
        <v>624.16600000000005</v>
      </c>
      <c r="C56" s="1">
        <v>9.4440399999999993</v>
      </c>
      <c r="D56" s="2"/>
      <c r="E56" s="1"/>
      <c r="F56" s="2">
        <v>621.66700000000003</v>
      </c>
      <c r="G56" s="1">
        <v>-210.46899999999999</v>
      </c>
      <c r="H56" s="2">
        <v>625.09199999999998</v>
      </c>
      <c r="I56" s="1">
        <v>3.00515</v>
      </c>
      <c r="J56" s="2">
        <v>623.24800000000005</v>
      </c>
      <c r="K56" s="1">
        <v>0.87231199999999998</v>
      </c>
      <c r="N56" s="3">
        <f t="shared" si="10"/>
        <v>624.16600000000005</v>
      </c>
      <c r="O56" s="21">
        <f t="shared" si="11"/>
        <v>94440.4</v>
      </c>
      <c r="P56" s="3">
        <f t="shared" si="12"/>
        <v>621.66700000000003</v>
      </c>
      <c r="Q56" s="17">
        <f t="shared" si="13"/>
        <v>-2.1046899999999999E-4</v>
      </c>
      <c r="R56" s="3">
        <f t="shared" si="14"/>
        <v>625.09199999999998</v>
      </c>
      <c r="S56" s="24">
        <f t="shared" si="15"/>
        <v>3.00515</v>
      </c>
      <c r="T56" s="3">
        <f t="shared" si="16"/>
        <v>623.24800000000005</v>
      </c>
      <c r="U56" s="51">
        <f t="shared" si="17"/>
        <v>0.87231199999999998</v>
      </c>
      <c r="V56" s="42">
        <f t="shared" si="18"/>
        <v>0.86761855676483834</v>
      </c>
      <c r="W56" s="49">
        <f t="shared" si="9"/>
        <v>5.3804639110337036E-3</v>
      </c>
    </row>
    <row r="57" spans="2:23" x14ac:dyDescent="0.6">
      <c r="B57" s="2">
        <v>650.00900000000001</v>
      </c>
      <c r="C57" s="1">
        <v>9.3729600000000008</v>
      </c>
      <c r="D57" s="2"/>
      <c r="E57" s="1"/>
      <c r="F57" s="2">
        <v>648.33299999999997</v>
      </c>
      <c r="G57" s="1">
        <v>-213.28100000000001</v>
      </c>
      <c r="H57" s="2">
        <v>649.94200000000001</v>
      </c>
      <c r="I57" s="1">
        <v>2.9914499999999999</v>
      </c>
      <c r="J57" s="2">
        <v>648.71299999999997</v>
      </c>
      <c r="K57" s="1">
        <v>0.91911200000000004</v>
      </c>
      <c r="N57" s="3">
        <f t="shared" si="10"/>
        <v>650.00900000000001</v>
      </c>
      <c r="O57" s="21">
        <f t="shared" si="11"/>
        <v>93729.600000000006</v>
      </c>
      <c r="P57" s="3">
        <f t="shared" si="12"/>
        <v>648.33299999999997</v>
      </c>
      <c r="Q57" s="17">
        <f t="shared" si="13"/>
        <v>-2.1328100000000001E-4</v>
      </c>
      <c r="R57" s="3">
        <f t="shared" si="14"/>
        <v>649.94200000000001</v>
      </c>
      <c r="S57" s="24">
        <f t="shared" si="15"/>
        <v>2.9914499999999999</v>
      </c>
      <c r="T57" s="3">
        <f t="shared" si="16"/>
        <v>648.71299999999997</v>
      </c>
      <c r="U57" s="51">
        <f t="shared" si="17"/>
        <v>0.91911200000000004</v>
      </c>
      <c r="V57" s="42">
        <f t="shared" si="18"/>
        <v>0.92459587837364998</v>
      </c>
      <c r="W57" s="49">
        <f t="shared" si="9"/>
        <v>-5.9664963286845804E-3</v>
      </c>
    </row>
    <row r="58" spans="2:23" x14ac:dyDescent="0.6">
      <c r="B58" s="2">
        <v>675.84900000000005</v>
      </c>
      <c r="C58" s="1">
        <v>9.2667900000000003</v>
      </c>
      <c r="D58" s="2"/>
      <c r="E58" s="1"/>
      <c r="F58" s="2">
        <v>674.16700000000003</v>
      </c>
      <c r="G58" s="1">
        <v>-216.797</v>
      </c>
      <c r="H58" s="2">
        <v>674.80100000000004</v>
      </c>
      <c r="I58" s="1">
        <v>2.97079</v>
      </c>
      <c r="J58" s="2">
        <v>675.77700000000004</v>
      </c>
      <c r="K58" s="1">
        <v>0.98082999999999998</v>
      </c>
      <c r="N58" s="3">
        <f t="shared" si="10"/>
        <v>675.84900000000005</v>
      </c>
      <c r="O58" s="21">
        <f t="shared" si="11"/>
        <v>92667.900000000009</v>
      </c>
      <c r="P58" s="3">
        <f t="shared" si="12"/>
        <v>674.16700000000003</v>
      </c>
      <c r="Q58" s="17">
        <f t="shared" si="13"/>
        <v>-2.1679699999999999E-4</v>
      </c>
      <c r="R58" s="3">
        <f t="shared" si="14"/>
        <v>674.80100000000004</v>
      </c>
      <c r="S58" s="24">
        <f t="shared" si="15"/>
        <v>2.97079</v>
      </c>
      <c r="T58" s="3">
        <f t="shared" si="16"/>
        <v>675.77700000000004</v>
      </c>
      <c r="U58" s="51">
        <f t="shared" si="17"/>
        <v>0.98082999999999998</v>
      </c>
      <c r="V58" s="42">
        <f t="shared" si="18"/>
        <v>0.99075736840058315</v>
      </c>
      <c r="W58" s="49">
        <f t="shared" si="9"/>
        <v>-1.0121395553340712E-2</v>
      </c>
    </row>
    <row r="59" spans="2:23" x14ac:dyDescent="0.6">
      <c r="B59" s="2">
        <v>699.26499999999999</v>
      </c>
      <c r="C59" s="1">
        <v>9.14316</v>
      </c>
      <c r="D59" s="2"/>
      <c r="E59" s="1"/>
      <c r="F59" s="2">
        <v>699.16700000000003</v>
      </c>
      <c r="G59" s="1">
        <v>-219.84399999999999</v>
      </c>
      <c r="H59" s="2">
        <v>702.13</v>
      </c>
      <c r="I59" s="1">
        <v>2.9617599999999999</v>
      </c>
      <c r="J59" s="2">
        <v>698.86699999999996</v>
      </c>
      <c r="K59" s="1">
        <v>1.0447</v>
      </c>
      <c r="N59" s="3">
        <f t="shared" si="10"/>
        <v>699.26499999999999</v>
      </c>
      <c r="O59" s="21">
        <f t="shared" si="11"/>
        <v>91431.6</v>
      </c>
      <c r="P59" s="3">
        <f t="shared" si="12"/>
        <v>699.16700000000003</v>
      </c>
      <c r="Q59" s="17">
        <f t="shared" si="13"/>
        <v>-2.1984399999999999E-4</v>
      </c>
      <c r="R59" s="3">
        <f t="shared" si="14"/>
        <v>702.13</v>
      </c>
      <c r="S59" s="24">
        <f t="shared" si="15"/>
        <v>2.9617599999999999</v>
      </c>
      <c r="T59" s="3">
        <f t="shared" si="16"/>
        <v>698.86699999999996</v>
      </c>
      <c r="U59" s="51">
        <f t="shared" si="17"/>
        <v>1.0447</v>
      </c>
      <c r="V59" s="42">
        <f t="shared" si="18"/>
        <v>1.0427260531364222</v>
      </c>
      <c r="W59" s="49">
        <f t="shared" si="9"/>
        <v>1.8894868034629742E-3</v>
      </c>
    </row>
    <row r="60" spans="2:23" x14ac:dyDescent="0.6">
      <c r="B60" s="2">
        <v>725.91899999999998</v>
      </c>
      <c r="C60" s="1">
        <v>9.1246799999999997</v>
      </c>
      <c r="D60" s="2"/>
      <c r="E60" s="1"/>
      <c r="F60" s="2">
        <v>725</v>
      </c>
      <c r="G60" s="1">
        <v>-222.18799999999999</v>
      </c>
      <c r="H60" s="2">
        <v>726.12199999999996</v>
      </c>
      <c r="I60" s="1">
        <v>2.9735900000000002</v>
      </c>
      <c r="J60" s="2">
        <v>724.33299999999997</v>
      </c>
      <c r="K60" s="1">
        <v>1.0936300000000001</v>
      </c>
      <c r="N60" s="3">
        <f t="shared" si="10"/>
        <v>725.91899999999998</v>
      </c>
      <c r="O60" s="21">
        <f t="shared" si="11"/>
        <v>91246.8</v>
      </c>
      <c r="P60" s="3">
        <f t="shared" si="12"/>
        <v>725</v>
      </c>
      <c r="Q60" s="17">
        <f t="shared" si="13"/>
        <v>-2.2218799999999998E-4</v>
      </c>
      <c r="R60" s="3">
        <f t="shared" si="14"/>
        <v>726.12199999999996</v>
      </c>
      <c r="S60" s="24">
        <f t="shared" si="15"/>
        <v>2.9735900000000002</v>
      </c>
      <c r="T60" s="3">
        <f t="shared" si="16"/>
        <v>724.33299999999997</v>
      </c>
      <c r="U60" s="51">
        <f t="shared" si="17"/>
        <v>1.0936300000000001</v>
      </c>
      <c r="V60" s="42">
        <f t="shared" si="18"/>
        <v>1.0972763692554659</v>
      </c>
      <c r="W60" s="49">
        <f t="shared" si="9"/>
        <v>-3.3341891274615708E-3</v>
      </c>
    </row>
    <row r="61" spans="2:23" x14ac:dyDescent="0.6">
      <c r="B61" s="2">
        <v>752.56299999999999</v>
      </c>
      <c r="C61" s="1">
        <v>8.9658499999999997</v>
      </c>
      <c r="D61" s="2"/>
      <c r="E61" s="1"/>
      <c r="F61" s="2">
        <v>747.5</v>
      </c>
      <c r="G61" s="1">
        <v>-222.422</v>
      </c>
      <c r="H61" s="2">
        <v>750.101</v>
      </c>
      <c r="I61" s="1">
        <v>2.9970300000000001</v>
      </c>
      <c r="J61" s="2">
        <v>750.577</v>
      </c>
      <c r="K61" s="1">
        <v>1.1127100000000001</v>
      </c>
      <c r="N61" s="3">
        <f t="shared" si="10"/>
        <v>752.56299999999999</v>
      </c>
      <c r="O61" s="21">
        <f t="shared" si="11"/>
        <v>89658.5</v>
      </c>
      <c r="P61" s="3">
        <f t="shared" si="12"/>
        <v>747.5</v>
      </c>
      <c r="Q61" s="17">
        <f t="shared" si="13"/>
        <v>-2.2242199999999998E-4</v>
      </c>
      <c r="R61" s="3">
        <f t="shared" si="14"/>
        <v>750.101</v>
      </c>
      <c r="S61" s="24">
        <f t="shared" si="15"/>
        <v>2.9970300000000001</v>
      </c>
      <c r="T61" s="3">
        <f t="shared" si="16"/>
        <v>750.577</v>
      </c>
      <c r="U61" s="51">
        <f t="shared" si="17"/>
        <v>1.1127100000000001</v>
      </c>
      <c r="V61" s="42">
        <f t="shared" si="18"/>
        <v>1.1108389873213957</v>
      </c>
      <c r="W61" s="49">
        <f t="shared" si="9"/>
        <v>1.6814917441241154E-3</v>
      </c>
    </row>
    <row r="62" spans="2:23" x14ac:dyDescent="0.6">
      <c r="B62" s="2">
        <v>776.79300000000001</v>
      </c>
      <c r="C62" s="1">
        <v>8.9299099999999996</v>
      </c>
      <c r="D62" s="2"/>
      <c r="E62" s="1"/>
      <c r="F62" s="2">
        <v>775</v>
      </c>
      <c r="G62" s="1">
        <v>-222.18799999999999</v>
      </c>
      <c r="H62" s="2">
        <v>777.375</v>
      </c>
      <c r="I62" s="1">
        <v>3.0344199999999999</v>
      </c>
      <c r="J62" s="2">
        <v>775.22299999999996</v>
      </c>
      <c r="K62" s="1">
        <v>1.119</v>
      </c>
      <c r="N62" s="3">
        <f t="shared" si="10"/>
        <v>776.79300000000001</v>
      </c>
      <c r="O62" s="21">
        <f t="shared" si="11"/>
        <v>89299.099999999991</v>
      </c>
      <c r="P62" s="3">
        <f t="shared" si="12"/>
        <v>775</v>
      </c>
      <c r="Q62" s="17">
        <f t="shared" si="13"/>
        <v>-2.2218799999999998E-4</v>
      </c>
      <c r="R62" s="3">
        <f t="shared" si="14"/>
        <v>777.375</v>
      </c>
      <c r="S62" s="24">
        <f t="shared" si="15"/>
        <v>3.0344199999999999</v>
      </c>
      <c r="T62" s="3">
        <f t="shared" si="16"/>
        <v>775.22299999999996</v>
      </c>
      <c r="U62" s="51">
        <f t="shared" si="17"/>
        <v>1.119</v>
      </c>
      <c r="V62" s="42">
        <f t="shared" si="18"/>
        <v>1.126261499848388</v>
      </c>
      <c r="W62" s="49">
        <f t="shared" si="9"/>
        <v>-6.4892760039213368E-3</v>
      </c>
    </row>
    <row r="63" spans="2:23" x14ac:dyDescent="0.6">
      <c r="B63" s="28">
        <v>800.20699999999999</v>
      </c>
      <c r="C63" s="29">
        <v>8.7887400000000007</v>
      </c>
      <c r="D63" s="28"/>
      <c r="E63" s="29"/>
      <c r="F63" s="28">
        <v>796.66700000000003</v>
      </c>
      <c r="G63" s="29">
        <v>-222.18799999999999</v>
      </c>
      <c r="H63" s="28">
        <v>799.66</v>
      </c>
      <c r="I63" s="29">
        <v>3.0903299999999998</v>
      </c>
      <c r="J63" s="28">
        <v>796.68399999999997</v>
      </c>
      <c r="K63" s="29">
        <v>1.1167800000000001</v>
      </c>
      <c r="N63" s="32">
        <f t="shared" si="10"/>
        <v>800.20699999999999</v>
      </c>
      <c r="O63" s="21">
        <f t="shared" si="11"/>
        <v>87887.400000000009</v>
      </c>
      <c r="P63" s="32">
        <f t="shared" si="12"/>
        <v>796.66700000000003</v>
      </c>
      <c r="Q63" s="34">
        <f t="shared" si="13"/>
        <v>-2.2218799999999998E-4</v>
      </c>
      <c r="R63" s="32">
        <f t="shared" si="14"/>
        <v>799.66</v>
      </c>
      <c r="S63" s="35">
        <f t="shared" si="15"/>
        <v>3.0903299999999998</v>
      </c>
      <c r="T63" s="32">
        <f t="shared" si="16"/>
        <v>796.68399999999997</v>
      </c>
      <c r="U63" s="52">
        <f t="shared" si="17"/>
        <v>1.1167800000000001</v>
      </c>
      <c r="V63" s="42">
        <f t="shared" si="18"/>
        <v>1.1185336489280737</v>
      </c>
      <c r="W63" s="49">
        <f t="shared" si="9"/>
        <v>-1.5702725049460183E-3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1"/>
  </sheetPr>
  <dimension ref="A1:W3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46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295.78425294482298</v>
      </c>
      <c r="C9" s="4">
        <v>75279.329608938497</v>
      </c>
      <c r="D9" s="3"/>
      <c r="E9" s="4"/>
      <c r="F9" s="3">
        <v>295.93544530782998</v>
      </c>
      <c r="G9" s="4">
        <v>89.409090909090907</v>
      </c>
      <c r="H9" s="3">
        <v>295.66326530612201</v>
      </c>
      <c r="I9" s="4">
        <v>2.44220665499124</v>
      </c>
      <c r="J9" s="3">
        <v>295.46809779367902</v>
      </c>
      <c r="K9" s="4">
        <v>7.3967828418230394E-2</v>
      </c>
      <c r="N9" s="3">
        <f>B9</f>
        <v>295.78425294482298</v>
      </c>
      <c r="O9" s="21">
        <f>C9</f>
        <v>75279.329608938497</v>
      </c>
      <c r="P9" s="3">
        <f>F9</f>
        <v>295.93544530782998</v>
      </c>
      <c r="Q9" s="17">
        <f>G9*(10^(-6))</f>
        <v>8.9409090909090908E-5</v>
      </c>
      <c r="R9" s="3">
        <f>H9</f>
        <v>295.66326530612201</v>
      </c>
      <c r="S9" s="24">
        <f>I9</f>
        <v>2.44220665499124</v>
      </c>
      <c r="T9" s="3">
        <f>J9</f>
        <v>295.46809779367902</v>
      </c>
      <c r="U9" s="51">
        <f>K9</f>
        <v>7.3967828418230394E-2</v>
      </c>
      <c r="V9" s="42">
        <f>((O9*(Q9)^2)/S9)*T9</f>
        <v>7.2806019378206063E-2</v>
      </c>
      <c r="W9" s="49">
        <f t="shared" ref="W9" si="0">(U9-V9)/U9</f>
        <v>1.5706950776697225E-2</v>
      </c>
    </row>
    <row r="10" spans="1:23" x14ac:dyDescent="0.6">
      <c r="B10" s="3">
        <v>326.78239305641603</v>
      </c>
      <c r="C10" s="4">
        <v>73603.351955307196</v>
      </c>
      <c r="D10" s="3"/>
      <c r="E10" s="4"/>
      <c r="F10" s="3">
        <v>327.01733413030399</v>
      </c>
      <c r="G10" s="4">
        <v>90.628787878787804</v>
      </c>
      <c r="H10" s="3">
        <v>327.04081632652998</v>
      </c>
      <c r="I10" s="4">
        <v>2.4185639229421998</v>
      </c>
      <c r="J10" s="3">
        <v>326.475849731663</v>
      </c>
      <c r="K10" s="4">
        <v>8.2412868632707595E-2</v>
      </c>
      <c r="N10" s="3">
        <f t="shared" ref="N10:N18" si="1">B10</f>
        <v>326.78239305641603</v>
      </c>
      <c r="O10" s="21">
        <f t="shared" ref="O10:O18" si="2">C10</f>
        <v>73603.351955307196</v>
      </c>
      <c r="P10" s="3">
        <f t="shared" ref="P10:P18" si="3">F10</f>
        <v>327.01733413030399</v>
      </c>
      <c r="Q10" s="17">
        <f t="shared" ref="Q10:Q18" si="4">G10*(10^(-6))</f>
        <v>9.0628787878787806E-5</v>
      </c>
      <c r="R10" s="3">
        <f t="shared" ref="R10:U19" si="5">H10</f>
        <v>327.04081632652998</v>
      </c>
      <c r="S10" s="24">
        <f t="shared" si="5"/>
        <v>2.4185639229421998</v>
      </c>
      <c r="T10" s="3">
        <f t="shared" si="5"/>
        <v>326.475849731663</v>
      </c>
      <c r="U10" s="51">
        <f t="shared" si="5"/>
        <v>8.2412868632707595E-2</v>
      </c>
      <c r="V10" s="42">
        <f t="shared" ref="V10:V18" si="6">((O10*(Q10)^2)/S10)*T10</f>
        <v>8.1606250954441364E-2</v>
      </c>
      <c r="W10" s="49">
        <f t="shared" ref="W10:W18" si="7">(U10-V10)/U10</f>
        <v>9.7875209496845993E-3</v>
      </c>
    </row>
    <row r="11" spans="1:23" x14ac:dyDescent="0.6">
      <c r="B11" s="2">
        <v>375.88344699317997</v>
      </c>
      <c r="C11" s="1">
        <v>73324.0223463687</v>
      </c>
      <c r="D11" s="2"/>
      <c r="E11" s="1"/>
      <c r="F11" s="2">
        <v>376.03108188882197</v>
      </c>
      <c r="G11" s="1">
        <v>98.265151515151501</v>
      </c>
      <c r="H11" s="2">
        <v>375.76530612244898</v>
      </c>
      <c r="I11" s="1">
        <v>2.3739054290718</v>
      </c>
      <c r="J11" s="2">
        <v>375.61121049493102</v>
      </c>
      <c r="K11" s="1">
        <v>0.113190348525469</v>
      </c>
      <c r="N11" s="3">
        <f t="shared" si="1"/>
        <v>375.88344699317997</v>
      </c>
      <c r="O11" s="21">
        <f t="shared" si="2"/>
        <v>73324.0223463687</v>
      </c>
      <c r="P11" s="3">
        <f t="shared" si="3"/>
        <v>376.03108188882197</v>
      </c>
      <c r="Q11" s="17">
        <f t="shared" si="4"/>
        <v>9.8265151515151495E-5</v>
      </c>
      <c r="R11" s="3">
        <f t="shared" si="5"/>
        <v>375.76530612244898</v>
      </c>
      <c r="S11" s="24">
        <f t="shared" si="5"/>
        <v>2.3739054290718</v>
      </c>
      <c r="T11" s="3">
        <f t="shared" si="5"/>
        <v>375.61121049493102</v>
      </c>
      <c r="U11" s="51">
        <f t="shared" si="5"/>
        <v>0.113190348525469</v>
      </c>
      <c r="V11" s="42">
        <f t="shared" si="6"/>
        <v>0.11202642306208641</v>
      </c>
      <c r="W11" s="49">
        <f t="shared" si="7"/>
        <v>1.0282903785923914E-2</v>
      </c>
    </row>
    <row r="12" spans="1:23" x14ac:dyDescent="0.6">
      <c r="B12" s="2">
        <v>432.67203967761901</v>
      </c>
      <c r="C12" s="1">
        <v>70977.653631284906</v>
      </c>
      <c r="D12" s="2"/>
      <c r="E12" s="1"/>
      <c r="F12" s="2">
        <v>432.93484757919902</v>
      </c>
      <c r="G12" s="1">
        <v>108.12878787878699</v>
      </c>
      <c r="H12" s="2">
        <v>432.65306122448902</v>
      </c>
      <c r="I12" s="1">
        <v>2.4737302977232898</v>
      </c>
      <c r="J12" s="2">
        <v>432.61776982707198</v>
      </c>
      <c r="K12" s="1">
        <v>0.14340482573726501</v>
      </c>
      <c r="N12" s="3">
        <f t="shared" si="1"/>
        <v>432.67203967761901</v>
      </c>
      <c r="O12" s="21">
        <f t="shared" si="2"/>
        <v>70977.653631284906</v>
      </c>
      <c r="P12" s="3">
        <f t="shared" si="3"/>
        <v>432.93484757919902</v>
      </c>
      <c r="Q12" s="17">
        <f t="shared" si="4"/>
        <v>1.0812878787878698E-4</v>
      </c>
      <c r="R12" s="3">
        <f t="shared" si="5"/>
        <v>432.65306122448902</v>
      </c>
      <c r="S12" s="24">
        <f t="shared" si="5"/>
        <v>2.4737302977232898</v>
      </c>
      <c r="T12" s="3">
        <f t="shared" si="5"/>
        <v>432.61776982707198</v>
      </c>
      <c r="U12" s="51">
        <f t="shared" si="5"/>
        <v>0.14340482573726501</v>
      </c>
      <c r="V12" s="42">
        <f t="shared" si="6"/>
        <v>0.14512970533884409</v>
      </c>
      <c r="W12" s="49">
        <f t="shared" si="7"/>
        <v>-1.2028044333314591E-2</v>
      </c>
    </row>
    <row r="13" spans="1:23" x14ac:dyDescent="0.6">
      <c r="B13" s="2">
        <v>476.81339119652802</v>
      </c>
      <c r="C13" s="1">
        <v>69972.067039106099</v>
      </c>
      <c r="D13" s="2"/>
      <c r="E13" s="1"/>
      <c r="F13" s="2">
        <v>476.92767483562398</v>
      </c>
      <c r="G13" s="1">
        <v>118.09848484848401</v>
      </c>
      <c r="H13" s="2">
        <v>476.78571428571399</v>
      </c>
      <c r="I13" s="1">
        <v>2.6838879159369502</v>
      </c>
      <c r="J13" s="2">
        <v>476.744186046511</v>
      </c>
      <c r="K13" s="1">
        <v>0.17493297587131301</v>
      </c>
      <c r="N13" s="3">
        <f t="shared" si="1"/>
        <v>476.81339119652802</v>
      </c>
      <c r="O13" s="21">
        <f t="shared" si="2"/>
        <v>69972.067039106099</v>
      </c>
      <c r="P13" s="3">
        <f t="shared" si="3"/>
        <v>476.92767483562398</v>
      </c>
      <c r="Q13" s="17">
        <f t="shared" si="4"/>
        <v>1.18098484848484E-4</v>
      </c>
      <c r="R13" s="3">
        <f t="shared" si="5"/>
        <v>476.78571428571399</v>
      </c>
      <c r="S13" s="24">
        <f t="shared" si="5"/>
        <v>2.6838879159369502</v>
      </c>
      <c r="T13" s="3">
        <f t="shared" si="5"/>
        <v>476.744186046511</v>
      </c>
      <c r="U13" s="51">
        <f t="shared" si="5"/>
        <v>0.17493297587131301</v>
      </c>
      <c r="V13" s="42">
        <f t="shared" si="6"/>
        <v>0.17335420703854823</v>
      </c>
      <c r="W13" s="49">
        <f t="shared" si="7"/>
        <v>9.0249927145021596E-3</v>
      </c>
    </row>
    <row r="14" spans="1:23" x14ac:dyDescent="0.6">
      <c r="B14" s="2">
        <v>523.93056416615002</v>
      </c>
      <c r="C14" s="1">
        <v>68770.949720670294</v>
      </c>
      <c r="D14" s="2"/>
      <c r="E14" s="1"/>
      <c r="F14" s="2">
        <v>524.02869097429698</v>
      </c>
      <c r="G14" s="1">
        <v>127.113636363636</v>
      </c>
      <c r="H14" s="2">
        <v>523.72448979591798</v>
      </c>
      <c r="I14" s="1">
        <v>2.59982486865148</v>
      </c>
      <c r="J14" s="2">
        <v>523.73285629099496</v>
      </c>
      <c r="K14" s="1">
        <v>0.22485254691688999</v>
      </c>
      <c r="N14" s="3">
        <f t="shared" si="1"/>
        <v>523.93056416615002</v>
      </c>
      <c r="O14" s="21">
        <f t="shared" si="2"/>
        <v>68770.949720670294</v>
      </c>
      <c r="P14" s="3">
        <f t="shared" si="3"/>
        <v>524.02869097429698</v>
      </c>
      <c r="Q14" s="17">
        <f t="shared" si="4"/>
        <v>1.2711363636363601E-4</v>
      </c>
      <c r="R14" s="3">
        <f t="shared" si="5"/>
        <v>523.72448979591798</v>
      </c>
      <c r="S14" s="24">
        <f t="shared" si="5"/>
        <v>2.59982486865148</v>
      </c>
      <c r="T14" s="3">
        <f t="shared" si="5"/>
        <v>523.73285629099496</v>
      </c>
      <c r="U14" s="51">
        <f t="shared" si="5"/>
        <v>0.22485254691688999</v>
      </c>
      <c r="V14" s="42">
        <f t="shared" si="6"/>
        <v>0.22384893582574947</v>
      </c>
      <c r="W14" s="49">
        <f t="shared" si="7"/>
        <v>4.4634188267010464E-3</v>
      </c>
    </row>
    <row r="15" spans="1:23" x14ac:dyDescent="0.6">
      <c r="B15" s="2">
        <v>572.783632982021</v>
      </c>
      <c r="C15" s="1">
        <v>67988.826815642402</v>
      </c>
      <c r="D15" s="2"/>
      <c r="E15" s="1"/>
      <c r="F15" s="2">
        <v>572.80334728033404</v>
      </c>
      <c r="G15" s="1">
        <v>132.15151515151501</v>
      </c>
      <c r="H15" s="2">
        <v>572.95918367346906</v>
      </c>
      <c r="I15" s="1">
        <v>2.7495621716287202</v>
      </c>
      <c r="J15" s="2">
        <v>572.86821705426303</v>
      </c>
      <c r="K15" s="1">
        <v>0.248498659517426</v>
      </c>
      <c r="N15" s="3">
        <f t="shared" si="1"/>
        <v>572.783632982021</v>
      </c>
      <c r="O15" s="21">
        <f t="shared" si="2"/>
        <v>67988.826815642402</v>
      </c>
      <c r="P15" s="3">
        <f t="shared" si="3"/>
        <v>572.80334728033404</v>
      </c>
      <c r="Q15" s="17">
        <f t="shared" si="4"/>
        <v>1.3215151515151501E-4</v>
      </c>
      <c r="R15" s="3">
        <f t="shared" si="5"/>
        <v>572.95918367346906</v>
      </c>
      <c r="S15" s="24">
        <f t="shared" si="5"/>
        <v>2.7495621716287202</v>
      </c>
      <c r="T15" s="3">
        <f t="shared" si="5"/>
        <v>572.86821705426303</v>
      </c>
      <c r="U15" s="51">
        <f t="shared" si="5"/>
        <v>0.248498659517426</v>
      </c>
      <c r="V15" s="42">
        <f t="shared" si="6"/>
        <v>0.247384807350221</v>
      </c>
      <c r="W15" s="49">
        <f t="shared" si="7"/>
        <v>4.4823266627194392E-3</v>
      </c>
    </row>
    <row r="16" spans="1:23" x14ac:dyDescent="0.6">
      <c r="B16" s="2">
        <v>626.84438933663898</v>
      </c>
      <c r="C16" s="1">
        <v>67067.039106145196</v>
      </c>
      <c r="D16" s="2"/>
      <c r="E16" s="1"/>
      <c r="F16" s="2">
        <v>626.83801554094396</v>
      </c>
      <c r="G16" s="1">
        <v>137.083333333333</v>
      </c>
      <c r="H16" s="2">
        <v>627.04081632653003</v>
      </c>
      <c r="I16" s="1">
        <v>2.6838879159369502</v>
      </c>
      <c r="J16" s="2">
        <v>627.01252236135895</v>
      </c>
      <c r="K16" s="1">
        <v>0.29428954423592402</v>
      </c>
      <c r="N16" s="3">
        <f t="shared" si="1"/>
        <v>626.84438933663898</v>
      </c>
      <c r="O16" s="21">
        <f t="shared" si="2"/>
        <v>67067.039106145196</v>
      </c>
      <c r="P16" s="3">
        <f t="shared" si="3"/>
        <v>626.83801554094396</v>
      </c>
      <c r="Q16" s="17">
        <f t="shared" si="4"/>
        <v>1.37083333333333E-4</v>
      </c>
      <c r="R16" s="3">
        <f t="shared" si="5"/>
        <v>627.04081632653003</v>
      </c>
      <c r="S16" s="24">
        <f t="shared" si="5"/>
        <v>2.6838879159369502</v>
      </c>
      <c r="T16" s="3">
        <f t="shared" si="5"/>
        <v>627.01252236135895</v>
      </c>
      <c r="U16" s="51">
        <f t="shared" si="5"/>
        <v>0.29428954423592402</v>
      </c>
      <c r="V16" s="42">
        <f t="shared" si="6"/>
        <v>0.29443557714106067</v>
      </c>
      <c r="W16" s="49">
        <f t="shared" si="7"/>
        <v>-4.9622186039875E-4</v>
      </c>
    </row>
    <row r="17" spans="2:23" x14ac:dyDescent="0.6">
      <c r="B17" s="2">
        <v>674.95350278983199</v>
      </c>
      <c r="C17" s="1">
        <v>66256.983240223402</v>
      </c>
      <c r="D17" s="2"/>
      <c r="E17" s="1"/>
      <c r="F17" s="2">
        <v>674.89539748953905</v>
      </c>
      <c r="G17" s="1">
        <v>140.15909090909</v>
      </c>
      <c r="H17" s="2">
        <v>675</v>
      </c>
      <c r="I17" s="1">
        <v>2.8625218914185599</v>
      </c>
      <c r="J17" s="2">
        <v>674.95527728085801</v>
      </c>
      <c r="K17" s="1">
        <v>0.30798927613941002</v>
      </c>
      <c r="N17" s="3">
        <f t="shared" si="1"/>
        <v>674.95350278983199</v>
      </c>
      <c r="O17" s="21">
        <f t="shared" si="2"/>
        <v>66256.983240223402</v>
      </c>
      <c r="P17" s="3">
        <f t="shared" si="3"/>
        <v>674.89539748953905</v>
      </c>
      <c r="Q17" s="17">
        <f t="shared" si="4"/>
        <v>1.4015909090908999E-4</v>
      </c>
      <c r="R17" s="3">
        <f t="shared" si="5"/>
        <v>675</v>
      </c>
      <c r="S17" s="24">
        <f t="shared" si="5"/>
        <v>2.8625218914185599</v>
      </c>
      <c r="T17" s="3">
        <f t="shared" si="5"/>
        <v>674.95527728085801</v>
      </c>
      <c r="U17" s="51">
        <f t="shared" si="5"/>
        <v>0.30798927613941002</v>
      </c>
      <c r="V17" s="42">
        <f t="shared" si="6"/>
        <v>0.30690246919122099</v>
      </c>
      <c r="W17" s="49">
        <f t="shared" si="7"/>
        <v>3.5287168495343473E-3</v>
      </c>
    </row>
    <row r="18" spans="2:23" x14ac:dyDescent="0.6">
      <c r="B18" s="2">
        <v>727.77433353998697</v>
      </c>
      <c r="C18" s="1">
        <v>65921.787709497206</v>
      </c>
      <c r="D18" s="2"/>
      <c r="E18" s="1"/>
      <c r="F18" s="2">
        <v>727.73460848774596</v>
      </c>
      <c r="G18" s="1">
        <v>140.95454545454501</v>
      </c>
      <c r="H18" s="2">
        <v>728.06122448979602</v>
      </c>
      <c r="I18" s="1">
        <v>2.9807355516637402</v>
      </c>
      <c r="J18" s="2">
        <v>727.90697674418595</v>
      </c>
      <c r="K18" s="1">
        <v>0.32</v>
      </c>
      <c r="N18" s="3">
        <f t="shared" si="1"/>
        <v>727.77433353998697</v>
      </c>
      <c r="O18" s="21">
        <f t="shared" si="2"/>
        <v>65921.787709497206</v>
      </c>
      <c r="P18" s="3">
        <f t="shared" si="3"/>
        <v>727.73460848774596</v>
      </c>
      <c r="Q18" s="17">
        <f t="shared" si="4"/>
        <v>1.4095454545454499E-4</v>
      </c>
      <c r="R18" s="3">
        <f t="shared" si="5"/>
        <v>728.06122448979602</v>
      </c>
      <c r="S18" s="24">
        <f t="shared" si="5"/>
        <v>2.9807355516637402</v>
      </c>
      <c r="T18" s="3">
        <f t="shared" si="5"/>
        <v>727.90697674418595</v>
      </c>
      <c r="U18" s="51">
        <f t="shared" si="5"/>
        <v>0.32</v>
      </c>
      <c r="V18" s="42">
        <f t="shared" si="6"/>
        <v>0.31984501152851103</v>
      </c>
      <c r="W18" s="49">
        <f t="shared" si="7"/>
        <v>4.8433897340306731E-4</v>
      </c>
    </row>
    <row r="19" spans="2:23" x14ac:dyDescent="0.6">
      <c r="B19" s="28"/>
      <c r="C19" s="29"/>
      <c r="D19" s="28"/>
      <c r="E19" s="29"/>
      <c r="F19" s="28"/>
      <c r="G19" s="29"/>
      <c r="H19" s="28">
        <v>773.72448979591798</v>
      </c>
      <c r="I19" s="29">
        <v>3.2828371278458799</v>
      </c>
      <c r="J19" s="28"/>
      <c r="K19" s="29"/>
      <c r="N19" s="32"/>
      <c r="O19" s="33"/>
      <c r="P19" s="32"/>
      <c r="Q19" s="34"/>
      <c r="R19" s="32">
        <f t="shared" si="5"/>
        <v>773.72448979591798</v>
      </c>
      <c r="S19" s="35">
        <f t="shared" si="5"/>
        <v>3.2828371278458799</v>
      </c>
      <c r="T19" s="32"/>
      <c r="U19" s="35"/>
      <c r="V19"/>
    </row>
    <row r="20" spans="2:23" x14ac:dyDescent="0.6">
      <c r="B20" s="30"/>
      <c r="C20" s="30"/>
      <c r="D20" s="30"/>
      <c r="E20" s="30"/>
      <c r="F20" s="30"/>
      <c r="G20" s="30"/>
      <c r="H20" s="30"/>
      <c r="I20" s="30"/>
      <c r="J20" s="30"/>
      <c r="K20" s="30"/>
      <c r="N20" s="30"/>
      <c r="O20" s="39"/>
      <c r="P20" s="30"/>
      <c r="Q20" s="40"/>
      <c r="R20" s="30"/>
      <c r="S20" s="41"/>
      <c r="T20" s="30"/>
      <c r="U20" s="41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ht="17.25" thickBot="1" x14ac:dyDescent="0.65">
      <c r="B24" s="31" t="s">
        <v>79</v>
      </c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5</v>
      </c>
      <c r="D26" s="11" t="s">
        <v>4</v>
      </c>
      <c r="E26" s="10" t="s">
        <v>11</v>
      </c>
      <c r="F26" s="11" t="s">
        <v>4</v>
      </c>
      <c r="G26" s="27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295.69</v>
      </c>
      <c r="C27" s="4">
        <v>74910.7</v>
      </c>
      <c r="D27" s="3"/>
      <c r="E27" s="4"/>
      <c r="F27" s="3">
        <v>296.00099999999998</v>
      </c>
      <c r="G27" s="4">
        <v>89.430700000000002</v>
      </c>
      <c r="H27" s="3">
        <v>296.87099999999998</v>
      </c>
      <c r="I27" s="4">
        <v>2.43221</v>
      </c>
      <c r="J27" s="3">
        <v>294.61599999999999</v>
      </c>
      <c r="K27" s="4">
        <v>7.5792499999999999E-2</v>
      </c>
      <c r="N27" s="3">
        <f>B27</f>
        <v>295.69</v>
      </c>
      <c r="O27" s="21">
        <f>C27</f>
        <v>74910.7</v>
      </c>
      <c r="P27" s="3">
        <f>F27</f>
        <v>296.00099999999998</v>
      </c>
      <c r="Q27" s="17">
        <f>G27*0.000001</f>
        <v>8.9430699999999997E-5</v>
      </c>
      <c r="R27" s="3">
        <f>H27</f>
        <v>296.87099999999998</v>
      </c>
      <c r="S27" s="24">
        <f>I27</f>
        <v>2.43221</v>
      </c>
      <c r="T27" s="3">
        <f>J27</f>
        <v>294.61599999999999</v>
      </c>
      <c r="U27" s="51">
        <f>K27</f>
        <v>7.5792499999999999E-2</v>
      </c>
      <c r="V27" s="42">
        <f>((O27*(Q27)^2)/S27)*T27</f>
        <v>7.2572548557214206E-2</v>
      </c>
      <c r="W27" s="49">
        <f t="shared" ref="W27:W36" si="8">(U27-V27)/U27</f>
        <v>4.2483774024946963E-2</v>
      </c>
    </row>
    <row r="28" spans="2:23" x14ac:dyDescent="0.6">
      <c r="B28" s="3">
        <v>325.86200000000002</v>
      </c>
      <c r="C28" s="4">
        <v>73303.600000000006</v>
      </c>
      <c r="D28" s="3"/>
      <c r="E28" s="4"/>
      <c r="F28" s="3">
        <v>326.80099999999999</v>
      </c>
      <c r="G28" s="4">
        <v>90.058199999999999</v>
      </c>
      <c r="H28" s="3">
        <v>326.90100000000001</v>
      </c>
      <c r="I28" s="4">
        <v>2.4331399999999999</v>
      </c>
      <c r="J28" s="3">
        <v>326.76600000000002</v>
      </c>
      <c r="K28" s="4">
        <v>8.3393300000000004E-2</v>
      </c>
      <c r="N28" s="3">
        <f t="shared" ref="N28:N36" si="9">B28</f>
        <v>325.86200000000002</v>
      </c>
      <c r="O28" s="21">
        <f t="shared" ref="O28:O36" si="10">C28</f>
        <v>73303.600000000006</v>
      </c>
      <c r="P28" s="3">
        <f t="shared" ref="P28:P36" si="11">F28</f>
        <v>326.80099999999999</v>
      </c>
      <c r="Q28" s="17">
        <f t="shared" ref="Q28:Q36" si="12">G28*0.000001</f>
        <v>9.0058199999999998E-5</v>
      </c>
      <c r="R28" s="3">
        <f t="shared" ref="R28:R37" si="13">H28</f>
        <v>326.90100000000001</v>
      </c>
      <c r="S28" s="24">
        <f t="shared" ref="S28:S37" si="14">I28</f>
        <v>2.4331399999999999</v>
      </c>
      <c r="T28" s="3">
        <f t="shared" ref="T28:T36" si="15">J28</f>
        <v>326.76600000000002</v>
      </c>
      <c r="U28" s="51">
        <f t="shared" ref="U28:U36" si="16">K28</f>
        <v>8.3393300000000004E-2</v>
      </c>
      <c r="V28" s="42">
        <f t="shared" ref="V28:V36" si="17">((O28*(Q28)^2)/S28)*T28</f>
        <v>7.9843872420088974E-2</v>
      </c>
      <c r="W28" s="49">
        <f t="shared" si="8"/>
        <v>4.2562502981786661E-2</v>
      </c>
    </row>
    <row r="29" spans="2:23" x14ac:dyDescent="0.6">
      <c r="B29" s="2">
        <v>377.58600000000001</v>
      </c>
      <c r="C29" s="1">
        <v>73464.3</v>
      </c>
      <c r="D29" s="2"/>
      <c r="E29" s="1"/>
      <c r="F29" s="2">
        <v>376.762</v>
      </c>
      <c r="G29" s="1">
        <v>98.119399999999999</v>
      </c>
      <c r="H29" s="2">
        <v>374.96199999999999</v>
      </c>
      <c r="I29" s="1">
        <v>2.3884599999999998</v>
      </c>
      <c r="J29" s="2">
        <v>377.15100000000001</v>
      </c>
      <c r="K29" s="1">
        <v>0.112872</v>
      </c>
      <c r="N29" s="3">
        <f t="shared" si="9"/>
        <v>377.58600000000001</v>
      </c>
      <c r="O29" s="21">
        <f t="shared" si="10"/>
        <v>73464.3</v>
      </c>
      <c r="P29" s="3">
        <f t="shared" si="11"/>
        <v>376.762</v>
      </c>
      <c r="Q29" s="17">
        <f t="shared" si="12"/>
        <v>9.8119400000000001E-5</v>
      </c>
      <c r="R29" s="3">
        <f t="shared" si="13"/>
        <v>374.96199999999999</v>
      </c>
      <c r="S29" s="24">
        <f t="shared" si="14"/>
        <v>2.3884599999999998</v>
      </c>
      <c r="T29" s="3">
        <f t="shared" si="15"/>
        <v>377.15100000000001</v>
      </c>
      <c r="U29" s="51">
        <f t="shared" si="16"/>
        <v>0.112872</v>
      </c>
      <c r="V29" s="42">
        <f t="shared" si="17"/>
        <v>0.11168205680087455</v>
      </c>
      <c r="W29" s="49">
        <f t="shared" si="8"/>
        <v>1.0542412636663221E-2</v>
      </c>
    </row>
    <row r="30" spans="2:23" x14ac:dyDescent="0.6">
      <c r="B30" s="2">
        <v>435.05700000000002</v>
      </c>
      <c r="C30" s="1">
        <v>70892.899999999994</v>
      </c>
      <c r="D30" s="2"/>
      <c r="E30" s="1"/>
      <c r="F30" s="2">
        <v>434.07499999999999</v>
      </c>
      <c r="G30" s="1">
        <v>107.794</v>
      </c>
      <c r="H30" s="2">
        <v>434.99400000000003</v>
      </c>
      <c r="I30" s="1">
        <v>2.4826199999999998</v>
      </c>
      <c r="J30" s="2">
        <v>433.12099999999998</v>
      </c>
      <c r="K30" s="1">
        <v>0.14233899999999999</v>
      </c>
      <c r="N30" s="3">
        <f t="shared" si="9"/>
        <v>435.05700000000002</v>
      </c>
      <c r="O30" s="21">
        <f t="shared" si="10"/>
        <v>70892.899999999994</v>
      </c>
      <c r="P30" s="3">
        <f t="shared" si="11"/>
        <v>434.07499999999999</v>
      </c>
      <c r="Q30" s="17">
        <f t="shared" si="12"/>
        <v>1.0779399999999999E-4</v>
      </c>
      <c r="R30" s="3">
        <f t="shared" si="13"/>
        <v>434.99400000000003</v>
      </c>
      <c r="S30" s="24">
        <f t="shared" si="14"/>
        <v>2.4826199999999998</v>
      </c>
      <c r="T30" s="3">
        <f t="shared" si="15"/>
        <v>433.12099999999998</v>
      </c>
      <c r="U30" s="51">
        <f t="shared" si="16"/>
        <v>0.14233899999999999</v>
      </c>
      <c r="V30" s="42">
        <f t="shared" si="17"/>
        <v>0.14371129721593656</v>
      </c>
      <c r="W30" s="49">
        <f t="shared" si="8"/>
        <v>-9.6410485948093556E-3</v>
      </c>
    </row>
    <row r="31" spans="2:23" x14ac:dyDescent="0.6">
      <c r="B31" s="2">
        <v>481.03399999999999</v>
      </c>
      <c r="C31" s="1">
        <v>69928.600000000006</v>
      </c>
      <c r="D31" s="2"/>
      <c r="E31" s="1"/>
      <c r="F31" s="2">
        <v>478.19600000000003</v>
      </c>
      <c r="G31" s="1">
        <v>117.80200000000001</v>
      </c>
      <c r="H31" s="2">
        <v>473.97</v>
      </c>
      <c r="I31" s="1">
        <v>2.6992099999999999</v>
      </c>
      <c r="J31" s="2">
        <v>477.93099999999998</v>
      </c>
      <c r="K31" s="1">
        <v>0.17511699999999999</v>
      </c>
      <c r="N31" s="3">
        <f t="shared" si="9"/>
        <v>481.03399999999999</v>
      </c>
      <c r="O31" s="21">
        <f t="shared" si="10"/>
        <v>69928.600000000006</v>
      </c>
      <c r="P31" s="3">
        <f t="shared" si="11"/>
        <v>478.19600000000003</v>
      </c>
      <c r="Q31" s="17">
        <f t="shared" si="12"/>
        <v>1.1780199999999999E-4</v>
      </c>
      <c r="R31" s="3">
        <f t="shared" si="13"/>
        <v>473.97</v>
      </c>
      <c r="S31" s="24">
        <f t="shared" si="14"/>
        <v>2.6992099999999999</v>
      </c>
      <c r="T31" s="3">
        <f t="shared" si="15"/>
        <v>477.93099999999998</v>
      </c>
      <c r="U31" s="51">
        <f t="shared" si="16"/>
        <v>0.17511699999999999</v>
      </c>
      <c r="V31" s="42">
        <f t="shared" si="17"/>
        <v>0.17182592399670366</v>
      </c>
      <c r="W31" s="49">
        <f t="shared" si="8"/>
        <v>1.8793583737137683E-2</v>
      </c>
    </row>
    <row r="32" spans="2:23" x14ac:dyDescent="0.6">
      <c r="B32" s="2">
        <v>525.57500000000005</v>
      </c>
      <c r="C32" s="1">
        <v>68482.100000000006</v>
      </c>
      <c r="D32" s="2"/>
      <c r="E32" s="1"/>
      <c r="F32" s="2">
        <v>523.76599999999996</v>
      </c>
      <c r="G32" s="1">
        <v>126.51300000000001</v>
      </c>
      <c r="H32" s="2">
        <v>525.04700000000003</v>
      </c>
      <c r="I32" s="1">
        <v>2.6084700000000001</v>
      </c>
      <c r="J32" s="2">
        <v>525.59199999999998</v>
      </c>
      <c r="K32" s="1">
        <v>0.224328</v>
      </c>
      <c r="N32" s="3">
        <f t="shared" si="9"/>
        <v>525.57500000000005</v>
      </c>
      <c r="O32" s="21">
        <f t="shared" si="10"/>
        <v>68482.100000000006</v>
      </c>
      <c r="P32" s="3">
        <f t="shared" si="11"/>
        <v>523.76599999999996</v>
      </c>
      <c r="Q32" s="17">
        <f t="shared" si="12"/>
        <v>1.26513E-4</v>
      </c>
      <c r="R32" s="3">
        <f t="shared" si="13"/>
        <v>525.04700000000003</v>
      </c>
      <c r="S32" s="24">
        <f t="shared" si="14"/>
        <v>2.6084700000000001</v>
      </c>
      <c r="T32" s="3">
        <f t="shared" si="15"/>
        <v>525.59199999999998</v>
      </c>
      <c r="U32" s="51">
        <f t="shared" si="16"/>
        <v>0.224328</v>
      </c>
      <c r="V32" s="42">
        <f t="shared" si="17"/>
        <v>0.2208565470669418</v>
      </c>
      <c r="W32" s="49">
        <f t="shared" si="8"/>
        <v>1.5474898064700796E-2</v>
      </c>
    </row>
    <row r="33" spans="2:23" x14ac:dyDescent="0.6">
      <c r="B33" s="2">
        <v>574.42499999999995</v>
      </c>
      <c r="C33" s="1">
        <v>67839.3</v>
      </c>
      <c r="D33" s="2"/>
      <c r="E33" s="1"/>
      <c r="F33" s="2">
        <v>573.68799999999999</v>
      </c>
      <c r="G33" s="1">
        <v>131.661</v>
      </c>
      <c r="H33" s="2">
        <v>574.56500000000005</v>
      </c>
      <c r="I33" s="1">
        <v>2.7176900000000002</v>
      </c>
      <c r="J33" s="2">
        <v>575.94899999999996</v>
      </c>
      <c r="K33" s="1">
        <v>0.24613599999999999</v>
      </c>
      <c r="N33" s="3">
        <f t="shared" si="9"/>
        <v>574.42499999999995</v>
      </c>
      <c r="O33" s="21">
        <f t="shared" si="10"/>
        <v>67839.3</v>
      </c>
      <c r="P33" s="3">
        <f t="shared" si="11"/>
        <v>573.68799999999999</v>
      </c>
      <c r="Q33" s="17">
        <f t="shared" si="12"/>
        <v>1.3166099999999999E-4</v>
      </c>
      <c r="R33" s="3">
        <f t="shared" si="13"/>
        <v>574.56500000000005</v>
      </c>
      <c r="S33" s="24">
        <f t="shared" si="14"/>
        <v>2.7176900000000002</v>
      </c>
      <c r="T33" s="3">
        <f t="shared" si="15"/>
        <v>575.94899999999996</v>
      </c>
      <c r="U33" s="51">
        <f t="shared" si="16"/>
        <v>0.24613599999999999</v>
      </c>
      <c r="V33" s="42">
        <f t="shared" si="17"/>
        <v>0.24921820800405409</v>
      </c>
      <c r="W33" s="49">
        <f t="shared" si="8"/>
        <v>-1.2522377888866697E-2</v>
      </c>
    </row>
    <row r="34" spans="2:23" x14ac:dyDescent="0.6">
      <c r="B34" s="2">
        <v>627.58600000000001</v>
      </c>
      <c r="C34" s="1">
        <v>66875</v>
      </c>
      <c r="D34" s="2"/>
      <c r="E34" s="1"/>
      <c r="F34" s="2">
        <v>626.54200000000003</v>
      </c>
      <c r="G34" s="1">
        <v>136.80699999999999</v>
      </c>
      <c r="H34" s="2">
        <v>627.13</v>
      </c>
      <c r="I34" s="1">
        <v>2.6731500000000001</v>
      </c>
      <c r="J34" s="2">
        <v>629.18499999999995</v>
      </c>
      <c r="K34" s="1">
        <v>0.292047</v>
      </c>
      <c r="N34" s="3">
        <f t="shared" si="9"/>
        <v>627.58600000000001</v>
      </c>
      <c r="O34" s="21">
        <f t="shared" si="10"/>
        <v>66875</v>
      </c>
      <c r="P34" s="3">
        <f t="shared" si="11"/>
        <v>626.54200000000003</v>
      </c>
      <c r="Q34" s="17">
        <f t="shared" si="12"/>
        <v>1.3680699999999999E-4</v>
      </c>
      <c r="R34" s="3">
        <f t="shared" si="13"/>
        <v>627.13</v>
      </c>
      <c r="S34" s="24">
        <f t="shared" si="14"/>
        <v>2.6731500000000001</v>
      </c>
      <c r="T34" s="3">
        <f t="shared" si="15"/>
        <v>629.18499999999995</v>
      </c>
      <c r="U34" s="51">
        <f t="shared" si="16"/>
        <v>0.292047</v>
      </c>
      <c r="V34" s="42">
        <f t="shared" si="17"/>
        <v>0.29460184684188145</v>
      </c>
      <c r="W34" s="49">
        <f t="shared" si="8"/>
        <v>-8.748067406552552E-3</v>
      </c>
    </row>
    <row r="35" spans="2:23" x14ac:dyDescent="0.6">
      <c r="B35" s="2">
        <v>677.87400000000002</v>
      </c>
      <c r="C35" s="1">
        <v>66232.100000000006</v>
      </c>
      <c r="D35" s="2"/>
      <c r="E35" s="1"/>
      <c r="F35" s="2">
        <v>676.43399999999997</v>
      </c>
      <c r="G35" s="1">
        <v>139.68799999999999</v>
      </c>
      <c r="H35" s="2">
        <v>675.12800000000004</v>
      </c>
      <c r="I35" s="1">
        <v>2.8438599999999998</v>
      </c>
      <c r="J35" s="2">
        <v>676.72900000000004</v>
      </c>
      <c r="K35" s="1">
        <v>0.30838100000000002</v>
      </c>
      <c r="N35" s="3">
        <f t="shared" si="9"/>
        <v>677.87400000000002</v>
      </c>
      <c r="O35" s="21">
        <f t="shared" si="10"/>
        <v>66232.100000000006</v>
      </c>
      <c r="P35" s="3">
        <f t="shared" si="11"/>
        <v>676.43399999999997</v>
      </c>
      <c r="Q35" s="17">
        <f t="shared" si="12"/>
        <v>1.3968799999999998E-4</v>
      </c>
      <c r="R35" s="3">
        <f t="shared" si="13"/>
        <v>675.12800000000004</v>
      </c>
      <c r="S35" s="24">
        <f t="shared" si="14"/>
        <v>2.8438599999999998</v>
      </c>
      <c r="T35" s="3">
        <f t="shared" si="15"/>
        <v>676.72900000000004</v>
      </c>
      <c r="U35" s="51">
        <f t="shared" si="16"/>
        <v>0.30838100000000002</v>
      </c>
      <c r="V35" s="42">
        <f t="shared" si="17"/>
        <v>0.30753411470373787</v>
      </c>
      <c r="W35" s="49">
        <f t="shared" si="8"/>
        <v>2.7462304625192387E-3</v>
      </c>
    </row>
    <row r="36" spans="2:23" x14ac:dyDescent="0.6">
      <c r="B36" s="2">
        <v>729.59799999999996</v>
      </c>
      <c r="C36" s="1">
        <v>65750</v>
      </c>
      <c r="D36" s="2"/>
      <c r="E36" s="1"/>
      <c r="F36" s="2">
        <v>729.23699999999997</v>
      </c>
      <c r="G36" s="1">
        <v>140.94900000000001</v>
      </c>
      <c r="H36" s="2">
        <v>724.63300000000004</v>
      </c>
      <c r="I36" s="1">
        <v>2.9992399999999999</v>
      </c>
      <c r="J36" s="2">
        <v>729.83699999999999</v>
      </c>
      <c r="K36" s="1">
        <v>0.31812800000000002</v>
      </c>
      <c r="N36" s="3">
        <f t="shared" si="9"/>
        <v>729.59799999999996</v>
      </c>
      <c r="O36" s="21">
        <f t="shared" si="10"/>
        <v>65750</v>
      </c>
      <c r="P36" s="3">
        <f t="shared" si="11"/>
        <v>729.23699999999997</v>
      </c>
      <c r="Q36" s="17">
        <f t="shared" si="12"/>
        <v>1.40949E-4</v>
      </c>
      <c r="R36" s="3">
        <f t="shared" si="13"/>
        <v>724.63300000000004</v>
      </c>
      <c r="S36" s="24">
        <f t="shared" si="14"/>
        <v>2.9992399999999999</v>
      </c>
      <c r="T36" s="3">
        <f t="shared" si="15"/>
        <v>729.83699999999999</v>
      </c>
      <c r="U36" s="51">
        <f t="shared" si="16"/>
        <v>0.31812800000000002</v>
      </c>
      <c r="V36" s="42">
        <f t="shared" si="17"/>
        <v>0.31785892651367059</v>
      </c>
      <c r="W36" s="49">
        <f t="shared" si="8"/>
        <v>8.4580258993056164E-4</v>
      </c>
    </row>
    <row r="37" spans="2:23" x14ac:dyDescent="0.6">
      <c r="B37" s="28"/>
      <c r="C37" s="29"/>
      <c r="D37" s="28"/>
      <c r="E37" s="29"/>
      <c r="F37" s="28"/>
      <c r="G37" s="29"/>
      <c r="H37" s="28">
        <v>769.601</v>
      </c>
      <c r="I37" s="29">
        <v>3.2621699999999998</v>
      </c>
      <c r="J37" s="28"/>
      <c r="K37" s="29"/>
      <c r="N37" s="32"/>
      <c r="O37" s="33"/>
      <c r="P37" s="32"/>
      <c r="Q37" s="34"/>
      <c r="R37" s="32">
        <f t="shared" si="13"/>
        <v>769.601</v>
      </c>
      <c r="S37" s="35">
        <f t="shared" si="14"/>
        <v>3.2621699999999998</v>
      </c>
      <c r="T37" s="32"/>
      <c r="U37" s="35"/>
      <c r="V3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W3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49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85692.307692307702</v>
      </c>
      <c r="D9" s="3"/>
      <c r="E9" s="4"/>
      <c r="F9" s="3">
        <v>300</v>
      </c>
      <c r="G9" s="4">
        <v>-219.11886949293401</v>
      </c>
      <c r="H9" s="3">
        <v>300</v>
      </c>
      <c r="I9" s="4">
        <v>4.7054610564010897</v>
      </c>
      <c r="J9" s="3">
        <v>300</v>
      </c>
      <c r="K9" s="4">
        <v>0.17980665950590699</v>
      </c>
      <c r="N9" s="3">
        <f>B9</f>
        <v>300</v>
      </c>
      <c r="O9" s="21">
        <f>C9</f>
        <v>85692.307692307702</v>
      </c>
      <c r="P9" s="3">
        <f>F9</f>
        <v>300</v>
      </c>
      <c r="Q9" s="17">
        <f>G9*(10^(-6))</f>
        <v>-2.19118869492934E-4</v>
      </c>
      <c r="R9" s="3">
        <f>H9</f>
        <v>300</v>
      </c>
      <c r="S9" s="24">
        <f>I9</f>
        <v>4.7054610564010897</v>
      </c>
      <c r="T9" s="3">
        <f>J9</f>
        <v>300</v>
      </c>
      <c r="U9" s="51">
        <f>K9</f>
        <v>0.17980665950590699</v>
      </c>
      <c r="V9" s="42">
        <f>((O9*(Q9)^2)/S9)*T9</f>
        <v>0.26231339417242094</v>
      </c>
      <c r="W9" s="49">
        <f t="shared" ref="W9:W14" si="0">(U9-V9)/U9</f>
        <v>-0.45886361991950275</v>
      </c>
    </row>
    <row r="10" spans="1:23" x14ac:dyDescent="0.6">
      <c r="B10" s="3">
        <v>400.10793308148902</v>
      </c>
      <c r="C10" s="4">
        <v>78923.076923076893</v>
      </c>
      <c r="D10" s="3"/>
      <c r="E10" s="4"/>
      <c r="F10" s="3">
        <v>399.89701338825898</v>
      </c>
      <c r="G10" s="4">
        <v>-229.093931837074</v>
      </c>
      <c r="H10" s="3">
        <v>400.05211047420499</v>
      </c>
      <c r="I10" s="4">
        <v>4.2578334825425399</v>
      </c>
      <c r="J10" s="3">
        <v>400</v>
      </c>
      <c r="K10" s="4">
        <v>0.270032223415682</v>
      </c>
      <c r="N10" s="3">
        <f t="shared" ref="N10:N14" si="1">B10</f>
        <v>400.10793308148902</v>
      </c>
      <c r="O10" s="21">
        <f t="shared" ref="O10:O14" si="2">C10</f>
        <v>78923.076923076893</v>
      </c>
      <c r="P10" s="3">
        <f t="shared" ref="P10:P14" si="3">F10</f>
        <v>399.89701338825898</v>
      </c>
      <c r="Q10" s="17">
        <f t="shared" ref="Q10:Q14" si="4">G10*(10^(-6))</f>
        <v>-2.2909393183707398E-4</v>
      </c>
      <c r="R10" s="3">
        <f t="shared" ref="R10:U14" si="5">H10</f>
        <v>400.05211047420499</v>
      </c>
      <c r="S10" s="24">
        <f t="shared" si="5"/>
        <v>4.2578334825425399</v>
      </c>
      <c r="T10" s="3">
        <f t="shared" si="5"/>
        <v>400</v>
      </c>
      <c r="U10" s="51">
        <f t="shared" si="5"/>
        <v>0.270032223415682</v>
      </c>
      <c r="V10" s="42">
        <f t="shared" ref="V10:V14" si="6">((O10*(Q10)^2)/S10)*T10</f>
        <v>0.38913697519622348</v>
      </c>
      <c r="W10" s="49">
        <f t="shared" si="0"/>
        <v>-0.44107606964074836</v>
      </c>
    </row>
    <row r="11" spans="1:23" x14ac:dyDescent="0.6">
      <c r="B11" s="2">
        <v>499.94603345925498</v>
      </c>
      <c r="C11" s="1">
        <v>76923.076923076893</v>
      </c>
      <c r="D11" s="2"/>
      <c r="E11" s="1"/>
      <c r="F11" s="2">
        <v>500.05149330587</v>
      </c>
      <c r="G11" s="1">
        <v>-248.21280133000801</v>
      </c>
      <c r="H11" s="2">
        <v>500.10422094840999</v>
      </c>
      <c r="I11" s="1">
        <v>3.8191584601611601</v>
      </c>
      <c r="J11" s="2">
        <v>499.99999999999898</v>
      </c>
      <c r="K11" s="1">
        <v>0.344790547798066</v>
      </c>
      <c r="N11" s="3">
        <f t="shared" si="1"/>
        <v>499.94603345925498</v>
      </c>
      <c r="O11" s="21">
        <f t="shared" si="2"/>
        <v>76923.076923076893</v>
      </c>
      <c r="P11" s="3">
        <f t="shared" si="3"/>
        <v>500.05149330587</v>
      </c>
      <c r="Q11" s="17">
        <f t="shared" si="4"/>
        <v>-2.4821280133000798E-4</v>
      </c>
      <c r="R11" s="3">
        <f t="shared" si="5"/>
        <v>500.10422094840999</v>
      </c>
      <c r="S11" s="24">
        <f t="shared" si="5"/>
        <v>3.8191584601611601</v>
      </c>
      <c r="T11" s="3">
        <f t="shared" si="5"/>
        <v>499.99999999999898</v>
      </c>
      <c r="U11" s="51">
        <f t="shared" si="5"/>
        <v>0.344790547798066</v>
      </c>
      <c r="V11" s="42">
        <f t="shared" si="6"/>
        <v>0.62045076751008066</v>
      </c>
      <c r="W11" s="49">
        <f t="shared" si="0"/>
        <v>-0.79950051262269806</v>
      </c>
    </row>
    <row r="12" spans="1:23" x14ac:dyDescent="0.6">
      <c r="B12" s="2">
        <v>600.053966540744</v>
      </c>
      <c r="C12" s="1">
        <v>75230.769230769103</v>
      </c>
      <c r="D12" s="2"/>
      <c r="E12" s="1"/>
      <c r="F12" s="2">
        <v>599.94850669412904</v>
      </c>
      <c r="G12" s="1">
        <v>-256.525353283458</v>
      </c>
      <c r="H12" s="2">
        <v>599.89577905158899</v>
      </c>
      <c r="I12" s="1">
        <v>3.7296329453894601</v>
      </c>
      <c r="J12" s="2">
        <v>600</v>
      </c>
      <c r="K12" s="1">
        <v>0.48270676691729297</v>
      </c>
      <c r="N12" s="3">
        <f t="shared" si="1"/>
        <v>600.053966540744</v>
      </c>
      <c r="O12" s="21">
        <f t="shared" si="2"/>
        <v>75230.769230769103</v>
      </c>
      <c r="P12" s="3">
        <f t="shared" si="3"/>
        <v>599.94850669412904</v>
      </c>
      <c r="Q12" s="17">
        <f t="shared" si="4"/>
        <v>-2.56525353283458E-4</v>
      </c>
      <c r="R12" s="3">
        <f t="shared" si="5"/>
        <v>599.89577905158899</v>
      </c>
      <c r="S12" s="24">
        <f t="shared" si="5"/>
        <v>3.7296329453894601</v>
      </c>
      <c r="T12" s="3">
        <f t="shared" si="5"/>
        <v>600</v>
      </c>
      <c r="U12" s="51">
        <f t="shared" si="5"/>
        <v>0.48270676691729297</v>
      </c>
      <c r="V12" s="42">
        <f t="shared" si="6"/>
        <v>0.79641833394144601</v>
      </c>
      <c r="W12" s="49">
        <f t="shared" si="0"/>
        <v>-0.64990090987869742</v>
      </c>
    </row>
    <row r="13" spans="1:23" x14ac:dyDescent="0.6">
      <c r="B13" s="2">
        <v>699.89206691850995</v>
      </c>
      <c r="C13" s="1">
        <v>74769.230769230693</v>
      </c>
      <c r="D13" s="2"/>
      <c r="E13" s="1"/>
      <c r="F13" s="2">
        <v>699.84552008238904</v>
      </c>
      <c r="G13" s="1">
        <v>-256.525353283458</v>
      </c>
      <c r="H13" s="2">
        <v>699.94788952579404</v>
      </c>
      <c r="I13" s="1">
        <v>3.8370635631155099</v>
      </c>
      <c r="J13" s="2">
        <v>700</v>
      </c>
      <c r="K13" s="1">
        <v>0.57851772287862502</v>
      </c>
      <c r="N13" s="3">
        <f t="shared" si="1"/>
        <v>699.89206691850995</v>
      </c>
      <c r="O13" s="21">
        <f t="shared" si="2"/>
        <v>74769.230769230693</v>
      </c>
      <c r="P13" s="3">
        <f t="shared" si="3"/>
        <v>699.84552008238904</v>
      </c>
      <c r="Q13" s="17">
        <f t="shared" si="4"/>
        <v>-2.56525353283458E-4</v>
      </c>
      <c r="R13" s="3">
        <f t="shared" si="5"/>
        <v>699.94788952579404</v>
      </c>
      <c r="S13" s="24">
        <f t="shared" si="5"/>
        <v>3.8370635631155099</v>
      </c>
      <c r="T13" s="3">
        <f t="shared" si="5"/>
        <v>700</v>
      </c>
      <c r="U13" s="51">
        <f t="shared" si="5"/>
        <v>0.57851772287862502</v>
      </c>
      <c r="V13" s="42">
        <f t="shared" si="6"/>
        <v>0.89759938803296357</v>
      </c>
      <c r="W13" s="49">
        <f t="shared" si="0"/>
        <v>-0.55155037181338518</v>
      </c>
    </row>
    <row r="14" spans="1:23" x14ac:dyDescent="0.6">
      <c r="B14" s="28">
        <v>800</v>
      </c>
      <c r="C14" s="29">
        <v>73230.769230769103</v>
      </c>
      <c r="D14" s="28"/>
      <c r="E14" s="29"/>
      <c r="F14" s="28">
        <v>799.99999999999898</v>
      </c>
      <c r="G14" s="29">
        <v>-234.49709060681599</v>
      </c>
      <c r="H14" s="28">
        <v>800</v>
      </c>
      <c r="I14" s="29">
        <v>4.1996418979409302</v>
      </c>
      <c r="J14" s="28">
        <v>800</v>
      </c>
      <c r="K14" s="29">
        <v>0.60085929108485403</v>
      </c>
      <c r="N14" s="32">
        <f t="shared" si="1"/>
        <v>800</v>
      </c>
      <c r="O14" s="33">
        <f t="shared" si="2"/>
        <v>73230.769230769103</v>
      </c>
      <c r="P14" s="32">
        <f t="shared" si="3"/>
        <v>799.99999999999898</v>
      </c>
      <c r="Q14" s="17">
        <f t="shared" si="4"/>
        <v>-2.3449709060681598E-4</v>
      </c>
      <c r="R14" s="32">
        <f t="shared" si="5"/>
        <v>800</v>
      </c>
      <c r="S14" s="35">
        <f t="shared" si="5"/>
        <v>4.1996418979409302</v>
      </c>
      <c r="T14" s="32">
        <f t="shared" si="5"/>
        <v>800</v>
      </c>
      <c r="U14" s="52">
        <f t="shared" si="5"/>
        <v>0.60085929108485403</v>
      </c>
      <c r="V14" s="42">
        <f t="shared" si="6"/>
        <v>0.76708985811504138</v>
      </c>
      <c r="W14" s="49">
        <f t="shared" si="0"/>
        <v>-0.27665473347355141</v>
      </c>
    </row>
    <row r="15" spans="1:23" x14ac:dyDescent="0.6">
      <c r="B15" s="30"/>
      <c r="C15" s="30"/>
      <c r="D15" s="30"/>
      <c r="E15" s="30"/>
      <c r="F15" s="30"/>
      <c r="G15" s="30"/>
      <c r="H15" s="30"/>
      <c r="I15" s="30"/>
      <c r="J15" s="30"/>
      <c r="K15" s="30"/>
      <c r="N15" s="30"/>
      <c r="O15" s="39"/>
      <c r="P15" s="30"/>
      <c r="Q15" s="40"/>
      <c r="R15" s="30"/>
      <c r="S15" s="41"/>
      <c r="T15" s="30"/>
      <c r="U15" s="41"/>
    </row>
    <row r="16" spans="1:23" x14ac:dyDescent="0.6">
      <c r="B16" s="31"/>
      <c r="C16" s="31"/>
      <c r="D16" s="31"/>
      <c r="E16" s="31"/>
      <c r="F16" s="31"/>
      <c r="G16" s="31"/>
      <c r="H16" s="31"/>
      <c r="I16" s="31"/>
      <c r="J16" s="31"/>
      <c r="K16" s="31"/>
      <c r="N16" s="31"/>
      <c r="O16" s="36"/>
      <c r="P16" s="31"/>
      <c r="Q16" s="37"/>
      <c r="R16" s="31"/>
      <c r="S16" s="38"/>
      <c r="T16" s="31"/>
      <c r="U16" s="38"/>
    </row>
    <row r="17" spans="2:23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6"/>
      <c r="P17" s="31"/>
      <c r="Q17" s="37"/>
      <c r="R17" s="31"/>
      <c r="S17" s="38"/>
      <c r="T17" s="31"/>
      <c r="U17" s="36" t="s">
        <v>77</v>
      </c>
      <c r="V17"/>
    </row>
    <row r="18" spans="2:23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P18" s="31"/>
      <c r="Q18" s="37"/>
      <c r="R18" s="31"/>
      <c r="S18" s="38"/>
      <c r="T18" s="31"/>
      <c r="U18" s="38"/>
      <c r="V18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ht="17.25" thickBot="1" x14ac:dyDescent="0.65">
      <c r="B28" s="31" t="s">
        <v>79</v>
      </c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5" t="s">
        <v>3</v>
      </c>
      <c r="C29" s="6" t="s">
        <v>0</v>
      </c>
      <c r="D29" s="7" t="s">
        <v>3</v>
      </c>
      <c r="E29" s="6" t="s">
        <v>8</v>
      </c>
      <c r="F29" s="7" t="s">
        <v>3</v>
      </c>
      <c r="G29" s="6" t="s">
        <v>1</v>
      </c>
      <c r="H29" s="7" t="s">
        <v>3</v>
      </c>
      <c r="I29" s="6" t="s">
        <v>2</v>
      </c>
      <c r="J29" s="7" t="s">
        <v>3</v>
      </c>
      <c r="K29" s="8" t="s">
        <v>6</v>
      </c>
      <c r="N29" s="5" t="s">
        <v>3</v>
      </c>
      <c r="O29" s="19" t="s">
        <v>0</v>
      </c>
      <c r="P29" s="7" t="s">
        <v>3</v>
      </c>
      <c r="Q29" s="15" t="s">
        <v>1</v>
      </c>
      <c r="R29" s="7" t="s">
        <v>3</v>
      </c>
      <c r="S29" s="23" t="s">
        <v>2</v>
      </c>
      <c r="T29" s="7" t="s">
        <v>3</v>
      </c>
      <c r="U29" s="25" t="s">
        <v>6</v>
      </c>
    </row>
    <row r="30" spans="2:23" ht="17.25" thickBot="1" x14ac:dyDescent="0.65">
      <c r="B30" s="9" t="s">
        <v>4</v>
      </c>
      <c r="C30" s="10" t="s">
        <v>5</v>
      </c>
      <c r="D30" s="11" t="s">
        <v>4</v>
      </c>
      <c r="E30" s="10" t="s">
        <v>11</v>
      </c>
      <c r="F30" s="11" t="s">
        <v>4</v>
      </c>
      <c r="G30" s="27" t="s">
        <v>13</v>
      </c>
      <c r="H30" s="11" t="s">
        <v>4</v>
      </c>
      <c r="I30" s="10" t="s">
        <v>15</v>
      </c>
      <c r="J30" s="11" t="s">
        <v>4</v>
      </c>
      <c r="K30" s="12" t="s">
        <v>7</v>
      </c>
      <c r="N30" s="9" t="s">
        <v>4</v>
      </c>
      <c r="O30" s="20" t="s">
        <v>5</v>
      </c>
      <c r="P30" s="11" t="s">
        <v>4</v>
      </c>
      <c r="Q30" s="16" t="s">
        <v>14</v>
      </c>
      <c r="R30" s="11" t="s">
        <v>4</v>
      </c>
      <c r="S30" s="10" t="s">
        <v>15</v>
      </c>
      <c r="T30" s="11" t="s">
        <v>4</v>
      </c>
      <c r="U30" s="26" t="s">
        <v>7</v>
      </c>
      <c r="W30" t="s">
        <v>78</v>
      </c>
    </row>
    <row r="31" spans="2:23" x14ac:dyDescent="0.6">
      <c r="B31" s="3">
        <v>300</v>
      </c>
      <c r="C31" s="4">
        <v>85461.689587426299</v>
      </c>
      <c r="D31" s="3"/>
      <c r="E31" s="4"/>
      <c r="F31" s="3">
        <v>300</v>
      </c>
      <c r="G31" s="4">
        <v>-220.35520500077101</v>
      </c>
      <c r="H31" s="3">
        <v>300</v>
      </c>
      <c r="I31" s="4">
        <v>4.7157464212678901</v>
      </c>
      <c r="J31" s="3">
        <v>300</v>
      </c>
      <c r="K31" s="4">
        <v>0.181057</v>
      </c>
      <c r="N31" s="3">
        <f>B31</f>
        <v>300</v>
      </c>
      <c r="O31" s="21">
        <f>C31</f>
        <v>85461.689587426299</v>
      </c>
      <c r="P31" s="3">
        <f>F31</f>
        <v>300</v>
      </c>
      <c r="Q31" s="17">
        <f>G31*0.000001</f>
        <v>-2.2035520500077101E-4</v>
      </c>
      <c r="R31" s="3">
        <f>H31</f>
        <v>300</v>
      </c>
      <c r="S31" s="24">
        <f>I31</f>
        <v>4.7157464212678901</v>
      </c>
      <c r="T31" s="3">
        <f>J31</f>
        <v>300</v>
      </c>
      <c r="U31" s="51">
        <f>K31</f>
        <v>0.181057</v>
      </c>
      <c r="V31" s="42">
        <f>((O31*(Q31)^2)/S31)*T31</f>
        <v>0.26399087308778757</v>
      </c>
      <c r="W31" s="49">
        <f t="shared" ref="W31:W36" si="7">(U31-V31)/U31</f>
        <v>-0.45805394482283246</v>
      </c>
    </row>
    <row r="32" spans="2:23" x14ac:dyDescent="0.6">
      <c r="B32" s="3">
        <v>400</v>
      </c>
      <c r="C32" s="4">
        <v>79076.6208251473</v>
      </c>
      <c r="D32" s="3"/>
      <c r="E32" s="4"/>
      <c r="F32" s="3">
        <v>400</v>
      </c>
      <c r="G32" s="4">
        <v>-231.92820781102199</v>
      </c>
      <c r="H32" s="3">
        <v>400</v>
      </c>
      <c r="I32" s="4">
        <v>4.2903885480572601</v>
      </c>
      <c r="J32" s="3">
        <v>400</v>
      </c>
      <c r="K32" s="4">
        <v>0.27071099999999998</v>
      </c>
      <c r="N32" s="3">
        <f t="shared" ref="N32:N36" si="8">B32</f>
        <v>400</v>
      </c>
      <c r="O32" s="21">
        <f t="shared" ref="O32:O36" si="9">C32</f>
        <v>79076.6208251473</v>
      </c>
      <c r="P32" s="3">
        <f t="shared" ref="P32:P36" si="10">F32</f>
        <v>400</v>
      </c>
      <c r="Q32" s="17">
        <f t="shared" ref="Q32:Q36" si="11">G32*0.000001</f>
        <v>-2.3192820781102198E-4</v>
      </c>
      <c r="R32" s="3">
        <f t="shared" ref="R32:R36" si="12">H32</f>
        <v>400</v>
      </c>
      <c r="S32" s="24">
        <f t="shared" ref="S32:S36" si="13">I32</f>
        <v>4.2903885480572601</v>
      </c>
      <c r="T32" s="3">
        <f t="shared" ref="T32:T36" si="14">J32</f>
        <v>400</v>
      </c>
      <c r="U32" s="51">
        <f t="shared" ref="U32:U36" si="15">K32</f>
        <v>0.27071099999999998</v>
      </c>
      <c r="V32" s="42">
        <f t="shared" ref="V32:V36" si="16">((O32*(Q32)^2)/S32)*T32</f>
        <v>0.39656886385728174</v>
      </c>
      <c r="W32" s="49">
        <f t="shared" si="7"/>
        <v>-0.46491595781952627</v>
      </c>
    </row>
    <row r="33" spans="2:23" x14ac:dyDescent="0.6">
      <c r="B33" s="2">
        <v>500</v>
      </c>
      <c r="C33" s="1">
        <v>76620.825147347699</v>
      </c>
      <c r="D33" s="2"/>
      <c r="E33" s="1"/>
      <c r="F33" s="2">
        <v>500</v>
      </c>
      <c r="G33" s="1">
        <v>-251.77837246892901</v>
      </c>
      <c r="H33" s="2">
        <v>500</v>
      </c>
      <c r="I33" s="1">
        <v>3.8159509202453901</v>
      </c>
      <c r="J33" s="2">
        <v>500</v>
      </c>
      <c r="K33" s="1">
        <v>0.34550399999999998</v>
      </c>
      <c r="N33" s="3">
        <f t="shared" si="8"/>
        <v>500</v>
      </c>
      <c r="O33" s="21">
        <f t="shared" si="9"/>
        <v>76620.825147347699</v>
      </c>
      <c r="P33" s="3">
        <f t="shared" si="10"/>
        <v>500</v>
      </c>
      <c r="Q33" s="17">
        <f t="shared" si="11"/>
        <v>-2.5177837246892899E-4</v>
      </c>
      <c r="R33" s="3">
        <f t="shared" si="12"/>
        <v>500</v>
      </c>
      <c r="S33" s="24">
        <f t="shared" si="13"/>
        <v>3.8159509202453901</v>
      </c>
      <c r="T33" s="3">
        <f t="shared" si="14"/>
        <v>500</v>
      </c>
      <c r="U33" s="51">
        <f t="shared" si="15"/>
        <v>0.34550399999999998</v>
      </c>
      <c r="V33" s="42">
        <f t="shared" si="16"/>
        <v>0.63643036531438091</v>
      </c>
      <c r="W33" s="49">
        <f t="shared" si="7"/>
        <v>-0.84203472409691626</v>
      </c>
    </row>
    <row r="34" spans="2:23" x14ac:dyDescent="0.6">
      <c r="B34" s="2">
        <v>600</v>
      </c>
      <c r="C34" s="1">
        <v>75147.347740668003</v>
      </c>
      <c r="D34" s="2"/>
      <c r="E34" s="1"/>
      <c r="F34" s="2">
        <v>600</v>
      </c>
      <c r="G34" s="1">
        <v>-260.59545128339198</v>
      </c>
      <c r="H34" s="2">
        <v>600</v>
      </c>
      <c r="I34" s="1">
        <v>3.7505112474437601</v>
      </c>
      <c r="J34" s="2">
        <v>600</v>
      </c>
      <c r="K34" s="1">
        <v>0.482238</v>
      </c>
      <c r="N34" s="3">
        <f t="shared" si="8"/>
        <v>600</v>
      </c>
      <c r="O34" s="21">
        <f t="shared" si="9"/>
        <v>75147.347740668003</v>
      </c>
      <c r="P34" s="3">
        <f t="shared" si="10"/>
        <v>600</v>
      </c>
      <c r="Q34" s="17">
        <f t="shared" si="11"/>
        <v>-2.6059545128339197E-4</v>
      </c>
      <c r="R34" s="3">
        <f t="shared" si="12"/>
        <v>600</v>
      </c>
      <c r="S34" s="24">
        <f t="shared" si="13"/>
        <v>3.7505112474437601</v>
      </c>
      <c r="T34" s="3">
        <f t="shared" si="14"/>
        <v>600</v>
      </c>
      <c r="U34" s="51">
        <f t="shared" si="15"/>
        <v>0.482238</v>
      </c>
      <c r="V34" s="42">
        <f t="shared" si="16"/>
        <v>0.81640958882812642</v>
      </c>
      <c r="W34" s="49">
        <f t="shared" si="7"/>
        <v>-0.6929598845966648</v>
      </c>
    </row>
    <row r="35" spans="2:23" x14ac:dyDescent="0.6">
      <c r="B35" s="2">
        <v>700</v>
      </c>
      <c r="C35" s="1">
        <v>75147.347740668003</v>
      </c>
      <c r="D35" s="2"/>
      <c r="E35" s="1"/>
      <c r="F35" s="2">
        <v>700</v>
      </c>
      <c r="G35" s="1">
        <v>-261.14475811049101</v>
      </c>
      <c r="H35" s="2">
        <v>700</v>
      </c>
      <c r="I35" s="1">
        <v>3.8486707566462099</v>
      </c>
      <c r="J35" s="2">
        <v>700</v>
      </c>
      <c r="K35" s="1">
        <v>0.58426800000000001</v>
      </c>
      <c r="N35" s="3">
        <f t="shared" si="8"/>
        <v>700</v>
      </c>
      <c r="O35" s="21">
        <f t="shared" si="9"/>
        <v>75147.347740668003</v>
      </c>
      <c r="P35" s="3">
        <f t="shared" si="10"/>
        <v>700</v>
      </c>
      <c r="Q35" s="17">
        <f t="shared" si="11"/>
        <v>-2.6114475811049099E-4</v>
      </c>
      <c r="R35" s="3">
        <f t="shared" si="12"/>
        <v>700</v>
      </c>
      <c r="S35" s="24">
        <f t="shared" si="13"/>
        <v>3.8486707566462099</v>
      </c>
      <c r="T35" s="3">
        <f t="shared" si="14"/>
        <v>700</v>
      </c>
      <c r="U35" s="51">
        <f t="shared" si="15"/>
        <v>0.58426800000000001</v>
      </c>
      <c r="V35" s="42">
        <f t="shared" si="16"/>
        <v>0.93210226383445716</v>
      </c>
      <c r="W35" s="49">
        <f t="shared" si="7"/>
        <v>-0.59533341520407956</v>
      </c>
    </row>
    <row r="36" spans="2:23" x14ac:dyDescent="0.6">
      <c r="B36" s="28">
        <v>800</v>
      </c>
      <c r="C36" s="29">
        <v>73182.711198428296</v>
      </c>
      <c r="D36" s="28"/>
      <c r="E36" s="29"/>
      <c r="F36" s="28">
        <v>800</v>
      </c>
      <c r="G36" s="29">
        <v>-239.64667297128699</v>
      </c>
      <c r="H36" s="28">
        <v>800</v>
      </c>
      <c r="I36" s="29">
        <v>4.2249488752556204</v>
      </c>
      <c r="J36" s="28">
        <v>800</v>
      </c>
      <c r="K36" s="29">
        <v>0.60458599999999996</v>
      </c>
      <c r="N36" s="32">
        <f t="shared" si="8"/>
        <v>800</v>
      </c>
      <c r="O36" s="33">
        <f t="shared" si="9"/>
        <v>73182.711198428296</v>
      </c>
      <c r="P36" s="32">
        <f t="shared" si="10"/>
        <v>800</v>
      </c>
      <c r="Q36" s="34">
        <f t="shared" si="11"/>
        <v>-2.3964667297128698E-4</v>
      </c>
      <c r="R36" s="32">
        <f t="shared" si="12"/>
        <v>800</v>
      </c>
      <c r="S36" s="35">
        <f t="shared" si="13"/>
        <v>4.2249488752556204</v>
      </c>
      <c r="T36" s="32">
        <f t="shared" si="14"/>
        <v>800</v>
      </c>
      <c r="U36" s="52">
        <f t="shared" si="15"/>
        <v>0.60458599999999996</v>
      </c>
      <c r="V36" s="42">
        <f t="shared" si="16"/>
        <v>0.7958291300368221</v>
      </c>
      <c r="W36" s="49">
        <f t="shared" si="7"/>
        <v>-0.31632080471069818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1"/>
  </sheetPr>
  <dimension ref="A1:W8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298.03921568627402</v>
      </c>
      <c r="E9" s="17">
        <v>4.6930794393962798E-6</v>
      </c>
      <c r="F9" s="3">
        <v>297.971602434077</v>
      </c>
      <c r="G9" s="4">
        <v>-168.65724381625401</v>
      </c>
      <c r="H9" s="3">
        <v>298.847815650504</v>
      </c>
      <c r="I9" s="4">
        <v>4.1484315225707702</v>
      </c>
      <c r="J9" s="3">
        <v>297.51789976133603</v>
      </c>
      <c r="K9" s="4">
        <v>0.43990024937655797</v>
      </c>
      <c r="N9" s="3">
        <f>D9</f>
        <v>298.03921568627402</v>
      </c>
      <c r="O9" s="21">
        <f>1/E9</f>
        <v>213079.70873142529</v>
      </c>
      <c r="P9" s="3">
        <f>F9</f>
        <v>297.971602434077</v>
      </c>
      <c r="Q9" s="17">
        <f>G9*(10^(-6))</f>
        <v>-1.6865724381625401E-4</v>
      </c>
      <c r="R9" s="3">
        <f>H9</f>
        <v>298.847815650504</v>
      </c>
      <c r="S9" s="24">
        <f>I9</f>
        <v>4.1484315225707702</v>
      </c>
      <c r="T9" s="3">
        <f>J9</f>
        <v>297.51789976133603</v>
      </c>
      <c r="U9" s="51">
        <f>K9</f>
        <v>0.43990024937655797</v>
      </c>
      <c r="V9" s="42">
        <f>((O9*(Q9)^2)/S9)*T9</f>
        <v>0.43469161813623519</v>
      </c>
      <c r="W9" s="49">
        <f t="shared" ref="W9" si="0">(U9-V9)/U9</f>
        <v>1.1840482581459399E-2</v>
      </c>
    </row>
    <row r="10" spans="1:23" x14ac:dyDescent="0.6">
      <c r="B10" s="3"/>
      <c r="C10" s="4"/>
      <c r="D10" s="3">
        <v>312.941176470588</v>
      </c>
      <c r="E10" s="17">
        <v>4.8970935258631996E-6</v>
      </c>
      <c r="F10" s="3">
        <v>312.981744421906</v>
      </c>
      <c r="G10" s="4">
        <v>-178.51590106007001</v>
      </c>
      <c r="H10" s="3">
        <v>313.05808929428702</v>
      </c>
      <c r="I10" s="4">
        <v>3.9234889058913498</v>
      </c>
      <c r="J10" s="3">
        <v>312.98329355608502</v>
      </c>
      <c r="K10" s="4">
        <v>0.52768079800498802</v>
      </c>
      <c r="N10" s="3">
        <f t="shared" ref="N10:N49" si="1">D10</f>
        <v>312.941176470588</v>
      </c>
      <c r="O10" s="21">
        <f t="shared" ref="O10:O49" si="2">1/E10</f>
        <v>204202.75714945269</v>
      </c>
      <c r="P10" s="3">
        <f t="shared" ref="P10:P47" si="3">F10</f>
        <v>312.981744421906</v>
      </c>
      <c r="Q10" s="17">
        <f t="shared" ref="Q10:Q47" si="4">G10*(10^(-6))</f>
        <v>-1.7851590106007E-4</v>
      </c>
      <c r="R10" s="3">
        <f t="shared" ref="R10:R49" si="5">H10</f>
        <v>313.05808929428702</v>
      </c>
      <c r="S10" s="24">
        <f t="shared" ref="S10:S49" si="6">I10</f>
        <v>3.9234889058913498</v>
      </c>
      <c r="T10" s="3">
        <f t="shared" ref="T10:T47" si="7">J10</f>
        <v>312.98329355608502</v>
      </c>
      <c r="U10" s="51">
        <f t="shared" ref="U10:U47" si="8">K10</f>
        <v>0.52768079800498802</v>
      </c>
      <c r="V10" s="42">
        <f t="shared" ref="V10:V36" si="9">((O10*(Q10)^2)/S10)*T10</f>
        <v>0.51911567373674627</v>
      </c>
      <c r="W10" s="49">
        <f t="shared" ref="W10:W47" si="10">(U10-V10)/U10</f>
        <v>1.6231639090571529E-2</v>
      </c>
    </row>
    <row r="11" spans="1:23" x14ac:dyDescent="0.6">
      <c r="B11" s="2"/>
      <c r="C11" s="1"/>
      <c r="D11" s="2">
        <v>322.941176470588</v>
      </c>
      <c r="E11" s="44">
        <v>4.9905906743413898E-6</v>
      </c>
      <c r="F11" s="2">
        <v>322.92089249492898</v>
      </c>
      <c r="G11" s="1">
        <v>-180.95406360423999</v>
      </c>
      <c r="H11" s="2">
        <v>323.23571771483398</v>
      </c>
      <c r="I11" s="1">
        <v>3.8684009181331298</v>
      </c>
      <c r="J11" s="2">
        <v>322.91169451073898</v>
      </c>
      <c r="K11" s="1">
        <v>0.55760598503740599</v>
      </c>
      <c r="N11" s="3">
        <f t="shared" si="1"/>
        <v>322.941176470588</v>
      </c>
      <c r="O11" s="21">
        <f t="shared" si="2"/>
        <v>200377.08264502586</v>
      </c>
      <c r="P11" s="3">
        <f t="shared" si="3"/>
        <v>322.92089249492898</v>
      </c>
      <c r="Q11" s="17">
        <f t="shared" si="4"/>
        <v>-1.8095406360423997E-4</v>
      </c>
      <c r="R11" s="3">
        <f t="shared" si="5"/>
        <v>323.23571771483398</v>
      </c>
      <c r="S11" s="24">
        <f t="shared" si="6"/>
        <v>3.8684009181331298</v>
      </c>
      <c r="T11" s="3">
        <f t="shared" si="7"/>
        <v>322.91169451073898</v>
      </c>
      <c r="U11" s="51">
        <f t="shared" si="8"/>
        <v>0.55760598503740599</v>
      </c>
      <c r="V11" s="42">
        <f t="shared" si="9"/>
        <v>0.54769279260001125</v>
      </c>
      <c r="W11" s="49">
        <f t="shared" si="10"/>
        <v>1.7778131338977179E-2</v>
      </c>
    </row>
    <row r="12" spans="1:23" x14ac:dyDescent="0.6">
      <c r="B12" s="2"/>
      <c r="C12" s="1"/>
      <c r="D12" s="2">
        <v>332.941176470588</v>
      </c>
      <c r="E12" s="44">
        <v>5.0618831433959203E-6</v>
      </c>
      <c r="F12" s="2">
        <v>333.06288032454302</v>
      </c>
      <c r="G12" s="1">
        <v>-180.95406360423999</v>
      </c>
      <c r="H12" s="2">
        <v>333.413346135381</v>
      </c>
      <c r="I12" s="1">
        <v>3.80872226472838</v>
      </c>
      <c r="J12" s="2">
        <v>332.64916467780398</v>
      </c>
      <c r="K12" s="1">
        <v>0.57157107231920201</v>
      </c>
      <c r="N12" s="3">
        <f t="shared" si="1"/>
        <v>332.941176470588</v>
      </c>
      <c r="O12" s="21">
        <f t="shared" si="2"/>
        <v>197554.93591444689</v>
      </c>
      <c r="P12" s="3">
        <f t="shared" si="3"/>
        <v>333.06288032454302</v>
      </c>
      <c r="Q12" s="17">
        <f t="shared" si="4"/>
        <v>-1.8095406360423997E-4</v>
      </c>
      <c r="R12" s="3">
        <f t="shared" si="5"/>
        <v>333.413346135381</v>
      </c>
      <c r="S12" s="24">
        <f t="shared" si="6"/>
        <v>3.80872226472838</v>
      </c>
      <c r="T12" s="3">
        <f t="shared" si="7"/>
        <v>332.64916467780398</v>
      </c>
      <c r="U12" s="51">
        <f t="shared" si="8"/>
        <v>0.57157107231920201</v>
      </c>
      <c r="V12" s="42">
        <f t="shared" si="9"/>
        <v>0.56497820976841839</v>
      </c>
      <c r="W12" s="49">
        <f t="shared" si="10"/>
        <v>1.1534632996789838E-2</v>
      </c>
    </row>
    <row r="13" spans="1:23" x14ac:dyDescent="0.6">
      <c r="B13" s="2"/>
      <c r="C13" s="1"/>
      <c r="D13" s="2">
        <v>342.941176470588</v>
      </c>
      <c r="E13" s="44">
        <v>5.13419405224557E-6</v>
      </c>
      <c r="F13" s="2">
        <v>343.00202839756503</v>
      </c>
      <c r="G13" s="1">
        <v>-178.51590106007001</v>
      </c>
      <c r="H13" s="2">
        <v>343.20691310609698</v>
      </c>
      <c r="I13" s="1">
        <v>3.7719969395562298</v>
      </c>
      <c r="J13" s="2">
        <v>342.95942720763702</v>
      </c>
      <c r="K13" s="1">
        <v>0.56857855361595999</v>
      </c>
      <c r="N13" s="3">
        <f t="shared" si="1"/>
        <v>342.941176470588</v>
      </c>
      <c r="O13" s="21">
        <f t="shared" si="2"/>
        <v>194772.53680402372</v>
      </c>
      <c r="P13" s="3">
        <f t="shared" si="3"/>
        <v>343.00202839756503</v>
      </c>
      <c r="Q13" s="17">
        <f t="shared" si="4"/>
        <v>-1.7851590106007E-4</v>
      </c>
      <c r="R13" s="3">
        <f t="shared" si="5"/>
        <v>343.20691310609698</v>
      </c>
      <c r="S13" s="24">
        <f t="shared" si="6"/>
        <v>3.7719969395562298</v>
      </c>
      <c r="T13" s="3">
        <f t="shared" si="7"/>
        <v>342.95942720763702</v>
      </c>
      <c r="U13" s="51">
        <f t="shared" si="8"/>
        <v>0.56857855361595999</v>
      </c>
      <c r="V13" s="42">
        <f t="shared" si="9"/>
        <v>0.56435574047306114</v>
      </c>
      <c r="W13" s="49">
        <f t="shared" si="10"/>
        <v>7.4269652206247353E-3</v>
      </c>
    </row>
    <row r="14" spans="1:23" x14ac:dyDescent="0.6">
      <c r="B14" s="2"/>
      <c r="C14" s="1"/>
      <c r="D14" s="2">
        <v>352.941176470588</v>
      </c>
      <c r="E14" s="44">
        <v>5.2570150424481803E-6</v>
      </c>
      <c r="F14" s="2">
        <v>352.941176470588</v>
      </c>
      <c r="G14" s="1">
        <v>-186.57243816254399</v>
      </c>
      <c r="H14" s="2">
        <v>353.384541526644</v>
      </c>
      <c r="I14" s="1">
        <v>3.7811782708492698</v>
      </c>
      <c r="J14" s="2">
        <v>352.696897374701</v>
      </c>
      <c r="K14" s="1">
        <v>0.62344139650872799</v>
      </c>
      <c r="N14" s="3">
        <f t="shared" si="1"/>
        <v>352.941176470588</v>
      </c>
      <c r="O14" s="21">
        <f t="shared" si="2"/>
        <v>190222.01609191176</v>
      </c>
      <c r="P14" s="3">
        <f t="shared" si="3"/>
        <v>352.941176470588</v>
      </c>
      <c r="Q14" s="17">
        <f t="shared" si="4"/>
        <v>-1.8657243816254398E-4</v>
      </c>
      <c r="R14" s="3">
        <f t="shared" si="5"/>
        <v>353.384541526644</v>
      </c>
      <c r="S14" s="24">
        <f t="shared" si="6"/>
        <v>3.7811782708492698</v>
      </c>
      <c r="T14" s="3">
        <f t="shared" si="7"/>
        <v>352.696897374701</v>
      </c>
      <c r="U14" s="51">
        <f t="shared" si="8"/>
        <v>0.62344139650872799</v>
      </c>
      <c r="V14" s="42">
        <f t="shared" si="9"/>
        <v>0.61763264142983965</v>
      </c>
      <c r="W14" s="49">
        <f t="shared" si="10"/>
        <v>9.3172431465368983E-3</v>
      </c>
    </row>
    <row r="15" spans="1:23" x14ac:dyDescent="0.6">
      <c r="B15" s="2"/>
      <c r="C15" s="1"/>
      <c r="D15" s="2">
        <v>362.941176470588</v>
      </c>
      <c r="E15" s="44">
        <v>5.3573839476732896E-6</v>
      </c>
      <c r="F15" s="2">
        <v>362.88032454361002</v>
      </c>
      <c r="G15" s="1">
        <v>-184.240282685512</v>
      </c>
      <c r="H15" s="2">
        <v>363.37013922227499</v>
      </c>
      <c r="I15" s="1">
        <v>3.7260902830910401</v>
      </c>
      <c r="J15" s="2">
        <v>362.81622911694501</v>
      </c>
      <c r="K15" s="1">
        <v>0.62244389027431402</v>
      </c>
      <c r="N15" s="3">
        <f t="shared" si="1"/>
        <v>362.941176470588</v>
      </c>
      <c r="O15" s="21">
        <f t="shared" si="2"/>
        <v>186658.26637911581</v>
      </c>
      <c r="P15" s="3">
        <f t="shared" si="3"/>
        <v>362.88032454361002</v>
      </c>
      <c r="Q15" s="17">
        <f t="shared" si="4"/>
        <v>-1.84240282685512E-4</v>
      </c>
      <c r="R15" s="3">
        <f t="shared" si="5"/>
        <v>363.37013922227499</v>
      </c>
      <c r="S15" s="24">
        <f t="shared" si="6"/>
        <v>3.7260902830910401</v>
      </c>
      <c r="T15" s="3">
        <f t="shared" si="7"/>
        <v>362.81622911694501</v>
      </c>
      <c r="U15" s="51">
        <f t="shared" si="8"/>
        <v>0.62244389027431402</v>
      </c>
      <c r="V15" s="42">
        <f t="shared" si="9"/>
        <v>0.6169496783428402</v>
      </c>
      <c r="W15" s="49">
        <f t="shared" si="10"/>
        <v>8.8268388802924674E-3</v>
      </c>
    </row>
    <row r="16" spans="1:23" x14ac:dyDescent="0.6">
      <c r="B16" s="2"/>
      <c r="C16" s="1"/>
      <c r="D16" s="2">
        <v>372.941176470588</v>
      </c>
      <c r="E16" s="44">
        <v>5.4596691337259599E-6</v>
      </c>
      <c r="F16" s="2">
        <v>373.02231237322502</v>
      </c>
      <c r="G16" s="1">
        <v>-186.67844522968099</v>
      </c>
      <c r="H16" s="2">
        <v>372.97167546807401</v>
      </c>
      <c r="I16" s="1">
        <v>3.6710022953328201</v>
      </c>
      <c r="J16" s="2">
        <v>372.74463007159898</v>
      </c>
      <c r="K16" s="1">
        <v>0.65735660847880295</v>
      </c>
      <c r="N16" s="3">
        <f t="shared" si="1"/>
        <v>372.941176470588</v>
      </c>
      <c r="O16" s="21">
        <f t="shared" si="2"/>
        <v>183161.28239762917</v>
      </c>
      <c r="P16" s="3">
        <f t="shared" si="3"/>
        <v>373.02231237322502</v>
      </c>
      <c r="Q16" s="17">
        <f t="shared" si="4"/>
        <v>-1.8667844522968097E-4</v>
      </c>
      <c r="R16" s="3">
        <f t="shared" si="5"/>
        <v>372.97167546807401</v>
      </c>
      <c r="S16" s="24">
        <f t="shared" si="6"/>
        <v>3.6710022953328201</v>
      </c>
      <c r="T16" s="3">
        <f t="shared" si="7"/>
        <v>372.74463007159898</v>
      </c>
      <c r="U16" s="51">
        <f t="shared" si="8"/>
        <v>0.65735660847880295</v>
      </c>
      <c r="V16" s="42">
        <f t="shared" si="9"/>
        <v>0.64811006405463456</v>
      </c>
      <c r="W16" s="49">
        <f t="shared" si="10"/>
        <v>1.406625308835935E-2</v>
      </c>
    </row>
    <row r="17" spans="2:23" x14ac:dyDescent="0.6">
      <c r="B17" s="2"/>
      <c r="C17" s="1"/>
      <c r="D17" s="2">
        <v>382.941176470588</v>
      </c>
      <c r="E17" s="44">
        <v>5.5639071869593298E-6</v>
      </c>
      <c r="F17" s="2">
        <v>382.96146044624697</v>
      </c>
      <c r="G17" s="1">
        <v>-190.91872791519401</v>
      </c>
      <c r="H17" s="2">
        <v>382.95727316370602</v>
      </c>
      <c r="I17" s="1">
        <v>3.6434583014537099</v>
      </c>
      <c r="J17" s="2">
        <v>382.86396181384202</v>
      </c>
      <c r="K17" s="1">
        <v>0.69526184538653302</v>
      </c>
      <c r="N17" s="3">
        <f t="shared" si="1"/>
        <v>382.941176470588</v>
      </c>
      <c r="O17" s="21">
        <f t="shared" si="2"/>
        <v>179729.81331245013</v>
      </c>
      <c r="P17" s="3">
        <f t="shared" si="3"/>
        <v>382.96146044624697</v>
      </c>
      <c r="Q17" s="17">
        <f t="shared" si="4"/>
        <v>-1.9091872791519401E-4</v>
      </c>
      <c r="R17" s="3">
        <f t="shared" si="5"/>
        <v>382.95727316370602</v>
      </c>
      <c r="S17" s="24">
        <f t="shared" si="6"/>
        <v>3.6434583014537099</v>
      </c>
      <c r="T17" s="3">
        <f t="shared" si="7"/>
        <v>382.86396181384202</v>
      </c>
      <c r="U17" s="51">
        <f t="shared" si="8"/>
        <v>0.69526184538653302</v>
      </c>
      <c r="V17" s="42">
        <f t="shared" si="9"/>
        <v>0.68841111342418493</v>
      </c>
      <c r="W17" s="49">
        <f t="shared" si="10"/>
        <v>9.853455942975561E-3</v>
      </c>
    </row>
    <row r="18" spans="2:23" x14ac:dyDescent="0.6">
      <c r="B18" s="2"/>
      <c r="C18" s="1"/>
      <c r="D18" s="2">
        <v>392.941176470588</v>
      </c>
      <c r="E18" s="44">
        <v>5.6701353922469404E-6</v>
      </c>
      <c r="F18" s="2">
        <v>392.90060851926899</v>
      </c>
      <c r="G18" s="1">
        <v>-187.844522968197</v>
      </c>
      <c r="H18" s="2">
        <v>393.13490158425299</v>
      </c>
      <c r="I18" s="1">
        <v>3.5929609793420001</v>
      </c>
      <c r="J18" s="2">
        <v>392.98329355608502</v>
      </c>
      <c r="K18" s="1">
        <v>0.69127182044887703</v>
      </c>
      <c r="N18" s="3">
        <f t="shared" si="1"/>
        <v>392.941176470588</v>
      </c>
      <c r="O18" s="21">
        <f t="shared" si="2"/>
        <v>176362.63172257756</v>
      </c>
      <c r="P18" s="3">
        <f t="shared" si="3"/>
        <v>392.90060851926899</v>
      </c>
      <c r="Q18" s="17">
        <f t="shared" si="4"/>
        <v>-1.8784452296819699E-4</v>
      </c>
      <c r="R18" s="3">
        <f t="shared" si="5"/>
        <v>393.13490158425299</v>
      </c>
      <c r="S18" s="24">
        <f t="shared" si="6"/>
        <v>3.5929609793420001</v>
      </c>
      <c r="T18" s="3">
        <f t="shared" si="7"/>
        <v>392.98329355608502</v>
      </c>
      <c r="U18" s="51">
        <f t="shared" si="8"/>
        <v>0.69127182044887703</v>
      </c>
      <c r="V18" s="42">
        <f t="shared" si="9"/>
        <v>0.68065216740820034</v>
      </c>
      <c r="W18" s="49">
        <f t="shared" si="10"/>
        <v>1.5362485098525822E-2</v>
      </c>
    </row>
    <row r="19" spans="2:23" x14ac:dyDescent="0.6">
      <c r="B19" s="2"/>
      <c r="C19" s="1"/>
      <c r="D19" s="2">
        <v>402.941176470588</v>
      </c>
      <c r="E19" s="44">
        <v>5.7783917463191103E-6</v>
      </c>
      <c r="F19" s="2">
        <v>403.04259634888399</v>
      </c>
      <c r="G19" s="1">
        <v>-193.250883392226</v>
      </c>
      <c r="H19" s="2">
        <v>402.92846855496799</v>
      </c>
      <c r="I19" s="1">
        <v>3.5837796480489601</v>
      </c>
      <c r="J19" s="2">
        <v>402.91169451073898</v>
      </c>
      <c r="K19" s="1">
        <v>0.73715710723191996</v>
      </c>
      <c r="N19" s="3">
        <f t="shared" si="1"/>
        <v>402.941176470588</v>
      </c>
      <c r="O19" s="21">
        <f t="shared" si="2"/>
        <v>173058.53322198332</v>
      </c>
      <c r="P19" s="3">
        <f t="shared" si="3"/>
        <v>403.04259634888399</v>
      </c>
      <c r="Q19" s="17">
        <f t="shared" si="4"/>
        <v>-1.93250883392226E-4</v>
      </c>
      <c r="R19" s="3">
        <f t="shared" si="5"/>
        <v>402.92846855496799</v>
      </c>
      <c r="S19" s="24">
        <f t="shared" si="6"/>
        <v>3.5837796480489601</v>
      </c>
      <c r="T19" s="3">
        <f t="shared" si="7"/>
        <v>402.91169451073898</v>
      </c>
      <c r="U19" s="51">
        <f t="shared" si="8"/>
        <v>0.73715710723191996</v>
      </c>
      <c r="V19" s="42">
        <f t="shared" si="9"/>
        <v>0.72661535014117129</v>
      </c>
      <c r="W19" s="49">
        <f t="shared" si="10"/>
        <v>1.4300556811198304E-2</v>
      </c>
    </row>
    <row r="20" spans="2:23" x14ac:dyDescent="0.6">
      <c r="B20" s="2"/>
      <c r="C20" s="1"/>
      <c r="D20" s="2">
        <v>412.941176470588</v>
      </c>
      <c r="E20" s="44">
        <v>5.8887149713539999E-6</v>
      </c>
      <c r="F20" s="2">
        <v>412.981744421906</v>
      </c>
      <c r="G20" s="1">
        <v>-193.356890459363</v>
      </c>
      <c r="H20" s="2">
        <v>413.10609697551598</v>
      </c>
      <c r="I20" s="1">
        <v>3.5103289977046601</v>
      </c>
      <c r="J20" s="2">
        <v>412.64916467780398</v>
      </c>
      <c r="K20" s="1">
        <v>0.76009975062344104</v>
      </c>
      <c r="N20" s="3">
        <f t="shared" si="1"/>
        <v>412.941176470588</v>
      </c>
      <c r="O20" s="21">
        <f t="shared" si="2"/>
        <v>169816.33596880792</v>
      </c>
      <c r="P20" s="3">
        <f t="shared" si="3"/>
        <v>412.981744421906</v>
      </c>
      <c r="Q20" s="17">
        <f t="shared" si="4"/>
        <v>-1.9335689045936298E-4</v>
      </c>
      <c r="R20" s="3">
        <f t="shared" si="5"/>
        <v>413.10609697551598</v>
      </c>
      <c r="S20" s="24">
        <f t="shared" si="6"/>
        <v>3.5103289977046601</v>
      </c>
      <c r="T20" s="3">
        <f t="shared" si="7"/>
        <v>412.64916467780398</v>
      </c>
      <c r="U20" s="51">
        <f t="shared" si="8"/>
        <v>0.76009975062344104</v>
      </c>
      <c r="V20" s="42">
        <f t="shared" si="9"/>
        <v>0.74633175626125303</v>
      </c>
      <c r="W20" s="49">
        <f t="shared" si="10"/>
        <v>1.811340465629066E-2</v>
      </c>
    </row>
    <row r="21" spans="2:23" x14ac:dyDescent="0.6">
      <c r="B21" s="2"/>
      <c r="C21" s="1"/>
      <c r="D21" s="2">
        <v>422.941176470588</v>
      </c>
      <c r="E21" s="44">
        <v>6.0011445288281701E-6</v>
      </c>
      <c r="F21" s="2">
        <v>422.92089249492898</v>
      </c>
      <c r="G21" s="1">
        <v>-196.643109540636</v>
      </c>
      <c r="H21" s="2">
        <v>423.09169467114702</v>
      </c>
      <c r="I21" s="1">
        <v>3.4965570007651099</v>
      </c>
      <c r="J21" s="2">
        <v>422.95942720763702</v>
      </c>
      <c r="K21" s="1">
        <v>0.79600997506234406</v>
      </c>
      <c r="N21" s="3">
        <f t="shared" si="1"/>
        <v>422.941176470588</v>
      </c>
      <c r="O21" s="21">
        <f t="shared" si="2"/>
        <v>166634.8802626268</v>
      </c>
      <c r="P21" s="3">
        <f t="shared" si="3"/>
        <v>422.92089249492898</v>
      </c>
      <c r="Q21" s="17">
        <f t="shared" si="4"/>
        <v>-1.9664310954063598E-4</v>
      </c>
      <c r="R21" s="3">
        <f t="shared" si="5"/>
        <v>423.09169467114702</v>
      </c>
      <c r="S21" s="24">
        <f t="shared" si="6"/>
        <v>3.4965570007651099</v>
      </c>
      <c r="T21" s="3">
        <f t="shared" si="7"/>
        <v>422.95942720763702</v>
      </c>
      <c r="U21" s="51">
        <f t="shared" si="8"/>
        <v>0.79600997506234406</v>
      </c>
      <c r="V21" s="42">
        <f t="shared" si="9"/>
        <v>0.77943782349123214</v>
      </c>
      <c r="W21" s="49">
        <f t="shared" si="10"/>
        <v>2.0819025000049746E-2</v>
      </c>
    </row>
    <row r="22" spans="2:23" x14ac:dyDescent="0.6">
      <c r="B22" s="2"/>
      <c r="C22" s="1"/>
      <c r="D22" s="2">
        <v>432.941176470588</v>
      </c>
      <c r="E22" s="1">
        <v>6.1157206336314897E-6</v>
      </c>
      <c r="F22" s="2">
        <v>433.06288032454302</v>
      </c>
      <c r="G22" s="1">
        <v>-200.14134275618301</v>
      </c>
      <c r="H22" s="2">
        <v>433.07729236677801</v>
      </c>
      <c r="I22" s="1">
        <v>3.5057383320581401</v>
      </c>
      <c r="J22" s="2">
        <v>432.696897374701</v>
      </c>
      <c r="K22" s="1">
        <v>0.82493765586034895</v>
      </c>
      <c r="N22" s="3">
        <f t="shared" si="1"/>
        <v>432.941176470588</v>
      </c>
      <c r="O22" s="21">
        <f t="shared" si="2"/>
        <v>163513.0281296391</v>
      </c>
      <c r="P22" s="3">
        <f t="shared" si="3"/>
        <v>433.06288032454302</v>
      </c>
      <c r="Q22" s="17">
        <f t="shared" si="4"/>
        <v>-2.0014134275618301E-4</v>
      </c>
      <c r="R22" s="3">
        <f t="shared" si="5"/>
        <v>433.07729236677801</v>
      </c>
      <c r="S22" s="24">
        <f t="shared" si="6"/>
        <v>3.5057383320581401</v>
      </c>
      <c r="T22" s="3">
        <f t="shared" si="7"/>
        <v>432.696897374701</v>
      </c>
      <c r="U22" s="51">
        <f t="shared" si="8"/>
        <v>0.82493765586034895</v>
      </c>
      <c r="V22" s="42">
        <f t="shared" si="9"/>
        <v>0.80840736884166742</v>
      </c>
      <c r="W22" s="49">
        <f t="shared" si="10"/>
        <v>2.0038225799550471E-2</v>
      </c>
    </row>
    <row r="23" spans="2:23" x14ac:dyDescent="0.6">
      <c r="B23" s="28"/>
      <c r="C23" s="29"/>
      <c r="D23" s="28">
        <v>442.941176470588</v>
      </c>
      <c r="E23" s="29">
        <v>6.2324842684515704E-6</v>
      </c>
      <c r="F23" s="28">
        <v>443.00202839756503</v>
      </c>
      <c r="G23" s="29">
        <v>-199.50530035335601</v>
      </c>
      <c r="H23" s="28">
        <v>443.06289006241002</v>
      </c>
      <c r="I23" s="29">
        <v>3.4506503442999201</v>
      </c>
      <c r="J23" s="28">
        <v>443.00715990453398</v>
      </c>
      <c r="K23" s="29">
        <v>0.84189526184538599</v>
      </c>
      <c r="N23" s="3">
        <f t="shared" si="1"/>
        <v>442.941176470588</v>
      </c>
      <c r="O23" s="21">
        <f t="shared" si="2"/>
        <v>160449.66291562657</v>
      </c>
      <c r="P23" s="3">
        <f t="shared" si="3"/>
        <v>443.00202839756503</v>
      </c>
      <c r="Q23" s="17">
        <f t="shared" si="4"/>
        <v>-1.9950530035335601E-4</v>
      </c>
      <c r="R23" s="3">
        <f t="shared" si="5"/>
        <v>443.06289006241002</v>
      </c>
      <c r="S23" s="24">
        <f t="shared" si="6"/>
        <v>3.4506503442999201</v>
      </c>
      <c r="T23" s="3">
        <f t="shared" si="7"/>
        <v>443.00715990453398</v>
      </c>
      <c r="U23" s="51">
        <f t="shared" si="8"/>
        <v>0.84189526184538599</v>
      </c>
      <c r="V23" s="42">
        <f t="shared" si="9"/>
        <v>0.81989356282789205</v>
      </c>
      <c r="W23" s="49">
        <f t="shared" si="10"/>
        <v>2.6133534674215267E-2</v>
      </c>
    </row>
    <row r="24" spans="2:23" x14ac:dyDescent="0.6">
      <c r="B24" s="2"/>
      <c r="C24" s="1"/>
      <c r="D24" s="2">
        <v>452.941176470588</v>
      </c>
      <c r="E24" s="1">
        <v>6.35147719843297E-6</v>
      </c>
      <c r="F24" s="2">
        <v>452.941176470588</v>
      </c>
      <c r="G24" s="1">
        <v>-202.26148409893901</v>
      </c>
      <c r="H24" s="2">
        <v>453.04848775804101</v>
      </c>
      <c r="I24" s="1">
        <v>3.4185156847742899</v>
      </c>
      <c r="J24" s="2">
        <v>452.935560859188</v>
      </c>
      <c r="K24" s="1">
        <v>0.87481296758104699</v>
      </c>
      <c r="N24" s="3">
        <f t="shared" si="1"/>
        <v>452.941176470588</v>
      </c>
      <c r="O24" s="21">
        <f t="shared" si="2"/>
        <v>157443.68888653477</v>
      </c>
      <c r="P24" s="3">
        <f t="shared" si="3"/>
        <v>452.941176470588</v>
      </c>
      <c r="Q24" s="17">
        <f t="shared" si="4"/>
        <v>-2.0226148409893899E-4</v>
      </c>
      <c r="R24" s="3">
        <f t="shared" si="5"/>
        <v>453.04848775804101</v>
      </c>
      <c r="S24" s="24">
        <f t="shared" si="6"/>
        <v>3.4185156847742899</v>
      </c>
      <c r="T24" s="3">
        <f t="shared" si="7"/>
        <v>452.935560859188</v>
      </c>
      <c r="U24" s="51">
        <f t="shared" si="8"/>
        <v>0.87481296758104699</v>
      </c>
      <c r="V24" s="42">
        <f t="shared" si="9"/>
        <v>0.85339575505729171</v>
      </c>
      <c r="W24" s="49">
        <f t="shared" si="10"/>
        <v>2.4482047383198036E-2</v>
      </c>
    </row>
    <row r="25" spans="2:23" x14ac:dyDescent="0.6">
      <c r="B25" s="2"/>
      <c r="C25" s="1"/>
      <c r="D25" s="2">
        <v>462.941176470588</v>
      </c>
      <c r="E25" s="1">
        <v>6.4727419861159998E-6</v>
      </c>
      <c r="F25" s="2">
        <v>463.08316430020199</v>
      </c>
      <c r="G25" s="1">
        <v>-205.229681978798</v>
      </c>
      <c r="H25" s="2">
        <v>463.03408545367199</v>
      </c>
      <c r="I25" s="1">
        <v>3.3863810252486601</v>
      </c>
      <c r="J25" s="2">
        <v>463.05489260143099</v>
      </c>
      <c r="K25" s="1">
        <v>0.90972568578553603</v>
      </c>
      <c r="N25" s="3">
        <f t="shared" si="1"/>
        <v>462.941176470588</v>
      </c>
      <c r="O25" s="21">
        <f t="shared" si="2"/>
        <v>154494.03083654426</v>
      </c>
      <c r="P25" s="3">
        <f t="shared" si="3"/>
        <v>463.08316430020199</v>
      </c>
      <c r="Q25" s="17">
        <f t="shared" si="4"/>
        <v>-2.05229681978798E-4</v>
      </c>
      <c r="R25" s="3">
        <f t="shared" si="5"/>
        <v>463.03408545367199</v>
      </c>
      <c r="S25" s="24">
        <f t="shared" si="6"/>
        <v>3.3863810252486601</v>
      </c>
      <c r="T25" s="3">
        <f t="shared" si="7"/>
        <v>463.05489260143099</v>
      </c>
      <c r="U25" s="51">
        <f t="shared" si="8"/>
        <v>0.90972568578553603</v>
      </c>
      <c r="V25" s="42">
        <f t="shared" si="9"/>
        <v>0.88979242446215834</v>
      </c>
      <c r="W25" s="49">
        <f t="shared" si="10"/>
        <v>2.1911287803383927E-2</v>
      </c>
    </row>
    <row r="26" spans="2:23" x14ac:dyDescent="0.6">
      <c r="B26" s="2"/>
      <c r="C26" s="1"/>
      <c r="D26" s="2">
        <v>472.941176470588</v>
      </c>
      <c r="E26" s="1">
        <v>6.59632200666099E-6</v>
      </c>
      <c r="F26" s="2">
        <v>473.02231237322502</v>
      </c>
      <c r="G26" s="1">
        <v>-205.65371024734901</v>
      </c>
      <c r="H26" s="2">
        <v>473.01968314930298</v>
      </c>
      <c r="I26" s="1">
        <v>3.3634276970160601</v>
      </c>
      <c r="J26" s="2">
        <v>472.98329355608502</v>
      </c>
      <c r="K26" s="1">
        <v>0.932668329177057</v>
      </c>
      <c r="N26" s="3">
        <f t="shared" si="1"/>
        <v>472.941176470588</v>
      </c>
      <c r="O26" s="21">
        <f t="shared" si="2"/>
        <v>151599.63370347844</v>
      </c>
      <c r="P26" s="3">
        <f t="shared" si="3"/>
        <v>473.02231237322502</v>
      </c>
      <c r="Q26" s="17">
        <f t="shared" si="4"/>
        <v>-2.05653710247349E-4</v>
      </c>
      <c r="R26" s="3">
        <f t="shared" si="5"/>
        <v>473.01968314930298</v>
      </c>
      <c r="S26" s="24">
        <f t="shared" si="6"/>
        <v>3.3634276970160601</v>
      </c>
      <c r="T26" s="3">
        <f t="shared" si="7"/>
        <v>472.98329355608502</v>
      </c>
      <c r="U26" s="51">
        <f t="shared" si="8"/>
        <v>0.932668329177057</v>
      </c>
      <c r="V26" s="42">
        <f t="shared" si="9"/>
        <v>0.90164370544811812</v>
      </c>
      <c r="W26" s="49">
        <f t="shared" si="10"/>
        <v>3.3264369292258011E-2</v>
      </c>
    </row>
    <row r="27" spans="2:23" x14ac:dyDescent="0.6">
      <c r="B27" s="2"/>
      <c r="C27" s="1"/>
      <c r="D27" s="2">
        <v>482.941176470588</v>
      </c>
      <c r="E27" s="1">
        <v>6.69055295310012E-6</v>
      </c>
      <c r="F27" s="2">
        <v>482.96146044624697</v>
      </c>
      <c r="G27" s="1">
        <v>-206.501766784452</v>
      </c>
      <c r="H27" s="2">
        <v>483.00528084493499</v>
      </c>
      <c r="I27" s="1">
        <v>3.3588370313695401</v>
      </c>
      <c r="J27" s="2">
        <v>482.91169451073898</v>
      </c>
      <c r="K27" s="1">
        <v>0.94862842892768096</v>
      </c>
      <c r="N27" s="3">
        <f t="shared" si="1"/>
        <v>482.941176470588</v>
      </c>
      <c r="O27" s="21">
        <f t="shared" si="2"/>
        <v>149464.4773025288</v>
      </c>
      <c r="P27" s="3">
        <f t="shared" si="3"/>
        <v>482.96146044624697</v>
      </c>
      <c r="Q27" s="17">
        <f t="shared" si="4"/>
        <v>-2.0650176678445198E-4</v>
      </c>
      <c r="R27" s="3">
        <f t="shared" si="5"/>
        <v>483.00528084493499</v>
      </c>
      <c r="S27" s="24">
        <f t="shared" si="6"/>
        <v>3.3588370313695401</v>
      </c>
      <c r="T27" s="3">
        <f t="shared" si="7"/>
        <v>482.91169451073898</v>
      </c>
      <c r="U27" s="51">
        <f t="shared" si="8"/>
        <v>0.94862842892768096</v>
      </c>
      <c r="V27" s="42">
        <f t="shared" si="9"/>
        <v>0.91635619700997617</v>
      </c>
      <c r="W27" s="49">
        <f t="shared" si="10"/>
        <v>3.4019886958463766E-2</v>
      </c>
    </row>
    <row r="28" spans="2:23" x14ac:dyDescent="0.6">
      <c r="B28" s="2"/>
      <c r="C28" s="1"/>
      <c r="D28" s="2">
        <v>492.941176470588</v>
      </c>
      <c r="E28" s="1">
        <v>6.7222614633630998E-6</v>
      </c>
      <c r="F28" s="2">
        <v>492.90060851926899</v>
      </c>
      <c r="G28" s="1">
        <v>-205.65371024734901</v>
      </c>
      <c r="H28" s="2">
        <v>492.99087854056597</v>
      </c>
      <c r="I28" s="1">
        <v>3.3863810252486601</v>
      </c>
      <c r="J28" s="2">
        <v>493.031026252983</v>
      </c>
      <c r="K28" s="1">
        <v>0.94164588528678295</v>
      </c>
      <c r="N28" s="3">
        <f t="shared" si="1"/>
        <v>492.941176470588</v>
      </c>
      <c r="O28" s="21">
        <f t="shared" si="2"/>
        <v>148759.46219141959</v>
      </c>
      <c r="P28" s="3">
        <f t="shared" si="3"/>
        <v>492.90060851926899</v>
      </c>
      <c r="Q28" s="17">
        <f t="shared" si="4"/>
        <v>-2.05653710247349E-4</v>
      </c>
      <c r="R28" s="3">
        <f t="shared" si="5"/>
        <v>492.99087854056597</v>
      </c>
      <c r="S28" s="24">
        <f t="shared" si="6"/>
        <v>3.3863810252486601</v>
      </c>
      <c r="T28" s="3">
        <f t="shared" si="7"/>
        <v>493.031026252983</v>
      </c>
      <c r="U28" s="51">
        <f t="shared" si="8"/>
        <v>0.94164588528678295</v>
      </c>
      <c r="V28" s="42">
        <f t="shared" si="9"/>
        <v>0.91600137577751783</v>
      </c>
      <c r="W28" s="49">
        <f t="shared" si="10"/>
        <v>2.7233708456608344E-2</v>
      </c>
    </row>
    <row r="29" spans="2:23" x14ac:dyDescent="0.6">
      <c r="B29" s="2"/>
      <c r="C29" s="1"/>
      <c r="D29" s="2">
        <v>502.941176470588</v>
      </c>
      <c r="E29" s="1">
        <v>6.7541202496391604E-6</v>
      </c>
      <c r="F29" s="2">
        <v>503.04259634888399</v>
      </c>
      <c r="G29" s="1">
        <v>-208.93992932862099</v>
      </c>
      <c r="H29" s="2">
        <v>502.97647623619702</v>
      </c>
      <c r="I29" s="1">
        <v>3.3450650344299899</v>
      </c>
      <c r="J29" s="2">
        <v>502.95942720763702</v>
      </c>
      <c r="K29" s="1">
        <v>0.994513715710723</v>
      </c>
      <c r="N29" s="3">
        <f t="shared" si="1"/>
        <v>502.941176470588</v>
      </c>
      <c r="O29" s="21">
        <f t="shared" si="2"/>
        <v>148057.77259494679</v>
      </c>
      <c r="P29" s="3">
        <f t="shared" si="3"/>
        <v>503.04259634888399</v>
      </c>
      <c r="Q29" s="17">
        <f t="shared" si="4"/>
        <v>-2.0893992932862097E-4</v>
      </c>
      <c r="R29" s="3">
        <f t="shared" si="5"/>
        <v>502.97647623619702</v>
      </c>
      <c r="S29" s="24">
        <f t="shared" si="6"/>
        <v>3.3450650344299899</v>
      </c>
      <c r="T29" s="3">
        <f t="shared" si="7"/>
        <v>502.95942720763702</v>
      </c>
      <c r="U29" s="51">
        <f t="shared" si="8"/>
        <v>0.994513715710723</v>
      </c>
      <c r="V29" s="42">
        <f t="shared" si="9"/>
        <v>0.97185726493694657</v>
      </c>
      <c r="W29" s="49">
        <f t="shared" si="10"/>
        <v>2.2781436209338889E-2</v>
      </c>
    </row>
    <row r="30" spans="2:23" x14ac:dyDescent="0.6">
      <c r="B30" s="2"/>
      <c r="C30" s="1"/>
      <c r="D30" s="2">
        <v>512.94117647058795</v>
      </c>
      <c r="E30" s="1">
        <v>6.7541202496391799E-6</v>
      </c>
      <c r="F30" s="2">
        <v>512.981744421906</v>
      </c>
      <c r="G30" s="1">
        <v>-207.77385159010601</v>
      </c>
      <c r="H30" s="2">
        <v>512.96207393182897</v>
      </c>
      <c r="I30" s="1">
        <v>3.2945677123182802</v>
      </c>
      <c r="J30" s="2">
        <v>513.07875894988001</v>
      </c>
      <c r="K30" s="1">
        <v>1.0094763092269301</v>
      </c>
      <c r="N30" s="3">
        <f t="shared" si="1"/>
        <v>512.94117647058795</v>
      </c>
      <c r="O30" s="21">
        <f t="shared" si="2"/>
        <v>148057.77259494635</v>
      </c>
      <c r="P30" s="3">
        <f t="shared" si="3"/>
        <v>512.981744421906</v>
      </c>
      <c r="Q30" s="17">
        <f t="shared" si="4"/>
        <v>-2.0777385159010599E-4</v>
      </c>
      <c r="R30" s="3">
        <f t="shared" si="5"/>
        <v>512.96207393182897</v>
      </c>
      <c r="S30" s="24">
        <f t="shared" si="6"/>
        <v>3.2945677123182802</v>
      </c>
      <c r="T30" s="3">
        <f t="shared" si="7"/>
        <v>513.07875894988001</v>
      </c>
      <c r="U30" s="51">
        <f t="shared" si="8"/>
        <v>1.0094763092269301</v>
      </c>
      <c r="V30" s="42">
        <f t="shared" si="9"/>
        <v>0.99540218626870247</v>
      </c>
      <c r="W30" s="49">
        <f t="shared" si="10"/>
        <v>1.3942004215042722E-2</v>
      </c>
    </row>
    <row r="31" spans="2:23" x14ac:dyDescent="0.6">
      <c r="B31" s="2"/>
      <c r="C31" s="1"/>
      <c r="D31" s="2">
        <v>522.94117647058795</v>
      </c>
      <c r="E31" s="1">
        <v>6.8182915024158503E-6</v>
      </c>
      <c r="F31" s="2">
        <v>522.92089249492903</v>
      </c>
      <c r="G31" s="1">
        <v>-210.742049469964</v>
      </c>
      <c r="H31" s="2">
        <v>522.94767162745995</v>
      </c>
      <c r="I31" s="1">
        <v>3.2762050497322099</v>
      </c>
      <c r="J31" s="2">
        <v>523.00715990453398</v>
      </c>
      <c r="K31" s="1">
        <v>1.0513715710723099</v>
      </c>
      <c r="N31" s="3">
        <f t="shared" si="1"/>
        <v>522.94117647058795</v>
      </c>
      <c r="O31" s="21">
        <f t="shared" si="2"/>
        <v>146664.30727487686</v>
      </c>
      <c r="P31" s="3">
        <f t="shared" si="3"/>
        <v>522.92089249492903</v>
      </c>
      <c r="Q31" s="17">
        <f t="shared" si="4"/>
        <v>-2.10742049469964E-4</v>
      </c>
      <c r="R31" s="3">
        <f t="shared" si="5"/>
        <v>522.94767162745995</v>
      </c>
      <c r="S31" s="24">
        <f t="shared" si="6"/>
        <v>3.2762050497322099</v>
      </c>
      <c r="T31" s="3">
        <f t="shared" si="7"/>
        <v>523.00715990453398</v>
      </c>
      <c r="U31" s="51">
        <f t="shared" si="8"/>
        <v>1.0513715710723099</v>
      </c>
      <c r="V31" s="42">
        <f t="shared" si="9"/>
        <v>1.0398325134129098</v>
      </c>
      <c r="W31" s="49">
        <f t="shared" si="10"/>
        <v>1.0975242223480751E-2</v>
      </c>
    </row>
    <row r="32" spans="2:23" x14ac:dyDescent="0.6">
      <c r="B32" s="2"/>
      <c r="C32" s="1"/>
      <c r="D32" s="2">
        <v>532.94117647058795</v>
      </c>
      <c r="E32" s="1">
        <v>6.8506054034634697E-6</v>
      </c>
      <c r="F32" s="2">
        <v>533.06288032454302</v>
      </c>
      <c r="G32" s="1">
        <v>-210.742049469964</v>
      </c>
      <c r="H32" s="2">
        <v>532.93326932309105</v>
      </c>
      <c r="I32" s="1">
        <v>3.2670237184391699</v>
      </c>
      <c r="J32" s="2">
        <v>532.93556085918794</v>
      </c>
      <c r="K32" s="1">
        <v>1.0643391521197001</v>
      </c>
      <c r="N32" s="3">
        <f t="shared" si="1"/>
        <v>532.94117647058795</v>
      </c>
      <c r="O32" s="21">
        <f t="shared" si="2"/>
        <v>145972.50040039216</v>
      </c>
      <c r="P32" s="3">
        <f t="shared" si="3"/>
        <v>533.06288032454302</v>
      </c>
      <c r="Q32" s="17">
        <f t="shared" si="4"/>
        <v>-2.10742049469964E-4</v>
      </c>
      <c r="R32" s="3">
        <f t="shared" si="5"/>
        <v>532.93326932309105</v>
      </c>
      <c r="S32" s="24">
        <f t="shared" si="6"/>
        <v>3.2670237184391699</v>
      </c>
      <c r="T32" s="3">
        <f t="shared" si="7"/>
        <v>532.93556085918794</v>
      </c>
      <c r="U32" s="51">
        <f t="shared" si="8"/>
        <v>1.0643391521197001</v>
      </c>
      <c r="V32" s="42">
        <f t="shared" si="9"/>
        <v>1.0575376999542112</v>
      </c>
      <c r="W32" s="49">
        <f t="shared" si="10"/>
        <v>6.3903053382404987E-3</v>
      </c>
    </row>
    <row r="33" spans="2:23" x14ac:dyDescent="0.6">
      <c r="B33" s="2"/>
      <c r="C33" s="1"/>
      <c r="D33" s="2">
        <v>542.94117647058795</v>
      </c>
      <c r="E33" s="1">
        <v>6.9813997342619897E-6</v>
      </c>
      <c r="F33" s="2">
        <v>543.00202839756503</v>
      </c>
      <c r="G33" s="1">
        <v>-213.07420494699599</v>
      </c>
      <c r="H33" s="2">
        <v>542.91886701872295</v>
      </c>
      <c r="I33" s="1">
        <v>3.2532517214996099</v>
      </c>
      <c r="J33" s="2">
        <v>543.05489260143099</v>
      </c>
      <c r="K33" s="1">
        <v>1.09925187032418</v>
      </c>
      <c r="N33" s="3">
        <f t="shared" si="1"/>
        <v>542.94117647058795</v>
      </c>
      <c r="O33" s="21">
        <f t="shared" si="2"/>
        <v>143237.75146298952</v>
      </c>
      <c r="P33" s="3">
        <f t="shared" si="3"/>
        <v>543.00202839756503</v>
      </c>
      <c r="Q33" s="17">
        <f t="shared" si="4"/>
        <v>-2.1307420494699598E-4</v>
      </c>
      <c r="R33" s="3">
        <f t="shared" si="5"/>
        <v>542.91886701872295</v>
      </c>
      <c r="S33" s="24">
        <f t="shared" si="6"/>
        <v>3.2532517214996099</v>
      </c>
      <c r="T33" s="3">
        <f t="shared" si="7"/>
        <v>543.05489260143099</v>
      </c>
      <c r="U33" s="51">
        <f t="shared" si="8"/>
        <v>1.09925187032418</v>
      </c>
      <c r="V33" s="42">
        <f t="shared" si="9"/>
        <v>1.0855386993218594</v>
      </c>
      <c r="W33" s="49">
        <f t="shared" si="10"/>
        <v>1.2475003566085783E-2</v>
      </c>
    </row>
    <row r="34" spans="2:23" x14ac:dyDescent="0.6">
      <c r="B34" s="2"/>
      <c r="C34" s="1"/>
      <c r="D34" s="2">
        <v>552.94117647058795</v>
      </c>
      <c r="E34" s="1">
        <v>7.0811316612002498E-6</v>
      </c>
      <c r="F34" s="2">
        <v>552.94117647058795</v>
      </c>
      <c r="G34" s="1">
        <v>-213.71024734982299</v>
      </c>
      <c r="H34" s="2">
        <v>552.90446471435405</v>
      </c>
      <c r="I34" s="1">
        <v>3.2302983932670202</v>
      </c>
      <c r="J34" s="2">
        <v>552.98329355608598</v>
      </c>
      <c r="K34" s="1">
        <v>1.12618453865336</v>
      </c>
      <c r="N34" s="3">
        <f t="shared" si="1"/>
        <v>552.94117647058795</v>
      </c>
      <c r="O34" s="21">
        <f t="shared" si="2"/>
        <v>141220.36530958954</v>
      </c>
      <c r="P34" s="3">
        <f t="shared" si="3"/>
        <v>552.94117647058795</v>
      </c>
      <c r="Q34" s="17">
        <f t="shared" si="4"/>
        <v>-2.1371024734982298E-4</v>
      </c>
      <c r="R34" s="3">
        <f t="shared" si="5"/>
        <v>552.90446471435405</v>
      </c>
      <c r="S34" s="24">
        <f t="shared" si="6"/>
        <v>3.2302983932670202</v>
      </c>
      <c r="T34" s="3">
        <f t="shared" si="7"/>
        <v>552.98329355608598</v>
      </c>
      <c r="U34" s="51">
        <f t="shared" si="8"/>
        <v>1.12618453865336</v>
      </c>
      <c r="V34" s="42">
        <f t="shared" si="9"/>
        <v>1.1041228403357262</v>
      </c>
      <c r="W34" s="49">
        <f t="shared" si="10"/>
        <v>1.9589771978235644E-2</v>
      </c>
    </row>
    <row r="35" spans="2:23" x14ac:dyDescent="0.6">
      <c r="B35" s="2"/>
      <c r="C35" s="1"/>
      <c r="D35" s="2">
        <v>562.94117647058795</v>
      </c>
      <c r="E35" s="1">
        <v>7.1484098666482801E-6</v>
      </c>
      <c r="F35" s="2">
        <v>563.08316430020204</v>
      </c>
      <c r="G35" s="1">
        <v>-216.57243816254399</v>
      </c>
      <c r="H35" s="2">
        <v>563.08209313490102</v>
      </c>
      <c r="I35" s="1">
        <v>3.2165263963274602</v>
      </c>
      <c r="J35" s="2">
        <v>562.91169451073904</v>
      </c>
      <c r="K35" s="1">
        <v>1.17306733167082</v>
      </c>
      <c r="N35" s="3">
        <f t="shared" si="1"/>
        <v>562.94117647058795</v>
      </c>
      <c r="O35" s="21">
        <f t="shared" si="2"/>
        <v>139891.2511530171</v>
      </c>
      <c r="P35" s="3">
        <f t="shared" si="3"/>
        <v>563.08316430020204</v>
      </c>
      <c r="Q35" s="17">
        <f t="shared" si="4"/>
        <v>-2.1657243816254398E-4</v>
      </c>
      <c r="R35" s="3">
        <f t="shared" si="5"/>
        <v>563.08209313490102</v>
      </c>
      <c r="S35" s="24">
        <f t="shared" si="6"/>
        <v>3.2165263963274602</v>
      </c>
      <c r="T35" s="3">
        <f t="shared" si="7"/>
        <v>562.91169451073904</v>
      </c>
      <c r="U35" s="51">
        <f t="shared" si="8"/>
        <v>1.17306733167082</v>
      </c>
      <c r="V35" s="42">
        <f t="shared" si="9"/>
        <v>1.1482860201742355</v>
      </c>
      <c r="W35" s="49">
        <f t="shared" si="10"/>
        <v>2.1125225149086727E-2</v>
      </c>
    </row>
    <row r="36" spans="2:23" x14ac:dyDescent="0.6">
      <c r="B36" s="2"/>
      <c r="C36" s="1"/>
      <c r="D36" s="2">
        <v>572.94117647058795</v>
      </c>
      <c r="E36" s="1">
        <v>7.2163272858752201E-6</v>
      </c>
      <c r="F36" s="2">
        <v>573.02231237322496</v>
      </c>
      <c r="G36" s="1">
        <v>-215.088339222614</v>
      </c>
      <c r="H36" s="2">
        <v>573.067690830532</v>
      </c>
      <c r="I36" s="1">
        <v>3.24866105585309</v>
      </c>
      <c r="J36" s="2">
        <v>573.031026252983</v>
      </c>
      <c r="K36" s="1">
        <v>1.1501246882792999</v>
      </c>
      <c r="N36" s="3">
        <f t="shared" si="1"/>
        <v>572.94117647058795</v>
      </c>
      <c r="O36" s="21">
        <f t="shared" si="2"/>
        <v>138574.64613021867</v>
      </c>
      <c r="P36" s="3">
        <f t="shared" si="3"/>
        <v>573.02231237322496</v>
      </c>
      <c r="Q36" s="17">
        <f t="shared" si="4"/>
        <v>-2.15088339222614E-4</v>
      </c>
      <c r="R36" s="3">
        <f t="shared" si="5"/>
        <v>573.067690830532</v>
      </c>
      <c r="S36" s="24">
        <f t="shared" si="6"/>
        <v>3.24866105585309</v>
      </c>
      <c r="T36" s="3">
        <f t="shared" si="7"/>
        <v>573.031026252983</v>
      </c>
      <c r="U36" s="51">
        <f t="shared" si="8"/>
        <v>1.1501246882792999</v>
      </c>
      <c r="V36" s="42">
        <f t="shared" si="9"/>
        <v>1.1308141794422084</v>
      </c>
      <c r="W36" s="49">
        <f t="shared" si="10"/>
        <v>1.6789926373967277E-2</v>
      </c>
    </row>
    <row r="37" spans="2:23" x14ac:dyDescent="0.6">
      <c r="B37" s="2"/>
      <c r="C37" s="1"/>
      <c r="D37" s="2">
        <v>582.94117647058795</v>
      </c>
      <c r="E37" s="1">
        <v>7.3194152414474302E-6</v>
      </c>
      <c r="F37" s="2">
        <v>592.90060851926899</v>
      </c>
      <c r="G37" s="1">
        <v>-215.088339222614</v>
      </c>
      <c r="H37" s="2">
        <v>583.05328852616401</v>
      </c>
      <c r="I37" s="1">
        <v>3.2394797245600602</v>
      </c>
      <c r="J37" s="2">
        <v>593.07875894988001</v>
      </c>
      <c r="K37" s="1">
        <v>1.1860349127181999</v>
      </c>
      <c r="N37" s="3">
        <f t="shared" si="1"/>
        <v>582.94117647058795</v>
      </c>
      <c r="O37" s="21">
        <f t="shared" si="2"/>
        <v>136622.93598774535</v>
      </c>
      <c r="P37" s="3">
        <f t="shared" si="3"/>
        <v>592.90060851926899</v>
      </c>
      <c r="Q37" s="17">
        <f t="shared" si="4"/>
        <v>-2.15088339222614E-4</v>
      </c>
      <c r="R37" s="3">
        <f t="shared" si="5"/>
        <v>583.05328852616401</v>
      </c>
      <c r="S37" s="24">
        <f t="shared" si="6"/>
        <v>3.2394797245600602</v>
      </c>
      <c r="T37" s="3">
        <f t="shared" si="7"/>
        <v>593.07875894988001</v>
      </c>
      <c r="U37" s="51">
        <f t="shared" si="8"/>
        <v>1.1860349127181999</v>
      </c>
      <c r="V37" s="42">
        <f>((O38*(Q37)^2)/S38)*T37</f>
        <v>1.1572646708112939</v>
      </c>
      <c r="W37" s="49">
        <f t="shared" si="10"/>
        <v>2.4257500009817832E-2</v>
      </c>
    </row>
    <row r="38" spans="2:23" x14ac:dyDescent="0.6">
      <c r="B38" s="2"/>
      <c r="C38" s="1"/>
      <c r="D38" s="2">
        <v>592.94117647058795</v>
      </c>
      <c r="E38" s="1">
        <v>7.4239758473254196E-6</v>
      </c>
      <c r="F38" s="2">
        <v>603.04259634888399</v>
      </c>
      <c r="G38" s="1">
        <v>-218.90459363957501</v>
      </c>
      <c r="H38" s="2">
        <v>593.038886221795</v>
      </c>
      <c r="I38" s="1">
        <v>3.19357306809487</v>
      </c>
      <c r="J38" s="2">
        <v>603.00715990453398</v>
      </c>
      <c r="K38" s="1">
        <v>1.2399002493765501</v>
      </c>
      <c r="N38" s="3">
        <f t="shared" si="1"/>
        <v>592.94117647058795</v>
      </c>
      <c r="O38" s="21">
        <f t="shared" si="2"/>
        <v>134698.71408057754</v>
      </c>
      <c r="P38" s="3">
        <f t="shared" si="3"/>
        <v>603.04259634888399</v>
      </c>
      <c r="Q38" s="17">
        <f t="shared" si="4"/>
        <v>-2.1890459363957501E-4</v>
      </c>
      <c r="R38" s="3">
        <f t="shared" si="5"/>
        <v>593.038886221795</v>
      </c>
      <c r="S38" s="24">
        <f t="shared" si="6"/>
        <v>3.19357306809487</v>
      </c>
      <c r="T38" s="3">
        <f t="shared" si="7"/>
        <v>603.00715990453398</v>
      </c>
      <c r="U38" s="51">
        <f t="shared" si="8"/>
        <v>1.2399002493765501</v>
      </c>
      <c r="V38" s="42">
        <f>((O39*(Q38)^2)/S39)*T38</f>
        <v>1.2125200853893836</v>
      </c>
      <c r="W38" s="49">
        <f t="shared" si="10"/>
        <v>2.2082553819094592E-2</v>
      </c>
    </row>
    <row r="39" spans="2:23" x14ac:dyDescent="0.6">
      <c r="B39" s="2"/>
      <c r="C39" s="1"/>
      <c r="D39" s="2">
        <v>602.94117647058795</v>
      </c>
      <c r="E39" s="1">
        <v>7.4945114334710904E-6</v>
      </c>
      <c r="F39" s="2">
        <v>622.92089249492903</v>
      </c>
      <c r="G39" s="1">
        <v>-219.96466431095399</v>
      </c>
      <c r="H39" s="2">
        <v>603.02448391742598</v>
      </c>
      <c r="I39" s="1">
        <v>3.17980107115531</v>
      </c>
      <c r="J39" s="2">
        <v>623.05489260143202</v>
      </c>
      <c r="K39" s="1">
        <v>1.26683291770573</v>
      </c>
      <c r="N39" s="3">
        <f t="shared" si="1"/>
        <v>602.94117647058795</v>
      </c>
      <c r="O39" s="21">
        <f t="shared" si="2"/>
        <v>133430.97930759296</v>
      </c>
      <c r="P39" s="3">
        <f t="shared" si="3"/>
        <v>622.92089249492903</v>
      </c>
      <c r="Q39" s="17">
        <f t="shared" si="4"/>
        <v>-2.1996466431095399E-4</v>
      </c>
      <c r="R39" s="3">
        <f t="shared" si="5"/>
        <v>603.02448391742598</v>
      </c>
      <c r="S39" s="24">
        <f t="shared" si="6"/>
        <v>3.17980107115531</v>
      </c>
      <c r="T39" s="3">
        <f t="shared" si="7"/>
        <v>623.05489260143202</v>
      </c>
      <c r="U39" s="51">
        <f t="shared" si="8"/>
        <v>1.26683291770573</v>
      </c>
      <c r="V39" s="42">
        <f>((O41*(Q39)^2)/S41)*T39</f>
        <v>1.2435880431202202</v>
      </c>
      <c r="W39" s="49">
        <f t="shared" si="10"/>
        <v>1.8348808481869063E-2</v>
      </c>
    </row>
    <row r="40" spans="2:23" x14ac:dyDescent="0.6">
      <c r="B40" s="2"/>
      <c r="C40" s="1"/>
      <c r="D40" s="2">
        <v>612.94117647058795</v>
      </c>
      <c r="E40" s="1">
        <v>7.5657171819415498E-6</v>
      </c>
      <c r="F40" s="2">
        <v>633.06288032454302</v>
      </c>
      <c r="G40" s="1">
        <v>-220.388692579505</v>
      </c>
      <c r="H40" s="2">
        <v>613.01008161305799</v>
      </c>
      <c r="I40" s="1">
        <v>3.19816373374139</v>
      </c>
      <c r="J40" s="2">
        <v>632.98329355608598</v>
      </c>
      <c r="K40" s="1">
        <v>1.26084788029925</v>
      </c>
      <c r="N40" s="3">
        <f t="shared" si="1"/>
        <v>612.94117647058795</v>
      </c>
      <c r="O40" s="21">
        <f t="shared" si="2"/>
        <v>132175.17598819037</v>
      </c>
      <c r="P40" s="3">
        <f t="shared" si="3"/>
        <v>633.06288032454302</v>
      </c>
      <c r="Q40" s="17">
        <f t="shared" si="4"/>
        <v>-2.2038869257950499E-4</v>
      </c>
      <c r="R40" s="3">
        <f t="shared" si="5"/>
        <v>613.01008161305799</v>
      </c>
      <c r="S40" s="24">
        <f t="shared" si="6"/>
        <v>3.19816373374139</v>
      </c>
      <c r="T40" s="3">
        <f t="shared" si="7"/>
        <v>632.98329355608598</v>
      </c>
      <c r="U40" s="51">
        <f t="shared" si="8"/>
        <v>1.26084788029925</v>
      </c>
      <c r="V40" s="42">
        <f t="shared" ref="V40:V47" si="11">((O42*(Q40)^2)/S42)*T40</f>
        <v>1.2479263970749324</v>
      </c>
      <c r="W40" s="49">
        <f t="shared" si="10"/>
        <v>1.0248249155362694E-2</v>
      </c>
    </row>
    <row r="41" spans="2:23" x14ac:dyDescent="0.6">
      <c r="B41" s="2"/>
      <c r="C41" s="1"/>
      <c r="D41" s="2">
        <v>622.94117647058795</v>
      </c>
      <c r="E41" s="1">
        <v>7.6015733544570402E-6</v>
      </c>
      <c r="F41" s="2">
        <v>643.00202839756503</v>
      </c>
      <c r="G41" s="1">
        <v>-220.60070671378</v>
      </c>
      <c r="H41" s="2">
        <v>622.99567930868898</v>
      </c>
      <c r="I41" s="1">
        <v>3.18898240244835</v>
      </c>
      <c r="J41" s="2">
        <v>642.91169451073904</v>
      </c>
      <c r="K41" s="1">
        <v>1.24688279301745</v>
      </c>
      <c r="N41" s="3">
        <f t="shared" si="1"/>
        <v>622.94117647058795</v>
      </c>
      <c r="O41" s="21">
        <f t="shared" si="2"/>
        <v>131551.71349016434</v>
      </c>
      <c r="P41" s="3">
        <f t="shared" si="3"/>
        <v>643.00202839756503</v>
      </c>
      <c r="Q41" s="17">
        <f t="shared" si="4"/>
        <v>-2.2060070671377999E-4</v>
      </c>
      <c r="R41" s="3">
        <f t="shared" si="5"/>
        <v>622.99567930868898</v>
      </c>
      <c r="S41" s="24">
        <f t="shared" si="6"/>
        <v>3.18898240244835</v>
      </c>
      <c r="T41" s="3">
        <f t="shared" si="7"/>
        <v>642.91169451073904</v>
      </c>
      <c r="U41" s="51">
        <f t="shared" si="8"/>
        <v>1.24688279301745</v>
      </c>
      <c r="V41" s="42">
        <f t="shared" si="11"/>
        <v>1.2397040265305879</v>
      </c>
      <c r="W41" s="49">
        <f t="shared" si="10"/>
        <v>5.757370722463441E-3</v>
      </c>
    </row>
    <row r="42" spans="2:23" x14ac:dyDescent="0.6">
      <c r="B42" s="2"/>
      <c r="C42" s="1"/>
      <c r="D42" s="2">
        <v>632.94117647058795</v>
      </c>
      <c r="E42" s="1">
        <v>7.6375994599843694E-6</v>
      </c>
      <c r="F42" s="2">
        <v>652.94117647058795</v>
      </c>
      <c r="G42" s="1">
        <v>-223.886925795053</v>
      </c>
      <c r="H42" s="2">
        <v>632.98127700431996</v>
      </c>
      <c r="I42" s="1">
        <v>3.2257077276205002</v>
      </c>
      <c r="J42" s="2">
        <v>653.031026252983</v>
      </c>
      <c r="K42" s="1">
        <v>1.31371571072319</v>
      </c>
      <c r="N42" s="3">
        <f t="shared" si="1"/>
        <v>632.94117647058795</v>
      </c>
      <c r="O42" s="21">
        <f t="shared" si="2"/>
        <v>130931.19182791586</v>
      </c>
      <c r="P42" s="3">
        <f t="shared" si="3"/>
        <v>652.94117647058795</v>
      </c>
      <c r="Q42" s="17">
        <f t="shared" si="4"/>
        <v>-2.23886925795053E-4</v>
      </c>
      <c r="R42" s="3">
        <f t="shared" si="5"/>
        <v>632.98127700431996</v>
      </c>
      <c r="S42" s="24">
        <f t="shared" si="6"/>
        <v>3.2257077276205002</v>
      </c>
      <c r="T42" s="3">
        <f t="shared" si="7"/>
        <v>653.031026252983</v>
      </c>
      <c r="U42" s="51">
        <f t="shared" si="8"/>
        <v>1.31371571072319</v>
      </c>
      <c r="V42" s="42">
        <f t="shared" si="11"/>
        <v>1.2951705315372524</v>
      </c>
      <c r="W42" s="49">
        <f t="shared" si="10"/>
        <v>1.4116584763783257E-2</v>
      </c>
    </row>
    <row r="43" spans="2:23" x14ac:dyDescent="0.6">
      <c r="B43" s="2"/>
      <c r="C43" s="1"/>
      <c r="D43" s="2">
        <v>642.94117647058795</v>
      </c>
      <c r="E43" s="1">
        <v>7.7467054473680594E-6</v>
      </c>
      <c r="F43" s="2">
        <v>663.08316430020204</v>
      </c>
      <c r="G43" s="1">
        <v>-223.67491166077701</v>
      </c>
      <c r="H43" s="2">
        <v>642.96687469995197</v>
      </c>
      <c r="I43" s="1">
        <v>3.2578423871461299</v>
      </c>
      <c r="J43" s="2">
        <v>662.95942720763696</v>
      </c>
      <c r="K43" s="1">
        <v>1.32668329177057</v>
      </c>
      <c r="N43" s="3">
        <f t="shared" si="1"/>
        <v>642.94117647058795</v>
      </c>
      <c r="O43" s="21">
        <f t="shared" si="2"/>
        <v>129087.13346520097</v>
      </c>
      <c r="P43" s="3">
        <f t="shared" si="3"/>
        <v>663.08316430020204</v>
      </c>
      <c r="Q43" s="17">
        <f t="shared" si="4"/>
        <v>-2.2367491166077699E-4</v>
      </c>
      <c r="R43" s="3">
        <f t="shared" si="5"/>
        <v>642.96687469995197</v>
      </c>
      <c r="S43" s="24">
        <f t="shared" si="6"/>
        <v>3.2578423871461299</v>
      </c>
      <c r="T43" s="3">
        <f t="shared" si="7"/>
        <v>662.95942720763696</v>
      </c>
      <c r="U43" s="51">
        <f t="shared" si="8"/>
        <v>1.32668329177057</v>
      </c>
      <c r="V43" s="42">
        <f t="shared" si="11"/>
        <v>1.315035765704726</v>
      </c>
      <c r="W43" s="49">
        <f t="shared" si="10"/>
        <v>8.7794322413598507E-3</v>
      </c>
    </row>
    <row r="44" spans="2:23" x14ac:dyDescent="0.6">
      <c r="B44" s="2"/>
      <c r="C44" s="1"/>
      <c r="D44" s="2">
        <v>652.94117647058795</v>
      </c>
      <c r="E44" s="1">
        <v>7.8573700549105201E-6</v>
      </c>
      <c r="F44" s="2">
        <v>673.02231237322496</v>
      </c>
      <c r="G44" s="1">
        <v>-220.28268551236701</v>
      </c>
      <c r="H44" s="2">
        <v>652.95247239558296</v>
      </c>
      <c r="I44" s="1">
        <v>3.2165263963274602</v>
      </c>
      <c r="J44" s="2">
        <v>673.07875894988001</v>
      </c>
      <c r="K44" s="1">
        <v>1.29177057356608</v>
      </c>
      <c r="N44" s="3">
        <f t="shared" si="1"/>
        <v>652.94117647058795</v>
      </c>
      <c r="O44" s="21">
        <f t="shared" si="2"/>
        <v>127269.04715083932</v>
      </c>
      <c r="P44" s="3">
        <f t="shared" si="3"/>
        <v>673.02231237322496</v>
      </c>
      <c r="Q44" s="17">
        <f t="shared" si="4"/>
        <v>-2.2028268551236701E-4</v>
      </c>
      <c r="R44" s="3">
        <f t="shared" si="5"/>
        <v>652.95247239558296</v>
      </c>
      <c r="S44" s="24">
        <f t="shared" si="6"/>
        <v>3.2165263963274602</v>
      </c>
      <c r="T44" s="3">
        <f t="shared" si="7"/>
        <v>673.07875894988001</v>
      </c>
      <c r="U44" s="51">
        <f t="shared" si="8"/>
        <v>1.29177057356608</v>
      </c>
      <c r="V44" s="42">
        <f t="shared" si="11"/>
        <v>1.2706593101147736</v>
      </c>
      <c r="W44" s="49">
        <f t="shared" si="10"/>
        <v>1.6342889274080903E-2</v>
      </c>
    </row>
    <row r="45" spans="2:23" x14ac:dyDescent="0.6">
      <c r="B45" s="2"/>
      <c r="C45" s="1"/>
      <c r="D45" s="2">
        <v>662.94117647058795</v>
      </c>
      <c r="E45" s="1">
        <v>7.9320233422843208E-6</v>
      </c>
      <c r="F45" s="2">
        <v>682.96146044624697</v>
      </c>
      <c r="G45" s="1">
        <v>-224.628975265017</v>
      </c>
      <c r="H45" s="2">
        <v>662.93807009121394</v>
      </c>
      <c r="I45" s="1">
        <v>3.17980107115531</v>
      </c>
      <c r="J45" s="2">
        <v>683.00715990453398</v>
      </c>
      <c r="K45" s="1">
        <v>1.2788029925187001</v>
      </c>
      <c r="N45" s="3">
        <f t="shared" si="1"/>
        <v>662.94117647058795</v>
      </c>
      <c r="O45" s="21">
        <f t="shared" si="2"/>
        <v>126071.23767137236</v>
      </c>
      <c r="P45" s="3">
        <f t="shared" si="3"/>
        <v>682.96146044624697</v>
      </c>
      <c r="Q45" s="17">
        <f t="shared" si="4"/>
        <v>-2.2462897526501698E-4</v>
      </c>
      <c r="R45" s="3">
        <f t="shared" si="5"/>
        <v>662.93807009121394</v>
      </c>
      <c r="S45" s="24">
        <f t="shared" si="6"/>
        <v>3.17980107115531</v>
      </c>
      <c r="T45" s="3">
        <f t="shared" si="7"/>
        <v>683.00715990453398</v>
      </c>
      <c r="U45" s="51">
        <f t="shared" si="8"/>
        <v>1.2788029925187001</v>
      </c>
      <c r="V45" s="42">
        <f t="shared" si="11"/>
        <v>1.2635288429821125</v>
      </c>
      <c r="W45" s="49">
        <f t="shared" si="10"/>
        <v>1.1944098994094441E-2</v>
      </c>
    </row>
    <row r="46" spans="2:23" x14ac:dyDescent="0.6">
      <c r="B46" s="2"/>
      <c r="C46" s="1"/>
      <c r="D46" s="2">
        <v>672.94117647058795</v>
      </c>
      <c r="E46" s="1">
        <v>8.0834645104485099E-6</v>
      </c>
      <c r="F46" s="2">
        <v>692.90060851926899</v>
      </c>
      <c r="G46" s="1">
        <v>-224.31095406360399</v>
      </c>
      <c r="H46" s="2">
        <v>672.92366778684595</v>
      </c>
      <c r="I46" s="1">
        <v>3.17980107115531</v>
      </c>
      <c r="J46" s="2">
        <v>692.93556085918794</v>
      </c>
      <c r="K46" s="1">
        <v>1.2698254364089701</v>
      </c>
      <c r="N46" s="3">
        <f t="shared" si="1"/>
        <v>672.94117647058795</v>
      </c>
      <c r="O46" s="21">
        <f t="shared" si="2"/>
        <v>123709.33263916998</v>
      </c>
      <c r="P46" s="3">
        <f t="shared" si="3"/>
        <v>692.90060851926899</v>
      </c>
      <c r="Q46" s="17">
        <f t="shared" si="4"/>
        <v>-2.2431095406360397E-4</v>
      </c>
      <c r="R46" s="3">
        <f t="shared" si="5"/>
        <v>672.92366778684595</v>
      </c>
      <c r="S46" s="24">
        <f t="shared" si="6"/>
        <v>3.17980107115531</v>
      </c>
      <c r="T46" s="3">
        <f t="shared" si="7"/>
        <v>692.93556085918794</v>
      </c>
      <c r="U46" s="51">
        <f t="shared" si="8"/>
        <v>1.2698254364089701</v>
      </c>
      <c r="V46" s="42">
        <f t="shared" si="11"/>
        <v>1.2449682396477419</v>
      </c>
      <c r="W46" s="49">
        <f t="shared" si="10"/>
        <v>1.9575286530346681E-2</v>
      </c>
    </row>
    <row r="47" spans="2:23" x14ac:dyDescent="0.6">
      <c r="B47" s="2"/>
      <c r="C47" s="1"/>
      <c r="D47" s="2">
        <v>682.94117647058795</v>
      </c>
      <c r="E47" s="1">
        <v>8.19893984815302E-6</v>
      </c>
      <c r="F47" s="2">
        <v>703.04259634888399</v>
      </c>
      <c r="G47" s="1">
        <v>-226.749116607773</v>
      </c>
      <c r="H47" s="2">
        <v>682.90926548247705</v>
      </c>
      <c r="I47" s="1">
        <v>3.3267023718439099</v>
      </c>
      <c r="J47" s="2">
        <v>703.05489260143099</v>
      </c>
      <c r="K47" s="1">
        <v>1.31870324189526</v>
      </c>
      <c r="N47" s="3">
        <f t="shared" si="1"/>
        <v>682.94117647058795</v>
      </c>
      <c r="O47" s="21">
        <f t="shared" si="2"/>
        <v>121966.98823510342</v>
      </c>
      <c r="P47" s="3">
        <f t="shared" si="3"/>
        <v>703.04259634888399</v>
      </c>
      <c r="Q47" s="17">
        <f t="shared" si="4"/>
        <v>-2.2674911660777299E-4</v>
      </c>
      <c r="R47" s="3">
        <f t="shared" si="5"/>
        <v>682.90926548247705</v>
      </c>
      <c r="S47" s="24">
        <f t="shared" si="6"/>
        <v>3.3267023718439099</v>
      </c>
      <c r="T47" s="3">
        <f t="shared" si="7"/>
        <v>703.05489260143099</v>
      </c>
      <c r="U47" s="51">
        <f t="shared" si="8"/>
        <v>1.31870324189526</v>
      </c>
      <c r="V47" s="42">
        <f t="shared" si="11"/>
        <v>1.3030634639399661</v>
      </c>
      <c r="W47" s="49">
        <f t="shared" si="10"/>
        <v>1.1859967776234628E-2</v>
      </c>
    </row>
    <row r="48" spans="2:23" x14ac:dyDescent="0.6">
      <c r="B48" s="2"/>
      <c r="C48" s="1"/>
      <c r="D48" s="2">
        <v>692.94117647058795</v>
      </c>
      <c r="E48" s="1">
        <v>8.3950761648785898E-6</v>
      </c>
      <c r="F48" s="2"/>
      <c r="G48" s="1"/>
      <c r="H48" s="2">
        <v>693.08689390302402</v>
      </c>
      <c r="I48" s="1">
        <v>3.3358837031369499</v>
      </c>
      <c r="J48" s="2"/>
      <c r="K48" s="1"/>
      <c r="N48" s="3">
        <f t="shared" si="1"/>
        <v>692.94117647058795</v>
      </c>
      <c r="O48" s="21">
        <f t="shared" si="2"/>
        <v>119117.44221971119</v>
      </c>
      <c r="P48" s="3"/>
      <c r="Q48" s="17"/>
      <c r="R48" s="3">
        <f t="shared" si="5"/>
        <v>693.08689390302402</v>
      </c>
      <c r="S48" s="24">
        <f t="shared" si="6"/>
        <v>3.3358837031369499</v>
      </c>
      <c r="T48" s="3"/>
      <c r="U48" s="51"/>
      <c r="V48" s="42"/>
      <c r="W48" s="49"/>
    </row>
    <row r="49" spans="2:23" x14ac:dyDescent="0.6">
      <c r="B49" s="2"/>
      <c r="C49" s="1"/>
      <c r="D49" s="2">
        <v>702.94117647058795</v>
      </c>
      <c r="E49" s="1">
        <v>8.5150029925329104E-6</v>
      </c>
      <c r="F49" s="2"/>
      <c r="G49" s="1"/>
      <c r="H49" s="2">
        <v>703.07249159865501</v>
      </c>
      <c r="I49" s="1">
        <v>3.2578423871461299</v>
      </c>
      <c r="J49" s="2"/>
      <c r="K49" s="1"/>
      <c r="N49" s="3">
        <f t="shared" si="1"/>
        <v>702.94117647058795</v>
      </c>
      <c r="O49" s="21">
        <f t="shared" si="2"/>
        <v>117439.77082297367</v>
      </c>
      <c r="P49" s="3"/>
      <c r="Q49" s="17"/>
      <c r="R49" s="3">
        <f t="shared" si="5"/>
        <v>703.07249159865501</v>
      </c>
      <c r="S49" s="24">
        <f t="shared" si="6"/>
        <v>3.2578423871461299</v>
      </c>
      <c r="T49" s="3"/>
      <c r="U49" s="51"/>
      <c r="V49" s="42"/>
      <c r="W49" s="49"/>
    </row>
    <row r="50" spans="2:23" x14ac:dyDescent="0.6">
      <c r="B50" s="30"/>
      <c r="C50" s="30"/>
      <c r="D50" s="30"/>
      <c r="E50" s="30"/>
      <c r="F50" s="30"/>
      <c r="G50" s="30"/>
      <c r="H50" s="30"/>
      <c r="I50" s="30"/>
      <c r="J50" s="30"/>
      <c r="K50" s="30"/>
      <c r="N50" s="30"/>
      <c r="O50" s="39"/>
      <c r="P50" s="30"/>
      <c r="Q50" s="40"/>
      <c r="R50" s="30"/>
      <c r="S50" s="41"/>
      <c r="T50" s="30"/>
      <c r="U50" s="41"/>
    </row>
    <row r="51" spans="2:23" x14ac:dyDescent="0.6">
      <c r="B51" s="31"/>
      <c r="C51" s="31"/>
      <c r="D51" s="31"/>
      <c r="E51" s="31"/>
      <c r="F51" s="31"/>
      <c r="G51" s="31"/>
      <c r="H51" s="31"/>
      <c r="I51" s="31"/>
      <c r="J51" s="31"/>
      <c r="K51" s="31"/>
      <c r="N51" s="31"/>
      <c r="O51" s="36"/>
      <c r="P51" s="31"/>
      <c r="Q51" s="37"/>
      <c r="R51" s="31"/>
      <c r="S51" s="38"/>
      <c r="T51" s="31"/>
      <c r="U51" s="38"/>
    </row>
    <row r="52" spans="2:23" x14ac:dyDescent="0.6">
      <c r="B52" s="31"/>
      <c r="C52" s="31"/>
      <c r="D52" s="31"/>
      <c r="E52" s="31"/>
      <c r="F52" s="31"/>
      <c r="G52" s="31"/>
      <c r="H52" s="31"/>
      <c r="I52" s="31"/>
      <c r="J52" s="31"/>
      <c r="K52" s="31"/>
      <c r="N52" s="31"/>
      <c r="O52" s="36"/>
      <c r="P52" s="31"/>
      <c r="Q52" s="37"/>
      <c r="R52" s="31"/>
      <c r="S52" s="38"/>
      <c r="T52" s="31"/>
      <c r="U52" s="38"/>
    </row>
    <row r="53" spans="2:23" x14ac:dyDescent="0.6">
      <c r="B53" s="31"/>
      <c r="C53" s="31"/>
      <c r="D53" s="31"/>
      <c r="E53" s="31"/>
      <c r="F53" s="31"/>
      <c r="G53" s="31"/>
      <c r="H53" s="31"/>
      <c r="I53" s="31"/>
      <c r="J53" s="31"/>
      <c r="K53" s="31"/>
      <c r="N53" s="31"/>
      <c r="O53" s="36"/>
      <c r="P53" s="31"/>
      <c r="Q53" s="37"/>
      <c r="R53" s="31"/>
      <c r="S53" s="38"/>
      <c r="T53" s="31"/>
      <c r="U53" s="38"/>
    </row>
    <row r="54" spans="2:23" x14ac:dyDescent="0.6">
      <c r="B54" s="31"/>
      <c r="C54" s="31"/>
      <c r="D54" s="31"/>
      <c r="E54" s="31"/>
      <c r="F54" s="31"/>
      <c r="G54" s="31"/>
      <c r="H54" s="31"/>
      <c r="I54" s="31"/>
      <c r="J54" s="31"/>
      <c r="K54" s="31"/>
      <c r="N54" s="31"/>
      <c r="O54" s="36"/>
      <c r="P54" s="31"/>
      <c r="Q54" s="37"/>
      <c r="R54" s="31"/>
      <c r="S54" s="38"/>
      <c r="T54" s="31"/>
      <c r="U54" s="38"/>
      <c r="V54"/>
    </row>
    <row r="55" spans="2:23" x14ac:dyDescent="0.6">
      <c r="B55" s="31"/>
      <c r="C55" s="31"/>
      <c r="D55" s="31"/>
      <c r="E55" s="31"/>
      <c r="F55" s="31"/>
      <c r="G55" s="31"/>
      <c r="H55" s="31"/>
      <c r="I55" s="31"/>
      <c r="J55" s="31"/>
      <c r="K55" s="31"/>
      <c r="N55" s="31"/>
      <c r="O55" s="36"/>
      <c r="P55" s="31"/>
      <c r="Q55" s="37"/>
      <c r="R55" s="31"/>
      <c r="S55" s="38"/>
      <c r="T55" s="31"/>
      <c r="U55" s="38"/>
      <c r="V55"/>
    </row>
    <row r="56" spans="2:23" x14ac:dyDescent="0.6">
      <c r="B56" s="31"/>
      <c r="C56" s="31"/>
      <c r="D56" s="31"/>
      <c r="E56" s="31"/>
      <c r="F56" s="31"/>
      <c r="G56" s="31"/>
      <c r="H56" s="31"/>
      <c r="I56" s="31"/>
      <c r="J56" s="31"/>
      <c r="K56" s="31"/>
      <c r="N56" s="31"/>
      <c r="O56" s="36"/>
      <c r="P56" s="31"/>
      <c r="Q56" s="37"/>
      <c r="R56" s="31"/>
      <c r="S56" s="38"/>
      <c r="T56" s="31"/>
      <c r="U56" s="38"/>
      <c r="V56"/>
    </row>
    <row r="64" spans="2:23" ht="17.25" thickBot="1" x14ac:dyDescent="0.65">
      <c r="B64" t="s">
        <v>79</v>
      </c>
    </row>
    <row r="65" spans="2:23" x14ac:dyDescent="0.6">
      <c r="B65" s="5" t="s">
        <v>3</v>
      </c>
      <c r="C65" s="6" t="s">
        <v>0</v>
      </c>
      <c r="D65" s="7" t="s">
        <v>3</v>
      </c>
      <c r="E65" s="6" t="s">
        <v>8</v>
      </c>
      <c r="F65" s="7" t="s">
        <v>3</v>
      </c>
      <c r="G65" s="6" t="s">
        <v>1</v>
      </c>
      <c r="H65" s="7" t="s">
        <v>3</v>
      </c>
      <c r="I65" s="6" t="s">
        <v>2</v>
      </c>
      <c r="J65" s="7" t="s">
        <v>3</v>
      </c>
      <c r="K65" s="8" t="s">
        <v>6</v>
      </c>
      <c r="N65" s="5" t="s">
        <v>3</v>
      </c>
      <c r="O65" s="19" t="s">
        <v>0</v>
      </c>
      <c r="P65" s="7" t="s">
        <v>3</v>
      </c>
      <c r="Q65" s="15" t="s">
        <v>1</v>
      </c>
      <c r="R65" s="7" t="s">
        <v>3</v>
      </c>
      <c r="S65" s="23" t="s">
        <v>2</v>
      </c>
      <c r="T65" s="7" t="s">
        <v>3</v>
      </c>
      <c r="U65" s="25" t="s">
        <v>6</v>
      </c>
    </row>
    <row r="66" spans="2:23" ht="17.25" thickBot="1" x14ac:dyDescent="0.65">
      <c r="B66" s="9" t="s">
        <v>4</v>
      </c>
      <c r="C66" s="10" t="s">
        <v>10</v>
      </c>
      <c r="D66" s="11" t="s">
        <v>4</v>
      </c>
      <c r="E66" s="10" t="s">
        <v>11</v>
      </c>
      <c r="F66" s="11" t="s">
        <v>4</v>
      </c>
      <c r="G66" s="27" t="s">
        <v>13</v>
      </c>
      <c r="H66" s="11" t="s">
        <v>4</v>
      </c>
      <c r="I66" s="10" t="s">
        <v>15</v>
      </c>
      <c r="J66" s="11" t="s">
        <v>4</v>
      </c>
      <c r="K66" s="12" t="s">
        <v>7</v>
      </c>
      <c r="N66" s="9" t="s">
        <v>4</v>
      </c>
      <c r="O66" s="20" t="s">
        <v>5</v>
      </c>
      <c r="P66" s="11" t="s">
        <v>4</v>
      </c>
      <c r="Q66" s="16" t="s">
        <v>14</v>
      </c>
      <c r="R66" s="11" t="s">
        <v>4</v>
      </c>
      <c r="S66" s="10" t="s">
        <v>15</v>
      </c>
      <c r="T66" s="11" t="s">
        <v>4</v>
      </c>
      <c r="U66" s="26" t="s">
        <v>7</v>
      </c>
      <c r="W66" t="s">
        <v>78</v>
      </c>
    </row>
    <row r="67" spans="2:23" x14ac:dyDescent="0.6">
      <c r="B67" s="3"/>
      <c r="C67" s="4"/>
      <c r="D67" s="3">
        <v>297.82600000000002</v>
      </c>
      <c r="E67" s="17">
        <v>4.6822499999999999E-6</v>
      </c>
      <c r="F67" s="3">
        <v>300.38499999999999</v>
      </c>
      <c r="G67" s="4">
        <v>-167.57300000000001</v>
      </c>
      <c r="H67" s="3">
        <v>296.99799999999999</v>
      </c>
      <c r="I67" s="4">
        <v>4.1430100000000003</v>
      </c>
      <c r="J67" s="3">
        <v>298.56400000000002</v>
      </c>
      <c r="K67" s="4">
        <v>0.44633600000000001</v>
      </c>
      <c r="N67" s="3">
        <f>D67</f>
        <v>297.82600000000002</v>
      </c>
      <c r="O67" s="21">
        <f>1/E67</f>
        <v>213572.53457205405</v>
      </c>
      <c r="P67" s="3">
        <f>F67</f>
        <v>300.38499999999999</v>
      </c>
      <c r="Q67" s="17">
        <f>G67*0.000001</f>
        <v>-1.6757299999999999E-4</v>
      </c>
      <c r="R67" s="3">
        <f>H67</f>
        <v>296.99799999999999</v>
      </c>
      <c r="S67" s="24">
        <f>I67</f>
        <v>4.1430100000000003</v>
      </c>
      <c r="T67" s="3">
        <f>J67</f>
        <v>298.56400000000002</v>
      </c>
      <c r="U67" s="51">
        <f>K67</f>
        <v>0.44633600000000001</v>
      </c>
      <c r="V67" s="42">
        <f>((O67*(Q67)^2)/S67)*T67</f>
        <v>0.43219023505390936</v>
      </c>
      <c r="W67" s="49">
        <f t="shared" ref="W67:W81" si="12">(U67-V67)/U67</f>
        <v>3.1693085357422782E-2</v>
      </c>
    </row>
    <row r="68" spans="2:23" x14ac:dyDescent="0.6">
      <c r="B68" s="3"/>
      <c r="C68" s="4"/>
      <c r="D68" s="3">
        <v>328.26100000000002</v>
      </c>
      <c r="E68" s="17">
        <v>4.9338000000000001E-6</v>
      </c>
      <c r="F68" s="3">
        <v>325.21600000000001</v>
      </c>
      <c r="G68" s="4">
        <v>-177.30199999999999</v>
      </c>
      <c r="H68" s="3">
        <v>329.65899999999999</v>
      </c>
      <c r="I68" s="4">
        <v>3.82714</v>
      </c>
      <c r="J68" s="3">
        <v>325.85300000000001</v>
      </c>
      <c r="K68" s="4">
        <v>0.54846300000000003</v>
      </c>
      <c r="N68" s="3">
        <f t="shared" ref="N68:N79" si="13">D68</f>
        <v>328.26100000000002</v>
      </c>
      <c r="O68" s="21">
        <f t="shared" ref="O68:O79" si="14">1/E68</f>
        <v>202683.52993635737</v>
      </c>
      <c r="P68" s="3">
        <f t="shared" ref="P68:P80" si="15">F68</f>
        <v>325.21600000000001</v>
      </c>
      <c r="Q68" s="17">
        <f t="shared" ref="Q68:Q80" si="16">G68*0.000001</f>
        <v>-1.7730199999999998E-4</v>
      </c>
      <c r="R68" s="3">
        <f t="shared" ref="R68:R80" si="17">H68</f>
        <v>329.65899999999999</v>
      </c>
      <c r="S68" s="24">
        <f t="shared" ref="S68:S80" si="18">I68</f>
        <v>3.82714</v>
      </c>
      <c r="T68" s="3">
        <f t="shared" ref="T68:T81" si="19">J68</f>
        <v>325.85300000000001</v>
      </c>
      <c r="U68" s="51">
        <f t="shared" ref="U68:U81" si="20">K68</f>
        <v>0.54846300000000003</v>
      </c>
      <c r="V68" s="42">
        <f t="shared" ref="V68:V70" si="21">((O68*(Q68)^2)/S68)*T68</f>
        <v>0.54249170606178287</v>
      </c>
      <c r="W68" s="49">
        <f t="shared" si="12"/>
        <v>1.0887323189015774E-2</v>
      </c>
    </row>
    <row r="69" spans="2:23" x14ac:dyDescent="0.6">
      <c r="B69" s="2"/>
      <c r="C69" s="1"/>
      <c r="D69" s="2">
        <v>356.52199999999999</v>
      </c>
      <c r="E69" s="44">
        <v>5.3367000000000001E-6</v>
      </c>
      <c r="F69" s="2">
        <v>357.67700000000002</v>
      </c>
      <c r="G69" s="1">
        <v>-183.07599999999999</v>
      </c>
      <c r="H69" s="2">
        <v>360.16500000000002</v>
      </c>
      <c r="I69" s="1">
        <v>3.7205699999999999</v>
      </c>
      <c r="J69" s="2">
        <v>353.142</v>
      </c>
      <c r="K69" s="1">
        <v>0.60520099999999999</v>
      </c>
      <c r="N69" s="3">
        <f t="shared" si="13"/>
        <v>356.52199999999999</v>
      </c>
      <c r="O69" s="21">
        <f t="shared" si="14"/>
        <v>187381.71529222178</v>
      </c>
      <c r="P69" s="3">
        <f t="shared" si="15"/>
        <v>357.67700000000002</v>
      </c>
      <c r="Q69" s="17">
        <f t="shared" si="16"/>
        <v>-1.8307599999999998E-4</v>
      </c>
      <c r="R69" s="3">
        <f t="shared" si="17"/>
        <v>360.16500000000002</v>
      </c>
      <c r="S69" s="24">
        <f t="shared" si="18"/>
        <v>3.7205699999999999</v>
      </c>
      <c r="T69" s="3">
        <f t="shared" si="19"/>
        <v>353.142</v>
      </c>
      <c r="U69" s="51">
        <f t="shared" si="20"/>
        <v>0.60520099999999999</v>
      </c>
      <c r="V69" s="42">
        <f t="shared" si="21"/>
        <v>0.59611483872610282</v>
      </c>
      <c r="W69" s="49">
        <f t="shared" si="12"/>
        <v>1.5013460443550432E-2</v>
      </c>
    </row>
    <row r="70" spans="2:23" x14ac:dyDescent="0.6">
      <c r="B70" s="2"/>
      <c r="C70" s="1"/>
      <c r="D70" s="2">
        <v>388.04300000000001</v>
      </c>
      <c r="E70" s="44">
        <v>5.6234100000000001E-6</v>
      </c>
      <c r="F70" s="2">
        <v>392.30599999999998</v>
      </c>
      <c r="G70" s="1">
        <v>-188.85599999999999</v>
      </c>
      <c r="H70" s="2">
        <v>391.75400000000002</v>
      </c>
      <c r="I70" s="1">
        <v>3.5616500000000002</v>
      </c>
      <c r="J70" s="2">
        <v>380.43099999999998</v>
      </c>
      <c r="K70" s="1">
        <v>0.66572100000000001</v>
      </c>
      <c r="N70" s="3">
        <f t="shared" si="13"/>
        <v>388.04300000000001</v>
      </c>
      <c r="O70" s="21">
        <f t="shared" si="14"/>
        <v>177828.04383816937</v>
      </c>
      <c r="P70" s="3">
        <f t="shared" si="15"/>
        <v>392.30599999999998</v>
      </c>
      <c r="Q70" s="17">
        <f t="shared" si="16"/>
        <v>-1.88856E-4</v>
      </c>
      <c r="R70" s="3">
        <f t="shared" si="17"/>
        <v>391.75400000000002</v>
      </c>
      <c r="S70" s="24">
        <f t="shared" si="18"/>
        <v>3.5616500000000002</v>
      </c>
      <c r="T70" s="3">
        <f t="shared" si="19"/>
        <v>380.43099999999998</v>
      </c>
      <c r="U70" s="51">
        <f t="shared" si="20"/>
        <v>0.66572100000000001</v>
      </c>
      <c r="V70" s="42">
        <f t="shared" si="21"/>
        <v>0.67746440947545772</v>
      </c>
      <c r="W70" s="49">
        <f t="shared" si="12"/>
        <v>-1.7640136747162416E-2</v>
      </c>
    </row>
    <row r="71" spans="2:23" x14ac:dyDescent="0.6">
      <c r="B71" s="2"/>
      <c r="C71" s="1"/>
      <c r="D71" s="2">
        <v>419.565</v>
      </c>
      <c r="E71" s="44">
        <v>5.9255299999999998E-6</v>
      </c>
      <c r="F71" s="2">
        <v>418.25700000000001</v>
      </c>
      <c r="G71" s="1">
        <v>-195.179</v>
      </c>
      <c r="H71" s="2">
        <v>422.26299999999998</v>
      </c>
      <c r="I71" s="1">
        <v>3.48122</v>
      </c>
      <c r="J71" s="2">
        <v>412.029</v>
      </c>
      <c r="K71" s="1">
        <v>0.74893600000000005</v>
      </c>
      <c r="N71" s="3">
        <f t="shared" si="13"/>
        <v>419.565</v>
      </c>
      <c r="O71" s="21">
        <f t="shared" si="14"/>
        <v>168761.27536271018</v>
      </c>
      <c r="P71" s="3">
        <f t="shared" si="15"/>
        <v>418.25700000000001</v>
      </c>
      <c r="Q71" s="17">
        <f t="shared" si="16"/>
        <v>-1.95179E-4</v>
      </c>
      <c r="R71" s="3">
        <f t="shared" si="17"/>
        <v>422.26299999999998</v>
      </c>
      <c r="S71" s="24">
        <f t="shared" si="18"/>
        <v>3.48122</v>
      </c>
      <c r="T71" s="3">
        <f t="shared" si="19"/>
        <v>412.029</v>
      </c>
      <c r="U71" s="51">
        <f t="shared" si="20"/>
        <v>0.74893600000000005</v>
      </c>
      <c r="V71" s="42">
        <f t="shared" ref="V71:V77" si="22">((AVERAGE(O70,O71)*(AVERAGE(Q70,Q71))^2)/AVERAGE(S70,S71))*T71</f>
        <v>0.74760966834344467</v>
      </c>
      <c r="W71" s="49">
        <f t="shared" si="12"/>
        <v>1.7709546030039677E-3</v>
      </c>
    </row>
    <row r="72" spans="2:23" x14ac:dyDescent="0.6">
      <c r="B72" s="2"/>
      <c r="C72" s="1"/>
      <c r="D72" s="2">
        <v>454.34800000000001</v>
      </c>
      <c r="E72" s="44">
        <v>6.2438799999999999E-6</v>
      </c>
      <c r="F72" s="2">
        <v>456.14299999999997</v>
      </c>
      <c r="G72" s="1">
        <v>-200.4</v>
      </c>
      <c r="H72" s="2">
        <v>456.041</v>
      </c>
      <c r="I72" s="1">
        <v>3.4005800000000002</v>
      </c>
      <c r="J72" s="2">
        <v>440.036</v>
      </c>
      <c r="K72" s="1">
        <v>0.83971600000000002</v>
      </c>
      <c r="N72" s="3">
        <f t="shared" si="13"/>
        <v>454.34800000000001</v>
      </c>
      <c r="O72" s="21">
        <f t="shared" si="14"/>
        <v>160156.82556359188</v>
      </c>
      <c r="P72" s="3">
        <f t="shared" si="15"/>
        <v>456.14299999999997</v>
      </c>
      <c r="Q72" s="17">
        <f t="shared" si="16"/>
        <v>-2.0039999999999999E-4</v>
      </c>
      <c r="R72" s="3">
        <f t="shared" si="17"/>
        <v>456.041</v>
      </c>
      <c r="S72" s="24">
        <f t="shared" si="18"/>
        <v>3.4005800000000002</v>
      </c>
      <c r="T72" s="3">
        <f t="shared" si="19"/>
        <v>440.036</v>
      </c>
      <c r="U72" s="51">
        <f t="shared" si="20"/>
        <v>0.83971600000000002</v>
      </c>
      <c r="V72" s="42">
        <f t="shared" si="22"/>
        <v>0.8227736992111041</v>
      </c>
      <c r="W72" s="49">
        <f t="shared" si="12"/>
        <v>2.0176227187401353E-2</v>
      </c>
    </row>
    <row r="73" spans="2:23" x14ac:dyDescent="0.6">
      <c r="B73" s="2"/>
      <c r="C73" s="1"/>
      <c r="D73" s="2">
        <v>491.30399999999997</v>
      </c>
      <c r="E73" s="44">
        <v>6.4094099999999998E-6</v>
      </c>
      <c r="F73" s="2">
        <v>489.69900000000001</v>
      </c>
      <c r="G73" s="1">
        <v>-205.041</v>
      </c>
      <c r="H73" s="2">
        <v>485.46899999999999</v>
      </c>
      <c r="I73" s="1">
        <v>3.39866</v>
      </c>
      <c r="J73" s="2">
        <v>473.07</v>
      </c>
      <c r="K73" s="1">
        <v>0.92293099999999995</v>
      </c>
      <c r="N73" s="3">
        <f t="shared" si="13"/>
        <v>491.30399999999997</v>
      </c>
      <c r="O73" s="21">
        <f t="shared" si="14"/>
        <v>156020.60096015077</v>
      </c>
      <c r="P73" s="3">
        <f t="shared" si="15"/>
        <v>489.69900000000001</v>
      </c>
      <c r="Q73" s="17">
        <f t="shared" si="16"/>
        <v>-2.0504099999999999E-4</v>
      </c>
      <c r="R73" s="3">
        <f t="shared" si="17"/>
        <v>485.46899999999999</v>
      </c>
      <c r="S73" s="24">
        <f t="shared" si="18"/>
        <v>3.39866</v>
      </c>
      <c r="T73" s="3">
        <f t="shared" si="19"/>
        <v>473.07</v>
      </c>
      <c r="U73" s="51">
        <f t="shared" si="20"/>
        <v>0.92293099999999995</v>
      </c>
      <c r="V73" s="42">
        <f t="shared" si="22"/>
        <v>0.90404746839694261</v>
      </c>
      <c r="W73" s="49">
        <f t="shared" si="12"/>
        <v>2.0460393683880307E-2</v>
      </c>
    </row>
    <row r="74" spans="2:23" x14ac:dyDescent="0.6">
      <c r="B74" s="2"/>
      <c r="C74" s="1"/>
      <c r="D74" s="2">
        <v>522.82600000000002</v>
      </c>
      <c r="E74" s="44">
        <v>6.9328099999999998E-6</v>
      </c>
      <c r="F74" s="2">
        <v>525.42399999999998</v>
      </c>
      <c r="G74" s="1">
        <v>-209.68799999999999</v>
      </c>
      <c r="H74" s="2">
        <v>520.33399999999995</v>
      </c>
      <c r="I74" s="1">
        <v>3.2917999999999998</v>
      </c>
      <c r="J74" s="2">
        <v>504.66800000000001</v>
      </c>
      <c r="K74" s="1">
        <v>1.0137100000000001</v>
      </c>
      <c r="N74" s="3">
        <f t="shared" si="13"/>
        <v>522.82600000000002</v>
      </c>
      <c r="O74" s="21">
        <f t="shared" si="14"/>
        <v>144241.65670197221</v>
      </c>
      <c r="P74" s="3">
        <f t="shared" si="15"/>
        <v>525.42399999999998</v>
      </c>
      <c r="Q74" s="17">
        <f t="shared" si="16"/>
        <v>-2.0968799999999998E-4</v>
      </c>
      <c r="R74" s="3">
        <f t="shared" si="17"/>
        <v>520.33399999999995</v>
      </c>
      <c r="S74" s="24">
        <f t="shared" si="18"/>
        <v>3.2917999999999998</v>
      </c>
      <c r="T74" s="3">
        <f t="shared" si="19"/>
        <v>504.66800000000001</v>
      </c>
      <c r="U74" s="51">
        <f t="shared" si="20"/>
        <v>1.0137100000000001</v>
      </c>
      <c r="V74" s="42">
        <f t="shared" si="22"/>
        <v>0.97391118325870296</v>
      </c>
      <c r="W74" s="49">
        <f t="shared" si="12"/>
        <v>3.9260554538573307E-2</v>
      </c>
    </row>
    <row r="75" spans="2:23" x14ac:dyDescent="0.6">
      <c r="B75" s="2"/>
      <c r="C75" s="1"/>
      <c r="D75" s="2">
        <v>560.87</v>
      </c>
      <c r="E75" s="44">
        <v>7.1165999999999998E-6</v>
      </c>
      <c r="F75" s="2">
        <v>557.89599999999996</v>
      </c>
      <c r="G75" s="1">
        <v>-214.32499999999999</v>
      </c>
      <c r="H75" s="2">
        <v>557.38199999999995</v>
      </c>
      <c r="I75" s="1">
        <v>3.21095</v>
      </c>
      <c r="J75" s="2">
        <v>539.13800000000003</v>
      </c>
      <c r="K75" s="1">
        <v>1.0818000000000001</v>
      </c>
      <c r="N75" s="3">
        <f t="shared" si="13"/>
        <v>560.87</v>
      </c>
      <c r="O75" s="21">
        <f t="shared" si="14"/>
        <v>140516.53879661637</v>
      </c>
      <c r="P75" s="3">
        <f t="shared" si="15"/>
        <v>557.89599999999996</v>
      </c>
      <c r="Q75" s="17">
        <f t="shared" si="16"/>
        <v>-2.1432499999999999E-4</v>
      </c>
      <c r="R75" s="3">
        <f t="shared" si="17"/>
        <v>557.38199999999995</v>
      </c>
      <c r="S75" s="24">
        <f t="shared" si="18"/>
        <v>3.21095</v>
      </c>
      <c r="T75" s="3">
        <f t="shared" si="19"/>
        <v>539.13800000000003</v>
      </c>
      <c r="U75" s="51">
        <f t="shared" si="20"/>
        <v>1.0818000000000001</v>
      </c>
      <c r="V75" s="42">
        <f t="shared" si="22"/>
        <v>1.0611516907091973</v>
      </c>
      <c r="W75" s="49">
        <f t="shared" si="12"/>
        <v>1.9086993243485621E-2</v>
      </c>
    </row>
    <row r="76" spans="2:23" x14ac:dyDescent="0.6">
      <c r="B76" s="2"/>
      <c r="C76" s="1"/>
      <c r="D76" s="2">
        <v>594.56500000000005</v>
      </c>
      <c r="E76" s="44">
        <v>7.3052699999999998E-6</v>
      </c>
      <c r="F76" s="2">
        <v>590.38599999999997</v>
      </c>
      <c r="G76" s="1">
        <v>-217.25800000000001</v>
      </c>
      <c r="H76" s="2">
        <v>590.07600000000002</v>
      </c>
      <c r="I76" s="1">
        <v>3.1826699999999999</v>
      </c>
      <c r="J76" s="2">
        <v>566.42700000000002</v>
      </c>
      <c r="K76" s="1">
        <v>1.1460999999999999</v>
      </c>
      <c r="N76" s="3">
        <f t="shared" si="13"/>
        <v>594.56500000000005</v>
      </c>
      <c r="O76" s="21">
        <f t="shared" si="14"/>
        <v>136887.47986042954</v>
      </c>
      <c r="P76" s="3">
        <f t="shared" si="15"/>
        <v>590.38599999999997</v>
      </c>
      <c r="Q76" s="17">
        <f t="shared" si="16"/>
        <v>-2.1725800000000001E-4</v>
      </c>
      <c r="R76" s="3">
        <f t="shared" si="17"/>
        <v>590.07600000000002</v>
      </c>
      <c r="S76" s="24">
        <f t="shared" si="18"/>
        <v>3.1826699999999999</v>
      </c>
      <c r="T76" s="3">
        <f t="shared" si="19"/>
        <v>566.42700000000002</v>
      </c>
      <c r="U76" s="51">
        <f t="shared" si="20"/>
        <v>1.1460999999999999</v>
      </c>
      <c r="V76" s="42">
        <f t="shared" si="22"/>
        <v>1.1444018259308213</v>
      </c>
      <c r="W76" s="49">
        <f t="shared" si="12"/>
        <v>1.4816979924776234E-3</v>
      </c>
    </row>
    <row r="77" spans="2:23" x14ac:dyDescent="0.6">
      <c r="B77" s="2"/>
      <c r="C77" s="1"/>
      <c r="D77" s="2">
        <v>634.78300000000002</v>
      </c>
      <c r="E77" s="44">
        <v>7.6977499999999993E-6</v>
      </c>
      <c r="F77" s="2">
        <v>629.39200000000005</v>
      </c>
      <c r="G77" s="1">
        <v>-219.07400000000001</v>
      </c>
      <c r="H77" s="2">
        <v>624.95399999999995</v>
      </c>
      <c r="I77" s="1">
        <v>3.1803900000000001</v>
      </c>
      <c r="J77" s="2">
        <v>601.61599999999999</v>
      </c>
      <c r="K77" s="1">
        <v>1.2103999999999999</v>
      </c>
      <c r="N77" s="3">
        <f t="shared" si="13"/>
        <v>634.78300000000002</v>
      </c>
      <c r="O77" s="21">
        <f t="shared" si="14"/>
        <v>129908.0900263064</v>
      </c>
      <c r="P77" s="3">
        <f t="shared" si="15"/>
        <v>629.39200000000005</v>
      </c>
      <c r="Q77" s="17">
        <f t="shared" si="16"/>
        <v>-2.1907400000000001E-4</v>
      </c>
      <c r="R77" s="3">
        <f t="shared" si="17"/>
        <v>624.95399999999995</v>
      </c>
      <c r="S77" s="24">
        <f t="shared" si="18"/>
        <v>3.1803900000000001</v>
      </c>
      <c r="T77" s="3">
        <f t="shared" si="19"/>
        <v>601.61599999999999</v>
      </c>
      <c r="U77" s="51">
        <f t="shared" si="20"/>
        <v>1.2103999999999999</v>
      </c>
      <c r="V77" s="42">
        <f t="shared" si="22"/>
        <v>1.2006214868791245</v>
      </c>
      <c r="W77" s="49">
        <f t="shared" si="12"/>
        <v>8.0787451428250244E-3</v>
      </c>
    </row>
    <row r="78" spans="2:23" x14ac:dyDescent="0.6">
      <c r="B78" s="2"/>
      <c r="C78" s="1"/>
      <c r="D78" s="2">
        <v>669.56500000000005</v>
      </c>
      <c r="E78" s="44">
        <v>7.9018199999999992E-6</v>
      </c>
      <c r="F78" s="2">
        <v>655.37199999999996</v>
      </c>
      <c r="G78" s="1">
        <v>-222.55699999999999</v>
      </c>
      <c r="H78" s="2">
        <v>657.65700000000004</v>
      </c>
      <c r="I78" s="1">
        <v>3.23054</v>
      </c>
      <c r="J78" s="2">
        <v>625.31399999999996</v>
      </c>
      <c r="K78" s="1">
        <v>1.24823</v>
      </c>
      <c r="N78" s="3">
        <f t="shared" si="13"/>
        <v>669.56500000000005</v>
      </c>
      <c r="O78" s="21">
        <f t="shared" si="14"/>
        <v>126553.12320452758</v>
      </c>
      <c r="P78" s="3">
        <f t="shared" si="15"/>
        <v>655.37199999999996</v>
      </c>
      <c r="Q78" s="17">
        <f t="shared" si="16"/>
        <v>-2.2255699999999999E-4</v>
      </c>
      <c r="R78" s="3">
        <f t="shared" si="17"/>
        <v>657.65700000000004</v>
      </c>
      <c r="S78" s="24">
        <f t="shared" si="18"/>
        <v>3.23054</v>
      </c>
      <c r="T78" s="3">
        <f t="shared" si="19"/>
        <v>625.31399999999996</v>
      </c>
      <c r="U78" s="51">
        <f t="shared" si="20"/>
        <v>1.24823</v>
      </c>
      <c r="V78" s="42">
        <f>((O77*(Q77)^2)/S77)*T78</f>
        <v>1.2258452438421588</v>
      </c>
      <c r="W78" s="49">
        <f t="shared" si="12"/>
        <v>1.7933198335115478E-2</v>
      </c>
    </row>
    <row r="79" spans="2:23" x14ac:dyDescent="0.6">
      <c r="B79" s="2"/>
      <c r="C79" s="1"/>
      <c r="D79" s="2">
        <v>704.34799999999996</v>
      </c>
      <c r="E79" s="44">
        <v>8.5470899999999992E-6</v>
      </c>
      <c r="F79" s="2">
        <v>679.20799999999997</v>
      </c>
      <c r="G79" s="1">
        <v>-223.761</v>
      </c>
      <c r="H79" s="2">
        <v>683.81799999999998</v>
      </c>
      <c r="I79" s="1">
        <v>3.2549700000000001</v>
      </c>
      <c r="J79" s="2">
        <v>655.476</v>
      </c>
      <c r="K79" s="1">
        <v>1.2860499999999999</v>
      </c>
      <c r="N79" s="3">
        <f t="shared" si="13"/>
        <v>704.34799999999996</v>
      </c>
      <c r="O79" s="21">
        <f t="shared" si="14"/>
        <v>116998.88500062596</v>
      </c>
      <c r="P79" s="3">
        <f t="shared" si="15"/>
        <v>679.20799999999997</v>
      </c>
      <c r="Q79" s="17">
        <f t="shared" si="16"/>
        <v>-2.2376099999999997E-4</v>
      </c>
      <c r="R79" s="3">
        <f t="shared" si="17"/>
        <v>683.81799999999998</v>
      </c>
      <c r="S79" s="24">
        <f t="shared" si="18"/>
        <v>3.2549700000000001</v>
      </c>
      <c r="T79" s="3">
        <f t="shared" si="19"/>
        <v>655.476</v>
      </c>
      <c r="U79" s="51">
        <f t="shared" si="20"/>
        <v>1.2860499999999999</v>
      </c>
      <c r="V79" s="42">
        <f>((AVERAGE(O77,O78)*(Q78)^2)/S78)*T79</f>
        <v>1.288712039565258</v>
      </c>
      <c r="W79" s="49">
        <f t="shared" si="12"/>
        <v>-2.0699347344645411E-3</v>
      </c>
    </row>
    <row r="80" spans="2:23" x14ac:dyDescent="0.6">
      <c r="B80" s="2"/>
      <c r="C80" s="1"/>
      <c r="D80" s="2"/>
      <c r="E80" s="1"/>
      <c r="F80" s="2">
        <v>704.11</v>
      </c>
      <c r="G80" s="1">
        <v>-226.672</v>
      </c>
      <c r="H80" s="2">
        <v>702.34299999999996</v>
      </c>
      <c r="I80" s="1">
        <v>3.2276199999999999</v>
      </c>
      <c r="J80" s="2">
        <v>681.32899999999995</v>
      </c>
      <c r="K80" s="1">
        <v>1.3049599999999999</v>
      </c>
      <c r="N80" s="3"/>
      <c r="O80" s="21"/>
      <c r="P80" s="3">
        <f t="shared" si="15"/>
        <v>704.11</v>
      </c>
      <c r="Q80" s="17">
        <f t="shared" si="16"/>
        <v>-2.2667199999999997E-4</v>
      </c>
      <c r="R80" s="3">
        <f t="shared" si="17"/>
        <v>702.34299999999996</v>
      </c>
      <c r="S80" s="24">
        <f t="shared" si="18"/>
        <v>3.2276199999999999</v>
      </c>
      <c r="T80" s="3">
        <f t="shared" si="19"/>
        <v>681.32899999999995</v>
      </c>
      <c r="U80" s="51">
        <f t="shared" si="20"/>
        <v>1.3049599999999999</v>
      </c>
      <c r="V80" s="42">
        <f>((O78*(Q79)^2)/S79)*T80</f>
        <v>1.3263298397982264</v>
      </c>
      <c r="W80" s="49">
        <f t="shared" si="12"/>
        <v>-1.6375858109234375E-2</v>
      </c>
    </row>
    <row r="81" spans="2:23" x14ac:dyDescent="0.6">
      <c r="B81" s="28"/>
      <c r="C81" s="29"/>
      <c r="D81" s="28"/>
      <c r="E81" s="29"/>
      <c r="F81" s="28"/>
      <c r="G81" s="29"/>
      <c r="H81" s="28"/>
      <c r="I81" s="29"/>
      <c r="J81" s="28">
        <v>701.43600000000004</v>
      </c>
      <c r="K81" s="29">
        <v>1.3049599999999999</v>
      </c>
      <c r="N81" s="32"/>
      <c r="O81" s="33"/>
      <c r="P81" s="32"/>
      <c r="Q81" s="34"/>
      <c r="R81" s="32"/>
      <c r="S81" s="35"/>
      <c r="T81" s="32">
        <f t="shared" si="19"/>
        <v>701.43600000000004</v>
      </c>
      <c r="U81" s="52">
        <f t="shared" si="20"/>
        <v>1.3049599999999999</v>
      </c>
      <c r="V81" s="42">
        <f>((O79*(Q80)^2)/S80)*T81</f>
        <v>1.3064209303645034</v>
      </c>
      <c r="W81" s="49">
        <f t="shared" si="12"/>
        <v>-1.1195211841768748E-3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14.125" bestFit="1" customWidth="1"/>
    <col min="15" max="15" width="9" style="18"/>
    <col min="16" max="16" width="9" bestFit="1" customWidth="1"/>
    <col min="17" max="17" width="10.4375" style="14" customWidth="1"/>
    <col min="18" max="18" width="9" bestFit="1" customWidth="1"/>
    <col min="19" max="19" width="9" style="22"/>
    <col min="20" max="20" width="9" bestFit="1" customWidth="1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90</v>
      </c>
      <c r="E8" s="10" t="s">
        <v>36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54.444888495535103</v>
      </c>
      <c r="E9" s="4">
        <v>77.626458829182894</v>
      </c>
      <c r="F9" s="3">
        <v>54.256314312441503</v>
      </c>
      <c r="G9" s="4">
        <v>63.157894736842003</v>
      </c>
      <c r="H9" s="3">
        <v>25.3164556962025</v>
      </c>
      <c r="I9" s="4">
        <v>3.12249443207127</v>
      </c>
      <c r="J9" s="3">
        <v>54.390079247456001</v>
      </c>
      <c r="K9" s="4">
        <v>5.3854319959155397E-3</v>
      </c>
      <c r="N9" s="53">
        <f>D9+273.15</f>
        <v>327.59488849553509</v>
      </c>
      <c r="O9" s="21">
        <f>1/(E9*(10^(-6)))</f>
        <v>12882.205566023578</v>
      </c>
      <c r="P9" s="53">
        <f>F9+273.15</f>
        <v>327.40631431244151</v>
      </c>
      <c r="Q9" s="17">
        <f>G9*(10^(-6))</f>
        <v>6.3157894736841995E-5</v>
      </c>
      <c r="R9" s="53">
        <f>H9+273.15</f>
        <v>298.4664556962025</v>
      </c>
      <c r="S9" s="24">
        <f>I9</f>
        <v>3.12249443207127</v>
      </c>
      <c r="T9" s="53">
        <f>J9+273.15</f>
        <v>327.54007924745599</v>
      </c>
      <c r="U9" s="51">
        <f>K9</f>
        <v>5.3854319959155397E-3</v>
      </c>
      <c r="V9" s="42">
        <f>((O9*(Q9)^2)/S9)*T9</f>
        <v>5.3902423563711634E-3</v>
      </c>
      <c r="W9" s="49">
        <f>(U9-V9)/U9</f>
        <v>-8.932171939543661E-4</v>
      </c>
    </row>
    <row r="10" spans="1:23" x14ac:dyDescent="0.6">
      <c r="B10" s="3"/>
      <c r="C10" s="4"/>
      <c r="D10" s="3">
        <v>101.04894935174801</v>
      </c>
      <c r="E10" s="4">
        <v>67.774780882360204</v>
      </c>
      <c r="F10" s="3">
        <v>100.56127221702501</v>
      </c>
      <c r="G10" s="4">
        <v>71.052631578947299</v>
      </c>
      <c r="H10" s="3">
        <v>100.11507479861901</v>
      </c>
      <c r="I10" s="4">
        <v>3.05122494432071</v>
      </c>
      <c r="J10" s="3">
        <v>100.80709923494599</v>
      </c>
      <c r="K10" s="4">
        <v>8.6560315684049496E-3</v>
      </c>
      <c r="N10" s="53">
        <f t="shared" ref="N10:N17" si="0">D10+273.15</f>
        <v>374.19894935174796</v>
      </c>
      <c r="O10" s="21">
        <f t="shared" ref="O10:O17" si="1">1/(E10*(10^(-6)))</f>
        <v>14754.750763941913</v>
      </c>
      <c r="P10" s="53">
        <f t="shared" ref="P10:P17" si="2">F10+273.15</f>
        <v>373.711272217025</v>
      </c>
      <c r="Q10" s="17">
        <f t="shared" ref="Q10:Q17" si="3">G10*(10^(-6))</f>
        <v>7.10526315789473E-5</v>
      </c>
      <c r="R10" s="53">
        <f t="shared" ref="R10:R18" si="4">H10+273.15</f>
        <v>373.26507479861897</v>
      </c>
      <c r="S10" s="24">
        <f t="shared" ref="S10:U18" si="5">I10</f>
        <v>3.05122494432071</v>
      </c>
      <c r="T10" s="53">
        <f t="shared" ref="T10:T17" si="6">J10+273.15</f>
        <v>373.95709923494599</v>
      </c>
      <c r="U10" s="51">
        <f t="shared" si="5"/>
        <v>8.6560315684049496E-3</v>
      </c>
      <c r="V10" s="42">
        <f>((O10*(Q10)^2)/S10)*T10</f>
        <v>9.1293481449824208E-3</v>
      </c>
      <c r="W10" s="49">
        <f t="shared" ref="W10:W17" si="7">(U10-V10)/U10</f>
        <v>-5.4680551109021591E-2</v>
      </c>
    </row>
    <row r="11" spans="1:23" x14ac:dyDescent="0.6">
      <c r="B11" s="2"/>
      <c r="C11" s="1"/>
      <c r="D11" s="2">
        <v>150.914089057951</v>
      </c>
      <c r="E11" s="1">
        <v>59.302933272065097</v>
      </c>
      <c r="F11" s="2">
        <v>150.60804490177699</v>
      </c>
      <c r="G11" s="1">
        <v>77.631578947368297</v>
      </c>
      <c r="H11" s="2">
        <v>150.172612197928</v>
      </c>
      <c r="I11" s="1">
        <v>2.9443207126948701</v>
      </c>
      <c r="J11" s="2">
        <v>151.18910357272901</v>
      </c>
      <c r="K11" s="1">
        <v>1.45712946362699E-2</v>
      </c>
      <c r="N11" s="53">
        <f t="shared" si="0"/>
        <v>424.06408905795098</v>
      </c>
      <c r="O11" s="21">
        <f t="shared" si="1"/>
        <v>16862.572301647924</v>
      </c>
      <c r="P11" s="53">
        <f t="shared" si="2"/>
        <v>423.758044901777</v>
      </c>
      <c r="Q11" s="17">
        <f t="shared" si="3"/>
        <v>7.7631578947368293E-5</v>
      </c>
      <c r="R11" s="53">
        <f t="shared" si="4"/>
        <v>423.32261219792798</v>
      </c>
      <c r="S11" s="24">
        <f t="shared" si="5"/>
        <v>2.9443207126948701</v>
      </c>
      <c r="T11" s="53">
        <f t="shared" si="6"/>
        <v>424.33910357272896</v>
      </c>
      <c r="U11" s="51">
        <f t="shared" si="5"/>
        <v>1.45712946362699E-2</v>
      </c>
      <c r="V11" s="42">
        <f t="shared" ref="V11:V16" si="8">((O11*(Q11)^2)/S11)*T11</f>
        <v>1.4646322879707897E-2</v>
      </c>
      <c r="W11" s="49">
        <f t="shared" si="7"/>
        <v>-5.1490444267897392E-3</v>
      </c>
    </row>
    <row r="12" spans="1:23" x14ac:dyDescent="0.6">
      <c r="B12" s="2"/>
      <c r="C12" s="1"/>
      <c r="D12" s="2">
        <v>200.77841976419199</v>
      </c>
      <c r="E12" s="1">
        <v>52.219976797881202</v>
      </c>
      <c r="F12" s="2">
        <v>200.65481758652899</v>
      </c>
      <c r="G12" s="1">
        <v>84.210526315789394</v>
      </c>
      <c r="H12" s="2">
        <v>200.23014959723801</v>
      </c>
      <c r="I12" s="1">
        <v>2.9443207126948701</v>
      </c>
      <c r="J12" s="2">
        <v>201.08340112479399</v>
      </c>
      <c r="K12" s="1">
        <v>2.14390418748832E-2</v>
      </c>
      <c r="N12" s="53">
        <f t="shared" si="0"/>
        <v>473.92841976419197</v>
      </c>
      <c r="O12" s="21">
        <f t="shared" si="1"/>
        <v>19149.759561757877</v>
      </c>
      <c r="P12" s="53">
        <f t="shared" si="2"/>
        <v>473.804817586529</v>
      </c>
      <c r="Q12" s="17">
        <f t="shared" si="3"/>
        <v>8.4210526315789394E-5</v>
      </c>
      <c r="R12" s="53">
        <f t="shared" si="4"/>
        <v>473.38014959723796</v>
      </c>
      <c r="S12" s="24">
        <f t="shared" si="5"/>
        <v>2.9443207126948701</v>
      </c>
      <c r="T12" s="53">
        <f t="shared" si="6"/>
        <v>474.233401124794</v>
      </c>
      <c r="U12" s="51">
        <f t="shared" si="5"/>
        <v>2.14390418748832E-2</v>
      </c>
      <c r="V12" s="42">
        <f t="shared" si="8"/>
        <v>2.1872736124876588E-2</v>
      </c>
      <c r="W12" s="49">
        <f t="shared" si="7"/>
        <v>-2.0229180600718974E-2</v>
      </c>
    </row>
    <row r="13" spans="1:23" x14ac:dyDescent="0.6">
      <c r="B13" s="2"/>
      <c r="C13" s="1"/>
      <c r="D13" s="2">
        <v>251.10873444899801</v>
      </c>
      <c r="E13" s="1">
        <v>45.135725923756603</v>
      </c>
      <c r="F13" s="2">
        <v>250.70159027128099</v>
      </c>
      <c r="G13" s="1">
        <v>85.5263157894736</v>
      </c>
      <c r="H13" s="2">
        <v>249.71231300345201</v>
      </c>
      <c r="I13" s="1">
        <v>2.9443207126948701</v>
      </c>
      <c r="J13" s="2">
        <v>251.47389299700001</v>
      </c>
      <c r="K13" s="1">
        <v>2.8729964522106102E-2</v>
      </c>
      <c r="N13" s="53">
        <f t="shared" si="0"/>
        <v>524.25873444899798</v>
      </c>
      <c r="O13" s="21">
        <f t="shared" si="1"/>
        <v>22155.398623458565</v>
      </c>
      <c r="P13" s="53">
        <f t="shared" si="2"/>
        <v>523.851590271281</v>
      </c>
      <c r="Q13" s="17">
        <f t="shared" si="3"/>
        <v>8.5526315789473598E-5</v>
      </c>
      <c r="R13" s="53">
        <f t="shared" si="4"/>
        <v>522.86231300345196</v>
      </c>
      <c r="S13" s="24">
        <f t="shared" si="5"/>
        <v>2.9443207126948701</v>
      </c>
      <c r="T13" s="53">
        <f t="shared" si="6"/>
        <v>524.62389299699998</v>
      </c>
      <c r="U13" s="51">
        <f t="shared" si="5"/>
        <v>2.8729964522106102E-2</v>
      </c>
      <c r="V13" s="42">
        <f t="shared" si="8"/>
        <v>2.8876333485764565E-2</v>
      </c>
      <c r="W13" s="49">
        <f t="shared" si="7"/>
        <v>-5.0946447756954312E-3</v>
      </c>
    </row>
    <row r="14" spans="1:23" x14ac:dyDescent="0.6">
      <c r="B14" s="2"/>
      <c r="C14" s="1"/>
      <c r="D14" s="2">
        <v>301.43824013384</v>
      </c>
      <c r="E14" s="1">
        <v>39.440366185743301</v>
      </c>
      <c r="F14" s="2">
        <v>301.21608980355398</v>
      </c>
      <c r="G14" s="1">
        <v>85.5263157894736</v>
      </c>
      <c r="H14" s="2">
        <v>299.76985040276099</v>
      </c>
      <c r="I14" s="1">
        <v>3.01559020044543</v>
      </c>
      <c r="J14" s="2">
        <v>302.34556278229201</v>
      </c>
      <c r="K14" s="1">
        <v>3.4010203322151503E-2</v>
      </c>
      <c r="N14" s="53">
        <f t="shared" si="0"/>
        <v>574.58824013383992</v>
      </c>
      <c r="O14" s="21">
        <f t="shared" si="1"/>
        <v>25354.734164752124</v>
      </c>
      <c r="P14" s="53">
        <f t="shared" si="2"/>
        <v>574.3660898035539</v>
      </c>
      <c r="Q14" s="17">
        <f t="shared" si="3"/>
        <v>8.5526315789473598E-5</v>
      </c>
      <c r="R14" s="53">
        <f t="shared" si="4"/>
        <v>572.91985040276097</v>
      </c>
      <c r="S14" s="24">
        <f t="shared" si="5"/>
        <v>3.01559020044543</v>
      </c>
      <c r="T14" s="53">
        <f t="shared" si="6"/>
        <v>575.49556278229193</v>
      </c>
      <c r="U14" s="51">
        <f t="shared" si="5"/>
        <v>3.4010203322151503E-2</v>
      </c>
      <c r="V14" s="42">
        <f t="shared" si="8"/>
        <v>3.5393885884631444E-2</v>
      </c>
      <c r="W14" s="49">
        <f t="shared" si="7"/>
        <v>-4.06843366790084E-2</v>
      </c>
    </row>
    <row r="15" spans="1:23" x14ac:dyDescent="0.6">
      <c r="B15" s="2"/>
      <c r="C15" s="1"/>
      <c r="D15" s="2">
        <v>353.16407975445202</v>
      </c>
      <c r="E15" s="1">
        <v>36.518905520130403</v>
      </c>
      <c r="F15" s="2">
        <v>353.13376987839098</v>
      </c>
      <c r="G15" s="1">
        <v>94.736842105263094</v>
      </c>
      <c r="H15" s="2">
        <v>349.82738780207097</v>
      </c>
      <c r="I15" s="1">
        <v>3.12249443207127</v>
      </c>
      <c r="J15" s="2">
        <v>353.22441432748002</v>
      </c>
      <c r="K15" s="1">
        <v>4.04544617662689E-2</v>
      </c>
      <c r="N15" s="53">
        <f t="shared" si="0"/>
        <v>626.314079754452</v>
      </c>
      <c r="O15" s="21">
        <f t="shared" si="1"/>
        <v>27383.076950342002</v>
      </c>
      <c r="P15" s="53">
        <f t="shared" si="2"/>
        <v>626.28376987839101</v>
      </c>
      <c r="Q15" s="17">
        <f t="shared" si="3"/>
        <v>9.4736842105263094E-5</v>
      </c>
      <c r="R15" s="53">
        <f t="shared" si="4"/>
        <v>622.97738780207101</v>
      </c>
      <c r="S15" s="24">
        <f t="shared" si="5"/>
        <v>3.12249443207127</v>
      </c>
      <c r="T15" s="53">
        <f t="shared" si="6"/>
        <v>626.37441432748005</v>
      </c>
      <c r="U15" s="51">
        <f t="shared" si="5"/>
        <v>4.04544617662689E-2</v>
      </c>
      <c r="V15" s="42">
        <f t="shared" si="8"/>
        <v>4.9300621275792676E-2</v>
      </c>
      <c r="W15" s="49">
        <f t="shared" si="7"/>
        <v>-0.21866956383287595</v>
      </c>
    </row>
    <row r="16" spans="1:23" x14ac:dyDescent="0.6">
      <c r="B16" s="2"/>
      <c r="C16" s="1"/>
      <c r="D16" s="2">
        <v>402.55433648249999</v>
      </c>
      <c r="E16" s="1">
        <v>43.326154806997003</v>
      </c>
      <c r="F16" s="2">
        <v>402.71281571562201</v>
      </c>
      <c r="G16" s="1">
        <v>106.578947368421</v>
      </c>
      <c r="H16" s="2">
        <v>399.88492520137999</v>
      </c>
      <c r="I16" s="1">
        <v>3.3363028953229401</v>
      </c>
      <c r="J16" s="2">
        <v>402.65516192257002</v>
      </c>
      <c r="K16" s="1">
        <v>5.2190031978418101E-2</v>
      </c>
      <c r="N16" s="53">
        <f t="shared" si="0"/>
        <v>675.70433648249991</v>
      </c>
      <c r="O16" s="21">
        <f t="shared" si="1"/>
        <v>23080.746594168195</v>
      </c>
      <c r="P16" s="53">
        <f t="shared" si="2"/>
        <v>675.86281571562199</v>
      </c>
      <c r="Q16" s="17">
        <f t="shared" si="3"/>
        <v>1.06578947368421E-4</v>
      </c>
      <c r="R16" s="53">
        <f t="shared" si="4"/>
        <v>673.03492520138002</v>
      </c>
      <c r="S16" s="24">
        <f t="shared" si="5"/>
        <v>3.3363028953229401</v>
      </c>
      <c r="T16" s="53">
        <f t="shared" si="6"/>
        <v>675.80516192257005</v>
      </c>
      <c r="U16" s="51">
        <f t="shared" si="5"/>
        <v>5.2190031978418101E-2</v>
      </c>
      <c r="V16" s="42">
        <f t="shared" si="8"/>
        <v>5.3106629413014236E-2</v>
      </c>
      <c r="W16" s="49">
        <f t="shared" si="7"/>
        <v>-1.7562691568672947E-2</v>
      </c>
    </row>
    <row r="17" spans="2:23" x14ac:dyDescent="0.6">
      <c r="B17" s="2"/>
      <c r="C17" s="1"/>
      <c r="D17" s="2">
        <v>451.94540221051102</v>
      </c>
      <c r="E17" s="1">
        <v>48.744512957752399</v>
      </c>
      <c r="F17" s="2">
        <v>451.82413470533203</v>
      </c>
      <c r="G17" s="1">
        <v>84.210526315789394</v>
      </c>
      <c r="H17" s="2">
        <v>449.94246260069002</v>
      </c>
      <c r="I17" s="1">
        <v>3.6748329621380802</v>
      </c>
      <c r="J17" s="2">
        <v>452.84456451766602</v>
      </c>
      <c r="K17" s="1">
        <v>2.68884045916255E-2</v>
      </c>
      <c r="N17" s="53">
        <f t="shared" si="0"/>
        <v>725.095402210511</v>
      </c>
      <c r="O17" s="21">
        <f t="shared" si="1"/>
        <v>20515.129587338681</v>
      </c>
      <c r="P17" s="53">
        <f t="shared" si="2"/>
        <v>724.97413470533206</v>
      </c>
      <c r="Q17" s="17">
        <f t="shared" si="3"/>
        <v>8.4210526315789394E-5</v>
      </c>
      <c r="R17" s="53">
        <f t="shared" si="4"/>
        <v>723.09246260068994</v>
      </c>
      <c r="S17" s="24">
        <f t="shared" si="5"/>
        <v>3.6748329621380802</v>
      </c>
      <c r="T17" s="53">
        <f t="shared" si="6"/>
        <v>725.99456451766605</v>
      </c>
      <c r="U17" s="51">
        <f t="shared" si="5"/>
        <v>2.68884045916255E-2</v>
      </c>
      <c r="V17" s="42">
        <f>((O17*(Q17)^2)/S18)*T17</f>
        <v>2.5523547029930156E-2</v>
      </c>
      <c r="W17" s="49">
        <f t="shared" si="7"/>
        <v>5.0760079760196482E-2</v>
      </c>
    </row>
    <row r="18" spans="2:23" x14ac:dyDescent="0.6">
      <c r="B18" s="28"/>
      <c r="C18" s="29"/>
      <c r="D18" s="28"/>
      <c r="E18" s="29"/>
      <c r="F18" s="28"/>
      <c r="G18" s="29"/>
      <c r="H18" s="28">
        <v>499.42462600690402</v>
      </c>
      <c r="I18" s="29">
        <v>4.1380846325166996</v>
      </c>
      <c r="J18" s="28"/>
      <c r="K18" s="29"/>
      <c r="N18" s="32"/>
      <c r="O18" s="33"/>
      <c r="P18" s="32"/>
      <c r="Q18" s="34"/>
      <c r="R18" s="53">
        <f t="shared" si="4"/>
        <v>772.57462600690405</v>
      </c>
      <c r="S18" s="35">
        <f t="shared" si="5"/>
        <v>4.1380846325166996</v>
      </c>
      <c r="T18" s="32"/>
      <c r="U18" s="35"/>
      <c r="V18"/>
    </row>
    <row r="19" spans="2:23" x14ac:dyDescent="0.6">
      <c r="B19" s="30"/>
      <c r="C19" s="30"/>
      <c r="D19" s="30"/>
      <c r="E19" s="30"/>
      <c r="F19" s="30"/>
      <c r="G19" s="30"/>
      <c r="H19" s="30"/>
      <c r="I19" s="30"/>
      <c r="J19" s="30"/>
      <c r="K19" s="30"/>
      <c r="N19" s="30"/>
      <c r="O19" s="39"/>
      <c r="P19" s="30"/>
      <c r="Q19" s="40"/>
      <c r="R19" s="30"/>
      <c r="S19" s="41"/>
      <c r="T19" s="30"/>
      <c r="U19" s="41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ht="17.25" thickBot="1" x14ac:dyDescent="0.65">
      <c r="B22" s="31"/>
      <c r="C22" s="31"/>
      <c r="D22" s="31" t="s">
        <v>79</v>
      </c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7" t="s">
        <v>3</v>
      </c>
      <c r="E23" s="6" t="s">
        <v>8</v>
      </c>
      <c r="F23" s="7" t="s">
        <v>3</v>
      </c>
      <c r="G23" s="6" t="s">
        <v>1</v>
      </c>
      <c r="H23" s="7" t="s">
        <v>3</v>
      </c>
      <c r="I23" s="6" t="s">
        <v>2</v>
      </c>
      <c r="J23" s="7" t="s">
        <v>3</v>
      </c>
      <c r="K23" s="8" t="s">
        <v>6</v>
      </c>
      <c r="N23" s="5" t="s">
        <v>3</v>
      </c>
      <c r="O23" s="19" t="s">
        <v>0</v>
      </c>
      <c r="P23" s="7" t="s">
        <v>3</v>
      </c>
      <c r="Q23" s="15" t="s">
        <v>1</v>
      </c>
      <c r="R23" s="7" t="s">
        <v>3</v>
      </c>
      <c r="S23" s="23" t="s">
        <v>2</v>
      </c>
      <c r="T23" s="7" t="s">
        <v>3</v>
      </c>
      <c r="U23" s="25" t="s">
        <v>6</v>
      </c>
    </row>
    <row r="24" spans="2:23" ht="17.25" thickBot="1" x14ac:dyDescent="0.65">
      <c r="B24" s="31"/>
      <c r="C24" s="31"/>
      <c r="D24" s="11" t="s">
        <v>4</v>
      </c>
      <c r="E24" s="10" t="s">
        <v>32</v>
      </c>
      <c r="F24" s="11" t="s">
        <v>4</v>
      </c>
      <c r="G24" s="27" t="s">
        <v>13</v>
      </c>
      <c r="H24" s="11" t="s">
        <v>4</v>
      </c>
      <c r="I24" s="10" t="s">
        <v>15</v>
      </c>
      <c r="J24" s="11" t="s">
        <v>4</v>
      </c>
      <c r="K24" s="12" t="s">
        <v>7</v>
      </c>
      <c r="N24" s="9" t="s">
        <v>4</v>
      </c>
      <c r="O24" s="20" t="s">
        <v>5</v>
      </c>
      <c r="P24" s="11" t="s">
        <v>4</v>
      </c>
      <c r="Q24" s="16" t="s">
        <v>14</v>
      </c>
      <c r="R24" s="11" t="s">
        <v>4</v>
      </c>
      <c r="S24" s="10" t="s">
        <v>15</v>
      </c>
      <c r="T24" s="11" t="s">
        <v>4</v>
      </c>
      <c r="U24" s="26" t="s">
        <v>7</v>
      </c>
      <c r="W24" t="s">
        <v>78</v>
      </c>
    </row>
    <row r="25" spans="2:23" x14ac:dyDescent="0.6">
      <c r="B25" s="31"/>
      <c r="C25" s="31"/>
      <c r="D25" s="3">
        <v>53.719000000000001</v>
      </c>
      <c r="E25" s="4">
        <v>74.418599999999998</v>
      </c>
      <c r="F25" s="3">
        <v>53.088700000000003</v>
      </c>
      <c r="G25" s="4">
        <v>72.497299999999996</v>
      </c>
      <c r="H25" s="3">
        <v>26.066400000000002</v>
      </c>
      <c r="I25" s="4">
        <v>3.1059899999999998</v>
      </c>
      <c r="J25" s="3">
        <v>50.604399999999998</v>
      </c>
      <c r="K25" s="4">
        <v>5.7302100000000003E-3</v>
      </c>
      <c r="N25" s="3">
        <f>D25+273</f>
        <v>326.71899999999999</v>
      </c>
      <c r="O25" s="21">
        <f>1/(E25*0.000001)</f>
        <v>13437.500839843804</v>
      </c>
      <c r="P25" s="3">
        <f>F25+273</f>
        <v>326.08870000000002</v>
      </c>
      <c r="Q25" s="17">
        <f>G25*0.000001</f>
        <v>7.2497299999999988E-5</v>
      </c>
      <c r="R25" s="3">
        <f>H25+273</f>
        <v>299.06639999999999</v>
      </c>
      <c r="S25" s="24">
        <f>I25</f>
        <v>3.1059899999999998</v>
      </c>
      <c r="T25" s="3">
        <f>J25+273</f>
        <v>323.6044</v>
      </c>
      <c r="U25" s="24">
        <f>K25</f>
        <v>5.7302100000000003E-3</v>
      </c>
      <c r="V25" s="22">
        <f>((O25*(Q25)^2)/S25)*T25</f>
        <v>7.3582838057088523E-3</v>
      </c>
      <c r="W25" s="49">
        <f>(U25-V25)/U25</f>
        <v>-0.28412114140822969</v>
      </c>
    </row>
    <row r="26" spans="2:23" x14ac:dyDescent="0.6">
      <c r="B26" s="31"/>
      <c r="C26" s="31"/>
      <c r="D26" s="3">
        <v>103.306</v>
      </c>
      <c r="E26" s="4">
        <v>68.217100000000002</v>
      </c>
      <c r="F26" s="3">
        <v>98.722499999999997</v>
      </c>
      <c r="G26" s="4">
        <v>78.854299999999995</v>
      </c>
      <c r="H26" s="3">
        <v>99.5261</v>
      </c>
      <c r="I26" s="4">
        <v>3.03226</v>
      </c>
      <c r="J26" s="3">
        <v>101.527</v>
      </c>
      <c r="K26" s="4">
        <v>7.8474100000000008E-3</v>
      </c>
      <c r="N26" s="3">
        <f t="shared" ref="N26:N33" si="9">D26+273</f>
        <v>376.30599999999998</v>
      </c>
      <c r="O26" s="21">
        <f t="shared" ref="O26:O33" si="10">1/(E26*0.000001)</f>
        <v>14659.081080843367</v>
      </c>
      <c r="P26" s="3">
        <f t="shared" ref="P26:P33" si="11">F26+273</f>
        <v>371.72249999999997</v>
      </c>
      <c r="Q26" s="17">
        <f t="shared" ref="Q26:Q33" si="12">G26*0.000001</f>
        <v>7.8854299999999995E-5</v>
      </c>
      <c r="R26" s="3">
        <f t="shared" ref="R26:R34" si="13">H26+273</f>
        <v>372.52609999999999</v>
      </c>
      <c r="S26" s="24">
        <f t="shared" ref="S26:S34" si="14">I26</f>
        <v>3.03226</v>
      </c>
      <c r="T26" s="3">
        <f t="shared" ref="T26:T33" si="15">J26+273</f>
        <v>374.52699999999999</v>
      </c>
      <c r="U26" s="24">
        <f t="shared" ref="U26:U33" si="16">K26</f>
        <v>7.8474100000000008E-3</v>
      </c>
      <c r="V26" s="22">
        <f>((O26*(Q26)^2)/S26)*T26</f>
        <v>1.1258335938280992E-2</v>
      </c>
      <c r="W26" s="49">
        <f t="shared" ref="W26:W33" si="17">(U26-V26)/U26</f>
        <v>-0.43465626726282824</v>
      </c>
    </row>
    <row r="27" spans="2:23" x14ac:dyDescent="0.6">
      <c r="B27" s="31"/>
      <c r="C27" s="31"/>
      <c r="D27" s="2">
        <v>154.959</v>
      </c>
      <c r="E27" s="1">
        <v>62.015500000000003</v>
      </c>
      <c r="F27" s="2">
        <v>150.572</v>
      </c>
      <c r="G27" s="1">
        <v>91.109099999999998</v>
      </c>
      <c r="H27" s="2">
        <v>149.28899999999999</v>
      </c>
      <c r="I27" s="1">
        <v>2.9585300000000001</v>
      </c>
      <c r="J27" s="2">
        <v>149.916</v>
      </c>
      <c r="K27" s="1">
        <v>1.46074E-2</v>
      </c>
      <c r="N27" s="3">
        <f t="shared" si="9"/>
        <v>427.959</v>
      </c>
      <c r="O27" s="21">
        <f t="shared" si="10"/>
        <v>16125.001007812562</v>
      </c>
      <c r="P27" s="3">
        <f t="shared" si="11"/>
        <v>423.572</v>
      </c>
      <c r="Q27" s="17">
        <f t="shared" si="12"/>
        <v>9.1109099999999991E-5</v>
      </c>
      <c r="R27" s="3">
        <f t="shared" si="13"/>
        <v>422.28899999999999</v>
      </c>
      <c r="S27" s="24">
        <f t="shared" si="14"/>
        <v>2.9585300000000001</v>
      </c>
      <c r="T27" s="3">
        <f t="shared" si="15"/>
        <v>422.916</v>
      </c>
      <c r="U27" s="24">
        <f t="shared" si="16"/>
        <v>1.46074E-2</v>
      </c>
      <c r="V27" s="22">
        <f t="shared" ref="V27:V32" si="18">((O27*(Q27)^2)/S27)*T27</f>
        <v>1.9133807577717776E-2</v>
      </c>
      <c r="W27" s="49">
        <f t="shared" si="17"/>
        <v>-0.30987085844967455</v>
      </c>
    </row>
    <row r="28" spans="2:23" x14ac:dyDescent="0.6">
      <c r="B28" s="31"/>
      <c r="C28" s="31"/>
      <c r="D28" s="2">
        <v>200.41300000000001</v>
      </c>
      <c r="E28" s="1">
        <v>43.410899999999998</v>
      </c>
      <c r="F28" s="2">
        <v>202.43799999999999</v>
      </c>
      <c r="G28" s="1">
        <v>91.713300000000004</v>
      </c>
      <c r="H28" s="2">
        <v>199.05199999999999</v>
      </c>
      <c r="I28" s="1">
        <v>2.8847900000000002</v>
      </c>
      <c r="J28" s="2">
        <v>200.721</v>
      </c>
      <c r="K28" s="1">
        <v>2.1886099999999999E-2</v>
      </c>
      <c r="N28" s="3">
        <f t="shared" si="9"/>
        <v>473.41300000000001</v>
      </c>
      <c r="O28" s="21">
        <f t="shared" si="10"/>
        <v>23035.689193267131</v>
      </c>
      <c r="P28" s="3">
        <f t="shared" si="11"/>
        <v>475.43799999999999</v>
      </c>
      <c r="Q28" s="17">
        <f t="shared" si="12"/>
        <v>9.1713300000000002E-5</v>
      </c>
      <c r="R28" s="3">
        <f t="shared" si="13"/>
        <v>472.05200000000002</v>
      </c>
      <c r="S28" s="24">
        <f t="shared" si="14"/>
        <v>2.8847900000000002</v>
      </c>
      <c r="T28" s="3">
        <f t="shared" si="15"/>
        <v>473.721</v>
      </c>
      <c r="U28" s="24">
        <f t="shared" si="16"/>
        <v>2.1886099999999999E-2</v>
      </c>
      <c r="V28" s="22">
        <f t="shared" si="18"/>
        <v>3.1818103077804159E-2</v>
      </c>
      <c r="W28" s="49">
        <f t="shared" si="17"/>
        <v>-0.45380415322072737</v>
      </c>
    </row>
    <row r="29" spans="2:23" x14ac:dyDescent="0.6">
      <c r="B29" s="31"/>
      <c r="C29" s="31"/>
      <c r="D29" s="2">
        <v>252.066</v>
      </c>
      <c r="E29" s="1">
        <v>49.612400000000001</v>
      </c>
      <c r="F29" s="2">
        <v>248.08</v>
      </c>
      <c r="G29" s="1">
        <v>92.245099999999994</v>
      </c>
      <c r="H29" s="2">
        <v>251.185</v>
      </c>
      <c r="I29" s="1">
        <v>2.8847900000000002</v>
      </c>
      <c r="J29" s="2">
        <v>251.52600000000001</v>
      </c>
      <c r="K29" s="1">
        <v>2.9164700000000002E-2</v>
      </c>
      <c r="N29" s="3">
        <f t="shared" si="9"/>
        <v>525.06600000000003</v>
      </c>
      <c r="O29" s="21">
        <f t="shared" si="10"/>
        <v>20156.251259765704</v>
      </c>
      <c r="P29" s="3">
        <f t="shared" si="11"/>
        <v>521.08000000000004</v>
      </c>
      <c r="Q29" s="17">
        <f t="shared" si="12"/>
        <v>9.2245099999999989E-5</v>
      </c>
      <c r="R29" s="3">
        <f t="shared" si="13"/>
        <v>524.18499999999995</v>
      </c>
      <c r="S29" s="24">
        <f t="shared" si="14"/>
        <v>2.8847900000000002</v>
      </c>
      <c r="T29" s="3">
        <f t="shared" si="15"/>
        <v>524.52600000000007</v>
      </c>
      <c r="U29" s="24">
        <f t="shared" si="16"/>
        <v>2.9164700000000002E-2</v>
      </c>
      <c r="V29" s="22">
        <f t="shared" si="18"/>
        <v>3.1185247270676068E-2</v>
      </c>
      <c r="W29" s="49">
        <f t="shared" si="17"/>
        <v>-6.928057791357585E-2</v>
      </c>
    </row>
    <row r="30" spans="2:23" x14ac:dyDescent="0.6">
      <c r="B30" s="31"/>
      <c r="C30" s="31"/>
      <c r="D30" s="2">
        <v>305.78500000000003</v>
      </c>
      <c r="E30" s="1">
        <v>43.410899999999998</v>
      </c>
      <c r="F30" s="2">
        <v>299.947</v>
      </c>
      <c r="G30" s="1">
        <v>92.849400000000003</v>
      </c>
      <c r="H30" s="2">
        <v>300.94799999999998</v>
      </c>
      <c r="I30" s="1">
        <v>2.9585300000000001</v>
      </c>
      <c r="J30" s="2">
        <v>304.76900000000001</v>
      </c>
      <c r="K30" s="1">
        <v>3.5929700000000002E-2</v>
      </c>
      <c r="N30" s="3">
        <f t="shared" si="9"/>
        <v>578.78500000000008</v>
      </c>
      <c r="O30" s="21">
        <f t="shared" si="10"/>
        <v>23035.689193267131</v>
      </c>
      <c r="P30" s="3">
        <f t="shared" si="11"/>
        <v>572.947</v>
      </c>
      <c r="Q30" s="17">
        <f t="shared" si="12"/>
        <v>9.2849399999999992E-5</v>
      </c>
      <c r="R30" s="3">
        <f t="shared" si="13"/>
        <v>573.94799999999998</v>
      </c>
      <c r="S30" s="24">
        <f t="shared" si="14"/>
        <v>2.9585300000000001</v>
      </c>
      <c r="T30" s="3">
        <f t="shared" si="15"/>
        <v>577.76900000000001</v>
      </c>
      <c r="U30" s="24">
        <f t="shared" si="16"/>
        <v>3.5929700000000002E-2</v>
      </c>
      <c r="V30" s="22">
        <f t="shared" si="18"/>
        <v>3.8782667089045784E-2</v>
      </c>
      <c r="W30" s="49">
        <f t="shared" si="17"/>
        <v>-7.9404144455583608E-2</v>
      </c>
    </row>
    <row r="31" spans="2:23" x14ac:dyDescent="0.6">
      <c r="D31" s="2">
        <v>355.37200000000001</v>
      </c>
      <c r="E31" s="1">
        <v>31.0078</v>
      </c>
      <c r="F31" s="2">
        <v>353.87900000000002</v>
      </c>
      <c r="G31" s="1">
        <v>99.303100000000001</v>
      </c>
      <c r="H31" s="2">
        <v>348.34100000000001</v>
      </c>
      <c r="I31" s="1">
        <v>3.03226</v>
      </c>
      <c r="J31" s="2">
        <v>353.19400000000002</v>
      </c>
      <c r="K31" s="1">
        <v>4.1141299999999999E-2</v>
      </c>
      <c r="N31" s="3">
        <f t="shared" si="9"/>
        <v>628.37200000000007</v>
      </c>
      <c r="O31" s="21">
        <f t="shared" si="10"/>
        <v>32249.950012577483</v>
      </c>
      <c r="P31" s="3">
        <f t="shared" si="11"/>
        <v>626.87900000000002</v>
      </c>
      <c r="Q31" s="17">
        <f t="shared" si="12"/>
        <v>9.9303100000000001E-5</v>
      </c>
      <c r="R31" s="3">
        <f t="shared" si="13"/>
        <v>621.34100000000001</v>
      </c>
      <c r="S31" s="24">
        <f t="shared" si="14"/>
        <v>3.03226</v>
      </c>
      <c r="T31" s="3">
        <f t="shared" si="15"/>
        <v>626.19399999999996</v>
      </c>
      <c r="U31" s="24">
        <f t="shared" si="16"/>
        <v>4.1141299999999999E-2</v>
      </c>
      <c r="V31" s="22">
        <f t="shared" si="18"/>
        <v>6.5674552692694135E-2</v>
      </c>
      <c r="W31" s="49">
        <f t="shared" si="17"/>
        <v>-0.59631690521918701</v>
      </c>
    </row>
    <row r="32" spans="2:23" x14ac:dyDescent="0.6">
      <c r="D32" s="2">
        <v>402.89299999999997</v>
      </c>
      <c r="E32" s="1">
        <v>37.209299999999999</v>
      </c>
      <c r="F32" s="2">
        <v>403.65300000000002</v>
      </c>
      <c r="G32" s="1">
        <v>111.53400000000001</v>
      </c>
      <c r="H32" s="2">
        <v>398.10399999999998</v>
      </c>
      <c r="I32" s="1">
        <v>3.3271899999999999</v>
      </c>
      <c r="J32" s="2">
        <v>403.89299999999997</v>
      </c>
      <c r="K32" s="1">
        <v>5.30652E-2</v>
      </c>
      <c r="N32" s="3">
        <f t="shared" si="9"/>
        <v>675.89300000000003</v>
      </c>
      <c r="O32" s="21">
        <f t="shared" si="10"/>
        <v>26875.001679687608</v>
      </c>
      <c r="P32" s="3">
        <f t="shared" si="11"/>
        <v>676.65300000000002</v>
      </c>
      <c r="Q32" s="17">
        <f t="shared" si="12"/>
        <v>1.1153400000000001E-4</v>
      </c>
      <c r="R32" s="3">
        <f t="shared" si="13"/>
        <v>671.10400000000004</v>
      </c>
      <c r="S32" s="24">
        <f t="shared" si="14"/>
        <v>3.3271899999999999</v>
      </c>
      <c r="T32" s="3">
        <f t="shared" si="15"/>
        <v>676.89300000000003</v>
      </c>
      <c r="U32" s="24">
        <f t="shared" si="16"/>
        <v>5.30652E-2</v>
      </c>
      <c r="V32" s="22">
        <f t="shared" si="18"/>
        <v>6.8015121236292581E-2</v>
      </c>
      <c r="W32" s="49">
        <f t="shared" si="17"/>
        <v>-0.28172740772281235</v>
      </c>
    </row>
    <row r="33" spans="4:23" x14ac:dyDescent="0.6">
      <c r="D33" s="2">
        <v>454.54500000000002</v>
      </c>
      <c r="E33" s="1">
        <v>37.209299999999999</v>
      </c>
      <c r="F33" s="2">
        <v>453.48</v>
      </c>
      <c r="G33" s="1">
        <v>88.812799999999996</v>
      </c>
      <c r="H33" s="2">
        <v>445.49799999999999</v>
      </c>
      <c r="I33" s="1">
        <v>3.6221199999999998</v>
      </c>
      <c r="J33" s="2">
        <v>457.85500000000002</v>
      </c>
      <c r="K33" s="1">
        <v>2.83454E-2</v>
      </c>
      <c r="N33" s="3">
        <f t="shared" si="9"/>
        <v>727.54500000000007</v>
      </c>
      <c r="O33" s="21">
        <f t="shared" si="10"/>
        <v>26875.001679687608</v>
      </c>
      <c r="P33" s="3">
        <f t="shared" si="11"/>
        <v>726.48</v>
      </c>
      <c r="Q33" s="17">
        <f t="shared" si="12"/>
        <v>8.8812799999999991E-5</v>
      </c>
      <c r="R33" s="3">
        <f t="shared" si="13"/>
        <v>718.49800000000005</v>
      </c>
      <c r="S33" s="24">
        <f t="shared" si="14"/>
        <v>3.6221199999999998</v>
      </c>
      <c r="T33" s="3">
        <f t="shared" si="15"/>
        <v>730.85500000000002</v>
      </c>
      <c r="U33" s="24">
        <f t="shared" si="16"/>
        <v>2.83454E-2</v>
      </c>
      <c r="V33" s="22">
        <f>((O33*(Q33)^2)/S34)*T33</f>
        <v>3.7438127874061138E-2</v>
      </c>
      <c r="W33" s="49">
        <f t="shared" si="17"/>
        <v>-0.32078319141945916</v>
      </c>
    </row>
    <row r="34" spans="4:23" x14ac:dyDescent="0.6">
      <c r="D34" s="28"/>
      <c r="E34" s="29"/>
      <c r="F34" s="28"/>
      <c r="G34" s="29"/>
      <c r="H34" s="28">
        <v>500</v>
      </c>
      <c r="I34" s="29">
        <v>4.1382500000000002</v>
      </c>
      <c r="J34" s="28"/>
      <c r="K34" s="29"/>
      <c r="N34" s="32"/>
      <c r="O34" s="33"/>
      <c r="P34" s="32"/>
      <c r="Q34" s="34"/>
      <c r="R34" s="32">
        <f t="shared" si="13"/>
        <v>773</v>
      </c>
      <c r="S34" s="35">
        <f t="shared" si="14"/>
        <v>4.1382500000000002</v>
      </c>
      <c r="T34" s="32"/>
      <c r="U34" s="35"/>
      <c r="V34"/>
    </row>
    <row r="35" spans="4:23" x14ac:dyDescent="0.6">
      <c r="O35"/>
      <c r="Q35"/>
      <c r="S35"/>
      <c r="U35"/>
      <c r="V35"/>
    </row>
    <row r="36" spans="4:23" x14ac:dyDescent="0.6">
      <c r="O36"/>
      <c r="Q36"/>
      <c r="S36"/>
      <c r="U36"/>
      <c r="V36"/>
    </row>
    <row r="37" spans="4:23" x14ac:dyDescent="0.6">
      <c r="O37"/>
      <c r="Q37"/>
      <c r="S37"/>
      <c r="U37"/>
      <c r="V37"/>
    </row>
    <row r="38" spans="4:23" x14ac:dyDescent="0.6">
      <c r="O38"/>
      <c r="Q38"/>
      <c r="S38"/>
      <c r="U38"/>
      <c r="V38"/>
    </row>
    <row r="39" spans="4:23" x14ac:dyDescent="0.6">
      <c r="O39"/>
      <c r="Q39"/>
      <c r="S39"/>
      <c r="U39"/>
      <c r="V39"/>
    </row>
    <row r="40" spans="4:23" x14ac:dyDescent="0.6">
      <c r="O40"/>
      <c r="Q40"/>
      <c r="S40"/>
      <c r="U40"/>
      <c r="V40"/>
    </row>
    <row r="41" spans="4:23" x14ac:dyDescent="0.6">
      <c r="O41"/>
      <c r="Q41"/>
      <c r="S41"/>
      <c r="U41"/>
      <c r="V41"/>
    </row>
    <row r="42" spans="4:23" x14ac:dyDescent="0.6">
      <c r="O42"/>
      <c r="Q42"/>
      <c r="S42"/>
      <c r="U42"/>
      <c r="V42"/>
    </row>
    <row r="43" spans="4:23" x14ac:dyDescent="0.6">
      <c r="O43"/>
      <c r="Q43"/>
      <c r="S43"/>
      <c r="U43"/>
      <c r="V43"/>
    </row>
    <row r="44" spans="4:23" x14ac:dyDescent="0.6">
      <c r="O44"/>
      <c r="Q44"/>
      <c r="S44"/>
      <c r="U44"/>
      <c r="V44"/>
    </row>
    <row r="45" spans="4:23" x14ac:dyDescent="0.6">
      <c r="O45"/>
      <c r="Q45"/>
      <c r="S45"/>
      <c r="U45"/>
      <c r="V45"/>
    </row>
    <row r="46" spans="4:23" x14ac:dyDescent="0.6">
      <c r="O46"/>
      <c r="Q46"/>
      <c r="S46"/>
      <c r="U46"/>
      <c r="V46"/>
    </row>
    <row r="47" spans="4:23" x14ac:dyDescent="0.6">
      <c r="O47"/>
      <c r="Q47"/>
      <c r="S47"/>
      <c r="U47"/>
      <c r="V47"/>
    </row>
    <row r="48" spans="4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1" tint="0.499984740745262"/>
  </sheetPr>
  <dimension ref="A1:W3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302.94299999999998</v>
      </c>
      <c r="C9" s="4">
        <v>3.09659</v>
      </c>
      <c r="D9" s="3"/>
      <c r="E9" s="4"/>
      <c r="F9" s="3">
        <v>300.67200000000003</v>
      </c>
      <c r="G9" s="4">
        <v>-94.549899999999994</v>
      </c>
      <c r="H9" s="3"/>
      <c r="I9" s="4"/>
      <c r="J9" s="3">
        <v>301.767</v>
      </c>
      <c r="K9" s="4">
        <v>0.16877400000000001</v>
      </c>
      <c r="N9" s="3">
        <f>B9</f>
        <v>302.94299999999998</v>
      </c>
      <c r="O9" s="21">
        <f>C9*(10^(5))</f>
        <v>309659</v>
      </c>
      <c r="P9" s="3">
        <f>F9</f>
        <v>300.67200000000003</v>
      </c>
      <c r="Q9" s="17">
        <f>G9*(10^(-6))</f>
        <v>-9.4549899999999987E-5</v>
      </c>
      <c r="R9" s="3"/>
      <c r="S9" s="24"/>
      <c r="T9" s="3">
        <f>J9</f>
        <v>301.767</v>
      </c>
      <c r="U9" s="51">
        <f>K9</f>
        <v>0.16877400000000001</v>
      </c>
      <c r="V9" s="42" t="e">
        <f>((O9*(Q9)^2)/S9)*T9</f>
        <v>#DIV/0!</v>
      </c>
      <c r="W9" s="49" t="e">
        <f t="shared" ref="W9" si="0">(U9-V9)/U9</f>
        <v>#DIV/0!</v>
      </c>
    </row>
    <row r="10" spans="1:23" x14ac:dyDescent="0.6">
      <c r="B10" s="3">
        <v>351.31099999999998</v>
      </c>
      <c r="C10" s="4">
        <v>2.7773099999999999</v>
      </c>
      <c r="D10" s="3"/>
      <c r="E10" s="4"/>
      <c r="F10" s="3">
        <v>350.464</v>
      </c>
      <c r="G10" s="4">
        <v>-103.703</v>
      </c>
      <c r="H10" s="3"/>
      <c r="I10" s="4"/>
      <c r="J10" s="3">
        <v>352.459</v>
      </c>
      <c r="K10" s="4">
        <v>0.229464</v>
      </c>
      <c r="N10" s="3">
        <f t="shared" ref="N10:N20" si="1">B10</f>
        <v>351.31099999999998</v>
      </c>
      <c r="O10" s="21">
        <f t="shared" ref="O10:O20" si="2">C10*(10^(5))</f>
        <v>277731</v>
      </c>
      <c r="P10" s="3">
        <f t="shared" ref="P10:P20" si="3">F10</f>
        <v>350.464</v>
      </c>
      <c r="Q10" s="17">
        <f t="shared" ref="Q10:Q20" si="4">G10*(10^(-6))</f>
        <v>-1.0370299999999999E-4</v>
      </c>
      <c r="R10" s="3"/>
      <c r="S10" s="24"/>
      <c r="T10" s="3">
        <f t="shared" ref="T10:U20" si="5">J10</f>
        <v>352.459</v>
      </c>
      <c r="U10" s="51">
        <f t="shared" si="5"/>
        <v>0.229464</v>
      </c>
      <c r="V10" s="42" t="e">
        <f t="shared" ref="V10:V20" si="6">((O10*(Q10)^2)/S10)*T10</f>
        <v>#DIV/0!</v>
      </c>
      <c r="W10" s="49" t="e">
        <f t="shared" ref="W10:W20" si="7">(U10-V10)/U10</f>
        <v>#DIV/0!</v>
      </c>
    </row>
    <row r="11" spans="1:23" x14ac:dyDescent="0.6">
      <c r="B11" s="2">
        <v>401.08</v>
      </c>
      <c r="C11" s="1">
        <v>2.50345</v>
      </c>
      <c r="D11" s="2"/>
      <c r="E11" s="1"/>
      <c r="F11" s="2">
        <v>401.625</v>
      </c>
      <c r="G11" s="1">
        <v>-111.322</v>
      </c>
      <c r="H11" s="2"/>
      <c r="I11" s="1"/>
      <c r="J11" s="2">
        <v>400.18</v>
      </c>
      <c r="K11" s="1">
        <v>0.29294199999999998</v>
      </c>
      <c r="N11" s="3">
        <f t="shared" si="1"/>
        <v>401.08</v>
      </c>
      <c r="O11" s="21">
        <f t="shared" si="2"/>
        <v>250345</v>
      </c>
      <c r="P11" s="3">
        <f t="shared" si="3"/>
        <v>401.625</v>
      </c>
      <c r="Q11" s="17">
        <f t="shared" si="4"/>
        <v>-1.11322E-4</v>
      </c>
      <c r="R11" s="3"/>
      <c r="S11" s="24"/>
      <c r="T11" s="3">
        <f t="shared" si="5"/>
        <v>400.18</v>
      </c>
      <c r="U11" s="51">
        <f t="shared" si="5"/>
        <v>0.29294199999999998</v>
      </c>
      <c r="V11" s="42" t="e">
        <f t="shared" si="6"/>
        <v>#DIV/0!</v>
      </c>
      <c r="W11" s="49" t="e">
        <f t="shared" si="7"/>
        <v>#DIV/0!</v>
      </c>
    </row>
    <row r="12" spans="1:23" x14ac:dyDescent="0.6">
      <c r="B12" s="2">
        <v>452.25400000000002</v>
      </c>
      <c r="C12" s="1">
        <v>2.2863799999999999</v>
      </c>
      <c r="D12" s="2"/>
      <c r="E12" s="1"/>
      <c r="F12" s="2">
        <v>448.63600000000002</v>
      </c>
      <c r="G12" s="1">
        <v>-117.92100000000001</v>
      </c>
      <c r="H12" s="2"/>
      <c r="I12" s="1"/>
      <c r="J12" s="2">
        <v>450.87599999999998</v>
      </c>
      <c r="K12" s="1">
        <v>0.35640300000000003</v>
      </c>
      <c r="N12" s="3">
        <f t="shared" si="1"/>
        <v>452.25400000000002</v>
      </c>
      <c r="O12" s="21">
        <f t="shared" si="2"/>
        <v>228638</v>
      </c>
      <c r="P12" s="3">
        <f t="shared" si="3"/>
        <v>448.63600000000002</v>
      </c>
      <c r="Q12" s="17">
        <f t="shared" si="4"/>
        <v>-1.17921E-4</v>
      </c>
      <c r="R12" s="3"/>
      <c r="S12" s="24"/>
      <c r="T12" s="3">
        <f t="shared" si="5"/>
        <v>450.87599999999998</v>
      </c>
      <c r="U12" s="51">
        <f t="shared" si="5"/>
        <v>0.35640300000000003</v>
      </c>
      <c r="V12" s="42" t="e">
        <f t="shared" si="6"/>
        <v>#DIV/0!</v>
      </c>
      <c r="W12" s="49" t="e">
        <f t="shared" si="7"/>
        <v>#DIV/0!</v>
      </c>
    </row>
    <row r="13" spans="1:23" x14ac:dyDescent="0.6">
      <c r="B13" s="2">
        <v>500.67599999999999</v>
      </c>
      <c r="C13" s="1">
        <v>2.1261800000000002</v>
      </c>
      <c r="D13" s="2"/>
      <c r="E13" s="1"/>
      <c r="F13" s="2">
        <v>498.40899999999999</v>
      </c>
      <c r="G13" s="1">
        <v>-124.518</v>
      </c>
      <c r="H13" s="2"/>
      <c r="I13" s="1"/>
      <c r="J13" s="2">
        <v>501.56</v>
      </c>
      <c r="K13" s="1">
        <v>0.41155000000000003</v>
      </c>
      <c r="N13" s="3">
        <f t="shared" si="1"/>
        <v>500.67599999999999</v>
      </c>
      <c r="O13" s="21">
        <f t="shared" si="2"/>
        <v>212618.00000000003</v>
      </c>
      <c r="P13" s="3">
        <f t="shared" si="3"/>
        <v>498.40899999999999</v>
      </c>
      <c r="Q13" s="17">
        <f t="shared" si="4"/>
        <v>-1.24518E-4</v>
      </c>
      <c r="R13" s="3"/>
      <c r="S13" s="24"/>
      <c r="T13" s="3">
        <f t="shared" si="5"/>
        <v>501.56</v>
      </c>
      <c r="U13" s="51">
        <f t="shared" si="5"/>
        <v>0.41155000000000003</v>
      </c>
      <c r="V13" s="42" t="e">
        <f t="shared" si="6"/>
        <v>#DIV/0!</v>
      </c>
      <c r="W13" s="49" t="e">
        <f t="shared" si="7"/>
        <v>#DIV/0!</v>
      </c>
    </row>
    <row r="14" spans="1:23" x14ac:dyDescent="0.6">
      <c r="B14" s="2">
        <v>551.87199999999996</v>
      </c>
      <c r="C14" s="1">
        <v>1.97729</v>
      </c>
      <c r="D14" s="2"/>
      <c r="E14" s="1"/>
      <c r="F14" s="2">
        <v>548.17399999999998</v>
      </c>
      <c r="G14" s="1">
        <v>-130.09200000000001</v>
      </c>
      <c r="H14" s="2"/>
      <c r="I14" s="1"/>
      <c r="J14" s="2">
        <v>553.76700000000005</v>
      </c>
      <c r="K14" s="1">
        <v>0.48886000000000002</v>
      </c>
      <c r="N14" s="3">
        <f t="shared" si="1"/>
        <v>551.87199999999996</v>
      </c>
      <c r="O14" s="21">
        <f t="shared" si="2"/>
        <v>197729</v>
      </c>
      <c r="P14" s="3">
        <f t="shared" si="3"/>
        <v>548.17399999999998</v>
      </c>
      <c r="Q14" s="17">
        <f t="shared" si="4"/>
        <v>-1.30092E-4</v>
      </c>
      <c r="R14" s="3"/>
      <c r="S14" s="24"/>
      <c r="T14" s="3">
        <f t="shared" si="5"/>
        <v>553.76700000000005</v>
      </c>
      <c r="U14" s="51">
        <f t="shared" si="5"/>
        <v>0.48886000000000002</v>
      </c>
      <c r="V14" s="42" t="e">
        <f t="shared" si="6"/>
        <v>#DIV/0!</v>
      </c>
      <c r="W14" s="49" t="e">
        <f t="shared" si="7"/>
        <v>#DIV/0!</v>
      </c>
    </row>
    <row r="15" spans="1:23" x14ac:dyDescent="0.6">
      <c r="B15" s="2">
        <v>601.69500000000005</v>
      </c>
      <c r="C15" s="1">
        <v>1.86252</v>
      </c>
      <c r="D15" s="2"/>
      <c r="E15" s="1"/>
      <c r="F15" s="2">
        <v>599.33199999999999</v>
      </c>
      <c r="G15" s="1">
        <v>-137.19900000000001</v>
      </c>
      <c r="H15" s="2"/>
      <c r="I15" s="1"/>
      <c r="J15" s="2">
        <v>600.00800000000004</v>
      </c>
      <c r="K15" s="1">
        <v>0.55788899999999997</v>
      </c>
      <c r="N15" s="3">
        <f t="shared" si="1"/>
        <v>601.69500000000005</v>
      </c>
      <c r="O15" s="21">
        <f t="shared" si="2"/>
        <v>186252</v>
      </c>
      <c r="P15" s="3">
        <f t="shared" si="3"/>
        <v>599.33199999999999</v>
      </c>
      <c r="Q15" s="17">
        <f t="shared" si="4"/>
        <v>-1.3719900000000001E-4</v>
      </c>
      <c r="R15" s="3"/>
      <c r="S15" s="24"/>
      <c r="T15" s="3">
        <f t="shared" si="5"/>
        <v>600.00800000000004</v>
      </c>
      <c r="U15" s="51">
        <f t="shared" si="5"/>
        <v>0.55788899999999997</v>
      </c>
      <c r="V15" s="42" t="e">
        <f t="shared" si="6"/>
        <v>#DIV/0!</v>
      </c>
      <c r="W15" s="49" t="e">
        <f t="shared" si="7"/>
        <v>#DIV/0!</v>
      </c>
    </row>
    <row r="16" spans="1:23" x14ac:dyDescent="0.6">
      <c r="B16" s="2">
        <v>652.91</v>
      </c>
      <c r="C16" s="1">
        <v>1.7704500000000001</v>
      </c>
      <c r="D16" s="2"/>
      <c r="E16" s="1"/>
      <c r="F16" s="2">
        <v>649.08600000000001</v>
      </c>
      <c r="G16" s="1">
        <v>-141.239</v>
      </c>
      <c r="H16" s="2"/>
      <c r="I16" s="1"/>
      <c r="J16" s="2">
        <v>649.25199999999995</v>
      </c>
      <c r="K16" s="1">
        <v>0.64353000000000005</v>
      </c>
      <c r="N16" s="3">
        <f t="shared" si="1"/>
        <v>652.91</v>
      </c>
      <c r="O16" s="21">
        <f t="shared" si="2"/>
        <v>177045</v>
      </c>
      <c r="P16" s="3">
        <f t="shared" si="3"/>
        <v>649.08600000000001</v>
      </c>
      <c r="Q16" s="17">
        <f t="shared" si="4"/>
        <v>-1.4123900000000001E-4</v>
      </c>
      <c r="R16" s="3"/>
      <c r="S16" s="24"/>
      <c r="T16" s="3">
        <f t="shared" si="5"/>
        <v>649.25199999999995</v>
      </c>
      <c r="U16" s="51">
        <f t="shared" si="5"/>
        <v>0.64353000000000005</v>
      </c>
      <c r="V16" s="42" t="e">
        <f t="shared" si="6"/>
        <v>#DIV/0!</v>
      </c>
      <c r="W16" s="49" t="e">
        <f t="shared" si="7"/>
        <v>#DIV/0!</v>
      </c>
    </row>
    <row r="17" spans="2:23" x14ac:dyDescent="0.6">
      <c r="B17" s="2">
        <v>702.745</v>
      </c>
      <c r="C17" s="1">
        <v>1.68977</v>
      </c>
      <c r="D17" s="2"/>
      <c r="E17" s="1"/>
      <c r="F17" s="2">
        <v>698.85500000000002</v>
      </c>
      <c r="G17" s="1">
        <v>-147.32400000000001</v>
      </c>
      <c r="H17" s="2"/>
      <c r="I17" s="1"/>
      <c r="J17" s="2">
        <v>701.47199999999998</v>
      </c>
      <c r="K17" s="1">
        <v>0.72915399999999997</v>
      </c>
      <c r="N17" s="3">
        <f t="shared" si="1"/>
        <v>702.745</v>
      </c>
      <c r="O17" s="21">
        <f t="shared" si="2"/>
        <v>168977</v>
      </c>
      <c r="P17" s="3">
        <f t="shared" si="3"/>
        <v>698.85500000000002</v>
      </c>
      <c r="Q17" s="17">
        <f t="shared" si="4"/>
        <v>-1.47324E-4</v>
      </c>
      <c r="R17" s="3"/>
      <c r="S17" s="24"/>
      <c r="T17" s="3">
        <f t="shared" si="5"/>
        <v>701.47199999999998</v>
      </c>
      <c r="U17" s="51">
        <f t="shared" si="5"/>
        <v>0.72915399999999997</v>
      </c>
      <c r="V17" s="42" t="e">
        <f t="shared" si="6"/>
        <v>#DIV/0!</v>
      </c>
      <c r="W17" s="49" t="e">
        <f t="shared" si="7"/>
        <v>#DIV/0!</v>
      </c>
    </row>
    <row r="18" spans="2:23" x14ac:dyDescent="0.6">
      <c r="B18" s="2">
        <v>752.58699999999999</v>
      </c>
      <c r="C18" s="1">
        <v>1.63182</v>
      </c>
      <c r="D18" s="2"/>
      <c r="E18" s="1"/>
      <c r="F18" s="2">
        <v>750.00199999999995</v>
      </c>
      <c r="G18" s="1">
        <v>-152.89699999999999</v>
      </c>
      <c r="H18" s="2"/>
      <c r="I18" s="1"/>
      <c r="J18" s="2">
        <v>752.22199999999998</v>
      </c>
      <c r="K18" s="1">
        <v>0.82587200000000005</v>
      </c>
      <c r="N18" s="3">
        <f t="shared" si="1"/>
        <v>752.58699999999999</v>
      </c>
      <c r="O18" s="21">
        <f t="shared" si="2"/>
        <v>163182</v>
      </c>
      <c r="P18" s="3">
        <f t="shared" si="3"/>
        <v>750.00199999999995</v>
      </c>
      <c r="Q18" s="17">
        <f t="shared" si="4"/>
        <v>-1.5289699999999998E-4</v>
      </c>
      <c r="R18" s="3"/>
      <c r="S18" s="24"/>
      <c r="T18" s="3">
        <f t="shared" si="5"/>
        <v>752.22199999999998</v>
      </c>
      <c r="U18" s="51">
        <f t="shared" si="5"/>
        <v>0.82587200000000005</v>
      </c>
      <c r="V18" s="42" t="e">
        <f t="shared" si="6"/>
        <v>#DIV/0!</v>
      </c>
      <c r="W18" s="49" t="e">
        <f t="shared" si="7"/>
        <v>#DIV/0!</v>
      </c>
    </row>
    <row r="19" spans="2:23" x14ac:dyDescent="0.6">
      <c r="B19" s="2">
        <v>803.81</v>
      </c>
      <c r="C19" s="1">
        <v>1.56247</v>
      </c>
      <c r="D19" s="2"/>
      <c r="E19" s="1"/>
      <c r="F19" s="2">
        <v>801.15599999999995</v>
      </c>
      <c r="G19" s="1">
        <v>-159.49199999999999</v>
      </c>
      <c r="H19" s="2"/>
      <c r="I19" s="1"/>
      <c r="J19" s="2">
        <v>801.49699999999996</v>
      </c>
      <c r="K19" s="1">
        <v>0.93091199999999996</v>
      </c>
      <c r="N19" s="3">
        <f t="shared" si="1"/>
        <v>803.81</v>
      </c>
      <c r="O19" s="21">
        <f t="shared" si="2"/>
        <v>156247</v>
      </c>
      <c r="P19" s="3">
        <f t="shared" si="3"/>
        <v>801.15599999999995</v>
      </c>
      <c r="Q19" s="17">
        <f t="shared" si="4"/>
        <v>-1.5949199999999998E-4</v>
      </c>
      <c r="R19" s="3"/>
      <c r="S19" s="24"/>
      <c r="T19" s="3">
        <f t="shared" si="5"/>
        <v>801.49699999999996</v>
      </c>
      <c r="U19" s="51">
        <f t="shared" si="5"/>
        <v>0.93091199999999996</v>
      </c>
      <c r="V19" s="42" t="e">
        <f t="shared" si="6"/>
        <v>#DIV/0!</v>
      </c>
      <c r="W19" s="49" t="e">
        <f t="shared" si="7"/>
        <v>#DIV/0!</v>
      </c>
    </row>
    <row r="20" spans="2:23" x14ac:dyDescent="0.6">
      <c r="B20" s="28">
        <v>852.27099999999996</v>
      </c>
      <c r="C20" s="29">
        <v>1.5159199999999999</v>
      </c>
      <c r="D20" s="28"/>
      <c r="E20" s="29"/>
      <c r="F20" s="28">
        <v>850.92899999999997</v>
      </c>
      <c r="G20" s="29">
        <v>-166.089</v>
      </c>
      <c r="H20" s="28"/>
      <c r="I20" s="29"/>
      <c r="J20" s="28">
        <v>852.27300000000002</v>
      </c>
      <c r="K20" s="29">
        <v>1.04426</v>
      </c>
      <c r="N20" s="32">
        <f t="shared" si="1"/>
        <v>852.27099999999996</v>
      </c>
      <c r="O20" s="21">
        <f t="shared" si="2"/>
        <v>151592</v>
      </c>
      <c r="P20" s="32">
        <f t="shared" si="3"/>
        <v>850.92899999999997</v>
      </c>
      <c r="Q20" s="17">
        <f t="shared" si="4"/>
        <v>-1.6608899999999999E-4</v>
      </c>
      <c r="R20" s="32"/>
      <c r="S20" s="35"/>
      <c r="T20" s="32">
        <f t="shared" si="5"/>
        <v>852.27300000000002</v>
      </c>
      <c r="U20" s="52">
        <f t="shared" si="5"/>
        <v>1.04426</v>
      </c>
      <c r="V20" s="42" t="e">
        <f t="shared" si="6"/>
        <v>#DIV/0!</v>
      </c>
      <c r="W20" s="49" t="e">
        <f t="shared" si="7"/>
        <v>#DIV/0!</v>
      </c>
    </row>
    <row r="21" spans="2:23" x14ac:dyDescent="0.6">
      <c r="B21" s="30"/>
      <c r="C21" s="30"/>
      <c r="D21" s="30"/>
      <c r="E21" s="30"/>
      <c r="F21" s="30"/>
      <c r="G21" s="30"/>
      <c r="H21" s="30"/>
      <c r="I21" s="30"/>
      <c r="J21" s="30"/>
      <c r="K21" s="30"/>
      <c r="N21" s="30"/>
      <c r="O21" s="39"/>
      <c r="P21" s="30"/>
      <c r="Q21" s="40"/>
      <c r="R21" s="30"/>
      <c r="S21" s="41"/>
      <c r="T21" s="30"/>
      <c r="U21" s="41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1"/>
  </sheetPr>
  <dimension ref="A1:W6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42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19.434343434343401</v>
      </c>
      <c r="D9" s="3"/>
      <c r="E9" s="4"/>
      <c r="F9" s="3">
        <v>300</v>
      </c>
      <c r="G9" s="4">
        <v>-128.284693269803</v>
      </c>
      <c r="H9" s="3">
        <v>300</v>
      </c>
      <c r="I9" s="4">
        <v>2.66379310344827</v>
      </c>
      <c r="J9" s="3">
        <v>300</v>
      </c>
      <c r="K9" s="4">
        <v>0.357902735562309</v>
      </c>
      <c r="N9" s="3">
        <f>B9</f>
        <v>300</v>
      </c>
      <c r="O9" s="21">
        <f>C9*(10^(4))</f>
        <v>194343.434343434</v>
      </c>
      <c r="P9" s="3">
        <f>F9</f>
        <v>300</v>
      </c>
      <c r="Q9" s="17">
        <f>G9*(10^(-6))</f>
        <v>-1.28284693269803E-4</v>
      </c>
      <c r="R9" s="3">
        <f>H9</f>
        <v>300</v>
      </c>
      <c r="S9" s="24">
        <f>I9</f>
        <v>2.66379310344827</v>
      </c>
      <c r="T9" s="3">
        <f>J9</f>
        <v>300</v>
      </c>
      <c r="U9" s="51">
        <f>K9</f>
        <v>0.357902735562309</v>
      </c>
      <c r="V9" s="42">
        <f>((O9*(Q9)^2)/S9)*T9</f>
        <v>0.36019718786888771</v>
      </c>
      <c r="W9" s="49">
        <f t="shared" ref="W9" si="0">(U9-V9)/U9</f>
        <v>-6.4108264022454137E-3</v>
      </c>
    </row>
    <row r="10" spans="1:23" x14ac:dyDescent="0.6">
      <c r="B10" s="3">
        <v>325.05274261603302</v>
      </c>
      <c r="C10" s="4">
        <v>18.734006734006702</v>
      </c>
      <c r="D10" s="3"/>
      <c r="E10" s="4"/>
      <c r="F10" s="3">
        <v>324.93506493506402</v>
      </c>
      <c r="G10" s="4">
        <v>-129.76176295413899</v>
      </c>
      <c r="H10" s="3">
        <v>325.07374631268402</v>
      </c>
      <c r="I10" s="4">
        <v>2.63793103448275</v>
      </c>
      <c r="J10" s="3">
        <v>325</v>
      </c>
      <c r="K10" s="4">
        <v>0.38708206686930002</v>
      </c>
      <c r="N10" s="3">
        <f t="shared" ref="N10:N31" si="1">B10</f>
        <v>325.05274261603302</v>
      </c>
      <c r="O10" s="21">
        <f t="shared" ref="O10:O31" si="2">C10*(10^(4))</f>
        <v>187340.06734006701</v>
      </c>
      <c r="P10" s="3">
        <f t="shared" ref="P10:P31" si="3">F10</f>
        <v>324.93506493506402</v>
      </c>
      <c r="Q10" s="17">
        <f t="shared" ref="Q10:Q31" si="4">G10*(10^(-6))</f>
        <v>-1.2976176295413899E-4</v>
      </c>
      <c r="R10" s="3">
        <f t="shared" ref="R10:U27" si="5">H10</f>
        <v>325.07374631268402</v>
      </c>
      <c r="S10" s="24">
        <f t="shared" si="5"/>
        <v>2.63793103448275</v>
      </c>
      <c r="T10" s="3">
        <f t="shared" si="5"/>
        <v>325</v>
      </c>
      <c r="U10" s="51">
        <f t="shared" si="5"/>
        <v>0.38708206686930002</v>
      </c>
      <c r="V10" s="42">
        <f t="shared" ref="V10:V30" si="6">((O10*(Q10)^2)/S10)*T10</f>
        <v>0.38863693309293984</v>
      </c>
      <c r="W10" s="49">
        <f t="shared" ref="W10:W30" si="7">(U10-V10)/U10</f>
        <v>-4.0168903618178322E-3</v>
      </c>
    </row>
    <row r="11" spans="1:23" x14ac:dyDescent="0.6">
      <c r="B11" s="2">
        <v>350.105485232067</v>
      </c>
      <c r="C11" s="1">
        <v>18.020202020201999</v>
      </c>
      <c r="D11" s="2"/>
      <c r="E11" s="1"/>
      <c r="F11" s="2">
        <v>349.87012987012901</v>
      </c>
      <c r="G11" s="1">
        <v>-131.19118522930299</v>
      </c>
      <c r="H11" s="2">
        <v>349.90167158308702</v>
      </c>
      <c r="I11" s="1">
        <v>2.6034482758620601</v>
      </c>
      <c r="J11" s="2">
        <v>350</v>
      </c>
      <c r="K11" s="1">
        <v>0.41626139817629099</v>
      </c>
      <c r="N11" s="3">
        <f t="shared" si="1"/>
        <v>350.105485232067</v>
      </c>
      <c r="O11" s="21">
        <f t="shared" si="2"/>
        <v>180202.02020202001</v>
      </c>
      <c r="P11" s="3">
        <f t="shared" si="3"/>
        <v>349.87012987012901</v>
      </c>
      <c r="Q11" s="17">
        <f t="shared" si="4"/>
        <v>-1.3119118522930299E-4</v>
      </c>
      <c r="R11" s="3">
        <f t="shared" si="5"/>
        <v>349.90167158308702</v>
      </c>
      <c r="S11" s="24">
        <f t="shared" si="5"/>
        <v>2.6034482758620601</v>
      </c>
      <c r="T11" s="3">
        <f t="shared" si="5"/>
        <v>350</v>
      </c>
      <c r="U11" s="51">
        <f t="shared" si="5"/>
        <v>0.41626139817629099</v>
      </c>
      <c r="V11" s="42">
        <f t="shared" si="6"/>
        <v>0.41695391631233797</v>
      </c>
      <c r="W11" s="49">
        <f t="shared" si="7"/>
        <v>-1.6636616776886282E-3</v>
      </c>
    </row>
    <row r="12" spans="1:23" x14ac:dyDescent="0.6">
      <c r="B12" s="2">
        <v>374.89451476793198</v>
      </c>
      <c r="C12" s="1">
        <v>17.306397306397301</v>
      </c>
      <c r="D12" s="2"/>
      <c r="E12" s="1"/>
      <c r="F12" s="2">
        <v>375.06493506493501</v>
      </c>
      <c r="G12" s="1">
        <v>-132.668254913639</v>
      </c>
      <c r="H12" s="2">
        <v>374.97541789577099</v>
      </c>
      <c r="I12" s="1">
        <v>2.5711206896551699</v>
      </c>
      <c r="J12" s="2">
        <v>375</v>
      </c>
      <c r="K12" s="1">
        <v>0.44617021276595697</v>
      </c>
      <c r="N12" s="3">
        <f t="shared" si="1"/>
        <v>374.89451476793198</v>
      </c>
      <c r="O12" s="21">
        <f t="shared" si="2"/>
        <v>173063.97306397301</v>
      </c>
      <c r="P12" s="3">
        <f t="shared" si="3"/>
        <v>375.06493506493501</v>
      </c>
      <c r="Q12" s="17">
        <f t="shared" si="4"/>
        <v>-1.3266825491363901E-4</v>
      </c>
      <c r="R12" s="3">
        <f t="shared" si="5"/>
        <v>374.97541789577099</v>
      </c>
      <c r="S12" s="24">
        <f t="shared" si="5"/>
        <v>2.5711206896551699</v>
      </c>
      <c r="T12" s="3">
        <f t="shared" si="5"/>
        <v>375</v>
      </c>
      <c r="U12" s="51">
        <f t="shared" si="5"/>
        <v>0.44617021276595697</v>
      </c>
      <c r="V12" s="42">
        <f t="shared" si="6"/>
        <v>0.44427257747033227</v>
      </c>
      <c r="W12" s="49">
        <f t="shared" si="7"/>
        <v>4.253164468019122E-3</v>
      </c>
    </row>
    <row r="13" spans="1:23" x14ac:dyDescent="0.6">
      <c r="B13" s="2">
        <v>399.94725738396602</v>
      </c>
      <c r="C13" s="1">
        <v>16.727272727272702</v>
      </c>
      <c r="D13" s="2"/>
      <c r="E13" s="1"/>
      <c r="F13" s="2">
        <v>400</v>
      </c>
      <c r="G13" s="1">
        <v>-137.43299583085101</v>
      </c>
      <c r="H13" s="2">
        <v>400.04916420845598</v>
      </c>
      <c r="I13" s="1">
        <v>2.5452586206896499</v>
      </c>
      <c r="J13" s="2">
        <v>400</v>
      </c>
      <c r="K13" s="1">
        <v>0.499422492401215</v>
      </c>
      <c r="N13" s="3">
        <f t="shared" si="1"/>
        <v>399.94725738396602</v>
      </c>
      <c r="O13" s="21">
        <f t="shared" si="2"/>
        <v>167272.72727272703</v>
      </c>
      <c r="P13" s="3">
        <f t="shared" si="3"/>
        <v>400</v>
      </c>
      <c r="Q13" s="17">
        <f t="shared" si="4"/>
        <v>-1.3743299583085102E-4</v>
      </c>
      <c r="R13" s="3">
        <f t="shared" si="5"/>
        <v>400.04916420845598</v>
      </c>
      <c r="S13" s="24">
        <f t="shared" si="5"/>
        <v>2.5452586206896499</v>
      </c>
      <c r="T13" s="3">
        <f t="shared" si="5"/>
        <v>400</v>
      </c>
      <c r="U13" s="51">
        <f t="shared" si="5"/>
        <v>0.499422492401215</v>
      </c>
      <c r="V13" s="42">
        <f t="shared" si="6"/>
        <v>0.49651827653471348</v>
      </c>
      <c r="W13" s="49">
        <f t="shared" si="7"/>
        <v>5.8151483176861014E-3</v>
      </c>
    </row>
    <row r="14" spans="1:23" x14ac:dyDescent="0.6">
      <c r="B14" s="2">
        <v>425</v>
      </c>
      <c r="C14" s="1">
        <v>16.195286195286101</v>
      </c>
      <c r="D14" s="2"/>
      <c r="E14" s="1"/>
      <c r="F14" s="2">
        <v>424.93506493506402</v>
      </c>
      <c r="G14" s="1">
        <v>-143.10303752233401</v>
      </c>
      <c r="H14" s="2">
        <v>425.12291052114</v>
      </c>
      <c r="I14" s="1">
        <v>2.5086206896551699</v>
      </c>
      <c r="J14" s="2">
        <v>425</v>
      </c>
      <c r="K14" s="1">
        <v>0.55924012158054703</v>
      </c>
      <c r="N14" s="3">
        <f t="shared" si="1"/>
        <v>425</v>
      </c>
      <c r="O14" s="21">
        <f t="shared" si="2"/>
        <v>161952.86195286101</v>
      </c>
      <c r="P14" s="3">
        <f t="shared" si="3"/>
        <v>424.93506493506402</v>
      </c>
      <c r="Q14" s="17">
        <f t="shared" si="4"/>
        <v>-1.4310303752233401E-4</v>
      </c>
      <c r="R14" s="3">
        <f t="shared" si="5"/>
        <v>425.12291052114</v>
      </c>
      <c r="S14" s="24">
        <f t="shared" si="5"/>
        <v>2.5086206896551699</v>
      </c>
      <c r="T14" s="3">
        <f t="shared" si="5"/>
        <v>425</v>
      </c>
      <c r="U14" s="51">
        <f t="shared" si="5"/>
        <v>0.55924012158054703</v>
      </c>
      <c r="V14" s="42">
        <f t="shared" si="6"/>
        <v>0.56187571514195433</v>
      </c>
      <c r="W14" s="49">
        <f t="shared" si="7"/>
        <v>-4.7128120099081587E-3</v>
      </c>
    </row>
    <row r="15" spans="1:23" x14ac:dyDescent="0.6">
      <c r="B15" s="2">
        <v>450.05274261603302</v>
      </c>
      <c r="C15" s="1">
        <v>15.6632996632996</v>
      </c>
      <c r="D15" s="2"/>
      <c r="E15" s="1"/>
      <c r="F15" s="2">
        <v>450.12987012987003</v>
      </c>
      <c r="G15" s="1">
        <v>-148.582489577129</v>
      </c>
      <c r="H15" s="2">
        <v>449.950835791543</v>
      </c>
      <c r="I15" s="1">
        <v>2.4784482758620601</v>
      </c>
      <c r="J15" s="2">
        <v>449.99999999999898</v>
      </c>
      <c r="K15" s="1">
        <v>0.62708206686930001</v>
      </c>
      <c r="N15" s="3">
        <f t="shared" si="1"/>
        <v>450.05274261603302</v>
      </c>
      <c r="O15" s="21">
        <f t="shared" si="2"/>
        <v>156632.99663299602</v>
      </c>
      <c r="P15" s="3">
        <f t="shared" si="3"/>
        <v>450.12987012987003</v>
      </c>
      <c r="Q15" s="17">
        <f t="shared" si="4"/>
        <v>-1.4858248957712899E-4</v>
      </c>
      <c r="R15" s="3">
        <f t="shared" si="5"/>
        <v>449.950835791543</v>
      </c>
      <c r="S15" s="24">
        <f t="shared" si="5"/>
        <v>2.4784482758620601</v>
      </c>
      <c r="T15" s="3">
        <f t="shared" si="5"/>
        <v>449.99999999999898</v>
      </c>
      <c r="U15" s="51">
        <f t="shared" si="5"/>
        <v>0.62708206686930001</v>
      </c>
      <c r="V15" s="42">
        <f t="shared" si="6"/>
        <v>0.62784316767016635</v>
      </c>
      <c r="W15" s="49">
        <f t="shared" si="7"/>
        <v>-1.213718014080867E-3</v>
      </c>
    </row>
    <row r="16" spans="1:23" x14ac:dyDescent="0.6">
      <c r="B16" s="2">
        <v>475.105485232067</v>
      </c>
      <c r="C16" s="1">
        <v>15.1717171717171</v>
      </c>
      <c r="D16" s="2"/>
      <c r="E16" s="1"/>
      <c r="F16" s="2">
        <v>475.06493506493501</v>
      </c>
      <c r="G16" s="1">
        <v>-152.775461584276</v>
      </c>
      <c r="H16" s="2">
        <v>475.02458210422799</v>
      </c>
      <c r="I16" s="1">
        <v>2.44827586206896</v>
      </c>
      <c r="J16" s="2">
        <v>474.99999999999898</v>
      </c>
      <c r="K16" s="1">
        <v>0.68544072948328205</v>
      </c>
      <c r="N16" s="3">
        <f t="shared" si="1"/>
        <v>475.105485232067</v>
      </c>
      <c r="O16" s="21">
        <f t="shared" si="2"/>
        <v>151717.171717171</v>
      </c>
      <c r="P16" s="3">
        <f t="shared" si="3"/>
        <v>475.06493506493501</v>
      </c>
      <c r="Q16" s="17">
        <f t="shared" si="4"/>
        <v>-1.52775461584276E-4</v>
      </c>
      <c r="R16" s="3">
        <f t="shared" si="5"/>
        <v>475.02458210422799</v>
      </c>
      <c r="S16" s="24">
        <f t="shared" si="5"/>
        <v>2.44827586206896</v>
      </c>
      <c r="T16" s="3">
        <f t="shared" si="5"/>
        <v>474.99999999999898</v>
      </c>
      <c r="U16" s="51">
        <f t="shared" si="5"/>
        <v>0.68544072948328205</v>
      </c>
      <c r="V16" s="42">
        <f t="shared" si="6"/>
        <v>0.68702921611869672</v>
      </c>
      <c r="W16" s="49">
        <f t="shared" si="7"/>
        <v>-2.317467531601372E-3</v>
      </c>
    </row>
    <row r="17" spans="2:23" x14ac:dyDescent="0.6">
      <c r="B17" s="2">
        <v>499.89451476793198</v>
      </c>
      <c r="C17" s="1">
        <v>14.7205387205387</v>
      </c>
      <c r="D17" s="2"/>
      <c r="E17" s="1"/>
      <c r="F17" s="2">
        <v>500</v>
      </c>
      <c r="G17" s="1">
        <v>-155.96783799880799</v>
      </c>
      <c r="H17" s="2">
        <v>500.09832841691201</v>
      </c>
      <c r="I17" s="1">
        <v>2.43965517241379</v>
      </c>
      <c r="J17" s="2">
        <v>500</v>
      </c>
      <c r="K17" s="1">
        <v>0.73358662613981696</v>
      </c>
      <c r="N17" s="3">
        <f t="shared" si="1"/>
        <v>499.89451476793198</v>
      </c>
      <c r="O17" s="21">
        <f t="shared" si="2"/>
        <v>147205.387205387</v>
      </c>
      <c r="P17" s="3">
        <f t="shared" si="3"/>
        <v>500</v>
      </c>
      <c r="Q17" s="17">
        <f t="shared" si="4"/>
        <v>-1.5596783799880798E-4</v>
      </c>
      <c r="R17" s="3">
        <f t="shared" si="5"/>
        <v>500.09832841691201</v>
      </c>
      <c r="S17" s="24">
        <f t="shared" si="5"/>
        <v>2.43965517241379</v>
      </c>
      <c r="T17" s="3">
        <f t="shared" si="5"/>
        <v>500</v>
      </c>
      <c r="U17" s="51">
        <f t="shared" si="5"/>
        <v>0.73358662613981696</v>
      </c>
      <c r="V17" s="42">
        <f t="shared" si="6"/>
        <v>0.73389742878418129</v>
      </c>
      <c r="W17" s="49">
        <f t="shared" si="7"/>
        <v>-4.2367545057330635E-4</v>
      </c>
    </row>
    <row r="18" spans="2:23" x14ac:dyDescent="0.6">
      <c r="B18" s="2">
        <v>524.94725738396596</v>
      </c>
      <c r="C18" s="1">
        <v>14.269360269360201</v>
      </c>
      <c r="D18" s="2"/>
      <c r="E18" s="1"/>
      <c r="F18" s="2">
        <v>524.93506493506402</v>
      </c>
      <c r="G18" s="1">
        <v>-159.16021441334101</v>
      </c>
      <c r="H18" s="2">
        <v>524.92625368731501</v>
      </c>
      <c r="I18" s="1">
        <v>2.4245689655172402</v>
      </c>
      <c r="J18" s="2">
        <v>525</v>
      </c>
      <c r="K18" s="1">
        <v>0.78465045592705096</v>
      </c>
      <c r="N18" s="3">
        <f t="shared" si="1"/>
        <v>524.94725738396596</v>
      </c>
      <c r="O18" s="21">
        <f t="shared" si="2"/>
        <v>142693.60269360201</v>
      </c>
      <c r="P18" s="3">
        <f t="shared" si="3"/>
        <v>524.93506493506402</v>
      </c>
      <c r="Q18" s="17">
        <f t="shared" si="4"/>
        <v>-1.5916021441334099E-4</v>
      </c>
      <c r="R18" s="3">
        <f t="shared" si="5"/>
        <v>524.92625368731501</v>
      </c>
      <c r="S18" s="24">
        <f t="shared" si="5"/>
        <v>2.4245689655172402</v>
      </c>
      <c r="T18" s="3">
        <f t="shared" si="5"/>
        <v>525</v>
      </c>
      <c r="U18" s="51">
        <f t="shared" si="5"/>
        <v>0.78465045592705096</v>
      </c>
      <c r="V18" s="42">
        <f t="shared" si="6"/>
        <v>0.78270533791590746</v>
      </c>
      <c r="W18" s="49">
        <f t="shared" si="7"/>
        <v>2.4789611685694813E-3</v>
      </c>
    </row>
    <row r="19" spans="2:23" x14ac:dyDescent="0.6">
      <c r="B19" s="2">
        <v>550</v>
      </c>
      <c r="C19" s="1">
        <v>13.8518518518518</v>
      </c>
      <c r="D19" s="2"/>
      <c r="E19" s="1"/>
      <c r="F19" s="2">
        <v>550.12987012987003</v>
      </c>
      <c r="G19" s="1">
        <v>-162.543180464562</v>
      </c>
      <c r="H19" s="2">
        <v>550</v>
      </c>
      <c r="I19" s="1">
        <v>2.41379310344827</v>
      </c>
      <c r="J19" s="2">
        <v>550</v>
      </c>
      <c r="K19" s="1">
        <v>0.83717325227963502</v>
      </c>
      <c r="N19" s="3">
        <f t="shared" si="1"/>
        <v>550</v>
      </c>
      <c r="O19" s="21">
        <f t="shared" si="2"/>
        <v>138518.51851851799</v>
      </c>
      <c r="P19" s="3">
        <f t="shared" si="3"/>
        <v>550.12987012987003</v>
      </c>
      <c r="Q19" s="17">
        <f t="shared" si="4"/>
        <v>-1.6254318046456199E-4</v>
      </c>
      <c r="R19" s="3">
        <f t="shared" si="5"/>
        <v>550</v>
      </c>
      <c r="S19" s="24">
        <f t="shared" si="5"/>
        <v>2.41379310344827</v>
      </c>
      <c r="T19" s="3">
        <f t="shared" si="5"/>
        <v>550</v>
      </c>
      <c r="U19" s="51">
        <f t="shared" si="5"/>
        <v>0.83717325227963502</v>
      </c>
      <c r="V19" s="42">
        <f t="shared" si="6"/>
        <v>0.83388851421069676</v>
      </c>
      <c r="W19" s="49">
        <f t="shared" si="7"/>
        <v>3.9236060875020356E-3</v>
      </c>
    </row>
    <row r="20" spans="2:23" x14ac:dyDescent="0.6">
      <c r="B20" s="2">
        <v>575.05274261603302</v>
      </c>
      <c r="C20" s="1">
        <v>13.5084175084175</v>
      </c>
      <c r="D20" s="2"/>
      <c r="E20" s="1"/>
      <c r="F20" s="2">
        <v>575.06493506493496</v>
      </c>
      <c r="G20" s="1">
        <v>-166.30732578915999</v>
      </c>
      <c r="H20" s="2">
        <v>575.07374631268397</v>
      </c>
      <c r="I20" s="1">
        <v>2.4030172413793101</v>
      </c>
      <c r="J20" s="2">
        <v>575</v>
      </c>
      <c r="K20" s="1">
        <v>0.894072948328267</v>
      </c>
      <c r="N20" s="3">
        <f t="shared" si="1"/>
        <v>575.05274261603302</v>
      </c>
      <c r="O20" s="21">
        <f t="shared" si="2"/>
        <v>135084.17508417499</v>
      </c>
      <c r="P20" s="3">
        <f t="shared" si="3"/>
        <v>575.06493506493496</v>
      </c>
      <c r="Q20" s="17">
        <f t="shared" si="4"/>
        <v>-1.6630732578915998E-4</v>
      </c>
      <c r="R20" s="3">
        <f t="shared" si="5"/>
        <v>575.07374631268397</v>
      </c>
      <c r="S20" s="24">
        <f t="shared" si="5"/>
        <v>2.4030172413793101</v>
      </c>
      <c r="T20" s="3">
        <f t="shared" si="5"/>
        <v>575</v>
      </c>
      <c r="U20" s="51">
        <f t="shared" si="5"/>
        <v>0.894072948328267</v>
      </c>
      <c r="V20" s="42">
        <f t="shared" si="6"/>
        <v>0.89400138840025778</v>
      </c>
      <c r="W20" s="49">
        <f t="shared" si="7"/>
        <v>8.003813127667739E-5</v>
      </c>
    </row>
    <row r="21" spans="2:23" x14ac:dyDescent="0.6">
      <c r="B21" s="2">
        <v>600.10548523206705</v>
      </c>
      <c r="C21" s="1">
        <v>13.158249158249101</v>
      </c>
      <c r="D21" s="2"/>
      <c r="E21" s="1"/>
      <c r="F21" s="2">
        <v>600</v>
      </c>
      <c r="G21" s="1">
        <v>-170.07147111375801</v>
      </c>
      <c r="H21" s="2">
        <v>599.90167158308702</v>
      </c>
      <c r="I21" s="1">
        <v>2.4094827586206899</v>
      </c>
      <c r="J21" s="2">
        <v>600</v>
      </c>
      <c r="K21" s="1">
        <v>0.94659574468085095</v>
      </c>
      <c r="N21" s="3">
        <f t="shared" si="1"/>
        <v>600.10548523206705</v>
      </c>
      <c r="O21" s="21">
        <f t="shared" si="2"/>
        <v>131582.491582491</v>
      </c>
      <c r="P21" s="3">
        <f t="shared" si="3"/>
        <v>600</v>
      </c>
      <c r="Q21" s="17">
        <f t="shared" si="4"/>
        <v>-1.70071471113758E-4</v>
      </c>
      <c r="R21" s="3">
        <f t="shared" si="5"/>
        <v>599.90167158308702</v>
      </c>
      <c r="S21" s="24">
        <f t="shared" si="5"/>
        <v>2.4094827586206899</v>
      </c>
      <c r="T21" s="3">
        <f t="shared" si="5"/>
        <v>600</v>
      </c>
      <c r="U21" s="51">
        <f t="shared" si="5"/>
        <v>0.94659574468085095</v>
      </c>
      <c r="V21" s="42">
        <f t="shared" si="6"/>
        <v>0.94773838326401205</v>
      </c>
      <c r="W21" s="49">
        <f t="shared" si="7"/>
        <v>-1.2071030210962441E-3</v>
      </c>
    </row>
    <row r="22" spans="2:23" x14ac:dyDescent="0.6">
      <c r="B22" s="2">
        <v>624.89451476793204</v>
      </c>
      <c r="C22" s="1">
        <v>12.8552188552188</v>
      </c>
      <c r="D22" s="2"/>
      <c r="E22" s="1"/>
      <c r="F22" s="2">
        <v>624.93506493506402</v>
      </c>
      <c r="G22" s="1">
        <v>-172.93031566408499</v>
      </c>
      <c r="H22" s="2">
        <v>624.97541789577099</v>
      </c>
      <c r="I22" s="1">
        <v>2.4159482758620601</v>
      </c>
      <c r="J22" s="2">
        <v>625</v>
      </c>
      <c r="K22" s="1">
        <v>0.99474164133738596</v>
      </c>
      <c r="N22" s="3">
        <f t="shared" si="1"/>
        <v>624.89451476793204</v>
      </c>
      <c r="O22" s="21">
        <f t="shared" si="2"/>
        <v>128552.188552188</v>
      </c>
      <c r="P22" s="3">
        <f t="shared" si="3"/>
        <v>624.93506493506402</v>
      </c>
      <c r="Q22" s="17">
        <f t="shared" si="4"/>
        <v>-1.7293031566408497E-4</v>
      </c>
      <c r="R22" s="3">
        <f t="shared" si="5"/>
        <v>624.97541789577099</v>
      </c>
      <c r="S22" s="24">
        <f t="shared" si="5"/>
        <v>2.4159482758620601</v>
      </c>
      <c r="T22" s="3">
        <f t="shared" si="5"/>
        <v>625</v>
      </c>
      <c r="U22" s="51">
        <f t="shared" si="5"/>
        <v>0.99474164133738596</v>
      </c>
      <c r="V22" s="42">
        <f t="shared" si="6"/>
        <v>0.99452139048752375</v>
      </c>
      <c r="W22" s="49">
        <f t="shared" si="7"/>
        <v>2.214151300292366E-4</v>
      </c>
    </row>
    <row r="23" spans="2:23" x14ac:dyDescent="0.6">
      <c r="B23" s="2">
        <v>649.94725738396596</v>
      </c>
      <c r="C23" s="1">
        <v>12.545454545454501</v>
      </c>
      <c r="D23" s="2"/>
      <c r="E23" s="1"/>
      <c r="F23" s="2">
        <v>650.12987012987003</v>
      </c>
      <c r="G23" s="1">
        <v>-175.88445503275699</v>
      </c>
      <c r="H23" s="2">
        <v>650.04916420845598</v>
      </c>
      <c r="I23" s="1">
        <v>2.42241379310344</v>
      </c>
      <c r="J23" s="2">
        <v>650</v>
      </c>
      <c r="K23" s="1">
        <v>1.04142857142857</v>
      </c>
      <c r="N23" s="3">
        <f t="shared" si="1"/>
        <v>649.94725738396596</v>
      </c>
      <c r="O23" s="21">
        <f t="shared" si="2"/>
        <v>125454.545454545</v>
      </c>
      <c r="P23" s="3">
        <f t="shared" si="3"/>
        <v>650.12987012987003</v>
      </c>
      <c r="Q23" s="17">
        <f t="shared" si="4"/>
        <v>-1.7588445503275698E-4</v>
      </c>
      <c r="R23" s="3">
        <f t="shared" si="5"/>
        <v>650.04916420845598</v>
      </c>
      <c r="S23" s="24">
        <f t="shared" si="5"/>
        <v>2.42241379310344</v>
      </c>
      <c r="T23" s="3">
        <f t="shared" si="5"/>
        <v>650</v>
      </c>
      <c r="U23" s="51">
        <f t="shared" si="5"/>
        <v>1.04142857142857</v>
      </c>
      <c r="V23" s="42">
        <f t="shared" si="6"/>
        <v>1.0413730689307097</v>
      </c>
      <c r="W23" s="49">
        <f t="shared" si="7"/>
        <v>5.3294579564121299E-5</v>
      </c>
    </row>
    <row r="24" spans="2:23" x14ac:dyDescent="0.6">
      <c r="B24" s="2">
        <v>675</v>
      </c>
      <c r="C24" s="1">
        <v>12.2424242424242</v>
      </c>
      <c r="D24" s="2"/>
      <c r="E24" s="1"/>
      <c r="F24" s="2">
        <v>675.06493506493496</v>
      </c>
      <c r="G24" s="1">
        <v>-178.79094699225701</v>
      </c>
      <c r="H24" s="2">
        <v>674.87708947885903</v>
      </c>
      <c r="I24" s="1">
        <v>2.4310344827586201</v>
      </c>
      <c r="J24" s="2">
        <v>675</v>
      </c>
      <c r="K24" s="1">
        <v>1.0895744680851001</v>
      </c>
      <c r="N24" s="3">
        <f t="shared" si="1"/>
        <v>675</v>
      </c>
      <c r="O24" s="21">
        <f t="shared" si="2"/>
        <v>122424.24242424199</v>
      </c>
      <c r="P24" s="3">
        <f t="shared" si="3"/>
        <v>675.06493506493496</v>
      </c>
      <c r="Q24" s="17">
        <f t="shared" si="4"/>
        <v>-1.7879094699225701E-4</v>
      </c>
      <c r="R24" s="3">
        <f t="shared" si="5"/>
        <v>674.87708947885903</v>
      </c>
      <c r="S24" s="24">
        <f t="shared" si="5"/>
        <v>2.4310344827586201</v>
      </c>
      <c r="T24" s="3">
        <f t="shared" si="5"/>
        <v>675</v>
      </c>
      <c r="U24" s="51">
        <f t="shared" si="5"/>
        <v>1.0895744680851001</v>
      </c>
      <c r="V24" s="42">
        <f t="shared" si="6"/>
        <v>1.0866035719797713</v>
      </c>
      <c r="W24" s="49">
        <f t="shared" si="7"/>
        <v>2.726657233947508E-3</v>
      </c>
    </row>
    <row r="25" spans="2:23" x14ac:dyDescent="0.6">
      <c r="B25" s="2">
        <v>700.05274261603302</v>
      </c>
      <c r="C25" s="1">
        <v>11.986531986531901</v>
      </c>
      <c r="D25" s="2"/>
      <c r="E25" s="1"/>
      <c r="F25" s="2">
        <v>699.99999999999898</v>
      </c>
      <c r="G25" s="1">
        <v>-181.26861226920701</v>
      </c>
      <c r="H25" s="2">
        <v>699.950835791543</v>
      </c>
      <c r="I25" s="1">
        <v>2.4655172413793101</v>
      </c>
      <c r="J25" s="2">
        <v>699.99999999999898</v>
      </c>
      <c r="K25" s="1">
        <v>1.1260486322188401</v>
      </c>
      <c r="N25" s="3">
        <f t="shared" si="1"/>
        <v>700.05274261603302</v>
      </c>
      <c r="O25" s="21">
        <f t="shared" si="2"/>
        <v>119865.319865319</v>
      </c>
      <c r="P25" s="3">
        <f t="shared" si="3"/>
        <v>699.99999999999898</v>
      </c>
      <c r="Q25" s="17">
        <f t="shared" si="4"/>
        <v>-1.8126861226920701E-4</v>
      </c>
      <c r="R25" s="3">
        <f t="shared" si="5"/>
        <v>699.950835791543</v>
      </c>
      <c r="S25" s="24">
        <f t="shared" si="5"/>
        <v>2.4655172413793101</v>
      </c>
      <c r="T25" s="3">
        <f t="shared" si="5"/>
        <v>699.99999999999898</v>
      </c>
      <c r="U25" s="51">
        <f t="shared" si="5"/>
        <v>1.1260486322188401</v>
      </c>
      <c r="V25" s="42">
        <f t="shared" si="6"/>
        <v>1.1182238855657125</v>
      </c>
      <c r="W25" s="49">
        <f t="shared" si="7"/>
        <v>6.9488532104596641E-3</v>
      </c>
    </row>
    <row r="26" spans="2:23" x14ac:dyDescent="0.6">
      <c r="B26" s="2">
        <v>725.10548523206705</v>
      </c>
      <c r="C26" s="1">
        <v>11.750841750841699</v>
      </c>
      <c r="D26" s="2"/>
      <c r="E26" s="1"/>
      <c r="F26" s="2">
        <v>724.93506493506402</v>
      </c>
      <c r="G26" s="1">
        <v>-183.74627754615801</v>
      </c>
      <c r="H26" s="2">
        <v>725.02458210422799</v>
      </c>
      <c r="I26" s="1">
        <v>2.4935344827586201</v>
      </c>
      <c r="J26" s="2">
        <v>725</v>
      </c>
      <c r="K26" s="1">
        <v>1.1603343465045499</v>
      </c>
      <c r="N26" s="3">
        <f t="shared" si="1"/>
        <v>725.10548523206705</v>
      </c>
      <c r="O26" s="21">
        <f t="shared" si="2"/>
        <v>117508.417508417</v>
      </c>
      <c r="P26" s="3">
        <f t="shared" si="3"/>
        <v>724.93506493506402</v>
      </c>
      <c r="Q26" s="17">
        <f t="shared" si="4"/>
        <v>-1.83746277546158E-4</v>
      </c>
      <c r="R26" s="3">
        <f t="shared" si="5"/>
        <v>725.02458210422799</v>
      </c>
      <c r="S26" s="24">
        <f t="shared" si="5"/>
        <v>2.4935344827586201</v>
      </c>
      <c r="T26" s="3">
        <f t="shared" si="5"/>
        <v>725</v>
      </c>
      <c r="U26" s="51">
        <f t="shared" si="5"/>
        <v>1.1603343465045499</v>
      </c>
      <c r="V26" s="42">
        <f t="shared" si="6"/>
        <v>1.1535294987958564</v>
      </c>
      <c r="W26" s="49">
        <f t="shared" si="7"/>
        <v>5.8645576847679848E-3</v>
      </c>
    </row>
    <row r="27" spans="2:23" x14ac:dyDescent="0.6">
      <c r="B27" s="2">
        <v>749.89451476793204</v>
      </c>
      <c r="C27" s="1">
        <v>11.528619528619499</v>
      </c>
      <c r="D27" s="2"/>
      <c r="E27" s="1"/>
      <c r="F27" s="2">
        <v>750.12987012987003</v>
      </c>
      <c r="G27" s="1">
        <v>-186.22394282310799</v>
      </c>
      <c r="H27" s="2">
        <v>750.09832841691195</v>
      </c>
      <c r="I27" s="1">
        <v>2.5215517241379302</v>
      </c>
      <c r="J27" s="2">
        <v>750</v>
      </c>
      <c r="K27" s="1">
        <v>1.19534954407294</v>
      </c>
      <c r="N27" s="3">
        <f t="shared" si="1"/>
        <v>749.89451476793204</v>
      </c>
      <c r="O27" s="21">
        <f t="shared" si="2"/>
        <v>115286.195286195</v>
      </c>
      <c r="P27" s="3">
        <f t="shared" si="3"/>
        <v>750.12987012987003</v>
      </c>
      <c r="Q27" s="17">
        <f t="shared" si="4"/>
        <v>-1.8622394282310798E-4</v>
      </c>
      <c r="R27" s="3">
        <f t="shared" si="5"/>
        <v>750.09832841691195</v>
      </c>
      <c r="S27" s="24">
        <f t="shared" si="5"/>
        <v>2.5215517241379302</v>
      </c>
      <c r="T27" s="3">
        <f t="shared" si="5"/>
        <v>750</v>
      </c>
      <c r="U27" s="51">
        <f t="shared" si="5"/>
        <v>1.19534954407294</v>
      </c>
      <c r="V27" s="42">
        <f t="shared" si="6"/>
        <v>1.1891639198185204</v>
      </c>
      <c r="W27" s="49">
        <f t="shared" si="7"/>
        <v>5.1747409660133281E-3</v>
      </c>
    </row>
    <row r="28" spans="2:23" x14ac:dyDescent="0.6">
      <c r="B28" s="2">
        <v>774.94725738396596</v>
      </c>
      <c r="C28" s="1">
        <v>11.4410774410774</v>
      </c>
      <c r="D28" s="2"/>
      <c r="E28" s="1"/>
      <c r="F28" s="2">
        <v>775.06493506493496</v>
      </c>
      <c r="G28" s="1">
        <v>-187.70101250744401</v>
      </c>
      <c r="H28" s="2">
        <v>774.92625368731501</v>
      </c>
      <c r="I28" s="1">
        <v>2.5538793103448199</v>
      </c>
      <c r="J28" s="2">
        <v>775</v>
      </c>
      <c r="K28" s="1">
        <v>1.2296352583586601</v>
      </c>
      <c r="N28" s="3">
        <f t="shared" si="1"/>
        <v>774.94725738396596</v>
      </c>
      <c r="O28" s="21">
        <f t="shared" si="2"/>
        <v>114410.774410774</v>
      </c>
      <c r="P28" s="3">
        <f t="shared" si="3"/>
        <v>775.06493506493496</v>
      </c>
      <c r="Q28" s="17">
        <f t="shared" si="4"/>
        <v>-1.87701012507444E-4</v>
      </c>
      <c r="R28" s="3">
        <f t="shared" ref="R28:U30" si="8">H28</f>
        <v>774.92625368731501</v>
      </c>
      <c r="S28" s="24">
        <f t="shared" si="8"/>
        <v>2.5538793103448199</v>
      </c>
      <c r="T28" s="3">
        <f t="shared" si="8"/>
        <v>775</v>
      </c>
      <c r="U28" s="51">
        <f t="shared" si="8"/>
        <v>1.2296352583586601</v>
      </c>
      <c r="V28" s="42">
        <f t="shared" si="6"/>
        <v>1.2232113116944678</v>
      </c>
      <c r="W28" s="49">
        <f t="shared" si="7"/>
        <v>5.2242700593727424E-3</v>
      </c>
    </row>
    <row r="29" spans="2:23" x14ac:dyDescent="0.6">
      <c r="B29" s="2">
        <v>800</v>
      </c>
      <c r="C29" s="1">
        <v>11.3535353535353</v>
      </c>
      <c r="D29" s="2"/>
      <c r="E29" s="1"/>
      <c r="F29" s="2">
        <v>799.99999999999898</v>
      </c>
      <c r="G29" s="1">
        <v>-189.27337701012499</v>
      </c>
      <c r="H29" s="2">
        <v>800</v>
      </c>
      <c r="I29" s="1">
        <v>2.5862068965517202</v>
      </c>
      <c r="J29" s="2">
        <v>799.99999999999898</v>
      </c>
      <c r="K29" s="1">
        <v>1.2661094224924001</v>
      </c>
      <c r="N29" s="3">
        <f t="shared" si="1"/>
        <v>800</v>
      </c>
      <c r="O29" s="21">
        <f t="shared" si="2"/>
        <v>113535.353535353</v>
      </c>
      <c r="P29" s="3">
        <f t="shared" si="3"/>
        <v>799.99999999999898</v>
      </c>
      <c r="Q29" s="17">
        <f t="shared" si="4"/>
        <v>-1.8927337701012497E-4</v>
      </c>
      <c r="R29" s="3">
        <f t="shared" si="8"/>
        <v>800</v>
      </c>
      <c r="S29" s="24">
        <f t="shared" si="8"/>
        <v>2.5862068965517202</v>
      </c>
      <c r="T29" s="3">
        <f t="shared" si="8"/>
        <v>799.99999999999898</v>
      </c>
      <c r="U29" s="51">
        <f t="shared" si="8"/>
        <v>1.2661094224924001</v>
      </c>
      <c r="V29" s="42">
        <f t="shared" si="6"/>
        <v>1.2581629725910268</v>
      </c>
      <c r="W29" s="49">
        <f t="shared" si="7"/>
        <v>6.2762741989000363E-3</v>
      </c>
    </row>
    <row r="30" spans="2:23" x14ac:dyDescent="0.6">
      <c r="B30" s="2">
        <v>825.05274261603302</v>
      </c>
      <c r="C30" s="1">
        <v>11.252525252525199</v>
      </c>
      <c r="D30" s="2"/>
      <c r="E30" s="1"/>
      <c r="F30" s="2">
        <v>824.93506493506402</v>
      </c>
      <c r="G30" s="1">
        <v>-190.79809410363299</v>
      </c>
      <c r="H30" s="2">
        <v>825.07374631268397</v>
      </c>
      <c r="I30" s="1">
        <v>2.6142241379310298</v>
      </c>
      <c r="J30" s="2">
        <v>824.99999999999898</v>
      </c>
      <c r="K30" s="1">
        <v>1.3025835866261399</v>
      </c>
      <c r="N30" s="3">
        <f t="shared" si="1"/>
        <v>825.05274261603302</v>
      </c>
      <c r="O30" s="21">
        <f t="shared" si="2"/>
        <v>112525.252525252</v>
      </c>
      <c r="P30" s="3">
        <f t="shared" si="3"/>
        <v>824.93506493506402</v>
      </c>
      <c r="Q30" s="17">
        <f t="shared" si="4"/>
        <v>-1.9079809410363298E-4</v>
      </c>
      <c r="R30" s="3">
        <f t="shared" si="8"/>
        <v>825.07374631268397</v>
      </c>
      <c r="S30" s="24">
        <f t="shared" si="8"/>
        <v>2.6142241379310298</v>
      </c>
      <c r="T30" s="3">
        <f t="shared" si="8"/>
        <v>824.99999999999898</v>
      </c>
      <c r="U30" s="51">
        <f t="shared" si="8"/>
        <v>1.3025835866261399</v>
      </c>
      <c r="V30" s="42">
        <f t="shared" si="6"/>
        <v>1.2927340523494053</v>
      </c>
      <c r="W30" s="49">
        <f t="shared" si="7"/>
        <v>7.5615372233011138E-3</v>
      </c>
    </row>
    <row r="31" spans="2:23" x14ac:dyDescent="0.6">
      <c r="B31" s="2">
        <v>850.10548523206705</v>
      </c>
      <c r="C31" s="1">
        <v>11.158249158249101</v>
      </c>
      <c r="D31" s="2"/>
      <c r="E31" s="1"/>
      <c r="F31" s="2">
        <v>850.12987012987003</v>
      </c>
      <c r="G31" s="1">
        <v>-192.27516378796901</v>
      </c>
      <c r="H31" s="2">
        <v>849.90167158308702</v>
      </c>
      <c r="I31" s="1">
        <v>2.6422413793103399</v>
      </c>
      <c r="J31" s="2">
        <v>850</v>
      </c>
      <c r="K31" s="1">
        <v>1.33905775075987</v>
      </c>
      <c r="N31" s="3">
        <f t="shared" si="1"/>
        <v>850.10548523206705</v>
      </c>
      <c r="O31" s="21">
        <f t="shared" si="2"/>
        <v>111582.491582491</v>
      </c>
      <c r="P31" s="3">
        <f t="shared" si="3"/>
        <v>850.12987012987003</v>
      </c>
      <c r="Q31" s="17">
        <f t="shared" si="4"/>
        <v>-1.92275163787969E-4</v>
      </c>
      <c r="R31" s="3">
        <f t="shared" ref="R31" si="9">H31</f>
        <v>849.90167158308702</v>
      </c>
      <c r="S31" s="24">
        <f t="shared" ref="S31" si="10">I31</f>
        <v>2.6422413793103399</v>
      </c>
      <c r="T31" s="3">
        <f t="shared" ref="T31" si="11">J31</f>
        <v>850</v>
      </c>
      <c r="U31" s="51">
        <f t="shared" ref="U31" si="12">K31</f>
        <v>1.33905775075987</v>
      </c>
      <c r="V31" s="42">
        <f t="shared" ref="V31" si="13">((O31*(Q31)^2)/S31)*T31</f>
        <v>1.3270548416187771</v>
      </c>
      <c r="W31" s="49">
        <f t="shared" ref="W31" si="14">(U31-V31)/U31</f>
        <v>8.9636978944945996E-3</v>
      </c>
    </row>
    <row r="44" spans="2:23" ht="17.25" thickBot="1" x14ac:dyDescent="0.65">
      <c r="B44" t="s">
        <v>79</v>
      </c>
    </row>
    <row r="45" spans="2:23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  <c r="N45" s="5" t="s">
        <v>3</v>
      </c>
      <c r="O45" s="19" t="s">
        <v>0</v>
      </c>
      <c r="P45" s="7" t="s">
        <v>3</v>
      </c>
      <c r="Q45" s="15" t="s">
        <v>1</v>
      </c>
      <c r="R45" s="7" t="s">
        <v>3</v>
      </c>
      <c r="S45" s="23" t="s">
        <v>2</v>
      </c>
      <c r="T45" s="7" t="s">
        <v>3</v>
      </c>
      <c r="U45" s="25" t="s">
        <v>6</v>
      </c>
    </row>
    <row r="46" spans="2:23" ht="17.25" thickBot="1" x14ac:dyDescent="0.65">
      <c r="B46" s="9" t="s">
        <v>4</v>
      </c>
      <c r="C46" s="10" t="s">
        <v>41</v>
      </c>
      <c r="D46" s="11" t="s">
        <v>4</v>
      </c>
      <c r="E46" s="10" t="s">
        <v>11</v>
      </c>
      <c r="F46" s="11" t="s">
        <v>4</v>
      </c>
      <c r="G46" s="27" t="s">
        <v>13</v>
      </c>
      <c r="H46" s="11" t="s">
        <v>4</v>
      </c>
      <c r="I46" s="10" t="s">
        <v>15</v>
      </c>
      <c r="J46" s="11" t="s">
        <v>4</v>
      </c>
      <c r="K46" s="12" t="s">
        <v>7</v>
      </c>
      <c r="N46" s="9" t="s">
        <v>4</v>
      </c>
      <c r="O46" s="20" t="s">
        <v>5</v>
      </c>
      <c r="P46" s="11" t="s">
        <v>4</v>
      </c>
      <c r="Q46" s="16" t="s">
        <v>14</v>
      </c>
      <c r="R46" s="11" t="s">
        <v>4</v>
      </c>
      <c r="S46" s="10" t="s">
        <v>15</v>
      </c>
      <c r="T46" s="11" t="s">
        <v>4</v>
      </c>
      <c r="U46" s="26" t="s">
        <v>7</v>
      </c>
      <c r="W46" t="s">
        <v>78</v>
      </c>
    </row>
    <row r="47" spans="2:23" x14ac:dyDescent="0.6">
      <c r="B47" s="3">
        <v>297.07299999999998</v>
      </c>
      <c r="C47" s="4">
        <v>19.4023</v>
      </c>
      <c r="D47" s="3"/>
      <c r="E47" s="4"/>
      <c r="F47" s="3">
        <v>299.92099999999999</v>
      </c>
      <c r="G47" s="4">
        <v>-127.999</v>
      </c>
      <c r="H47" s="3">
        <v>300</v>
      </c>
      <c r="I47" s="4">
        <v>2.6585399999999999</v>
      </c>
      <c r="J47" s="3">
        <v>301.36599999999999</v>
      </c>
      <c r="K47" s="4">
        <v>0.36386099999999999</v>
      </c>
      <c r="N47" s="3">
        <f>B47</f>
        <v>297.07299999999998</v>
      </c>
      <c r="O47" s="21">
        <f>C47*10000</f>
        <v>194023</v>
      </c>
      <c r="P47" s="3">
        <f>F47</f>
        <v>299.92099999999999</v>
      </c>
      <c r="Q47" s="17">
        <f>G47*0.000001</f>
        <v>-1.2799899999999998E-4</v>
      </c>
      <c r="R47" s="3">
        <f>H47</f>
        <v>300</v>
      </c>
      <c r="S47" s="24">
        <f>I47</f>
        <v>2.6585399999999999</v>
      </c>
      <c r="T47" s="3">
        <f>J47</f>
        <v>301.36599999999999</v>
      </c>
      <c r="U47" s="51">
        <f>K47</f>
        <v>0.36386099999999999</v>
      </c>
      <c r="V47" s="42">
        <f>((O47*(Q47)^2)/S47)*T47</f>
        <v>0.36034410658914917</v>
      </c>
      <c r="W47" s="49">
        <f t="shared" ref="W47:W68" si="15">(U47-V47)/U47</f>
        <v>9.6654860258472853E-3</v>
      </c>
    </row>
    <row r="48" spans="2:23" x14ac:dyDescent="0.6">
      <c r="B48" s="3">
        <v>320.815</v>
      </c>
      <c r="C48" s="4">
        <v>18.7639</v>
      </c>
      <c r="D48" s="3"/>
      <c r="E48" s="4"/>
      <c r="F48" s="3">
        <v>329.67700000000002</v>
      </c>
      <c r="G48" s="4">
        <v>-129.45500000000001</v>
      </c>
      <c r="H48" s="3">
        <v>323.67700000000002</v>
      </c>
      <c r="I48" s="4">
        <v>2.6463399999999999</v>
      </c>
      <c r="J48" s="3">
        <v>327.322</v>
      </c>
      <c r="K48" s="4">
        <v>0.39158399999999999</v>
      </c>
      <c r="N48" s="3">
        <f t="shared" ref="N48:N69" si="16">B48</f>
        <v>320.815</v>
      </c>
      <c r="O48" s="21">
        <f t="shared" ref="O48:O69" si="17">C48*10000</f>
        <v>187639</v>
      </c>
      <c r="P48" s="3">
        <f t="shared" ref="P48:P69" si="18">F48</f>
        <v>329.67700000000002</v>
      </c>
      <c r="Q48" s="17">
        <f t="shared" ref="Q48:Q69" si="19">G48*0.000001</f>
        <v>-1.29455E-4</v>
      </c>
      <c r="R48" s="3">
        <f t="shared" ref="R48:R68" si="20">H48</f>
        <v>323.67700000000002</v>
      </c>
      <c r="S48" s="24">
        <f t="shared" ref="S48:S68" si="21">I48</f>
        <v>2.6463399999999999</v>
      </c>
      <c r="T48" s="3">
        <f t="shared" ref="T48:T68" si="22">J48</f>
        <v>327.322</v>
      </c>
      <c r="U48" s="51">
        <f t="shared" ref="U48:U68" si="23">K48</f>
        <v>0.39158399999999999</v>
      </c>
      <c r="V48" s="42">
        <f t="shared" ref="V48:V68" si="24">((O48*(Q48)^2)/S48)*T48</f>
        <v>0.38894690742027105</v>
      </c>
      <c r="W48" s="49">
        <f t="shared" si="15"/>
        <v>6.7344237244855235E-3</v>
      </c>
    </row>
    <row r="49" spans="2:23" x14ac:dyDescent="0.6">
      <c r="B49" s="2">
        <v>344.58699999999999</v>
      </c>
      <c r="C49" s="1">
        <v>18.005199999999999</v>
      </c>
      <c r="D49" s="2"/>
      <c r="E49" s="1"/>
      <c r="F49" s="2">
        <v>351.59100000000001</v>
      </c>
      <c r="G49" s="1">
        <v>-131.19399999999999</v>
      </c>
      <c r="H49" s="2">
        <v>348.74700000000001</v>
      </c>
      <c r="I49" s="1">
        <v>2.62195</v>
      </c>
      <c r="J49" s="2">
        <v>350.54599999999999</v>
      </c>
      <c r="K49" s="1">
        <v>0.41930699999999999</v>
      </c>
      <c r="N49" s="3">
        <f t="shared" si="16"/>
        <v>344.58699999999999</v>
      </c>
      <c r="O49" s="21">
        <f t="shared" si="17"/>
        <v>180051.99999999997</v>
      </c>
      <c r="P49" s="3">
        <f t="shared" si="18"/>
        <v>351.59100000000001</v>
      </c>
      <c r="Q49" s="17">
        <f t="shared" si="19"/>
        <v>-1.3119399999999998E-4</v>
      </c>
      <c r="R49" s="3">
        <f t="shared" si="20"/>
        <v>348.74700000000001</v>
      </c>
      <c r="S49" s="24">
        <f t="shared" si="21"/>
        <v>2.62195</v>
      </c>
      <c r="T49" s="3">
        <f t="shared" si="22"/>
        <v>350.54599999999999</v>
      </c>
      <c r="U49" s="51">
        <f t="shared" si="23"/>
        <v>0.41930699999999999</v>
      </c>
      <c r="V49" s="42">
        <f t="shared" si="24"/>
        <v>0.41433012141977149</v>
      </c>
      <c r="W49" s="49">
        <f t="shared" si="15"/>
        <v>1.1869295242455991E-2</v>
      </c>
    </row>
    <row r="50" spans="2:23" x14ac:dyDescent="0.6">
      <c r="B50" s="2">
        <v>371.48399999999998</v>
      </c>
      <c r="C50" s="1">
        <v>17.327200000000001</v>
      </c>
      <c r="D50" s="2"/>
      <c r="E50" s="1"/>
      <c r="F50" s="2">
        <v>375.08199999999999</v>
      </c>
      <c r="G50" s="1">
        <v>-132.35900000000001</v>
      </c>
      <c r="H50" s="2">
        <v>373.81599999999997</v>
      </c>
      <c r="I50" s="1">
        <v>2.5853700000000002</v>
      </c>
      <c r="J50" s="2">
        <v>375.137</v>
      </c>
      <c r="K50" s="1">
        <v>0.45495000000000002</v>
      </c>
      <c r="N50" s="3">
        <f t="shared" si="16"/>
        <v>371.48399999999998</v>
      </c>
      <c r="O50" s="21">
        <f t="shared" si="17"/>
        <v>173272</v>
      </c>
      <c r="P50" s="3">
        <f t="shared" si="18"/>
        <v>375.08199999999999</v>
      </c>
      <c r="Q50" s="17">
        <f t="shared" si="19"/>
        <v>-1.32359E-4</v>
      </c>
      <c r="R50" s="3">
        <f t="shared" si="20"/>
        <v>373.81599999999997</v>
      </c>
      <c r="S50" s="24">
        <f t="shared" si="21"/>
        <v>2.5853700000000002</v>
      </c>
      <c r="T50" s="3">
        <f t="shared" si="22"/>
        <v>375.137</v>
      </c>
      <c r="U50" s="51">
        <f t="shared" si="23"/>
        <v>0.45495000000000002</v>
      </c>
      <c r="V50" s="42">
        <f t="shared" si="24"/>
        <v>0.44045600855652883</v>
      </c>
      <c r="W50" s="49">
        <f t="shared" si="15"/>
        <v>3.1858427175450461E-2</v>
      </c>
    </row>
    <row r="51" spans="2:23" x14ac:dyDescent="0.6">
      <c r="B51" s="2">
        <v>396.77800000000002</v>
      </c>
      <c r="C51" s="1">
        <v>16.769400000000001</v>
      </c>
      <c r="D51" s="2"/>
      <c r="E51" s="1"/>
      <c r="F51" s="2">
        <v>395.375</v>
      </c>
      <c r="G51" s="1">
        <v>-137.26300000000001</v>
      </c>
      <c r="H51" s="2">
        <v>400.279</v>
      </c>
      <c r="I51" s="1">
        <v>2.5487799999999998</v>
      </c>
      <c r="J51" s="2">
        <v>398.36099999999999</v>
      </c>
      <c r="K51" s="1">
        <v>0.49851499999999999</v>
      </c>
      <c r="N51" s="3">
        <f t="shared" si="16"/>
        <v>396.77800000000002</v>
      </c>
      <c r="O51" s="21">
        <f t="shared" si="17"/>
        <v>167694</v>
      </c>
      <c r="P51" s="3">
        <f t="shared" si="18"/>
        <v>395.375</v>
      </c>
      <c r="Q51" s="17">
        <f t="shared" si="19"/>
        <v>-1.3726299999999999E-4</v>
      </c>
      <c r="R51" s="3">
        <f t="shared" si="20"/>
        <v>400.279</v>
      </c>
      <c r="S51" s="24">
        <f t="shared" si="21"/>
        <v>2.5487799999999998</v>
      </c>
      <c r="T51" s="3">
        <f t="shared" si="22"/>
        <v>398.36099999999999</v>
      </c>
      <c r="U51" s="51">
        <f t="shared" si="23"/>
        <v>0.49851499999999999</v>
      </c>
      <c r="V51" s="42">
        <f t="shared" si="24"/>
        <v>0.49382032439831908</v>
      </c>
      <c r="W51" s="49">
        <f t="shared" si="15"/>
        <v>9.4173206456794854E-3</v>
      </c>
    </row>
    <row r="52" spans="2:23" x14ac:dyDescent="0.6">
      <c r="B52" s="2">
        <v>423.64499999999998</v>
      </c>
      <c r="C52" s="1">
        <v>16.2118</v>
      </c>
      <c r="D52" s="2"/>
      <c r="E52" s="1"/>
      <c r="F52" s="2">
        <v>425.07600000000002</v>
      </c>
      <c r="G52" s="1">
        <v>-141.88399999999999</v>
      </c>
      <c r="H52" s="2">
        <v>425.34800000000001</v>
      </c>
      <c r="I52" s="1">
        <v>2.5</v>
      </c>
      <c r="J52" s="2">
        <v>422.95100000000002</v>
      </c>
      <c r="K52" s="1">
        <v>0.56188099999999996</v>
      </c>
      <c r="N52" s="3">
        <f t="shared" si="16"/>
        <v>423.64499999999998</v>
      </c>
      <c r="O52" s="21">
        <f t="shared" si="17"/>
        <v>162118</v>
      </c>
      <c r="P52" s="3">
        <f t="shared" si="18"/>
        <v>425.07600000000002</v>
      </c>
      <c r="Q52" s="17">
        <f t="shared" si="19"/>
        <v>-1.4188399999999997E-4</v>
      </c>
      <c r="R52" s="3">
        <f t="shared" si="20"/>
        <v>425.34800000000001</v>
      </c>
      <c r="S52" s="24">
        <f t="shared" si="21"/>
        <v>2.5</v>
      </c>
      <c r="T52" s="3">
        <f t="shared" si="22"/>
        <v>422.95100000000002</v>
      </c>
      <c r="U52" s="51">
        <f t="shared" si="23"/>
        <v>0.56188099999999996</v>
      </c>
      <c r="V52" s="42">
        <f t="shared" si="24"/>
        <v>0.55213862836619876</v>
      </c>
      <c r="W52" s="49">
        <f t="shared" si="15"/>
        <v>1.7338852237041662E-2</v>
      </c>
    </row>
    <row r="53" spans="2:23" x14ac:dyDescent="0.6">
      <c r="B53" s="2">
        <v>447.358</v>
      </c>
      <c r="C53" s="1">
        <v>15.6938</v>
      </c>
      <c r="D53" s="2"/>
      <c r="E53" s="1"/>
      <c r="F53" s="2">
        <v>451.60899999999998</v>
      </c>
      <c r="G53" s="1">
        <v>-148.518</v>
      </c>
      <c r="H53" s="2">
        <v>450.41800000000001</v>
      </c>
      <c r="I53" s="1">
        <v>2.4878</v>
      </c>
      <c r="J53" s="2">
        <v>450.27300000000002</v>
      </c>
      <c r="K53" s="1">
        <v>0.62920799999999999</v>
      </c>
      <c r="N53" s="3">
        <f t="shared" si="16"/>
        <v>447.358</v>
      </c>
      <c r="O53" s="21">
        <f t="shared" si="17"/>
        <v>156938</v>
      </c>
      <c r="P53" s="3">
        <f t="shared" si="18"/>
        <v>451.60899999999998</v>
      </c>
      <c r="Q53" s="17">
        <f t="shared" si="19"/>
        <v>-1.4851799999999999E-4</v>
      </c>
      <c r="R53" s="3">
        <f t="shared" si="20"/>
        <v>450.41800000000001</v>
      </c>
      <c r="S53" s="24">
        <f t="shared" si="21"/>
        <v>2.4878</v>
      </c>
      <c r="T53" s="3">
        <f t="shared" si="22"/>
        <v>450.27300000000002</v>
      </c>
      <c r="U53" s="51">
        <f t="shared" si="23"/>
        <v>0.62920799999999999</v>
      </c>
      <c r="V53" s="42">
        <f t="shared" si="24"/>
        <v>0.62653702493863161</v>
      </c>
      <c r="W53" s="49">
        <f t="shared" si="15"/>
        <v>4.2449795002103829E-3</v>
      </c>
    </row>
    <row r="54" spans="2:23" x14ac:dyDescent="0.6">
      <c r="B54" s="2">
        <v>472.64299999999997</v>
      </c>
      <c r="C54" s="1">
        <v>15.1761</v>
      </c>
      <c r="D54" s="2"/>
      <c r="E54" s="1"/>
      <c r="F54" s="2">
        <v>478.19</v>
      </c>
      <c r="G54" s="1">
        <v>-152.274</v>
      </c>
      <c r="H54" s="2">
        <v>472.702</v>
      </c>
      <c r="I54" s="1">
        <v>2.4512200000000002</v>
      </c>
      <c r="J54" s="2">
        <v>473.49700000000001</v>
      </c>
      <c r="K54" s="1">
        <v>0.69257400000000002</v>
      </c>
      <c r="N54" s="3">
        <f t="shared" si="16"/>
        <v>472.64299999999997</v>
      </c>
      <c r="O54" s="21">
        <f t="shared" si="17"/>
        <v>151761</v>
      </c>
      <c r="P54" s="3">
        <f t="shared" si="18"/>
        <v>478.19</v>
      </c>
      <c r="Q54" s="17">
        <f t="shared" si="19"/>
        <v>-1.5227399999999999E-4</v>
      </c>
      <c r="R54" s="3">
        <f t="shared" si="20"/>
        <v>472.702</v>
      </c>
      <c r="S54" s="24">
        <f t="shared" si="21"/>
        <v>2.4512200000000002</v>
      </c>
      <c r="T54" s="3">
        <f t="shared" si="22"/>
        <v>473.49700000000001</v>
      </c>
      <c r="U54" s="51">
        <f t="shared" si="23"/>
        <v>0.69257400000000002</v>
      </c>
      <c r="V54" s="42">
        <f t="shared" si="24"/>
        <v>0.67974595533535709</v>
      </c>
      <c r="W54" s="49">
        <f t="shared" si="15"/>
        <v>1.8522272947934709E-2</v>
      </c>
    </row>
    <row r="55" spans="2:23" x14ac:dyDescent="0.6">
      <c r="B55" s="2">
        <v>497.88799999999998</v>
      </c>
      <c r="C55" s="1">
        <v>14.819000000000001</v>
      </c>
      <c r="D55" s="2"/>
      <c r="E55" s="1"/>
      <c r="F55" s="2">
        <v>500.08499999999998</v>
      </c>
      <c r="G55" s="1">
        <v>-155.16499999999999</v>
      </c>
      <c r="H55" s="2">
        <v>497.77199999999999</v>
      </c>
      <c r="I55" s="1">
        <v>2.4146299999999998</v>
      </c>
      <c r="J55" s="2">
        <v>500.82</v>
      </c>
      <c r="K55" s="1">
        <v>0.74802000000000002</v>
      </c>
      <c r="N55" s="3">
        <f t="shared" si="16"/>
        <v>497.88799999999998</v>
      </c>
      <c r="O55" s="21">
        <f t="shared" si="17"/>
        <v>148190</v>
      </c>
      <c r="P55" s="3">
        <f t="shared" si="18"/>
        <v>500.08499999999998</v>
      </c>
      <c r="Q55" s="17">
        <f t="shared" si="19"/>
        <v>-1.55165E-4</v>
      </c>
      <c r="R55" s="3">
        <f t="shared" si="20"/>
        <v>497.77199999999999</v>
      </c>
      <c r="S55" s="24">
        <f t="shared" si="21"/>
        <v>2.4146299999999998</v>
      </c>
      <c r="T55" s="3">
        <f t="shared" si="22"/>
        <v>500.82</v>
      </c>
      <c r="U55" s="51">
        <f t="shared" si="23"/>
        <v>0.74802000000000002</v>
      </c>
      <c r="V55" s="42">
        <f t="shared" si="24"/>
        <v>0.7400098513738389</v>
      </c>
      <c r="W55" s="49">
        <f t="shared" si="15"/>
        <v>1.0708468525121143E-2</v>
      </c>
    </row>
    <row r="56" spans="2:23" x14ac:dyDescent="0.6">
      <c r="B56" s="2">
        <v>523.16300000000001</v>
      </c>
      <c r="C56" s="1">
        <v>14.3414</v>
      </c>
      <c r="D56" s="2"/>
      <c r="E56" s="1"/>
      <c r="F56" s="2">
        <v>526.66099999999994</v>
      </c>
      <c r="G56" s="1">
        <v>-159.209</v>
      </c>
      <c r="H56" s="2">
        <v>524.23400000000004</v>
      </c>
      <c r="I56" s="1">
        <v>2.4024399999999999</v>
      </c>
      <c r="J56" s="2">
        <v>525.41</v>
      </c>
      <c r="K56" s="1">
        <v>0.78762399999999999</v>
      </c>
      <c r="N56" s="3">
        <f t="shared" si="16"/>
        <v>523.16300000000001</v>
      </c>
      <c r="O56" s="21">
        <f t="shared" si="17"/>
        <v>143414</v>
      </c>
      <c r="P56" s="3">
        <f t="shared" si="18"/>
        <v>526.66099999999994</v>
      </c>
      <c r="Q56" s="17">
        <f t="shared" si="19"/>
        <v>-1.59209E-4</v>
      </c>
      <c r="R56" s="3">
        <f t="shared" si="20"/>
        <v>524.23400000000004</v>
      </c>
      <c r="S56" s="24">
        <f t="shared" si="21"/>
        <v>2.4024399999999999</v>
      </c>
      <c r="T56" s="3">
        <f t="shared" si="22"/>
        <v>525.41</v>
      </c>
      <c r="U56" s="51">
        <f t="shared" si="23"/>
        <v>0.78762399999999999</v>
      </c>
      <c r="V56" s="42">
        <f t="shared" si="24"/>
        <v>0.79500994659784707</v>
      </c>
      <c r="W56" s="49">
        <f t="shared" si="15"/>
        <v>-9.3775032221556E-3</v>
      </c>
    </row>
    <row r="57" spans="2:23" x14ac:dyDescent="0.6">
      <c r="B57" s="2">
        <v>548.43799999999999</v>
      </c>
      <c r="C57" s="1">
        <v>13.863799999999999</v>
      </c>
      <c r="D57" s="2"/>
      <c r="E57" s="1"/>
      <c r="F57" s="2">
        <v>553.24300000000005</v>
      </c>
      <c r="G57" s="1">
        <v>-162.965</v>
      </c>
      <c r="H57" s="2">
        <v>547.91099999999994</v>
      </c>
      <c r="I57" s="1">
        <v>2.4024399999999999</v>
      </c>
      <c r="J57" s="2">
        <v>551.36599999999999</v>
      </c>
      <c r="K57" s="1">
        <v>0.83514900000000003</v>
      </c>
      <c r="N57" s="3">
        <f t="shared" si="16"/>
        <v>548.43799999999999</v>
      </c>
      <c r="O57" s="21">
        <f t="shared" si="17"/>
        <v>138638</v>
      </c>
      <c r="P57" s="3">
        <f t="shared" si="18"/>
        <v>553.24300000000005</v>
      </c>
      <c r="Q57" s="17">
        <f t="shared" si="19"/>
        <v>-1.62965E-4</v>
      </c>
      <c r="R57" s="3">
        <f t="shared" si="20"/>
        <v>547.91099999999994</v>
      </c>
      <c r="S57" s="24">
        <f t="shared" si="21"/>
        <v>2.4024399999999999</v>
      </c>
      <c r="T57" s="3">
        <f t="shared" si="22"/>
        <v>551.36599999999999</v>
      </c>
      <c r="U57" s="51">
        <f t="shared" si="23"/>
        <v>0.83514900000000003</v>
      </c>
      <c r="V57" s="42">
        <f t="shared" si="24"/>
        <v>0.84500328678269099</v>
      </c>
      <c r="W57" s="49">
        <f t="shared" si="15"/>
        <v>-1.1799435529098349E-2</v>
      </c>
    </row>
    <row r="58" spans="2:23" x14ac:dyDescent="0.6">
      <c r="B58" s="2">
        <v>573.673</v>
      </c>
      <c r="C58" s="1">
        <v>13.546799999999999</v>
      </c>
      <c r="D58" s="2"/>
      <c r="E58" s="1"/>
      <c r="F58" s="2">
        <v>575.12699999999995</v>
      </c>
      <c r="G58" s="1">
        <v>-166.43100000000001</v>
      </c>
      <c r="H58" s="2">
        <v>574.37300000000005</v>
      </c>
      <c r="I58" s="1">
        <v>2.36585</v>
      </c>
      <c r="J58" s="2">
        <v>575.95600000000002</v>
      </c>
      <c r="K58" s="1">
        <v>0.90247500000000003</v>
      </c>
      <c r="N58" s="3">
        <f t="shared" si="16"/>
        <v>573.673</v>
      </c>
      <c r="O58" s="21">
        <f t="shared" si="17"/>
        <v>135468</v>
      </c>
      <c r="P58" s="3">
        <f t="shared" si="18"/>
        <v>575.12699999999995</v>
      </c>
      <c r="Q58" s="17">
        <f t="shared" si="19"/>
        <v>-1.6643100000000001E-4</v>
      </c>
      <c r="R58" s="3">
        <f t="shared" si="20"/>
        <v>574.37300000000005</v>
      </c>
      <c r="S58" s="24">
        <f t="shared" si="21"/>
        <v>2.36585</v>
      </c>
      <c r="T58" s="3">
        <f t="shared" si="22"/>
        <v>575.95600000000002</v>
      </c>
      <c r="U58" s="51">
        <f t="shared" si="23"/>
        <v>0.90247500000000003</v>
      </c>
      <c r="V58" s="42">
        <f t="shared" si="24"/>
        <v>0.91349729421113313</v>
      </c>
      <c r="W58" s="49">
        <f t="shared" si="15"/>
        <v>-1.2213406699502034E-2</v>
      </c>
    </row>
    <row r="59" spans="2:23" x14ac:dyDescent="0.6">
      <c r="B59" s="2">
        <v>598.91800000000001</v>
      </c>
      <c r="C59" s="1">
        <v>13.1896</v>
      </c>
      <c r="D59" s="2"/>
      <c r="E59" s="1"/>
      <c r="F59" s="2">
        <v>604.84900000000005</v>
      </c>
      <c r="G59" s="1">
        <v>-169.90100000000001</v>
      </c>
      <c r="H59" s="2">
        <v>599.44299999999998</v>
      </c>
      <c r="I59" s="1">
        <v>2.37805</v>
      </c>
      <c r="J59" s="2">
        <v>600.54600000000005</v>
      </c>
      <c r="K59" s="1">
        <v>0.93811900000000004</v>
      </c>
      <c r="N59" s="3">
        <f t="shared" si="16"/>
        <v>598.91800000000001</v>
      </c>
      <c r="O59" s="21">
        <f t="shared" si="17"/>
        <v>131896</v>
      </c>
      <c r="P59" s="3">
        <f t="shared" si="18"/>
        <v>604.84900000000005</v>
      </c>
      <c r="Q59" s="17">
        <f t="shared" si="19"/>
        <v>-1.69901E-4</v>
      </c>
      <c r="R59" s="3">
        <f t="shared" si="20"/>
        <v>599.44299999999998</v>
      </c>
      <c r="S59" s="24">
        <f t="shared" si="21"/>
        <v>2.37805</v>
      </c>
      <c r="T59" s="3">
        <f t="shared" si="22"/>
        <v>600.54600000000005</v>
      </c>
      <c r="U59" s="51">
        <f t="shared" si="23"/>
        <v>0.93811900000000004</v>
      </c>
      <c r="V59" s="42">
        <f t="shared" si="24"/>
        <v>0.96149890053937825</v>
      </c>
      <c r="W59" s="49">
        <f t="shared" si="15"/>
        <v>-2.4922105339917663E-2</v>
      </c>
    </row>
    <row r="60" spans="2:23" x14ac:dyDescent="0.6">
      <c r="B60" s="2">
        <v>619.42700000000002</v>
      </c>
      <c r="C60" s="1">
        <v>12.912000000000001</v>
      </c>
      <c r="D60" s="2"/>
      <c r="E60" s="1"/>
      <c r="F60" s="2">
        <v>625.17499999999995</v>
      </c>
      <c r="G60" s="1">
        <v>-172.791</v>
      </c>
      <c r="H60" s="2">
        <v>624.51300000000003</v>
      </c>
      <c r="I60" s="1">
        <v>2.37805</v>
      </c>
      <c r="J60" s="2">
        <v>625.13699999999994</v>
      </c>
      <c r="K60" s="1">
        <v>0.98960400000000004</v>
      </c>
      <c r="N60" s="3">
        <f t="shared" si="16"/>
        <v>619.42700000000002</v>
      </c>
      <c r="O60" s="21">
        <f t="shared" si="17"/>
        <v>129120.00000000001</v>
      </c>
      <c r="P60" s="3">
        <f t="shared" si="18"/>
        <v>625.17499999999995</v>
      </c>
      <c r="Q60" s="17">
        <f t="shared" si="19"/>
        <v>-1.7279099999999999E-4</v>
      </c>
      <c r="R60" s="3">
        <f t="shared" si="20"/>
        <v>624.51300000000003</v>
      </c>
      <c r="S60" s="24">
        <f t="shared" si="21"/>
        <v>2.37805</v>
      </c>
      <c r="T60" s="3">
        <f t="shared" si="22"/>
        <v>625.13699999999994</v>
      </c>
      <c r="U60" s="51">
        <f t="shared" si="23"/>
        <v>0.98960400000000004</v>
      </c>
      <c r="V60" s="42">
        <f t="shared" si="24"/>
        <v>1.01342117873257</v>
      </c>
      <c r="W60" s="49">
        <f t="shared" si="15"/>
        <v>-2.4067383248824726E-2</v>
      </c>
    </row>
    <row r="61" spans="2:23" x14ac:dyDescent="0.6">
      <c r="B61" s="2">
        <v>649.36900000000003</v>
      </c>
      <c r="C61" s="1">
        <v>12.6358</v>
      </c>
      <c r="D61" s="2"/>
      <c r="E61" s="1"/>
      <c r="F61" s="2">
        <v>651.76199999999994</v>
      </c>
      <c r="G61" s="1">
        <v>-176.25899999999999</v>
      </c>
      <c r="H61" s="2">
        <v>649.58199999999999</v>
      </c>
      <c r="I61" s="1">
        <v>2.4268299999999998</v>
      </c>
      <c r="J61" s="2">
        <v>651.09299999999996</v>
      </c>
      <c r="K61" s="1">
        <v>1.0331699999999999</v>
      </c>
      <c r="N61" s="3">
        <f t="shared" si="16"/>
        <v>649.36900000000003</v>
      </c>
      <c r="O61" s="21">
        <f t="shared" si="17"/>
        <v>126358</v>
      </c>
      <c r="P61" s="3">
        <f t="shared" si="18"/>
        <v>651.76199999999994</v>
      </c>
      <c r="Q61" s="17">
        <f t="shared" si="19"/>
        <v>-1.7625899999999998E-4</v>
      </c>
      <c r="R61" s="3">
        <f t="shared" si="20"/>
        <v>649.58199999999999</v>
      </c>
      <c r="S61" s="24">
        <f t="shared" si="21"/>
        <v>2.4268299999999998</v>
      </c>
      <c r="T61" s="3">
        <f t="shared" si="22"/>
        <v>651.09299999999996</v>
      </c>
      <c r="U61" s="51">
        <f t="shared" si="23"/>
        <v>1.0331699999999999</v>
      </c>
      <c r="V61" s="42">
        <f t="shared" si="24"/>
        <v>1.0531955566071036</v>
      </c>
      <c r="W61" s="49">
        <f t="shared" si="15"/>
        <v>-1.9382634616862376E-2</v>
      </c>
    </row>
    <row r="62" spans="2:23" x14ac:dyDescent="0.6">
      <c r="B62" s="2">
        <v>673.04200000000003</v>
      </c>
      <c r="C62" s="1">
        <v>12.2784</v>
      </c>
      <c r="D62" s="2"/>
      <c r="E62" s="1"/>
      <c r="F62" s="2">
        <v>678.37300000000005</v>
      </c>
      <c r="G62" s="1">
        <v>-178.28899999999999</v>
      </c>
      <c r="H62" s="2">
        <v>674.65200000000004</v>
      </c>
      <c r="I62" s="1">
        <v>2.4390200000000002</v>
      </c>
      <c r="J62" s="2">
        <v>674.31700000000001</v>
      </c>
      <c r="K62" s="1">
        <v>1.09257</v>
      </c>
      <c r="N62" s="3">
        <f t="shared" si="16"/>
        <v>673.04200000000003</v>
      </c>
      <c r="O62" s="21">
        <f t="shared" si="17"/>
        <v>122784</v>
      </c>
      <c r="P62" s="3">
        <f t="shared" si="18"/>
        <v>678.37300000000005</v>
      </c>
      <c r="Q62" s="17">
        <f t="shared" si="19"/>
        <v>-1.7828899999999999E-4</v>
      </c>
      <c r="R62" s="3">
        <f t="shared" si="20"/>
        <v>674.65200000000004</v>
      </c>
      <c r="S62" s="24">
        <f t="shared" si="21"/>
        <v>2.4390200000000002</v>
      </c>
      <c r="T62" s="3">
        <f t="shared" si="22"/>
        <v>674.31700000000001</v>
      </c>
      <c r="U62" s="51">
        <f t="shared" si="23"/>
        <v>1.09257</v>
      </c>
      <c r="V62" s="42">
        <f t="shared" si="24"/>
        <v>1.0790451643199874</v>
      </c>
      <c r="W62" s="49">
        <f t="shared" si="15"/>
        <v>1.237891913562757E-2</v>
      </c>
    </row>
    <row r="63" spans="2:23" x14ac:dyDescent="0.6">
      <c r="B63" s="2">
        <v>699.82</v>
      </c>
      <c r="C63" s="1">
        <v>12.082000000000001</v>
      </c>
      <c r="D63" s="2"/>
      <c r="E63" s="1"/>
      <c r="F63" s="2">
        <v>701.82500000000005</v>
      </c>
      <c r="G63" s="1">
        <v>-181.756</v>
      </c>
      <c r="H63" s="2">
        <v>698.32899999999995</v>
      </c>
      <c r="I63" s="1">
        <v>2.4634100000000001</v>
      </c>
      <c r="J63" s="2">
        <v>696.17499999999995</v>
      </c>
      <c r="K63" s="1">
        <v>1.12822</v>
      </c>
      <c r="N63" s="3">
        <f t="shared" si="16"/>
        <v>699.82</v>
      </c>
      <c r="O63" s="21">
        <f t="shared" si="17"/>
        <v>120820.00000000001</v>
      </c>
      <c r="P63" s="3">
        <f t="shared" si="18"/>
        <v>701.82500000000005</v>
      </c>
      <c r="Q63" s="17">
        <f t="shared" si="19"/>
        <v>-1.8175599999999999E-4</v>
      </c>
      <c r="R63" s="3">
        <f t="shared" si="20"/>
        <v>698.32899999999995</v>
      </c>
      <c r="S63" s="24">
        <f t="shared" si="21"/>
        <v>2.4634100000000001</v>
      </c>
      <c r="T63" s="3">
        <f t="shared" si="22"/>
        <v>696.17499999999995</v>
      </c>
      <c r="U63" s="51">
        <f t="shared" si="23"/>
        <v>1.12822</v>
      </c>
      <c r="V63" s="42">
        <f t="shared" si="24"/>
        <v>1.1279713466249177</v>
      </c>
      <c r="W63" s="49">
        <f t="shared" si="15"/>
        <v>2.203944045330575E-4</v>
      </c>
    </row>
    <row r="64" spans="2:23" x14ac:dyDescent="0.6">
      <c r="B64" s="2">
        <v>720.32899999999995</v>
      </c>
      <c r="C64" s="1">
        <v>11.804399999999999</v>
      </c>
      <c r="D64" s="2"/>
      <c r="E64" s="1"/>
      <c r="F64" s="2">
        <v>728.43100000000004</v>
      </c>
      <c r="G64" s="1">
        <v>-184.07300000000001</v>
      </c>
      <c r="H64" s="2">
        <v>724.79100000000005</v>
      </c>
      <c r="I64" s="1">
        <v>2.4878</v>
      </c>
      <c r="J64" s="2">
        <v>723.49699999999996</v>
      </c>
      <c r="K64" s="1">
        <v>1.1638599999999999</v>
      </c>
      <c r="N64" s="3">
        <f t="shared" si="16"/>
        <v>720.32899999999995</v>
      </c>
      <c r="O64" s="21">
        <f t="shared" si="17"/>
        <v>118044</v>
      </c>
      <c r="P64" s="3">
        <f t="shared" si="18"/>
        <v>728.43100000000004</v>
      </c>
      <c r="Q64" s="17">
        <f t="shared" si="19"/>
        <v>-1.8407300000000001E-4</v>
      </c>
      <c r="R64" s="3">
        <f t="shared" si="20"/>
        <v>724.79100000000005</v>
      </c>
      <c r="S64" s="24">
        <f t="shared" si="21"/>
        <v>2.4878</v>
      </c>
      <c r="T64" s="3">
        <f t="shared" si="22"/>
        <v>723.49699999999996</v>
      </c>
      <c r="U64" s="51">
        <f t="shared" si="23"/>
        <v>1.1638599999999999</v>
      </c>
      <c r="V64" s="42">
        <f t="shared" si="24"/>
        <v>1.1631758306450097</v>
      </c>
      <c r="W64" s="49">
        <f t="shared" si="15"/>
        <v>5.8784506297162946E-4</v>
      </c>
    </row>
    <row r="65" spans="2:23" x14ac:dyDescent="0.6">
      <c r="B65" s="2">
        <v>748.66899999999998</v>
      </c>
      <c r="C65" s="1">
        <v>11.648400000000001</v>
      </c>
      <c r="D65" s="2"/>
      <c r="E65" s="1"/>
      <c r="F65" s="2">
        <v>750.34</v>
      </c>
      <c r="G65" s="1">
        <v>-186.1</v>
      </c>
      <c r="H65" s="2">
        <v>749.86099999999999</v>
      </c>
      <c r="I65" s="1">
        <v>2.5365899999999999</v>
      </c>
      <c r="J65" s="2">
        <v>748.08699999999999</v>
      </c>
      <c r="K65" s="1">
        <v>1.1995</v>
      </c>
      <c r="N65" s="3">
        <f t="shared" si="16"/>
        <v>748.66899999999998</v>
      </c>
      <c r="O65" s="21">
        <f t="shared" si="17"/>
        <v>116484</v>
      </c>
      <c r="P65" s="3">
        <f t="shared" si="18"/>
        <v>750.34</v>
      </c>
      <c r="Q65" s="17">
        <f t="shared" si="19"/>
        <v>-1.861E-4</v>
      </c>
      <c r="R65" s="3">
        <f t="shared" si="20"/>
        <v>749.86099999999999</v>
      </c>
      <c r="S65" s="24">
        <f t="shared" si="21"/>
        <v>2.5365899999999999</v>
      </c>
      <c r="T65" s="3">
        <f t="shared" si="22"/>
        <v>748.08699999999999</v>
      </c>
      <c r="U65" s="51">
        <f t="shared" si="23"/>
        <v>1.1995</v>
      </c>
      <c r="V65" s="42">
        <f t="shared" si="24"/>
        <v>1.1897640818000725</v>
      </c>
      <c r="W65" s="49">
        <f t="shared" si="15"/>
        <v>8.1166471028991018E-3</v>
      </c>
    </row>
    <row r="66" spans="2:23" x14ac:dyDescent="0.6">
      <c r="B66" s="2">
        <v>772.27300000000002</v>
      </c>
      <c r="C66" s="1">
        <v>11.571899999999999</v>
      </c>
      <c r="D66" s="2"/>
      <c r="E66" s="1"/>
      <c r="F66" s="2">
        <v>780.09100000000001</v>
      </c>
      <c r="G66" s="1">
        <v>-187.84399999999999</v>
      </c>
      <c r="H66" s="2">
        <v>773.53800000000001</v>
      </c>
      <c r="I66" s="1">
        <v>2.5487799999999998</v>
      </c>
      <c r="J66" s="2">
        <v>769.94500000000005</v>
      </c>
      <c r="K66" s="1">
        <v>1.23119</v>
      </c>
      <c r="N66" s="3">
        <f t="shared" si="16"/>
        <v>772.27300000000002</v>
      </c>
      <c r="O66" s="21">
        <f t="shared" si="17"/>
        <v>115719</v>
      </c>
      <c r="P66" s="3">
        <f t="shared" si="18"/>
        <v>780.09100000000001</v>
      </c>
      <c r="Q66" s="17">
        <f t="shared" si="19"/>
        <v>-1.8784399999999997E-4</v>
      </c>
      <c r="R66" s="3">
        <f t="shared" si="20"/>
        <v>773.53800000000001</v>
      </c>
      <c r="S66" s="24">
        <f t="shared" si="21"/>
        <v>2.5487799999999998</v>
      </c>
      <c r="T66" s="3">
        <f t="shared" si="22"/>
        <v>769.94500000000005</v>
      </c>
      <c r="U66" s="51">
        <f t="shared" si="23"/>
        <v>1.23119</v>
      </c>
      <c r="V66" s="42">
        <f t="shared" si="24"/>
        <v>1.2334645710143846</v>
      </c>
      <c r="W66" s="49">
        <f t="shared" si="15"/>
        <v>-1.8474573497060179E-3</v>
      </c>
    </row>
    <row r="67" spans="2:23" x14ac:dyDescent="0.6">
      <c r="B67" s="2">
        <v>800.59299999999996</v>
      </c>
      <c r="C67" s="1">
        <v>11.4962</v>
      </c>
      <c r="D67" s="2"/>
      <c r="E67" s="1"/>
      <c r="F67" s="2">
        <v>803.577</v>
      </c>
      <c r="G67" s="1">
        <v>-189.29599999999999</v>
      </c>
      <c r="H67" s="2">
        <v>800</v>
      </c>
      <c r="I67" s="1">
        <v>2.5975600000000001</v>
      </c>
      <c r="J67" s="2">
        <v>798.63400000000001</v>
      </c>
      <c r="K67" s="1">
        <v>1.2628699999999999</v>
      </c>
      <c r="N67" s="3">
        <f t="shared" si="16"/>
        <v>800.59299999999996</v>
      </c>
      <c r="O67" s="21">
        <f t="shared" si="17"/>
        <v>114962</v>
      </c>
      <c r="P67" s="3">
        <f t="shared" si="18"/>
        <v>803.577</v>
      </c>
      <c r="Q67" s="17">
        <f t="shared" si="19"/>
        <v>-1.8929599999999998E-4</v>
      </c>
      <c r="R67" s="3">
        <f t="shared" si="20"/>
        <v>800</v>
      </c>
      <c r="S67" s="24">
        <f t="shared" si="21"/>
        <v>2.5975600000000001</v>
      </c>
      <c r="T67" s="3">
        <f t="shared" si="22"/>
        <v>798.63400000000001</v>
      </c>
      <c r="U67" s="51">
        <f t="shared" si="23"/>
        <v>1.2628699999999999</v>
      </c>
      <c r="V67" s="42">
        <f t="shared" si="24"/>
        <v>1.266541405046218</v>
      </c>
      <c r="W67" s="49">
        <f t="shared" si="15"/>
        <v>-2.907191592339751E-3</v>
      </c>
    </row>
    <row r="68" spans="2:23" x14ac:dyDescent="0.6">
      <c r="B68" s="2">
        <v>822.67399999999998</v>
      </c>
      <c r="C68" s="1">
        <v>11.2188</v>
      </c>
      <c r="D68" s="2"/>
      <c r="E68" s="1"/>
      <c r="F68" s="2">
        <v>828.62099999999998</v>
      </c>
      <c r="G68" s="1">
        <v>-191.32499999999999</v>
      </c>
      <c r="H68" s="2">
        <v>823.67700000000002</v>
      </c>
      <c r="I68" s="1">
        <v>2.63415</v>
      </c>
      <c r="J68" s="2">
        <v>823.22400000000005</v>
      </c>
      <c r="K68" s="1">
        <v>1.30644</v>
      </c>
      <c r="N68" s="3">
        <f t="shared" si="16"/>
        <v>822.67399999999998</v>
      </c>
      <c r="O68" s="21">
        <f t="shared" si="17"/>
        <v>112188</v>
      </c>
      <c r="P68" s="3">
        <f t="shared" si="18"/>
        <v>828.62099999999998</v>
      </c>
      <c r="Q68" s="17">
        <f t="shared" si="19"/>
        <v>-1.9132499999999997E-4</v>
      </c>
      <c r="R68" s="3">
        <f t="shared" si="20"/>
        <v>823.67700000000002</v>
      </c>
      <c r="S68" s="24">
        <f t="shared" si="21"/>
        <v>2.63415</v>
      </c>
      <c r="T68" s="3">
        <f t="shared" si="22"/>
        <v>823.22400000000005</v>
      </c>
      <c r="U68" s="51">
        <f t="shared" si="23"/>
        <v>1.30644</v>
      </c>
      <c r="V68" s="42">
        <f t="shared" si="24"/>
        <v>1.2834157691228543</v>
      </c>
      <c r="W68" s="49">
        <f t="shared" si="15"/>
        <v>1.762364201734927E-2</v>
      </c>
    </row>
    <row r="69" spans="2:23" x14ac:dyDescent="0.6">
      <c r="B69" s="2">
        <v>849.38300000000004</v>
      </c>
      <c r="C69" s="1">
        <v>11.3033</v>
      </c>
      <c r="D69" s="2"/>
      <c r="E69" s="1"/>
      <c r="F69" s="2">
        <v>853.68899999999996</v>
      </c>
      <c r="G69" s="1">
        <v>-191.91499999999999</v>
      </c>
      <c r="H69" s="2">
        <v>851.53200000000004</v>
      </c>
      <c r="I69" s="1">
        <v>2.6463399999999999</v>
      </c>
      <c r="J69" s="2"/>
      <c r="K69" s="1"/>
      <c r="N69" s="3">
        <f t="shared" si="16"/>
        <v>849.38300000000004</v>
      </c>
      <c r="O69" s="43">
        <f t="shared" si="17"/>
        <v>113033</v>
      </c>
      <c r="P69" s="3">
        <f t="shared" si="18"/>
        <v>853.68899999999996</v>
      </c>
      <c r="Q69" s="17">
        <f t="shared" si="19"/>
        <v>-1.9191499999999999E-4</v>
      </c>
      <c r="R69" s="2"/>
      <c r="S69" s="45"/>
      <c r="T69" s="2"/>
      <c r="U69" s="45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1"/>
  </sheetPr>
  <dimension ref="A1:W6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44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0.939142091152815</v>
      </c>
      <c r="D9" s="3"/>
      <c r="E9" s="4"/>
      <c r="F9" s="3">
        <v>300</v>
      </c>
      <c r="G9" s="4">
        <v>128.09343434343401</v>
      </c>
      <c r="H9" s="3">
        <v>300</v>
      </c>
      <c r="I9" s="4">
        <v>1.9730946291560101</v>
      </c>
      <c r="J9" s="3">
        <v>300</v>
      </c>
      <c r="K9" s="4">
        <v>0.232472324723247</v>
      </c>
      <c r="N9" s="3">
        <f>B9</f>
        <v>300</v>
      </c>
      <c r="O9" s="21">
        <f>C9*(10^(5))</f>
        <v>93914.209115281497</v>
      </c>
      <c r="P9" s="3">
        <f>F9</f>
        <v>300</v>
      </c>
      <c r="Q9" s="17">
        <f>G9*(10^(-6))</f>
        <v>1.2809343434343402E-4</v>
      </c>
      <c r="R9" s="3">
        <f>H9</f>
        <v>300</v>
      </c>
      <c r="S9" s="24">
        <f>I9</f>
        <v>1.9730946291560101</v>
      </c>
      <c r="T9" s="3">
        <f>J9</f>
        <v>300</v>
      </c>
      <c r="U9" s="51">
        <f>K9</f>
        <v>0.232472324723247</v>
      </c>
      <c r="V9" s="42">
        <f>((O9*(Q9)^2)/S9)*T9</f>
        <v>0.23429249939185762</v>
      </c>
      <c r="W9" s="49">
        <f t="shared" ref="W9" si="0">(U9-V9)/U9</f>
        <v>-7.8296402411663218E-3</v>
      </c>
    </row>
    <row r="10" spans="1:23" x14ac:dyDescent="0.6">
      <c r="B10" s="3">
        <v>324.90315439955702</v>
      </c>
      <c r="C10" s="4">
        <v>0.916353887399463</v>
      </c>
      <c r="D10" s="3"/>
      <c r="E10" s="4"/>
      <c r="F10" s="3">
        <v>324.98596294216702</v>
      </c>
      <c r="G10" s="4">
        <v>134.280303030303</v>
      </c>
      <c r="H10" s="3">
        <v>325.09444144630299</v>
      </c>
      <c r="I10" s="4">
        <v>1.9479283887468</v>
      </c>
      <c r="J10" s="3">
        <v>324.95321272613802</v>
      </c>
      <c r="K10" s="4">
        <v>0.27330873308733</v>
      </c>
      <c r="N10" s="3">
        <f t="shared" ref="N10:N26" si="1">B10</f>
        <v>324.90315439955702</v>
      </c>
      <c r="O10" s="21">
        <f t="shared" ref="O10:O29" si="2">C10*(10^(5))</f>
        <v>91635.388739946298</v>
      </c>
      <c r="P10" s="3">
        <f t="shared" ref="P10:P29" si="3">F10</f>
        <v>324.98596294216702</v>
      </c>
      <c r="Q10" s="17">
        <f t="shared" ref="Q10:Q29" si="4">G10*(10^(-6))</f>
        <v>1.3428030303030299E-4</v>
      </c>
      <c r="R10" s="3">
        <f t="shared" ref="R10:U27" si="5">H10</f>
        <v>325.09444144630299</v>
      </c>
      <c r="S10" s="24">
        <f t="shared" si="5"/>
        <v>1.9479283887468</v>
      </c>
      <c r="T10" s="3">
        <f t="shared" si="5"/>
        <v>324.95321272613802</v>
      </c>
      <c r="U10" s="51">
        <f t="shared" si="5"/>
        <v>0.27330873308733</v>
      </c>
      <c r="V10" s="42">
        <f t="shared" ref="V10:V29" si="6">((O10*(Q10)^2)/S10)*T10</f>
        <v>0.27563584839757205</v>
      </c>
      <c r="W10" s="49">
        <f t="shared" ref="W10:W29" si="7">(U10-V10)/U10</f>
        <v>-8.5146028228028289E-3</v>
      </c>
    </row>
    <row r="11" spans="1:23" x14ac:dyDescent="0.6">
      <c r="B11" s="2">
        <v>350.08301051466498</v>
      </c>
      <c r="C11" s="1">
        <v>0.893565683646112</v>
      </c>
      <c r="D11" s="2"/>
      <c r="E11" s="1"/>
      <c r="F11" s="2">
        <v>349.97192588433398</v>
      </c>
      <c r="G11" s="1">
        <v>140.277777777777</v>
      </c>
      <c r="H11" s="2">
        <v>349.91905018888201</v>
      </c>
      <c r="I11" s="1">
        <v>1.9203069053708399</v>
      </c>
      <c r="J11" s="2">
        <v>349.90642545227598</v>
      </c>
      <c r="K11" s="1">
        <v>0.32004920049200403</v>
      </c>
      <c r="N11" s="3">
        <f t="shared" si="1"/>
        <v>350.08301051466498</v>
      </c>
      <c r="O11" s="21">
        <f t="shared" si="2"/>
        <v>89356.568364611201</v>
      </c>
      <c r="P11" s="3">
        <f t="shared" si="3"/>
        <v>349.97192588433398</v>
      </c>
      <c r="Q11" s="17">
        <f t="shared" si="4"/>
        <v>1.4027777777777701E-4</v>
      </c>
      <c r="R11" s="3">
        <f t="shared" si="5"/>
        <v>349.91905018888201</v>
      </c>
      <c r="S11" s="24">
        <f t="shared" si="5"/>
        <v>1.9203069053708399</v>
      </c>
      <c r="T11" s="3">
        <f t="shared" si="5"/>
        <v>349.90642545227598</v>
      </c>
      <c r="U11" s="51">
        <f t="shared" si="5"/>
        <v>0.32004920049200403</v>
      </c>
      <c r="V11" s="42">
        <f t="shared" si="6"/>
        <v>0.3203948381412734</v>
      </c>
      <c r="W11" s="49">
        <f t="shared" si="7"/>
        <v>-1.0799516097463443E-3</v>
      </c>
    </row>
    <row r="12" spans="1:23" x14ac:dyDescent="0.6">
      <c r="B12" s="2">
        <v>374.986164914222</v>
      </c>
      <c r="C12" s="1">
        <v>0.870107238605898</v>
      </c>
      <c r="D12" s="2"/>
      <c r="E12" s="1"/>
      <c r="F12" s="2">
        <v>374.95788882650101</v>
      </c>
      <c r="G12" s="1">
        <v>146.46464646464599</v>
      </c>
      <c r="H12" s="2">
        <v>375.01349163518603</v>
      </c>
      <c r="I12" s="1">
        <v>1.88838874680306</v>
      </c>
      <c r="J12" s="2">
        <v>374.85963817841503</v>
      </c>
      <c r="K12" s="1">
        <v>0.36924969249692402</v>
      </c>
      <c r="N12" s="3">
        <f t="shared" si="1"/>
        <v>374.986164914222</v>
      </c>
      <c r="O12" s="21">
        <f t="shared" si="2"/>
        <v>87010.723860589802</v>
      </c>
      <c r="P12" s="3">
        <f t="shared" si="3"/>
        <v>374.95788882650101</v>
      </c>
      <c r="Q12" s="17">
        <f t="shared" si="4"/>
        <v>1.4646464646464599E-4</v>
      </c>
      <c r="R12" s="3">
        <f t="shared" si="5"/>
        <v>375.01349163518603</v>
      </c>
      <c r="S12" s="24">
        <f t="shared" si="5"/>
        <v>1.88838874680306</v>
      </c>
      <c r="T12" s="3">
        <f t="shared" si="5"/>
        <v>374.85963817841503</v>
      </c>
      <c r="U12" s="51">
        <f t="shared" si="5"/>
        <v>0.36924969249692402</v>
      </c>
      <c r="V12" s="42">
        <f t="shared" si="6"/>
        <v>0.37052342924487885</v>
      </c>
      <c r="W12" s="49">
        <f t="shared" si="7"/>
        <v>-3.4495269023560398E-3</v>
      </c>
    </row>
    <row r="13" spans="1:23" x14ac:dyDescent="0.6">
      <c r="B13" s="2">
        <v>399.88931931377903</v>
      </c>
      <c r="C13" s="1">
        <v>0.847319034852547</v>
      </c>
      <c r="D13" s="2"/>
      <c r="E13" s="1"/>
      <c r="F13" s="2">
        <v>399.94385176866899</v>
      </c>
      <c r="G13" s="1">
        <v>152.46212121212099</v>
      </c>
      <c r="H13" s="2">
        <v>400.10793308148902</v>
      </c>
      <c r="I13" s="1">
        <v>1.8540153452685399</v>
      </c>
      <c r="J13" s="2">
        <v>400.12476606362998</v>
      </c>
      <c r="K13" s="1">
        <v>0.42435424354243501</v>
      </c>
      <c r="N13" s="3">
        <f t="shared" si="1"/>
        <v>399.88931931377903</v>
      </c>
      <c r="O13" s="21">
        <f t="shared" si="2"/>
        <v>84731.903485254705</v>
      </c>
      <c r="P13" s="3">
        <f t="shared" si="3"/>
        <v>399.94385176866899</v>
      </c>
      <c r="Q13" s="17">
        <f t="shared" si="4"/>
        <v>1.5246212121212098E-4</v>
      </c>
      <c r="R13" s="3">
        <f t="shared" si="5"/>
        <v>400.10793308148902</v>
      </c>
      <c r="S13" s="24">
        <f t="shared" si="5"/>
        <v>1.8540153452685399</v>
      </c>
      <c r="T13" s="3">
        <f t="shared" si="5"/>
        <v>400.12476606362998</v>
      </c>
      <c r="U13" s="51">
        <f t="shared" si="5"/>
        <v>0.42435424354243501</v>
      </c>
      <c r="V13" s="42">
        <f t="shared" si="6"/>
        <v>0.42506269104080852</v>
      </c>
      <c r="W13" s="49">
        <f t="shared" si="7"/>
        <v>-1.6694719309497514E-3</v>
      </c>
    </row>
    <row r="14" spans="1:23" x14ac:dyDescent="0.6">
      <c r="B14" s="2">
        <v>425.06917542888698</v>
      </c>
      <c r="C14" s="1">
        <v>0.83056300268096495</v>
      </c>
      <c r="D14" s="2"/>
      <c r="E14" s="1"/>
      <c r="F14" s="2">
        <v>424.92981471083601</v>
      </c>
      <c r="G14" s="1">
        <v>158.080808080808</v>
      </c>
      <c r="H14" s="2">
        <v>424.93254182406901</v>
      </c>
      <c r="I14" s="1">
        <v>1.84664961636828</v>
      </c>
      <c r="J14" s="2">
        <v>425.07797878976902</v>
      </c>
      <c r="K14" s="1">
        <v>0.47650676506765</v>
      </c>
      <c r="N14" s="3">
        <f t="shared" si="1"/>
        <v>425.06917542888698</v>
      </c>
      <c r="O14" s="21">
        <f t="shared" si="2"/>
        <v>83056.3002680965</v>
      </c>
      <c r="P14" s="3">
        <f t="shared" si="3"/>
        <v>424.92981471083601</v>
      </c>
      <c r="Q14" s="17">
        <f t="shared" si="4"/>
        <v>1.58080808080808E-4</v>
      </c>
      <c r="R14" s="3">
        <f t="shared" si="5"/>
        <v>424.93254182406901</v>
      </c>
      <c r="S14" s="24">
        <f t="shared" si="5"/>
        <v>1.84664961636828</v>
      </c>
      <c r="T14" s="3">
        <f t="shared" si="5"/>
        <v>425.07797878976902</v>
      </c>
      <c r="U14" s="51">
        <f t="shared" si="5"/>
        <v>0.47650676506765</v>
      </c>
      <c r="V14" s="42">
        <f t="shared" si="6"/>
        <v>0.47776571702690107</v>
      </c>
      <c r="W14" s="49">
        <f t="shared" si="7"/>
        <v>-2.642044251087057E-3</v>
      </c>
    </row>
    <row r="15" spans="1:23" x14ac:dyDescent="0.6">
      <c r="B15" s="2">
        <v>449.97232982844503</v>
      </c>
      <c r="C15" s="1">
        <v>0.81313672922252</v>
      </c>
      <c r="D15" s="2"/>
      <c r="E15" s="1"/>
      <c r="F15" s="2">
        <v>449.91577765300298</v>
      </c>
      <c r="G15" s="1">
        <v>163.636363636363</v>
      </c>
      <c r="H15" s="2">
        <v>450.026983270372</v>
      </c>
      <c r="I15" s="1">
        <v>1.83928388746803</v>
      </c>
      <c r="J15" s="2">
        <v>450.03119151590698</v>
      </c>
      <c r="K15" s="1">
        <v>0.53259532595325898</v>
      </c>
      <c r="N15" s="3">
        <f t="shared" si="1"/>
        <v>449.97232982844503</v>
      </c>
      <c r="O15" s="21">
        <f t="shared" si="2"/>
        <v>81313.672922251993</v>
      </c>
      <c r="P15" s="3">
        <f t="shared" si="3"/>
        <v>449.91577765300298</v>
      </c>
      <c r="Q15" s="17">
        <f t="shared" si="4"/>
        <v>1.6363636363636298E-4</v>
      </c>
      <c r="R15" s="3">
        <f t="shared" si="5"/>
        <v>450.026983270372</v>
      </c>
      <c r="S15" s="24">
        <f t="shared" si="5"/>
        <v>1.83928388746803</v>
      </c>
      <c r="T15" s="3">
        <f t="shared" si="5"/>
        <v>450.03119151590698</v>
      </c>
      <c r="U15" s="51">
        <f t="shared" si="5"/>
        <v>0.53259532595325898</v>
      </c>
      <c r="V15" s="42">
        <f t="shared" si="6"/>
        <v>0.53274216055452028</v>
      </c>
      <c r="W15" s="49">
        <f t="shared" si="7"/>
        <v>-2.7569637604027609E-4</v>
      </c>
    </row>
    <row r="16" spans="1:23" x14ac:dyDescent="0.6">
      <c r="B16" s="2">
        <v>474.87548422800199</v>
      </c>
      <c r="C16" s="1">
        <v>0.79705093833780105</v>
      </c>
      <c r="D16" s="2"/>
      <c r="E16" s="1"/>
      <c r="F16" s="2">
        <v>474.90174059517102</v>
      </c>
      <c r="G16" s="1">
        <v>168.75</v>
      </c>
      <c r="H16" s="2">
        <v>475.12142471667499</v>
      </c>
      <c r="I16" s="1">
        <v>1.82946291560102</v>
      </c>
      <c r="J16" s="2">
        <v>474.98440424204603</v>
      </c>
      <c r="K16" s="1">
        <v>0.58966789667896602</v>
      </c>
      <c r="N16" s="3">
        <f t="shared" si="1"/>
        <v>474.87548422800199</v>
      </c>
      <c r="O16" s="21">
        <f t="shared" si="2"/>
        <v>79705.093833780105</v>
      </c>
      <c r="P16" s="3">
        <f t="shared" si="3"/>
        <v>474.90174059517102</v>
      </c>
      <c r="Q16" s="17">
        <f t="shared" si="4"/>
        <v>1.6874999999999998E-4</v>
      </c>
      <c r="R16" s="3">
        <f t="shared" si="5"/>
        <v>475.12142471667499</v>
      </c>
      <c r="S16" s="24">
        <f t="shared" si="5"/>
        <v>1.82946291560102</v>
      </c>
      <c r="T16" s="3">
        <f t="shared" si="5"/>
        <v>474.98440424204603</v>
      </c>
      <c r="U16" s="51">
        <f t="shared" si="5"/>
        <v>0.58966789667896602</v>
      </c>
      <c r="V16" s="42">
        <f t="shared" si="6"/>
        <v>0.58929041884482225</v>
      </c>
      <c r="W16" s="49">
        <f t="shared" si="7"/>
        <v>6.4015327317247517E-4</v>
      </c>
    </row>
    <row r="17" spans="2:23" x14ac:dyDescent="0.6">
      <c r="B17" s="2">
        <v>500.05534034311</v>
      </c>
      <c r="C17" s="1">
        <v>0.78029490616621899</v>
      </c>
      <c r="D17" s="2"/>
      <c r="E17" s="1"/>
      <c r="F17" s="2">
        <v>499.88770353733798</v>
      </c>
      <c r="G17" s="1">
        <v>173.863636363636</v>
      </c>
      <c r="H17" s="2">
        <v>499.94603345925498</v>
      </c>
      <c r="I17" s="1">
        <v>1.8184143222506299</v>
      </c>
      <c r="J17" s="2">
        <v>499.93761696818399</v>
      </c>
      <c r="K17" s="1">
        <v>0.64870848708486994</v>
      </c>
      <c r="N17" s="3">
        <f t="shared" si="1"/>
        <v>500.05534034311</v>
      </c>
      <c r="O17" s="21">
        <f t="shared" si="2"/>
        <v>78029.490616621901</v>
      </c>
      <c r="P17" s="3">
        <f t="shared" si="3"/>
        <v>499.88770353733798</v>
      </c>
      <c r="Q17" s="17">
        <f t="shared" si="4"/>
        <v>1.7386363636363601E-4</v>
      </c>
      <c r="R17" s="3">
        <f t="shared" si="5"/>
        <v>499.94603345925498</v>
      </c>
      <c r="S17" s="24">
        <f t="shared" si="5"/>
        <v>1.8184143222506299</v>
      </c>
      <c r="T17" s="3">
        <f t="shared" si="5"/>
        <v>499.93761696818399</v>
      </c>
      <c r="U17" s="51">
        <f t="shared" si="5"/>
        <v>0.64870848708486994</v>
      </c>
      <c r="V17" s="42">
        <f t="shared" si="6"/>
        <v>0.64848399450587957</v>
      </c>
      <c r="W17" s="49">
        <f t="shared" si="7"/>
        <v>3.4606080151531308E-4</v>
      </c>
    </row>
    <row r="18" spans="2:23" x14ac:dyDescent="0.6">
      <c r="B18" s="2">
        <v>524.95849474266697</v>
      </c>
      <c r="C18" s="1">
        <v>0.76554959785522803</v>
      </c>
      <c r="D18" s="2"/>
      <c r="E18" s="1"/>
      <c r="F18" s="2">
        <v>524.873666479505</v>
      </c>
      <c r="G18" s="1">
        <v>178.97727272727201</v>
      </c>
      <c r="H18" s="2">
        <v>525.04047490555797</v>
      </c>
      <c r="I18" s="1">
        <v>1.81473145780051</v>
      </c>
      <c r="J18" s="2">
        <v>524.89082969432297</v>
      </c>
      <c r="K18" s="1">
        <v>0.70627306273062695</v>
      </c>
      <c r="N18" s="3">
        <f t="shared" si="1"/>
        <v>524.95849474266697</v>
      </c>
      <c r="O18" s="21">
        <f t="shared" si="2"/>
        <v>76554.959785522806</v>
      </c>
      <c r="P18" s="3">
        <f t="shared" si="3"/>
        <v>524.873666479505</v>
      </c>
      <c r="Q18" s="17">
        <f t="shared" si="4"/>
        <v>1.78977272727272E-4</v>
      </c>
      <c r="R18" s="3">
        <f t="shared" si="5"/>
        <v>525.04047490555797</v>
      </c>
      <c r="S18" s="24">
        <f t="shared" si="5"/>
        <v>1.81473145780051</v>
      </c>
      <c r="T18" s="3">
        <f t="shared" si="5"/>
        <v>524.89082969432297</v>
      </c>
      <c r="U18" s="51">
        <f t="shared" si="5"/>
        <v>0.70627306273062695</v>
      </c>
      <c r="V18" s="42">
        <f t="shared" si="6"/>
        <v>0.70929307920045215</v>
      </c>
      <c r="W18" s="49">
        <f t="shared" si="7"/>
        <v>-4.2759898815184312E-3</v>
      </c>
    </row>
    <row r="19" spans="2:23" x14ac:dyDescent="0.6">
      <c r="B19" s="2">
        <v>550.13835085777498</v>
      </c>
      <c r="C19" s="1">
        <v>0.75080428954423595</v>
      </c>
      <c r="D19" s="2"/>
      <c r="E19" s="1"/>
      <c r="F19" s="2">
        <v>549.85962942167305</v>
      </c>
      <c r="G19" s="1">
        <v>183.64898989898899</v>
      </c>
      <c r="H19" s="2">
        <v>550.13491635186097</v>
      </c>
      <c r="I19" s="1">
        <v>1.8110485933503799</v>
      </c>
      <c r="J19" s="2">
        <v>550.15595757953804</v>
      </c>
      <c r="K19" s="1">
        <v>0.76482164821648202</v>
      </c>
      <c r="N19" s="3">
        <f t="shared" si="1"/>
        <v>550.13835085777498</v>
      </c>
      <c r="O19" s="21">
        <f t="shared" si="2"/>
        <v>75080.428954423594</v>
      </c>
      <c r="P19" s="3">
        <f t="shared" si="3"/>
        <v>549.85962942167305</v>
      </c>
      <c r="Q19" s="17">
        <f t="shared" si="4"/>
        <v>1.8364898989898897E-4</v>
      </c>
      <c r="R19" s="3">
        <f t="shared" si="5"/>
        <v>550.13491635186097</v>
      </c>
      <c r="S19" s="24">
        <f t="shared" si="5"/>
        <v>1.8110485933503799</v>
      </c>
      <c r="T19" s="3">
        <f t="shared" si="5"/>
        <v>550.15595757953804</v>
      </c>
      <c r="U19" s="51">
        <f t="shared" si="5"/>
        <v>0.76482164821648202</v>
      </c>
      <c r="V19" s="42">
        <f t="shared" si="6"/>
        <v>0.76923591012028569</v>
      </c>
      <c r="W19" s="49">
        <f t="shared" si="7"/>
        <v>-5.771622592139574E-3</v>
      </c>
    </row>
    <row r="20" spans="2:23" x14ac:dyDescent="0.6">
      <c r="B20" s="2">
        <v>575.04150525733201</v>
      </c>
      <c r="C20" s="1">
        <v>0.74075067024128605</v>
      </c>
      <c r="D20" s="2"/>
      <c r="E20" s="1"/>
      <c r="F20" s="2">
        <v>575.12633352049397</v>
      </c>
      <c r="G20" s="1">
        <v>186.994949494949</v>
      </c>
      <c r="H20" s="2">
        <v>574.95952509444101</v>
      </c>
      <c r="I20" s="1">
        <v>1.8067519181585601</v>
      </c>
      <c r="J20" s="2">
        <v>575.109170305676</v>
      </c>
      <c r="K20" s="1">
        <v>0.81894218942189401</v>
      </c>
      <c r="N20" s="3">
        <f t="shared" si="1"/>
        <v>575.04150525733201</v>
      </c>
      <c r="O20" s="21">
        <f t="shared" si="2"/>
        <v>74075.067024128599</v>
      </c>
      <c r="P20" s="3">
        <f t="shared" si="3"/>
        <v>575.12633352049397</v>
      </c>
      <c r="Q20" s="17">
        <f t="shared" si="4"/>
        <v>1.8699494949494898E-4</v>
      </c>
      <c r="R20" s="3">
        <f t="shared" si="5"/>
        <v>574.95952509444101</v>
      </c>
      <c r="S20" s="24">
        <f t="shared" si="5"/>
        <v>1.8067519181585601</v>
      </c>
      <c r="T20" s="3">
        <f t="shared" si="5"/>
        <v>575.109170305676</v>
      </c>
      <c r="U20" s="51">
        <f t="shared" si="5"/>
        <v>0.81894218942189401</v>
      </c>
      <c r="V20" s="42">
        <f t="shared" si="6"/>
        <v>0.8244865496511995</v>
      </c>
      <c r="W20" s="49">
        <f t="shared" si="7"/>
        <v>-6.7701484926785283E-3</v>
      </c>
    </row>
    <row r="21" spans="2:23" x14ac:dyDescent="0.6">
      <c r="B21" s="2">
        <v>599.94465965688903</v>
      </c>
      <c r="C21" s="1">
        <v>0.72935656836461105</v>
      </c>
      <c r="D21" s="2"/>
      <c r="E21" s="1"/>
      <c r="F21" s="2">
        <v>600.11229646266099</v>
      </c>
      <c r="G21" s="1">
        <v>190.21464646464599</v>
      </c>
      <c r="H21" s="2">
        <v>600.053966540744</v>
      </c>
      <c r="I21" s="1">
        <v>1.80245524296675</v>
      </c>
      <c r="J21" s="2">
        <v>600.06238303181499</v>
      </c>
      <c r="K21" s="1">
        <v>0.87453874538745302</v>
      </c>
      <c r="N21" s="3">
        <f t="shared" si="1"/>
        <v>599.94465965688903</v>
      </c>
      <c r="O21" s="21">
        <f t="shared" si="2"/>
        <v>72935.656836461101</v>
      </c>
      <c r="P21" s="3">
        <f t="shared" si="3"/>
        <v>600.11229646266099</v>
      </c>
      <c r="Q21" s="17">
        <f t="shared" si="4"/>
        <v>1.9021464646464599E-4</v>
      </c>
      <c r="R21" s="3">
        <f t="shared" si="5"/>
        <v>600.053966540744</v>
      </c>
      <c r="S21" s="24">
        <f t="shared" si="5"/>
        <v>1.80245524296675</v>
      </c>
      <c r="T21" s="3">
        <f t="shared" si="5"/>
        <v>600.06238303181499</v>
      </c>
      <c r="U21" s="51">
        <f t="shared" si="5"/>
        <v>0.87453874538745302</v>
      </c>
      <c r="V21" s="42">
        <f t="shared" si="6"/>
        <v>0.87853631914157004</v>
      </c>
      <c r="W21" s="49">
        <f t="shared" si="7"/>
        <v>-4.5710653475346599E-3</v>
      </c>
    </row>
    <row r="22" spans="2:23" x14ac:dyDescent="0.6">
      <c r="B22" s="2">
        <v>625.12451577199704</v>
      </c>
      <c r="C22" s="1">
        <v>0.71930294906166203</v>
      </c>
      <c r="D22" s="2"/>
      <c r="E22" s="1"/>
      <c r="F22" s="2">
        <v>625.09825940482801</v>
      </c>
      <c r="G22" s="1">
        <v>193.497474747474</v>
      </c>
      <c r="H22" s="2">
        <v>624.87857528332404</v>
      </c>
      <c r="I22" s="1">
        <v>1.8337595907928299</v>
      </c>
      <c r="J22" s="2">
        <v>625.01559575795295</v>
      </c>
      <c r="K22" s="1">
        <v>0.91439114391143905</v>
      </c>
      <c r="N22" s="3">
        <f t="shared" si="1"/>
        <v>625.12451577199704</v>
      </c>
      <c r="O22" s="21">
        <f t="shared" si="2"/>
        <v>71930.294906166208</v>
      </c>
      <c r="P22" s="3">
        <f t="shared" si="3"/>
        <v>625.09825940482801</v>
      </c>
      <c r="Q22" s="17">
        <f t="shared" si="4"/>
        <v>1.9349747474747399E-4</v>
      </c>
      <c r="R22" s="3">
        <f t="shared" si="5"/>
        <v>624.87857528332404</v>
      </c>
      <c r="S22" s="24">
        <f t="shared" si="5"/>
        <v>1.8337595907928299</v>
      </c>
      <c r="T22" s="3">
        <f t="shared" si="5"/>
        <v>625.01559575795295</v>
      </c>
      <c r="U22" s="51">
        <f t="shared" si="5"/>
        <v>0.91439114391143905</v>
      </c>
      <c r="V22" s="42">
        <f t="shared" si="6"/>
        <v>0.91793282430366385</v>
      </c>
      <c r="W22" s="49">
        <f t="shared" si="7"/>
        <v>-3.8732662885105763E-3</v>
      </c>
    </row>
    <row r="23" spans="2:23" x14ac:dyDescent="0.6">
      <c r="B23" s="2">
        <v>650.02767017155497</v>
      </c>
      <c r="C23" s="1">
        <v>0.70857908847185003</v>
      </c>
      <c r="D23" s="2"/>
      <c r="E23" s="1"/>
      <c r="F23" s="2">
        <v>650.08422234699594</v>
      </c>
      <c r="G23" s="1">
        <v>196.21212121212099</v>
      </c>
      <c r="H23" s="2">
        <v>649.97301672962703</v>
      </c>
      <c r="I23" s="1">
        <v>1.86567774936061</v>
      </c>
      <c r="J23" s="2">
        <v>649.96880848409205</v>
      </c>
      <c r="K23" s="1">
        <v>0.95030750307502998</v>
      </c>
      <c r="N23" s="3">
        <f t="shared" si="1"/>
        <v>650.02767017155497</v>
      </c>
      <c r="O23" s="21">
        <f t="shared" si="2"/>
        <v>70857.908847184997</v>
      </c>
      <c r="P23" s="3">
        <f t="shared" si="3"/>
        <v>650.08422234699594</v>
      </c>
      <c r="Q23" s="17">
        <f t="shared" si="4"/>
        <v>1.9621212121212099E-4</v>
      </c>
      <c r="R23" s="3">
        <f t="shared" si="5"/>
        <v>649.97301672962703</v>
      </c>
      <c r="S23" s="24">
        <f t="shared" si="5"/>
        <v>1.86567774936061</v>
      </c>
      <c r="T23" s="3">
        <f t="shared" si="5"/>
        <v>649.96880848409205</v>
      </c>
      <c r="U23" s="51">
        <f t="shared" si="5"/>
        <v>0.95030750307502998</v>
      </c>
      <c r="V23" s="42">
        <f t="shared" si="6"/>
        <v>0.95037691963742665</v>
      </c>
      <c r="W23" s="49">
        <f t="shared" si="7"/>
        <v>-7.3046421471001401E-5</v>
      </c>
    </row>
    <row r="24" spans="2:23" x14ac:dyDescent="0.6">
      <c r="B24" s="2">
        <v>674.930824571112</v>
      </c>
      <c r="C24" s="1">
        <v>0.69852546916890002</v>
      </c>
      <c r="D24" s="2"/>
      <c r="E24" s="1"/>
      <c r="F24" s="2">
        <v>675.07018528916296</v>
      </c>
      <c r="G24" s="1">
        <v>197.222222222222</v>
      </c>
      <c r="H24" s="2">
        <v>675.06745817593003</v>
      </c>
      <c r="I24" s="1">
        <v>1.8988235294117599</v>
      </c>
      <c r="J24" s="2">
        <v>674.92202121023001</v>
      </c>
      <c r="K24" s="1">
        <v>0.96949569495694898</v>
      </c>
      <c r="N24" s="3">
        <f t="shared" si="1"/>
        <v>674.930824571112</v>
      </c>
      <c r="O24" s="21">
        <f t="shared" si="2"/>
        <v>69852.546916890002</v>
      </c>
      <c r="P24" s="3">
        <f t="shared" si="3"/>
        <v>675.07018528916296</v>
      </c>
      <c r="Q24" s="17">
        <f t="shared" si="4"/>
        <v>1.97222222222222E-4</v>
      </c>
      <c r="R24" s="3">
        <f t="shared" si="5"/>
        <v>675.06745817593003</v>
      </c>
      <c r="S24" s="24">
        <f t="shared" si="5"/>
        <v>1.8988235294117599</v>
      </c>
      <c r="T24" s="3">
        <f t="shared" si="5"/>
        <v>674.92202121023001</v>
      </c>
      <c r="U24" s="51">
        <f t="shared" si="5"/>
        <v>0.96949569495694898</v>
      </c>
      <c r="V24" s="42">
        <f t="shared" si="6"/>
        <v>0.96574603855571273</v>
      </c>
      <c r="W24" s="49">
        <f t="shared" si="7"/>
        <v>3.8676359479891884E-3</v>
      </c>
    </row>
    <row r="25" spans="2:23" x14ac:dyDescent="0.6">
      <c r="B25" s="2">
        <v>700.11068068622001</v>
      </c>
      <c r="C25" s="1">
        <v>0.689142091152815</v>
      </c>
      <c r="D25" s="2"/>
      <c r="E25" s="1"/>
      <c r="F25" s="2">
        <v>700.05614823132998</v>
      </c>
      <c r="G25" s="1">
        <v>198.29545454545399</v>
      </c>
      <c r="H25" s="2">
        <v>699.89206691850995</v>
      </c>
      <c r="I25" s="1">
        <v>1.9325831202046</v>
      </c>
      <c r="J25" s="2">
        <v>699.875233936369</v>
      </c>
      <c r="K25" s="1">
        <v>0.98769987699876904</v>
      </c>
      <c r="N25" s="3">
        <f t="shared" si="1"/>
        <v>700.11068068622001</v>
      </c>
      <c r="O25" s="21">
        <f t="shared" si="2"/>
        <v>68914.209115281497</v>
      </c>
      <c r="P25" s="3">
        <f t="shared" si="3"/>
        <v>700.05614823132998</v>
      </c>
      <c r="Q25" s="17">
        <f t="shared" si="4"/>
        <v>1.9829545454545398E-4</v>
      </c>
      <c r="R25" s="3">
        <f t="shared" si="5"/>
        <v>699.89206691850995</v>
      </c>
      <c r="S25" s="24">
        <f t="shared" si="5"/>
        <v>1.9325831202046</v>
      </c>
      <c r="T25" s="3">
        <f t="shared" si="5"/>
        <v>699.875233936369</v>
      </c>
      <c r="U25" s="51">
        <f t="shared" si="5"/>
        <v>0.98769987699876904</v>
      </c>
      <c r="V25" s="42">
        <f t="shared" si="6"/>
        <v>0.98133375690221436</v>
      </c>
      <c r="W25" s="49">
        <f t="shared" si="7"/>
        <v>6.4453993007459066E-3</v>
      </c>
    </row>
    <row r="26" spans="2:23" x14ac:dyDescent="0.6">
      <c r="B26" s="2">
        <v>725.01383508577703</v>
      </c>
      <c r="C26" s="1">
        <v>0.68512064343163503</v>
      </c>
      <c r="D26" s="2"/>
      <c r="E26" s="1"/>
      <c r="F26" s="2">
        <v>725.04211117349701</v>
      </c>
      <c r="G26" s="1">
        <v>199.305555555555</v>
      </c>
      <c r="H26" s="2">
        <v>724.98650836481295</v>
      </c>
      <c r="I26" s="1">
        <v>2.0326342710997398</v>
      </c>
      <c r="J26" s="2">
        <v>725.14036182158395</v>
      </c>
      <c r="K26" s="1">
        <v>0.97047970479704704</v>
      </c>
      <c r="N26" s="3">
        <f t="shared" si="1"/>
        <v>725.01383508577703</v>
      </c>
      <c r="O26" s="21">
        <f t="shared" si="2"/>
        <v>68512.064343163496</v>
      </c>
      <c r="P26" s="3">
        <f t="shared" si="3"/>
        <v>725.04211117349701</v>
      </c>
      <c r="Q26" s="17">
        <f t="shared" si="4"/>
        <v>1.99305555555555E-4</v>
      </c>
      <c r="R26" s="3">
        <f t="shared" si="5"/>
        <v>724.98650836481295</v>
      </c>
      <c r="S26" s="24">
        <f t="shared" si="5"/>
        <v>2.0326342710997398</v>
      </c>
      <c r="T26" s="3">
        <f t="shared" si="5"/>
        <v>725.14036182158395</v>
      </c>
      <c r="U26" s="51">
        <f t="shared" si="5"/>
        <v>0.97047970479704704</v>
      </c>
      <c r="V26" s="42">
        <f t="shared" si="6"/>
        <v>0.97088702681479866</v>
      </c>
      <c r="W26" s="49">
        <f t="shared" si="7"/>
        <v>-4.1971204110528311E-4</v>
      </c>
    </row>
    <row r="27" spans="2:23" x14ac:dyDescent="0.6">
      <c r="B27" s="2">
        <v>749.91698948533406</v>
      </c>
      <c r="C27" s="1">
        <v>0.68042895442359197</v>
      </c>
      <c r="D27" s="2"/>
      <c r="E27" s="1"/>
      <c r="F27" s="2">
        <v>750.02807411566505</v>
      </c>
      <c r="G27" s="1">
        <v>199.62121212121201</v>
      </c>
      <c r="H27" s="2">
        <v>750.08094981111697</v>
      </c>
      <c r="I27" s="1">
        <v>2.1375959079283802</v>
      </c>
      <c r="J27" s="2">
        <v>750.09357454772305</v>
      </c>
      <c r="K27" s="1">
        <v>0.94981549815498101</v>
      </c>
      <c r="N27" s="3">
        <f t="shared" ref="N27:N29" si="8">B27</f>
        <v>749.91698948533406</v>
      </c>
      <c r="O27" s="21">
        <f t="shared" si="2"/>
        <v>68042.895442359193</v>
      </c>
      <c r="P27" s="3">
        <f t="shared" si="3"/>
        <v>750.02807411566505</v>
      </c>
      <c r="Q27" s="17">
        <f t="shared" si="4"/>
        <v>1.9962121212121201E-4</v>
      </c>
      <c r="R27" s="3">
        <f t="shared" si="5"/>
        <v>750.08094981111697</v>
      </c>
      <c r="S27" s="24">
        <f t="shared" si="5"/>
        <v>2.1375959079283802</v>
      </c>
      <c r="T27" s="3">
        <f t="shared" si="5"/>
        <v>750.09357454772305</v>
      </c>
      <c r="U27" s="51">
        <f t="shared" si="5"/>
        <v>0.94981549815498101</v>
      </c>
      <c r="V27" s="42">
        <f t="shared" si="6"/>
        <v>0.95145006133184851</v>
      </c>
      <c r="W27" s="49">
        <f t="shared" si="7"/>
        <v>-1.7209270432443368E-3</v>
      </c>
    </row>
    <row r="28" spans="2:23" x14ac:dyDescent="0.6">
      <c r="B28" s="2">
        <v>775.09684560044195</v>
      </c>
      <c r="C28" s="1">
        <v>0.67908847184986598</v>
      </c>
      <c r="D28" s="2"/>
      <c r="E28" s="1"/>
      <c r="F28" s="2">
        <v>775.01403705783196</v>
      </c>
      <c r="G28" s="1">
        <v>197.97979797979701</v>
      </c>
      <c r="H28" s="2">
        <v>774.90555855369598</v>
      </c>
      <c r="I28" s="1">
        <v>2.2443989769820898</v>
      </c>
      <c r="J28" s="2">
        <v>775.04678727386101</v>
      </c>
      <c r="K28" s="1">
        <v>0.92029520295202905</v>
      </c>
      <c r="N28" s="3">
        <f t="shared" si="8"/>
        <v>775.09684560044195</v>
      </c>
      <c r="O28" s="21">
        <f t="shared" si="2"/>
        <v>67908.847184986604</v>
      </c>
      <c r="P28" s="3">
        <f t="shared" si="3"/>
        <v>775.01403705783196</v>
      </c>
      <c r="Q28" s="17">
        <f t="shared" si="4"/>
        <v>1.97979797979797E-4</v>
      </c>
      <c r="R28" s="3">
        <f t="shared" ref="R28:U29" si="9">H28</f>
        <v>774.90555855369598</v>
      </c>
      <c r="S28" s="24">
        <f t="shared" si="9"/>
        <v>2.2443989769820898</v>
      </c>
      <c r="T28" s="3">
        <f t="shared" si="9"/>
        <v>775.04678727386101</v>
      </c>
      <c r="U28" s="51">
        <f t="shared" si="9"/>
        <v>0.92029520295202905</v>
      </c>
      <c r="V28" s="42">
        <f t="shared" si="6"/>
        <v>0.91917027184548816</v>
      </c>
      <c r="W28" s="49">
        <f t="shared" si="7"/>
        <v>1.2223589810448252E-3</v>
      </c>
    </row>
    <row r="29" spans="2:23" x14ac:dyDescent="0.6">
      <c r="B29" s="28">
        <v>800</v>
      </c>
      <c r="C29" s="29">
        <v>0.67640750670241201</v>
      </c>
      <c r="D29" s="28"/>
      <c r="E29" s="29"/>
      <c r="F29" s="28">
        <v>800</v>
      </c>
      <c r="G29" s="29">
        <v>196.46464646464599</v>
      </c>
      <c r="H29" s="28">
        <v>800</v>
      </c>
      <c r="I29" s="29">
        <v>2.35304347826087</v>
      </c>
      <c r="J29" s="28">
        <v>800</v>
      </c>
      <c r="K29" s="29">
        <v>0.892250922509225</v>
      </c>
      <c r="N29" s="3">
        <f t="shared" si="8"/>
        <v>800</v>
      </c>
      <c r="O29" s="21">
        <f t="shared" si="2"/>
        <v>67640.750670241207</v>
      </c>
      <c r="P29" s="32">
        <f t="shared" si="3"/>
        <v>800</v>
      </c>
      <c r="Q29" s="17">
        <f t="shared" si="4"/>
        <v>1.9646464646464598E-4</v>
      </c>
      <c r="R29" s="32">
        <f t="shared" si="9"/>
        <v>800</v>
      </c>
      <c r="S29" s="35">
        <f t="shared" si="9"/>
        <v>2.35304347826087</v>
      </c>
      <c r="T29" s="32">
        <f t="shared" si="9"/>
        <v>800</v>
      </c>
      <c r="U29" s="52">
        <f t="shared" si="9"/>
        <v>0.892250922509225</v>
      </c>
      <c r="V29" s="42">
        <f t="shared" si="6"/>
        <v>0.88764084038042523</v>
      </c>
      <c r="W29" s="49">
        <f t="shared" si="7"/>
        <v>5.1668000699120606E-3</v>
      </c>
    </row>
    <row r="30" spans="2:23" x14ac:dyDescent="0.6">
      <c r="B30" s="30"/>
      <c r="C30" s="30"/>
      <c r="D30" s="30"/>
      <c r="E30" s="30"/>
      <c r="F30" s="30"/>
      <c r="G30" s="30"/>
      <c r="H30" s="30"/>
      <c r="I30" s="30"/>
      <c r="J30" s="30"/>
      <c r="K30" s="30"/>
      <c r="N30" s="30"/>
      <c r="O30" s="39"/>
      <c r="P30" s="30"/>
      <c r="Q30" s="40"/>
      <c r="R30" s="30"/>
      <c r="S30" s="41"/>
      <c r="T30" s="30"/>
      <c r="U30" s="41"/>
      <c r="V30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19</v>
      </c>
      <c r="D41" s="7" t="s">
        <v>3</v>
      </c>
      <c r="E41" s="6" t="s">
        <v>8</v>
      </c>
      <c r="F41" s="7" t="s">
        <v>3</v>
      </c>
      <c r="G41" s="6" t="s">
        <v>21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19</v>
      </c>
      <c r="P41" s="7" t="s">
        <v>3</v>
      </c>
      <c r="Q41" s="15" t="s">
        <v>21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44</v>
      </c>
      <c r="D42" s="11" t="s">
        <v>4</v>
      </c>
      <c r="E42" s="10" t="s">
        <v>11</v>
      </c>
      <c r="F42" s="11" t="s">
        <v>4</v>
      </c>
      <c r="G42" s="27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299.31</v>
      </c>
      <c r="C43" s="4">
        <v>0.94078600000000001</v>
      </c>
      <c r="D43" s="3"/>
      <c r="E43" s="4"/>
      <c r="F43" s="3">
        <v>300.53500000000003</v>
      </c>
      <c r="G43" s="4">
        <v>128.47499999999999</v>
      </c>
      <c r="H43" s="3">
        <v>297.95999999999998</v>
      </c>
      <c r="I43" s="4">
        <v>1.97482</v>
      </c>
      <c r="J43" s="3">
        <v>296.875</v>
      </c>
      <c r="K43" s="4">
        <v>0.234877</v>
      </c>
      <c r="N43" s="3">
        <f>B43</f>
        <v>299.31</v>
      </c>
      <c r="O43" s="21">
        <f>C43*100000</f>
        <v>94078.6</v>
      </c>
      <c r="P43" s="3">
        <f>F43</f>
        <v>300.53500000000003</v>
      </c>
      <c r="Q43" s="17">
        <f>G43*0.000001</f>
        <v>1.2847499999999999E-4</v>
      </c>
      <c r="R43" s="3">
        <f>H43</f>
        <v>297.95999999999998</v>
      </c>
      <c r="S43" s="24">
        <f>I43</f>
        <v>1.97482</v>
      </c>
      <c r="T43" s="3">
        <f>J43</f>
        <v>296.875</v>
      </c>
      <c r="U43" s="51">
        <f>K43</f>
        <v>0.234877</v>
      </c>
      <c r="V43" s="42">
        <f>((O43*(Q43)^2)/S43)*T43</f>
        <v>0.23343942712372501</v>
      </c>
      <c r="W43" s="49">
        <f t="shared" ref="W43:W63" si="10">(U43-V43)/U43</f>
        <v>6.1205349024169887E-3</v>
      </c>
    </row>
    <row r="44" spans="2:23" x14ac:dyDescent="0.6">
      <c r="B44" s="3">
        <v>322.62599999999998</v>
      </c>
      <c r="C44" s="4">
        <v>0.92219399999999996</v>
      </c>
      <c r="D44" s="3"/>
      <c r="E44" s="4"/>
      <c r="F44" s="3">
        <v>323.904</v>
      </c>
      <c r="G44" s="4">
        <v>134.089</v>
      </c>
      <c r="H44" s="3">
        <v>326.03399999999999</v>
      </c>
      <c r="I44" s="4">
        <v>1.9550799999999999</v>
      </c>
      <c r="J44" s="3">
        <v>317.18799999999999</v>
      </c>
      <c r="K44" s="4">
        <v>0.27411400000000002</v>
      </c>
      <c r="N44" s="3">
        <f t="shared" ref="N44:N60" si="11">B44</f>
        <v>322.62599999999998</v>
      </c>
      <c r="O44" s="21">
        <f t="shared" ref="O44:O60" si="12">C44*100000</f>
        <v>92219.4</v>
      </c>
      <c r="P44" s="3">
        <f t="shared" ref="P44:P63" si="13">F44</f>
        <v>323.904</v>
      </c>
      <c r="Q44" s="17">
        <f t="shared" ref="Q44:Q63" si="14">G44*0.000001</f>
        <v>1.34089E-4</v>
      </c>
      <c r="R44" s="3">
        <f t="shared" ref="R44:R63" si="15">H44</f>
        <v>326.03399999999999</v>
      </c>
      <c r="S44" s="24">
        <f t="shared" ref="S44:S63" si="16">I44</f>
        <v>1.9550799999999999</v>
      </c>
      <c r="T44" s="3">
        <f t="shared" ref="T44:T63" si="17">J44</f>
        <v>317.18799999999999</v>
      </c>
      <c r="U44" s="51">
        <f t="shared" ref="U44:U63" si="18">K44</f>
        <v>0.27411400000000002</v>
      </c>
      <c r="V44" s="42">
        <f t="shared" ref="V44:V63" si="19">((O44*(Q44)^2)/S44)*T44</f>
        <v>0.26900528452730799</v>
      </c>
      <c r="W44" s="49">
        <f t="shared" si="10"/>
        <v>1.8637192820111479E-2</v>
      </c>
    </row>
    <row r="45" spans="2:23" x14ac:dyDescent="0.6">
      <c r="B45" s="2">
        <v>347.495</v>
      </c>
      <c r="C45" s="1">
        <v>0.903613</v>
      </c>
      <c r="D45" s="2"/>
      <c r="E45" s="1"/>
      <c r="F45" s="2">
        <v>348.83100000000002</v>
      </c>
      <c r="G45" s="1">
        <v>140.054</v>
      </c>
      <c r="H45" s="2">
        <v>349.702</v>
      </c>
      <c r="I45" s="1">
        <v>1.92858</v>
      </c>
      <c r="J45" s="2">
        <v>348.43799999999999</v>
      </c>
      <c r="K45" s="1">
        <v>0.32561299999999999</v>
      </c>
      <c r="N45" s="3">
        <f t="shared" si="11"/>
        <v>347.495</v>
      </c>
      <c r="O45" s="21">
        <f t="shared" si="12"/>
        <v>90361.3</v>
      </c>
      <c r="P45" s="3">
        <f t="shared" si="13"/>
        <v>348.83100000000002</v>
      </c>
      <c r="Q45" s="17">
        <f t="shared" si="14"/>
        <v>1.40054E-4</v>
      </c>
      <c r="R45" s="3">
        <f t="shared" si="15"/>
        <v>349.702</v>
      </c>
      <c r="S45" s="24">
        <f t="shared" si="16"/>
        <v>1.92858</v>
      </c>
      <c r="T45" s="3">
        <f t="shared" si="17"/>
        <v>348.43799999999999</v>
      </c>
      <c r="U45" s="51">
        <f t="shared" si="18"/>
        <v>0.32561299999999999</v>
      </c>
      <c r="V45" s="42">
        <f t="shared" si="19"/>
        <v>0.32022951520622678</v>
      </c>
      <c r="W45" s="49">
        <f t="shared" si="10"/>
        <v>1.6533384090233524E-2</v>
      </c>
    </row>
    <row r="46" spans="2:23" x14ac:dyDescent="0.6">
      <c r="B46" s="2">
        <v>373.92599999999999</v>
      </c>
      <c r="C46" s="1">
        <v>0.87753800000000004</v>
      </c>
      <c r="D46" s="2"/>
      <c r="E46" s="1"/>
      <c r="F46" s="2">
        <v>378.41500000000002</v>
      </c>
      <c r="G46" s="1">
        <v>146.01599999999999</v>
      </c>
      <c r="H46" s="2">
        <v>374.87900000000002</v>
      </c>
      <c r="I46" s="1">
        <v>1.8887</v>
      </c>
      <c r="J46" s="2">
        <v>373.43799999999999</v>
      </c>
      <c r="K46" s="1">
        <v>0.37220700000000001</v>
      </c>
      <c r="N46" s="3">
        <f t="shared" si="11"/>
        <v>373.92599999999999</v>
      </c>
      <c r="O46" s="21">
        <f t="shared" si="12"/>
        <v>87753.8</v>
      </c>
      <c r="P46" s="3">
        <f t="shared" si="13"/>
        <v>378.41500000000002</v>
      </c>
      <c r="Q46" s="17">
        <f t="shared" si="14"/>
        <v>1.4601599999999998E-4</v>
      </c>
      <c r="R46" s="3">
        <f t="shared" si="15"/>
        <v>374.87900000000002</v>
      </c>
      <c r="S46" s="24">
        <f t="shared" si="16"/>
        <v>1.8887</v>
      </c>
      <c r="T46" s="3">
        <f t="shared" si="17"/>
        <v>373.43799999999999</v>
      </c>
      <c r="U46" s="51">
        <f t="shared" si="18"/>
        <v>0.37220700000000001</v>
      </c>
      <c r="V46" s="42">
        <f t="shared" si="19"/>
        <v>0.36993238641810638</v>
      </c>
      <c r="W46" s="49">
        <f t="shared" si="10"/>
        <v>6.111152079067898E-3</v>
      </c>
    </row>
    <row r="47" spans="2:23" x14ac:dyDescent="0.6">
      <c r="B47" s="2">
        <v>401.90499999999997</v>
      </c>
      <c r="C47" s="1">
        <v>0.85522799999999999</v>
      </c>
      <c r="D47" s="2"/>
      <c r="E47" s="1"/>
      <c r="F47" s="2">
        <v>401.79399999999998</v>
      </c>
      <c r="G47" s="1">
        <v>152.333</v>
      </c>
      <c r="H47" s="2">
        <v>398.55599999999998</v>
      </c>
      <c r="I47" s="1">
        <v>1.85884</v>
      </c>
      <c r="J47" s="2">
        <v>398.43799999999999</v>
      </c>
      <c r="K47" s="1">
        <v>0.42370600000000003</v>
      </c>
      <c r="N47" s="3">
        <f t="shared" si="11"/>
        <v>401.90499999999997</v>
      </c>
      <c r="O47" s="21">
        <f t="shared" si="12"/>
        <v>85522.8</v>
      </c>
      <c r="P47" s="3">
        <f t="shared" si="13"/>
        <v>401.79399999999998</v>
      </c>
      <c r="Q47" s="17">
        <f t="shared" si="14"/>
        <v>1.5233299999999999E-4</v>
      </c>
      <c r="R47" s="3">
        <f t="shared" si="15"/>
        <v>398.55599999999998</v>
      </c>
      <c r="S47" s="24">
        <f t="shared" si="16"/>
        <v>1.85884</v>
      </c>
      <c r="T47" s="3">
        <f t="shared" si="17"/>
        <v>398.43799999999999</v>
      </c>
      <c r="U47" s="51">
        <f t="shared" si="18"/>
        <v>0.42370600000000003</v>
      </c>
      <c r="V47" s="42">
        <f t="shared" si="19"/>
        <v>0.42539133887638481</v>
      </c>
      <c r="W47" s="49">
        <f t="shared" si="10"/>
        <v>-3.9776139030006149E-3</v>
      </c>
    </row>
    <row r="48" spans="2:23" x14ac:dyDescent="0.6">
      <c r="B48" s="2">
        <v>423.66800000000001</v>
      </c>
      <c r="C48" s="1">
        <v>0.83662400000000003</v>
      </c>
      <c r="D48" s="2"/>
      <c r="E48" s="1"/>
      <c r="F48" s="2">
        <v>426.71600000000001</v>
      </c>
      <c r="G48" s="1">
        <v>157.946</v>
      </c>
      <c r="H48" s="2">
        <v>426.596</v>
      </c>
      <c r="I48" s="1">
        <v>1.8525199999999999</v>
      </c>
      <c r="J48" s="2">
        <v>425</v>
      </c>
      <c r="K48" s="1">
        <v>0.48010900000000001</v>
      </c>
      <c r="N48" s="3">
        <f t="shared" si="11"/>
        <v>423.66800000000001</v>
      </c>
      <c r="O48" s="21">
        <f t="shared" si="12"/>
        <v>83662.400000000009</v>
      </c>
      <c r="P48" s="3">
        <f t="shared" si="13"/>
        <v>426.71600000000001</v>
      </c>
      <c r="Q48" s="17">
        <f t="shared" si="14"/>
        <v>1.5794599999999998E-4</v>
      </c>
      <c r="R48" s="3">
        <f t="shared" si="15"/>
        <v>426.596</v>
      </c>
      <c r="S48" s="24">
        <f t="shared" si="16"/>
        <v>1.8525199999999999</v>
      </c>
      <c r="T48" s="3">
        <f t="shared" si="17"/>
        <v>425</v>
      </c>
      <c r="U48" s="51">
        <f t="shared" si="18"/>
        <v>0.48010900000000001</v>
      </c>
      <c r="V48" s="42">
        <f t="shared" si="19"/>
        <v>0.47882146076994164</v>
      </c>
      <c r="W48" s="49">
        <f t="shared" si="10"/>
        <v>2.6817644119530469E-3</v>
      </c>
    </row>
    <row r="49" spans="2:23" x14ac:dyDescent="0.6">
      <c r="B49" s="2">
        <v>451.63200000000001</v>
      </c>
      <c r="C49" s="1">
        <v>0.82557400000000003</v>
      </c>
      <c r="D49" s="2"/>
      <c r="E49" s="1"/>
      <c r="F49" s="2">
        <v>451.642</v>
      </c>
      <c r="G49" s="1">
        <v>163.911</v>
      </c>
      <c r="H49" s="2">
        <v>448.71899999999999</v>
      </c>
      <c r="I49" s="1">
        <v>1.8528100000000001</v>
      </c>
      <c r="J49" s="2">
        <v>448.43799999999999</v>
      </c>
      <c r="K49" s="1">
        <v>0.53405999999999998</v>
      </c>
      <c r="N49" s="3">
        <f t="shared" si="11"/>
        <v>451.63200000000001</v>
      </c>
      <c r="O49" s="21">
        <f t="shared" si="12"/>
        <v>82557.400000000009</v>
      </c>
      <c r="P49" s="3">
        <f t="shared" si="13"/>
        <v>451.642</v>
      </c>
      <c r="Q49" s="17">
        <f t="shared" si="14"/>
        <v>1.6391099999999998E-4</v>
      </c>
      <c r="R49" s="3">
        <f t="shared" si="15"/>
        <v>448.71899999999999</v>
      </c>
      <c r="S49" s="24">
        <f t="shared" si="16"/>
        <v>1.8528100000000001</v>
      </c>
      <c r="T49" s="3">
        <f t="shared" si="17"/>
        <v>448.43799999999999</v>
      </c>
      <c r="U49" s="51">
        <f t="shared" si="18"/>
        <v>0.53405999999999998</v>
      </c>
      <c r="V49" s="42">
        <f t="shared" si="19"/>
        <v>0.53683859102780607</v>
      </c>
      <c r="W49" s="49">
        <f t="shared" si="10"/>
        <v>-5.2027694038237048E-3</v>
      </c>
    </row>
    <row r="50" spans="2:23" x14ac:dyDescent="0.6">
      <c r="B50" s="2">
        <v>476.50599999999997</v>
      </c>
      <c r="C50" s="1">
        <v>0.80323999999999995</v>
      </c>
      <c r="D50" s="2"/>
      <c r="E50" s="1"/>
      <c r="F50" s="2">
        <v>476.55399999999997</v>
      </c>
      <c r="G50" s="1">
        <v>168.821</v>
      </c>
      <c r="H50" s="2">
        <v>475.31</v>
      </c>
      <c r="I50" s="1">
        <v>1.8364100000000001</v>
      </c>
      <c r="J50" s="2">
        <v>471.875</v>
      </c>
      <c r="K50" s="1">
        <v>0.592916</v>
      </c>
      <c r="N50" s="3">
        <f t="shared" si="11"/>
        <v>476.50599999999997</v>
      </c>
      <c r="O50" s="21">
        <f t="shared" si="12"/>
        <v>80324</v>
      </c>
      <c r="P50" s="3">
        <f t="shared" si="13"/>
        <v>476.55399999999997</v>
      </c>
      <c r="Q50" s="17">
        <f t="shared" si="14"/>
        <v>1.6882099999999999E-4</v>
      </c>
      <c r="R50" s="3">
        <f t="shared" si="15"/>
        <v>475.31</v>
      </c>
      <c r="S50" s="24">
        <f t="shared" si="16"/>
        <v>1.8364100000000001</v>
      </c>
      <c r="T50" s="3">
        <f t="shared" si="17"/>
        <v>471.875</v>
      </c>
      <c r="U50" s="51">
        <f t="shared" si="18"/>
        <v>0.592916</v>
      </c>
      <c r="V50" s="42">
        <f t="shared" si="19"/>
        <v>0.58824139698345868</v>
      </c>
      <c r="W50" s="49">
        <f t="shared" si="10"/>
        <v>7.8840898483787305E-3</v>
      </c>
    </row>
    <row r="51" spans="2:23" x14ac:dyDescent="0.6">
      <c r="B51" s="2">
        <v>496.71100000000001</v>
      </c>
      <c r="C51" s="1">
        <v>0.78837900000000005</v>
      </c>
      <c r="D51" s="2"/>
      <c r="E51" s="1"/>
      <c r="F51" s="2">
        <v>499.923</v>
      </c>
      <c r="G51" s="1">
        <v>174.435</v>
      </c>
      <c r="H51" s="2">
        <v>500.4</v>
      </c>
      <c r="I51" s="1">
        <v>1.8300399999999999</v>
      </c>
      <c r="J51" s="2">
        <v>496.875</v>
      </c>
      <c r="K51" s="1">
        <v>0.64931899999999998</v>
      </c>
      <c r="N51" s="3">
        <f t="shared" si="11"/>
        <v>496.71100000000001</v>
      </c>
      <c r="O51" s="21">
        <f t="shared" si="12"/>
        <v>78837.900000000009</v>
      </c>
      <c r="P51" s="3">
        <f t="shared" si="13"/>
        <v>499.923</v>
      </c>
      <c r="Q51" s="17">
        <f t="shared" si="14"/>
        <v>1.7443499999999999E-4</v>
      </c>
      <c r="R51" s="3">
        <f t="shared" si="15"/>
        <v>500.4</v>
      </c>
      <c r="S51" s="24">
        <f t="shared" si="16"/>
        <v>1.8300399999999999</v>
      </c>
      <c r="T51" s="3">
        <f t="shared" si="17"/>
        <v>496.875</v>
      </c>
      <c r="U51" s="51">
        <f t="shared" si="18"/>
        <v>0.64931899999999998</v>
      </c>
      <c r="V51" s="42">
        <f t="shared" si="19"/>
        <v>0.65131168565437236</v>
      </c>
      <c r="W51" s="49">
        <f t="shared" si="10"/>
        <v>-3.0688854852120202E-3</v>
      </c>
    </row>
    <row r="52" spans="2:23" x14ac:dyDescent="0.6">
      <c r="B52" s="2">
        <v>524.67600000000004</v>
      </c>
      <c r="C52" s="1">
        <v>0.77732800000000002</v>
      </c>
      <c r="D52" s="2"/>
      <c r="E52" s="1"/>
      <c r="F52" s="2">
        <v>527.93600000000004</v>
      </c>
      <c r="G52" s="1">
        <v>178.99</v>
      </c>
      <c r="H52" s="2">
        <v>522.54100000000005</v>
      </c>
      <c r="I52" s="1">
        <v>1.8236300000000001</v>
      </c>
      <c r="J52" s="2">
        <v>523.43799999999999</v>
      </c>
      <c r="K52" s="1">
        <v>0.71062700000000001</v>
      </c>
      <c r="N52" s="3">
        <f t="shared" si="11"/>
        <v>524.67600000000004</v>
      </c>
      <c r="O52" s="21">
        <f t="shared" si="12"/>
        <v>77732.800000000003</v>
      </c>
      <c r="P52" s="3">
        <f t="shared" si="13"/>
        <v>527.93600000000004</v>
      </c>
      <c r="Q52" s="17">
        <f t="shared" si="14"/>
        <v>1.7898999999999999E-4</v>
      </c>
      <c r="R52" s="3">
        <f t="shared" si="15"/>
        <v>522.54100000000005</v>
      </c>
      <c r="S52" s="24">
        <f t="shared" si="16"/>
        <v>1.8236300000000001</v>
      </c>
      <c r="T52" s="3">
        <f t="shared" si="17"/>
        <v>523.43799999999999</v>
      </c>
      <c r="U52" s="51">
        <f t="shared" si="18"/>
        <v>0.71062700000000001</v>
      </c>
      <c r="V52" s="42">
        <f t="shared" si="19"/>
        <v>0.71480958529458305</v>
      </c>
      <c r="W52" s="49">
        <f t="shared" si="10"/>
        <v>-5.8857674906569006E-3</v>
      </c>
    </row>
    <row r="53" spans="2:23" x14ac:dyDescent="0.6">
      <c r="B53" s="2">
        <v>549.53499999999997</v>
      </c>
      <c r="C53" s="1">
        <v>0.76625500000000002</v>
      </c>
      <c r="D53" s="2"/>
      <c r="E53" s="1"/>
      <c r="F53" s="2">
        <v>552.84299999999996</v>
      </c>
      <c r="G53" s="1">
        <v>183.547</v>
      </c>
      <c r="H53" s="2">
        <v>550.572</v>
      </c>
      <c r="I53" s="1">
        <v>1.8206599999999999</v>
      </c>
      <c r="J53" s="2">
        <v>545.31299999999999</v>
      </c>
      <c r="K53" s="1">
        <v>0.769482</v>
      </c>
      <c r="N53" s="3">
        <f t="shared" si="11"/>
        <v>549.53499999999997</v>
      </c>
      <c r="O53" s="21">
        <f t="shared" si="12"/>
        <v>76625.5</v>
      </c>
      <c r="P53" s="3">
        <f t="shared" si="13"/>
        <v>552.84299999999996</v>
      </c>
      <c r="Q53" s="17">
        <f t="shared" si="14"/>
        <v>1.83547E-4</v>
      </c>
      <c r="R53" s="3">
        <f t="shared" si="15"/>
        <v>550.572</v>
      </c>
      <c r="S53" s="24">
        <f t="shared" si="16"/>
        <v>1.8206599999999999</v>
      </c>
      <c r="T53" s="3">
        <f t="shared" si="17"/>
        <v>545.31299999999999</v>
      </c>
      <c r="U53" s="51">
        <f t="shared" si="18"/>
        <v>0.769482</v>
      </c>
      <c r="V53" s="42">
        <f t="shared" si="19"/>
        <v>0.77318763989488182</v>
      </c>
      <c r="W53" s="49">
        <f t="shared" si="10"/>
        <v>-4.8157590364450607E-3</v>
      </c>
    </row>
    <row r="54" spans="2:23" x14ac:dyDescent="0.6">
      <c r="B54" s="2">
        <v>572.85</v>
      </c>
      <c r="C54" s="1">
        <v>0.74766299999999997</v>
      </c>
      <c r="D54" s="2"/>
      <c r="E54" s="1"/>
      <c r="F54" s="2">
        <v>576.18299999999999</v>
      </c>
      <c r="G54" s="1">
        <v>187.05</v>
      </c>
      <c r="H54" s="2">
        <v>574.16999999999996</v>
      </c>
      <c r="I54" s="1">
        <v>1.82097</v>
      </c>
      <c r="J54" s="2">
        <v>571.875</v>
      </c>
      <c r="K54" s="1">
        <v>0.82098099999999996</v>
      </c>
      <c r="N54" s="3">
        <f t="shared" si="11"/>
        <v>572.85</v>
      </c>
      <c r="O54" s="21">
        <f t="shared" si="12"/>
        <v>74766.3</v>
      </c>
      <c r="P54" s="3">
        <f t="shared" si="13"/>
        <v>576.18299999999999</v>
      </c>
      <c r="Q54" s="17">
        <f t="shared" si="14"/>
        <v>1.8704999999999999E-4</v>
      </c>
      <c r="R54" s="3">
        <f t="shared" si="15"/>
        <v>574.16999999999996</v>
      </c>
      <c r="S54" s="24">
        <f t="shared" si="16"/>
        <v>1.82097</v>
      </c>
      <c r="T54" s="3">
        <f t="shared" si="17"/>
        <v>571.875</v>
      </c>
      <c r="U54" s="51">
        <f t="shared" si="18"/>
        <v>0.82098099999999996</v>
      </c>
      <c r="V54" s="42">
        <f t="shared" si="19"/>
        <v>0.82152282547370392</v>
      </c>
      <c r="W54" s="49">
        <f t="shared" si="10"/>
        <v>-6.5997321948249804E-4</v>
      </c>
    </row>
    <row r="55" spans="2:23" x14ac:dyDescent="0.6">
      <c r="B55" s="2">
        <v>600.80499999999995</v>
      </c>
      <c r="C55" s="1">
        <v>0.74411899999999997</v>
      </c>
      <c r="D55" s="2"/>
      <c r="E55" s="1"/>
      <c r="F55" s="2">
        <v>602.62300000000005</v>
      </c>
      <c r="G55" s="1">
        <v>190.19800000000001</v>
      </c>
      <c r="H55" s="2">
        <v>599.26900000000001</v>
      </c>
      <c r="I55" s="1">
        <v>1.81125</v>
      </c>
      <c r="J55" s="2">
        <v>596.875</v>
      </c>
      <c r="K55" s="1">
        <v>0.88228899999999999</v>
      </c>
      <c r="N55" s="3">
        <f t="shared" si="11"/>
        <v>600.80499999999995</v>
      </c>
      <c r="O55" s="21">
        <f t="shared" si="12"/>
        <v>74411.899999999994</v>
      </c>
      <c r="P55" s="3">
        <f t="shared" si="13"/>
        <v>602.62300000000005</v>
      </c>
      <c r="Q55" s="17">
        <f t="shared" si="14"/>
        <v>1.9019800000000001E-4</v>
      </c>
      <c r="R55" s="3">
        <f t="shared" si="15"/>
        <v>599.26900000000001</v>
      </c>
      <c r="S55" s="24">
        <f t="shared" si="16"/>
        <v>1.81125</v>
      </c>
      <c r="T55" s="3">
        <f t="shared" si="17"/>
        <v>596.875</v>
      </c>
      <c r="U55" s="51">
        <f t="shared" si="18"/>
        <v>0.88228899999999999</v>
      </c>
      <c r="V55" s="42">
        <f t="shared" si="19"/>
        <v>0.88707282676436217</v>
      </c>
      <c r="W55" s="49">
        <f t="shared" si="10"/>
        <v>-5.4220632517941129E-3</v>
      </c>
    </row>
    <row r="56" spans="2:23" x14ac:dyDescent="0.6">
      <c r="B56" s="2">
        <v>625.67399999999998</v>
      </c>
      <c r="C56" s="1">
        <v>0.72553900000000004</v>
      </c>
      <c r="D56" s="2"/>
      <c r="E56" s="1"/>
      <c r="F56" s="2">
        <v>627.51099999999997</v>
      </c>
      <c r="G56" s="1">
        <v>193.34800000000001</v>
      </c>
      <c r="H56" s="2">
        <v>625.721</v>
      </c>
      <c r="I56" s="1">
        <v>1.8484799999999999</v>
      </c>
      <c r="J56" s="2">
        <v>620.31299999999999</v>
      </c>
      <c r="K56" s="1">
        <v>0.90926399999999996</v>
      </c>
      <c r="N56" s="3">
        <f t="shared" si="11"/>
        <v>625.67399999999998</v>
      </c>
      <c r="O56" s="21">
        <f t="shared" si="12"/>
        <v>72553.900000000009</v>
      </c>
      <c r="P56" s="3">
        <f t="shared" si="13"/>
        <v>627.51099999999997</v>
      </c>
      <c r="Q56" s="17">
        <f t="shared" si="14"/>
        <v>1.9334800000000001E-4</v>
      </c>
      <c r="R56" s="3">
        <f t="shared" si="15"/>
        <v>625.721</v>
      </c>
      <c r="S56" s="24">
        <f t="shared" si="16"/>
        <v>1.8484799999999999</v>
      </c>
      <c r="T56" s="3">
        <f t="shared" si="17"/>
        <v>620.31299999999999</v>
      </c>
      <c r="U56" s="51">
        <f t="shared" si="18"/>
        <v>0.90926399999999996</v>
      </c>
      <c r="V56" s="42">
        <f t="shared" si="19"/>
        <v>0.9101987968118157</v>
      </c>
      <c r="W56" s="49">
        <f t="shared" si="10"/>
        <v>-1.0280807464231965E-3</v>
      </c>
    </row>
    <row r="57" spans="2:23" x14ac:dyDescent="0.6">
      <c r="B57" s="2">
        <v>648.97500000000002</v>
      </c>
      <c r="C57" s="1">
        <v>0.71820700000000004</v>
      </c>
      <c r="D57" s="2"/>
      <c r="E57" s="1"/>
      <c r="F57" s="2">
        <v>650.84100000000001</v>
      </c>
      <c r="G57" s="1">
        <v>196.14699999999999</v>
      </c>
      <c r="H57" s="2">
        <v>653.67399999999998</v>
      </c>
      <c r="I57" s="1">
        <v>1.8756699999999999</v>
      </c>
      <c r="J57" s="2">
        <v>650</v>
      </c>
      <c r="K57" s="1">
        <v>0.94850100000000004</v>
      </c>
      <c r="N57" s="3">
        <f t="shared" si="11"/>
        <v>648.97500000000002</v>
      </c>
      <c r="O57" s="21">
        <f t="shared" si="12"/>
        <v>71820.7</v>
      </c>
      <c r="P57" s="3">
        <f t="shared" si="13"/>
        <v>650.84100000000001</v>
      </c>
      <c r="Q57" s="17">
        <f t="shared" si="14"/>
        <v>1.9614699999999998E-4</v>
      </c>
      <c r="R57" s="3">
        <f t="shared" si="15"/>
        <v>653.67399999999998</v>
      </c>
      <c r="S57" s="24">
        <f t="shared" si="16"/>
        <v>1.8756699999999999</v>
      </c>
      <c r="T57" s="3">
        <f t="shared" si="17"/>
        <v>650</v>
      </c>
      <c r="U57" s="51">
        <f t="shared" si="18"/>
        <v>0.94850100000000004</v>
      </c>
      <c r="V57" s="42">
        <f t="shared" si="19"/>
        <v>0.95756860400480837</v>
      </c>
      <c r="W57" s="49">
        <f t="shared" si="10"/>
        <v>-9.5599308854796422E-3</v>
      </c>
    </row>
    <row r="58" spans="2:23" x14ac:dyDescent="0.6">
      <c r="B58" s="2">
        <v>673.83900000000006</v>
      </c>
      <c r="C58" s="1">
        <v>0.70338000000000001</v>
      </c>
      <c r="D58" s="2"/>
      <c r="E58" s="1"/>
      <c r="F58" s="2">
        <v>677.25300000000004</v>
      </c>
      <c r="G58" s="1">
        <v>197.184</v>
      </c>
      <c r="H58" s="2">
        <v>674.23500000000001</v>
      </c>
      <c r="I58" s="1">
        <v>1.90947</v>
      </c>
      <c r="J58" s="2">
        <v>670.31299999999999</v>
      </c>
      <c r="K58" s="1">
        <v>0.96321500000000004</v>
      </c>
      <c r="N58" s="3">
        <f t="shared" si="11"/>
        <v>673.83900000000006</v>
      </c>
      <c r="O58" s="21">
        <f t="shared" si="12"/>
        <v>70338</v>
      </c>
      <c r="P58" s="3">
        <f t="shared" si="13"/>
        <v>677.25300000000004</v>
      </c>
      <c r="Q58" s="17">
        <f t="shared" si="14"/>
        <v>1.9718399999999999E-4</v>
      </c>
      <c r="R58" s="3">
        <f t="shared" si="15"/>
        <v>674.23500000000001</v>
      </c>
      <c r="S58" s="24">
        <f t="shared" si="16"/>
        <v>1.90947</v>
      </c>
      <c r="T58" s="3">
        <f t="shared" si="17"/>
        <v>670.31299999999999</v>
      </c>
      <c r="U58" s="51">
        <f t="shared" si="18"/>
        <v>0.96321500000000004</v>
      </c>
      <c r="V58" s="42">
        <f t="shared" si="19"/>
        <v>0.96005952921454862</v>
      </c>
      <c r="W58" s="49">
        <f t="shared" si="10"/>
        <v>3.2759776222872562E-3</v>
      </c>
    </row>
    <row r="59" spans="2:23" x14ac:dyDescent="0.6">
      <c r="B59" s="2">
        <v>698.68799999999999</v>
      </c>
      <c r="C59" s="1">
        <v>0.69981300000000002</v>
      </c>
      <c r="D59" s="2"/>
      <c r="E59" s="1"/>
      <c r="F59" s="2">
        <v>702.11199999999997</v>
      </c>
      <c r="G59" s="1">
        <v>198.22200000000001</v>
      </c>
      <c r="H59" s="2">
        <v>699.23</v>
      </c>
      <c r="I59" s="1">
        <v>1.93998</v>
      </c>
      <c r="J59" s="2">
        <v>698.43799999999999</v>
      </c>
      <c r="K59" s="1">
        <v>0.98283399999999999</v>
      </c>
      <c r="N59" s="3">
        <f t="shared" si="11"/>
        <v>698.68799999999999</v>
      </c>
      <c r="O59" s="21">
        <f t="shared" si="12"/>
        <v>69981.3</v>
      </c>
      <c r="P59" s="3">
        <f t="shared" si="13"/>
        <v>702.11199999999997</v>
      </c>
      <c r="Q59" s="17">
        <f t="shared" si="14"/>
        <v>1.9822199999999999E-4</v>
      </c>
      <c r="R59" s="3">
        <f t="shared" si="15"/>
        <v>699.23</v>
      </c>
      <c r="S59" s="24">
        <f t="shared" si="16"/>
        <v>1.93998</v>
      </c>
      <c r="T59" s="3">
        <f t="shared" si="17"/>
        <v>698.43799999999999</v>
      </c>
      <c r="U59" s="51">
        <f t="shared" si="18"/>
        <v>0.98283399999999999</v>
      </c>
      <c r="V59" s="42">
        <f t="shared" si="19"/>
        <v>0.989956976768118</v>
      </c>
      <c r="W59" s="49">
        <f t="shared" si="10"/>
        <v>-7.2473853856480511E-3</v>
      </c>
    </row>
    <row r="60" spans="2:23" x14ac:dyDescent="0.6">
      <c r="B60" s="2">
        <v>725.09500000000003</v>
      </c>
      <c r="C60" s="1">
        <v>0.69250500000000004</v>
      </c>
      <c r="D60" s="2"/>
      <c r="E60" s="1"/>
      <c r="F60" s="2">
        <v>728.51900000000001</v>
      </c>
      <c r="G60" s="1">
        <v>198.90700000000001</v>
      </c>
      <c r="H60" s="2">
        <v>724.03300000000002</v>
      </c>
      <c r="I60" s="1">
        <v>2.0442300000000002</v>
      </c>
      <c r="J60" s="2">
        <v>723.43799999999999</v>
      </c>
      <c r="K60" s="1">
        <v>0.96566799999999997</v>
      </c>
      <c r="N60" s="3">
        <f t="shared" si="11"/>
        <v>725.09500000000003</v>
      </c>
      <c r="O60" s="21">
        <f t="shared" si="12"/>
        <v>69250.5</v>
      </c>
      <c r="P60" s="3">
        <f t="shared" si="13"/>
        <v>728.51900000000001</v>
      </c>
      <c r="Q60" s="17">
        <f t="shared" si="14"/>
        <v>1.9890700000000001E-4</v>
      </c>
      <c r="R60" s="3">
        <f t="shared" si="15"/>
        <v>724.03300000000002</v>
      </c>
      <c r="S60" s="24">
        <f t="shared" si="16"/>
        <v>2.0442300000000002</v>
      </c>
      <c r="T60" s="3">
        <f t="shared" si="17"/>
        <v>723.43799999999999</v>
      </c>
      <c r="U60" s="51">
        <f t="shared" si="18"/>
        <v>0.96566799999999997</v>
      </c>
      <c r="V60" s="42">
        <f t="shared" si="19"/>
        <v>0.96960446693363589</v>
      </c>
      <c r="W60" s="49">
        <f t="shared" si="10"/>
        <v>-4.0764185347717001E-3</v>
      </c>
    </row>
    <row r="61" spans="2:23" x14ac:dyDescent="0.6">
      <c r="B61" s="2"/>
      <c r="C61" s="1"/>
      <c r="D61" s="2"/>
      <c r="E61" s="1"/>
      <c r="F61" s="2">
        <v>747.16700000000003</v>
      </c>
      <c r="G61" s="1">
        <v>199.95</v>
      </c>
      <c r="H61" s="2">
        <v>748.84500000000003</v>
      </c>
      <c r="I61" s="1">
        <v>2.1451199999999999</v>
      </c>
      <c r="J61" s="2">
        <v>750</v>
      </c>
      <c r="K61" s="1">
        <v>0.94604900000000003</v>
      </c>
      <c r="N61" s="3"/>
      <c r="O61" s="21"/>
      <c r="P61" s="3">
        <f t="shared" si="13"/>
        <v>747.16700000000003</v>
      </c>
      <c r="Q61" s="17">
        <f t="shared" si="14"/>
        <v>1.9994999999999998E-4</v>
      </c>
      <c r="R61" s="3">
        <f t="shared" si="15"/>
        <v>748.84500000000003</v>
      </c>
      <c r="S61" s="24">
        <f t="shared" si="16"/>
        <v>2.1451199999999999</v>
      </c>
      <c r="T61" s="3">
        <f t="shared" si="17"/>
        <v>750</v>
      </c>
      <c r="U61" s="51">
        <f t="shared" si="18"/>
        <v>0.94604900000000003</v>
      </c>
      <c r="V61" s="42">
        <f t="shared" si="19"/>
        <v>0</v>
      </c>
      <c r="W61" s="49">
        <f t="shared" si="10"/>
        <v>1</v>
      </c>
    </row>
    <row r="62" spans="2:23" x14ac:dyDescent="0.6">
      <c r="B62" s="2"/>
      <c r="C62" s="1"/>
      <c r="D62" s="2"/>
      <c r="E62" s="1"/>
      <c r="F62" s="2">
        <v>778.18899999999996</v>
      </c>
      <c r="G62" s="1">
        <v>197.465</v>
      </c>
      <c r="H62" s="2">
        <v>772.15599999999995</v>
      </c>
      <c r="I62" s="1">
        <v>2.2560600000000002</v>
      </c>
      <c r="J62" s="2">
        <v>767.18799999999999</v>
      </c>
      <c r="K62" s="1">
        <v>0.93378700000000003</v>
      </c>
      <c r="N62" s="3"/>
      <c r="O62" s="21"/>
      <c r="P62" s="3">
        <f t="shared" si="13"/>
        <v>778.18899999999996</v>
      </c>
      <c r="Q62" s="17">
        <f t="shared" si="14"/>
        <v>1.9746499999999999E-4</v>
      </c>
      <c r="R62" s="3">
        <f t="shared" si="15"/>
        <v>772.15599999999995</v>
      </c>
      <c r="S62" s="24">
        <f t="shared" si="16"/>
        <v>2.2560600000000002</v>
      </c>
      <c r="T62" s="3">
        <f t="shared" si="17"/>
        <v>767.18799999999999</v>
      </c>
      <c r="U62" s="51">
        <f t="shared" si="18"/>
        <v>0.93378700000000003</v>
      </c>
      <c r="V62" s="42">
        <f t="shared" si="19"/>
        <v>0</v>
      </c>
      <c r="W62" s="49">
        <f t="shared" si="10"/>
        <v>1</v>
      </c>
    </row>
    <row r="63" spans="2:23" x14ac:dyDescent="0.6">
      <c r="B63" s="28"/>
      <c r="C63" s="29"/>
      <c r="D63" s="28"/>
      <c r="E63" s="29"/>
      <c r="F63" s="28">
        <v>798.35599999999999</v>
      </c>
      <c r="G63" s="29">
        <v>196.04300000000001</v>
      </c>
      <c r="H63" s="28">
        <v>796.95899999999995</v>
      </c>
      <c r="I63" s="29">
        <v>2.3603100000000001</v>
      </c>
      <c r="J63" s="28">
        <v>796.875</v>
      </c>
      <c r="K63" s="29">
        <v>0.89700299999999999</v>
      </c>
      <c r="N63" s="32"/>
      <c r="O63" s="33"/>
      <c r="P63" s="32">
        <f t="shared" si="13"/>
        <v>798.35599999999999</v>
      </c>
      <c r="Q63" s="34">
        <f t="shared" si="14"/>
        <v>1.9604299999999999E-4</v>
      </c>
      <c r="R63" s="32">
        <f t="shared" si="15"/>
        <v>796.95899999999995</v>
      </c>
      <c r="S63" s="35">
        <f t="shared" si="16"/>
        <v>2.3603100000000001</v>
      </c>
      <c r="T63" s="32">
        <f t="shared" si="17"/>
        <v>796.875</v>
      </c>
      <c r="U63" s="52">
        <f t="shared" si="18"/>
        <v>0.89700299999999999</v>
      </c>
      <c r="V63" s="42">
        <f t="shared" si="19"/>
        <v>0</v>
      </c>
      <c r="W63" s="49">
        <f t="shared" si="10"/>
        <v>1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1" tint="0.499984740745262"/>
  </sheetPr>
  <dimension ref="A1:W3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3" max="3" width="10.875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33</v>
      </c>
      <c r="C8" s="10" t="s">
        <v>88</v>
      </c>
      <c r="D8" s="11" t="s">
        <v>24</v>
      </c>
      <c r="E8" s="10" t="s">
        <v>11</v>
      </c>
      <c r="F8" s="11" t="s">
        <v>33</v>
      </c>
      <c r="G8" s="27" t="s">
        <v>70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87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45.270299999999999</v>
      </c>
      <c r="C9" s="4">
        <v>71.011200000000002</v>
      </c>
      <c r="D9" s="3"/>
      <c r="E9" s="4"/>
      <c r="F9" s="3">
        <v>25.601500000000001</v>
      </c>
      <c r="G9" s="4">
        <v>4.0614499999999998E-2</v>
      </c>
      <c r="H9" s="3"/>
      <c r="I9" s="4"/>
      <c r="J9" s="3">
        <v>318.17500000000001</v>
      </c>
      <c r="K9" s="4">
        <v>4.1915399999999998E-2</v>
      </c>
      <c r="N9" s="3">
        <f>B9+273</f>
        <v>318.27030000000002</v>
      </c>
      <c r="O9" s="21">
        <f>C9*(10^(5))</f>
        <v>7101120</v>
      </c>
      <c r="P9" s="3">
        <f>F9+273</f>
        <v>298.60149999999999</v>
      </c>
      <c r="Q9" s="17">
        <f>-G9*(10^(-3))</f>
        <v>-4.0614499999999995E-5</v>
      </c>
      <c r="R9" s="3"/>
      <c r="S9" s="24"/>
      <c r="T9" s="3">
        <f>J9</f>
        <v>318.17500000000001</v>
      </c>
      <c r="U9" s="51">
        <f>K9</f>
        <v>4.1915399999999998E-2</v>
      </c>
      <c r="V9" s="42" t="e">
        <f>((O9*(Q10)^2)/S9)*T9</f>
        <v>#DIV/0!</v>
      </c>
      <c r="W9" s="49" t="e">
        <f t="shared" ref="W9" si="0">(U9-V9)/U9</f>
        <v>#DIV/0!</v>
      </c>
    </row>
    <row r="10" spans="1:23" x14ac:dyDescent="0.6">
      <c r="B10" s="3">
        <v>60.135100000000001</v>
      </c>
      <c r="C10" s="4">
        <v>71.460700000000003</v>
      </c>
      <c r="D10" s="3"/>
      <c r="E10" s="4"/>
      <c r="F10" s="3">
        <v>41.963799999999999</v>
      </c>
      <c r="G10" s="4">
        <v>2.8407999999999999E-2</v>
      </c>
      <c r="H10" s="3"/>
      <c r="I10" s="4"/>
      <c r="J10" s="3">
        <v>329.95100000000002</v>
      </c>
      <c r="K10" s="4">
        <v>0.12778100000000001</v>
      </c>
      <c r="N10" s="3">
        <f t="shared" ref="N10:N21" si="1">B10+273</f>
        <v>333.13510000000002</v>
      </c>
      <c r="O10" s="21">
        <f t="shared" ref="O10:O21" si="2">C10*(10^(5))</f>
        <v>7146070</v>
      </c>
      <c r="P10" s="3">
        <f t="shared" ref="P10:P20" si="3">F10+273</f>
        <v>314.96379999999999</v>
      </c>
      <c r="Q10" s="17">
        <f t="shared" ref="Q10:Q20" si="4">-G10*(10^(-3))</f>
        <v>-2.8408E-5</v>
      </c>
      <c r="R10" s="3"/>
      <c r="S10" s="24"/>
      <c r="T10" s="3">
        <f t="shared" ref="T10:U24" si="5">J10</f>
        <v>329.95100000000002</v>
      </c>
      <c r="U10" s="51">
        <f t="shared" si="5"/>
        <v>0.12778100000000001</v>
      </c>
      <c r="V10" s="42" t="e">
        <f t="shared" ref="V10:V19" si="6">((O10*(Q10)^2)/S10)*T10</f>
        <v>#DIV/0!</v>
      </c>
      <c r="W10" s="49" t="e">
        <f t="shared" ref="W10:W19" si="7">(U10-V10)/U10</f>
        <v>#DIV/0!</v>
      </c>
    </row>
    <row r="11" spans="1:23" x14ac:dyDescent="0.6">
      <c r="B11" s="2">
        <v>72.027000000000001</v>
      </c>
      <c r="C11" s="1">
        <v>71.9101</v>
      </c>
      <c r="D11" s="2"/>
      <c r="E11" s="1"/>
      <c r="F11" s="2">
        <v>56.415199999999999</v>
      </c>
      <c r="G11" s="1">
        <v>4.9899600000000002E-2</v>
      </c>
      <c r="H11" s="2"/>
      <c r="I11" s="1"/>
      <c r="J11" s="2">
        <v>343.161</v>
      </c>
      <c r="K11" s="1">
        <v>0.24036099999999999</v>
      </c>
      <c r="N11" s="3">
        <f t="shared" si="1"/>
        <v>345.02699999999999</v>
      </c>
      <c r="O11" s="21">
        <f t="shared" si="2"/>
        <v>7191010</v>
      </c>
      <c r="P11" s="3">
        <f t="shared" si="3"/>
        <v>329.41520000000003</v>
      </c>
      <c r="Q11" s="17">
        <f t="shared" si="4"/>
        <v>-4.9899600000000006E-5</v>
      </c>
      <c r="R11" s="3"/>
      <c r="S11" s="24"/>
      <c r="T11" s="3">
        <f t="shared" si="5"/>
        <v>343.161</v>
      </c>
      <c r="U11" s="51">
        <f t="shared" si="5"/>
        <v>0.24036099999999999</v>
      </c>
      <c r="V11" s="42" t="e">
        <f t="shared" si="6"/>
        <v>#DIV/0!</v>
      </c>
      <c r="W11" s="49" t="e">
        <f t="shared" si="7"/>
        <v>#DIV/0!</v>
      </c>
    </row>
    <row r="12" spans="1:23" x14ac:dyDescent="0.6">
      <c r="B12" s="2">
        <v>88.873900000000006</v>
      </c>
      <c r="C12" s="1">
        <v>72.3596</v>
      </c>
      <c r="D12" s="2"/>
      <c r="E12" s="1"/>
      <c r="F12" s="2">
        <v>73.278899999999993</v>
      </c>
      <c r="G12" s="1">
        <v>8.3392400000000005E-2</v>
      </c>
      <c r="H12" s="2"/>
      <c r="I12" s="1"/>
      <c r="J12" s="2">
        <v>354.584</v>
      </c>
      <c r="K12" s="1">
        <v>0.33300099999999999</v>
      </c>
      <c r="N12" s="3">
        <f t="shared" si="1"/>
        <v>361.87389999999999</v>
      </c>
      <c r="O12" s="21">
        <f t="shared" si="2"/>
        <v>7235960</v>
      </c>
      <c r="P12" s="3">
        <f t="shared" si="3"/>
        <v>346.27890000000002</v>
      </c>
      <c r="Q12" s="17">
        <f t="shared" si="4"/>
        <v>-8.3392400000000005E-5</v>
      </c>
      <c r="R12" s="3"/>
      <c r="S12" s="24"/>
      <c r="T12" s="3">
        <f t="shared" si="5"/>
        <v>354.584</v>
      </c>
      <c r="U12" s="51">
        <f t="shared" si="5"/>
        <v>0.33300099999999999</v>
      </c>
      <c r="V12" s="42" t="e">
        <f t="shared" si="6"/>
        <v>#DIV/0!</v>
      </c>
      <c r="W12" s="49" t="e">
        <f t="shared" si="7"/>
        <v>#DIV/0!</v>
      </c>
    </row>
    <row r="13" spans="1:23" x14ac:dyDescent="0.6">
      <c r="B13" s="2">
        <v>106.21599999999999</v>
      </c>
      <c r="C13" s="1">
        <v>71.236000000000004</v>
      </c>
      <c r="D13" s="2"/>
      <c r="E13" s="1"/>
      <c r="F13" s="2">
        <v>91.092699999999994</v>
      </c>
      <c r="G13" s="1">
        <v>8.8008600000000006E-2</v>
      </c>
      <c r="H13" s="2"/>
      <c r="I13" s="1"/>
      <c r="J13" s="2">
        <v>368.12400000000002</v>
      </c>
      <c r="K13" s="1">
        <v>0.37826799999999999</v>
      </c>
      <c r="N13" s="3">
        <f t="shared" si="1"/>
        <v>379.21600000000001</v>
      </c>
      <c r="O13" s="21">
        <f t="shared" si="2"/>
        <v>7123600</v>
      </c>
      <c r="P13" s="3">
        <f t="shared" si="3"/>
        <v>364.09269999999998</v>
      </c>
      <c r="Q13" s="17">
        <f t="shared" si="4"/>
        <v>-8.8008600000000003E-5</v>
      </c>
      <c r="R13" s="3"/>
      <c r="S13" s="24"/>
      <c r="T13" s="3">
        <f t="shared" si="5"/>
        <v>368.12400000000002</v>
      </c>
      <c r="U13" s="51">
        <f t="shared" si="5"/>
        <v>0.37826799999999999</v>
      </c>
      <c r="V13" s="42" t="e">
        <f t="shared" si="6"/>
        <v>#DIV/0!</v>
      </c>
      <c r="W13" s="49" t="e">
        <f t="shared" si="7"/>
        <v>#DIV/0!</v>
      </c>
    </row>
    <row r="14" spans="1:23" x14ac:dyDescent="0.6">
      <c r="B14" s="2">
        <v>118.108</v>
      </c>
      <c r="C14" s="1">
        <v>69.887600000000006</v>
      </c>
      <c r="D14" s="2"/>
      <c r="E14" s="1"/>
      <c r="F14" s="2">
        <v>107.474</v>
      </c>
      <c r="G14" s="1">
        <v>0.119101</v>
      </c>
      <c r="H14" s="2"/>
      <c r="I14" s="1"/>
      <c r="J14" s="2">
        <v>379.94299999999998</v>
      </c>
      <c r="K14" s="1">
        <v>0.57848500000000003</v>
      </c>
      <c r="N14" s="3">
        <f t="shared" si="1"/>
        <v>391.108</v>
      </c>
      <c r="O14" s="21">
        <f t="shared" si="2"/>
        <v>6988760.0000000009</v>
      </c>
      <c r="P14" s="3">
        <f t="shared" si="3"/>
        <v>380.47399999999999</v>
      </c>
      <c r="Q14" s="17">
        <f t="shared" si="4"/>
        <v>-1.19101E-4</v>
      </c>
      <c r="R14" s="3"/>
      <c r="S14" s="24"/>
      <c r="T14" s="3">
        <f t="shared" si="5"/>
        <v>379.94299999999998</v>
      </c>
      <c r="U14" s="51">
        <f t="shared" si="5"/>
        <v>0.57848500000000003</v>
      </c>
      <c r="V14" s="42" t="e">
        <f t="shared" si="6"/>
        <v>#DIV/0!</v>
      </c>
      <c r="W14" s="49" t="e">
        <f t="shared" si="7"/>
        <v>#DIV/0!</v>
      </c>
    </row>
    <row r="15" spans="1:23" x14ac:dyDescent="0.6">
      <c r="B15" s="2">
        <v>134.95500000000001</v>
      </c>
      <c r="C15" s="1">
        <v>66.741600000000005</v>
      </c>
      <c r="D15" s="2"/>
      <c r="E15" s="1"/>
      <c r="F15" s="2">
        <v>124.812</v>
      </c>
      <c r="G15" s="1">
        <v>0.13575000000000001</v>
      </c>
      <c r="H15" s="2"/>
      <c r="I15" s="1"/>
      <c r="J15" s="2">
        <v>389.97800000000001</v>
      </c>
      <c r="K15" s="1">
        <v>0.76548799999999995</v>
      </c>
      <c r="N15" s="3">
        <f t="shared" si="1"/>
        <v>407.95500000000004</v>
      </c>
      <c r="O15" s="21">
        <f t="shared" si="2"/>
        <v>6674160.0000000009</v>
      </c>
      <c r="P15" s="3">
        <f t="shared" si="3"/>
        <v>397.81200000000001</v>
      </c>
      <c r="Q15" s="17">
        <f t="shared" si="4"/>
        <v>-1.3575000000000002E-4</v>
      </c>
      <c r="R15" s="3"/>
      <c r="S15" s="24"/>
      <c r="T15" s="3">
        <f t="shared" si="5"/>
        <v>389.97800000000001</v>
      </c>
      <c r="U15" s="51">
        <f t="shared" si="5"/>
        <v>0.76548799999999995</v>
      </c>
      <c r="V15" s="42" t="e">
        <f t="shared" si="6"/>
        <v>#DIV/0!</v>
      </c>
      <c r="W15" s="49" t="e">
        <f t="shared" si="7"/>
        <v>#DIV/0!</v>
      </c>
    </row>
    <row r="16" spans="1:23" x14ac:dyDescent="0.6">
      <c r="B16" s="2">
        <v>152.297</v>
      </c>
      <c r="C16" s="1">
        <v>62.921300000000002</v>
      </c>
      <c r="D16" s="2"/>
      <c r="E16" s="1"/>
      <c r="F16" s="2">
        <v>142.63499999999999</v>
      </c>
      <c r="G16" s="1">
        <v>0.16201599999999999</v>
      </c>
      <c r="H16" s="2"/>
      <c r="I16" s="1"/>
      <c r="J16" s="2">
        <v>404.98399999999998</v>
      </c>
      <c r="K16" s="1">
        <v>0.92491500000000004</v>
      </c>
      <c r="N16" s="3">
        <f t="shared" si="1"/>
        <v>425.29700000000003</v>
      </c>
      <c r="O16" s="21">
        <f t="shared" si="2"/>
        <v>6292130</v>
      </c>
      <c r="P16" s="3">
        <f t="shared" si="3"/>
        <v>415.63499999999999</v>
      </c>
      <c r="Q16" s="17">
        <f t="shared" si="4"/>
        <v>-1.6201599999999999E-4</v>
      </c>
      <c r="R16" s="3"/>
      <c r="S16" s="24"/>
      <c r="T16" s="3">
        <f t="shared" si="5"/>
        <v>404.98399999999998</v>
      </c>
      <c r="U16" s="51">
        <f t="shared" si="5"/>
        <v>0.92491500000000004</v>
      </c>
      <c r="V16" s="42" t="e">
        <f t="shared" si="6"/>
        <v>#DIV/0!</v>
      </c>
      <c r="W16" s="49" t="e">
        <f t="shared" si="7"/>
        <v>#DIV/0!</v>
      </c>
    </row>
    <row r="17" spans="2:23" x14ac:dyDescent="0.6">
      <c r="B17" s="2">
        <v>158.24299999999999</v>
      </c>
      <c r="C17" s="1">
        <v>55.505600000000001</v>
      </c>
      <c r="D17" s="2"/>
      <c r="E17" s="1"/>
      <c r="F17" s="2">
        <v>161.42599999999999</v>
      </c>
      <c r="G17" s="1">
        <v>0.200299</v>
      </c>
      <c r="H17" s="2"/>
      <c r="I17" s="1"/>
      <c r="J17" s="2">
        <v>415.024</v>
      </c>
      <c r="K17" s="1">
        <v>1.12537</v>
      </c>
      <c r="N17" s="3">
        <f t="shared" si="1"/>
        <v>431.24299999999999</v>
      </c>
      <c r="O17" s="21">
        <f t="shared" si="2"/>
        <v>5550560</v>
      </c>
      <c r="P17" s="3">
        <f t="shared" si="3"/>
        <v>434.42599999999999</v>
      </c>
      <c r="Q17" s="17">
        <f t="shared" si="4"/>
        <v>-2.00299E-4</v>
      </c>
      <c r="R17" s="3"/>
      <c r="S17" s="24"/>
      <c r="T17" s="3">
        <f t="shared" si="5"/>
        <v>415.024</v>
      </c>
      <c r="U17" s="51">
        <f t="shared" si="5"/>
        <v>1.12537</v>
      </c>
      <c r="V17" s="42" t="e">
        <f t="shared" si="6"/>
        <v>#DIV/0!</v>
      </c>
      <c r="W17" s="49" t="e">
        <f t="shared" si="7"/>
        <v>#DIV/0!</v>
      </c>
    </row>
    <row r="18" spans="2:23" x14ac:dyDescent="0.6">
      <c r="B18" s="2">
        <v>169.64</v>
      </c>
      <c r="C18" s="1">
        <v>49.438200000000002</v>
      </c>
      <c r="D18" s="2"/>
      <c r="E18" s="1"/>
      <c r="F18" s="2">
        <v>178.28700000000001</v>
      </c>
      <c r="G18" s="1">
        <v>0.226575</v>
      </c>
      <c r="H18" s="2"/>
      <c r="I18" s="1"/>
      <c r="J18" s="2">
        <v>423.29500000000002</v>
      </c>
      <c r="K18" s="1">
        <v>1.35297</v>
      </c>
      <c r="N18" s="3">
        <f t="shared" si="1"/>
        <v>442.64</v>
      </c>
      <c r="O18" s="21">
        <f t="shared" si="2"/>
        <v>4943820</v>
      </c>
      <c r="P18" s="3">
        <f t="shared" si="3"/>
        <v>451.28700000000003</v>
      </c>
      <c r="Q18" s="17">
        <f t="shared" si="4"/>
        <v>-2.2657499999999999E-4</v>
      </c>
      <c r="R18" s="3"/>
      <c r="S18" s="24"/>
      <c r="T18" s="3">
        <f t="shared" si="5"/>
        <v>423.29500000000002</v>
      </c>
      <c r="U18" s="51">
        <f t="shared" si="5"/>
        <v>1.35297</v>
      </c>
      <c r="V18" s="42" t="e">
        <f t="shared" si="6"/>
        <v>#DIV/0!</v>
      </c>
      <c r="W18" s="49" t="e">
        <f t="shared" si="7"/>
        <v>#DIV/0!</v>
      </c>
    </row>
    <row r="19" spans="2:23" x14ac:dyDescent="0.6">
      <c r="B19" s="2">
        <v>181.53200000000001</v>
      </c>
      <c r="C19" s="1">
        <v>44.494399999999999</v>
      </c>
      <c r="D19" s="2"/>
      <c r="E19" s="1"/>
      <c r="F19" s="2">
        <v>190.81100000000001</v>
      </c>
      <c r="G19" s="1">
        <v>0.24327599999999999</v>
      </c>
      <c r="H19" s="2"/>
      <c r="I19" s="1"/>
      <c r="J19" s="2">
        <v>434.06700000000001</v>
      </c>
      <c r="K19" s="1">
        <v>1.6071500000000001</v>
      </c>
      <c r="N19" s="3">
        <f t="shared" si="1"/>
        <v>454.53200000000004</v>
      </c>
      <c r="O19" s="21">
        <f t="shared" si="2"/>
        <v>4449440</v>
      </c>
      <c r="P19" s="3">
        <f t="shared" si="3"/>
        <v>463.81100000000004</v>
      </c>
      <c r="Q19" s="17">
        <f t="shared" si="4"/>
        <v>-2.4327600000000001E-4</v>
      </c>
      <c r="R19" s="3"/>
      <c r="S19" s="24"/>
      <c r="T19" s="3">
        <f t="shared" si="5"/>
        <v>434.06700000000001</v>
      </c>
      <c r="U19" s="51">
        <f t="shared" si="5"/>
        <v>1.6071500000000001</v>
      </c>
      <c r="V19" s="42" t="e">
        <f t="shared" si="6"/>
        <v>#DIV/0!</v>
      </c>
      <c r="W19" s="49" t="e">
        <f t="shared" si="7"/>
        <v>#DIV/0!</v>
      </c>
    </row>
    <row r="20" spans="2:23" x14ac:dyDescent="0.6">
      <c r="B20" s="2">
        <v>190.45</v>
      </c>
      <c r="C20" s="1">
        <v>41.573</v>
      </c>
      <c r="D20" s="2"/>
      <c r="E20" s="1"/>
      <c r="F20" s="2">
        <v>201.41</v>
      </c>
      <c r="G20" s="1">
        <v>0.262405</v>
      </c>
      <c r="H20" s="2"/>
      <c r="I20" s="1"/>
      <c r="J20" s="2">
        <v>439.47300000000001</v>
      </c>
      <c r="K20" s="1">
        <v>1.7880499999999999</v>
      </c>
      <c r="N20" s="3">
        <f t="shared" si="1"/>
        <v>463.45</v>
      </c>
      <c r="O20" s="21">
        <f t="shared" si="2"/>
        <v>4157300</v>
      </c>
      <c r="P20" s="3">
        <f t="shared" si="3"/>
        <v>474.40999999999997</v>
      </c>
      <c r="Q20" s="17">
        <f t="shared" si="4"/>
        <v>-2.6240500000000001E-4</v>
      </c>
      <c r="R20" s="3"/>
      <c r="S20" s="24"/>
      <c r="T20" s="3">
        <f t="shared" si="5"/>
        <v>439.47300000000001</v>
      </c>
      <c r="U20" s="51">
        <f t="shared" si="5"/>
        <v>1.7880499999999999</v>
      </c>
      <c r="V20" s="42" t="e">
        <f t="shared" ref="V20:V23" si="8">((O20*(Q20)^2)/S20)*T20</f>
        <v>#DIV/0!</v>
      </c>
      <c r="W20" s="49" t="e">
        <f t="shared" ref="W20:W24" si="9">(U20-V20)/U20</f>
        <v>#DIV/0!</v>
      </c>
    </row>
    <row r="21" spans="2:23" x14ac:dyDescent="0.6">
      <c r="B21" s="2">
        <v>200.36</v>
      </c>
      <c r="C21" s="1">
        <v>35.955100000000002</v>
      </c>
      <c r="D21" s="2"/>
      <c r="E21" s="1"/>
      <c r="F21" s="2"/>
      <c r="G21" s="1"/>
      <c r="H21" s="2"/>
      <c r="I21" s="1"/>
      <c r="J21" s="2">
        <v>451.31299999999999</v>
      </c>
      <c r="K21" s="1">
        <v>2.0420699999999998</v>
      </c>
      <c r="N21" s="3">
        <f t="shared" si="1"/>
        <v>473.36</v>
      </c>
      <c r="O21" s="21">
        <f t="shared" si="2"/>
        <v>3595510</v>
      </c>
      <c r="P21" s="3"/>
      <c r="Q21" s="17"/>
      <c r="R21" s="3"/>
      <c r="S21" s="24"/>
      <c r="T21" s="3">
        <f t="shared" si="5"/>
        <v>451.31299999999999</v>
      </c>
      <c r="U21" s="51">
        <f t="shared" si="5"/>
        <v>2.0420699999999998</v>
      </c>
      <c r="V21" s="42" t="e">
        <f t="shared" si="8"/>
        <v>#DIV/0!</v>
      </c>
      <c r="W21" s="49" t="e">
        <f t="shared" si="9"/>
        <v>#DIV/0!</v>
      </c>
    </row>
    <row r="22" spans="2:23" x14ac:dyDescent="0.6">
      <c r="B22" s="2"/>
      <c r="C22" s="1"/>
      <c r="D22" s="2"/>
      <c r="E22" s="1"/>
      <c r="F22" s="2"/>
      <c r="G22" s="1"/>
      <c r="H22" s="2"/>
      <c r="I22" s="1"/>
      <c r="J22" s="2">
        <v>458.49799999999999</v>
      </c>
      <c r="K22" s="1">
        <v>2.2227299999999999</v>
      </c>
      <c r="N22" s="3"/>
      <c r="O22" s="21"/>
      <c r="P22" s="3"/>
      <c r="Q22" s="17"/>
      <c r="R22" s="3"/>
      <c r="S22" s="24"/>
      <c r="T22" s="3">
        <f t="shared" si="5"/>
        <v>458.49799999999999</v>
      </c>
      <c r="U22" s="51">
        <f t="shared" si="5"/>
        <v>2.2227299999999999</v>
      </c>
      <c r="V22" s="42" t="e">
        <f t="shared" si="8"/>
        <v>#DIV/0!</v>
      </c>
      <c r="W22" s="49" t="e">
        <f t="shared" si="9"/>
        <v>#DIV/0!</v>
      </c>
    </row>
    <row r="23" spans="2:23" x14ac:dyDescent="0.6">
      <c r="B23" s="2"/>
      <c r="C23" s="1"/>
      <c r="D23" s="2"/>
      <c r="E23" s="1"/>
      <c r="F23" s="2"/>
      <c r="G23" s="1"/>
      <c r="H23" s="2"/>
      <c r="I23" s="1"/>
      <c r="J23" s="2">
        <v>464.99700000000001</v>
      </c>
      <c r="K23" s="1">
        <v>2.4707599999999998</v>
      </c>
      <c r="N23" s="3"/>
      <c r="O23" s="21"/>
      <c r="P23" s="3"/>
      <c r="Q23" s="17"/>
      <c r="R23" s="3"/>
      <c r="S23" s="24"/>
      <c r="T23" s="3">
        <f t="shared" si="5"/>
        <v>464.99700000000001</v>
      </c>
      <c r="U23" s="51">
        <f t="shared" si="5"/>
        <v>2.4707599999999998</v>
      </c>
      <c r="V23" s="42" t="e">
        <f t="shared" si="8"/>
        <v>#DIV/0!</v>
      </c>
      <c r="W23" s="49" t="e">
        <f t="shared" si="9"/>
        <v>#DIV/0!</v>
      </c>
    </row>
    <row r="24" spans="2:23" x14ac:dyDescent="0.6">
      <c r="B24" s="28"/>
      <c r="C24" s="29"/>
      <c r="D24" s="28"/>
      <c r="E24" s="29"/>
      <c r="F24" s="28"/>
      <c r="G24" s="29"/>
      <c r="H24" s="28"/>
      <c r="I24" s="29"/>
      <c r="J24" s="28">
        <v>474.70400000000001</v>
      </c>
      <c r="K24" s="29">
        <v>2.7317999999999998</v>
      </c>
      <c r="N24" s="32"/>
      <c r="O24" s="33"/>
      <c r="P24" s="32"/>
      <c r="Q24" s="34"/>
      <c r="R24" s="32">
        <f>T24</f>
        <v>474.70400000000001</v>
      </c>
      <c r="S24" s="24">
        <v>43</v>
      </c>
      <c r="T24" s="32">
        <f t="shared" si="5"/>
        <v>474.70400000000001</v>
      </c>
      <c r="U24" s="52">
        <f t="shared" si="5"/>
        <v>2.7317999999999998</v>
      </c>
      <c r="V24" s="42">
        <f>((O21*(Q20)^2)/S24)*T24</f>
        <v>2.7331228227858668</v>
      </c>
      <c r="W24" s="49">
        <f t="shared" si="9"/>
        <v>-4.842311976964051E-4</v>
      </c>
    </row>
    <row r="25" spans="2:23" x14ac:dyDescent="0.6">
      <c r="B25" s="30"/>
      <c r="C25" s="30"/>
      <c r="D25" s="30"/>
      <c r="E25" s="30"/>
      <c r="F25" s="30"/>
      <c r="G25" s="30"/>
      <c r="H25" s="30"/>
      <c r="I25" s="30"/>
      <c r="J25" s="30"/>
      <c r="K25" s="30"/>
      <c r="N25" s="30"/>
      <c r="O25" s="39"/>
      <c r="P25" s="30"/>
      <c r="Q25" s="40"/>
      <c r="R25" s="30"/>
      <c r="S25" s="41"/>
      <c r="T25" s="30"/>
      <c r="U25" s="41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 s="14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1"/>
  </sheetPr>
  <dimension ref="A1:W3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V7" s="22" t="s">
        <v>89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71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361.32723112128099</v>
      </c>
      <c r="E9" s="4">
        <v>0.64966313763233896</v>
      </c>
      <c r="F9" s="3">
        <v>361.91661481020498</v>
      </c>
      <c r="G9" s="4">
        <v>-68.324607329842905</v>
      </c>
      <c r="H9" s="3">
        <v>424.250499666888</v>
      </c>
      <c r="I9" s="4">
        <v>1.55182341650671</v>
      </c>
      <c r="J9" s="3">
        <v>421.13606340819001</v>
      </c>
      <c r="K9" s="4">
        <v>0.27772435897435799</v>
      </c>
      <c r="N9" s="3">
        <f>D9</f>
        <v>361.32723112128099</v>
      </c>
      <c r="O9" s="21">
        <f t="shared" ref="O9:O18" si="0">1/(E9*(10^(-3))*(10^(-2)))</f>
        <v>153925.9259259259</v>
      </c>
      <c r="P9" s="3">
        <f>F9</f>
        <v>361.91661481020498</v>
      </c>
      <c r="Q9" s="17">
        <f>G9*(10^(-6))</f>
        <v>-6.8324607329842902E-5</v>
      </c>
      <c r="R9" s="3">
        <f>H9</f>
        <v>424.250499666888</v>
      </c>
      <c r="S9" s="24">
        <f>I9</f>
        <v>1.55182341650671</v>
      </c>
      <c r="T9" s="3">
        <f>J9</f>
        <v>421.13606340819001</v>
      </c>
      <c r="U9" s="51">
        <f>K9</f>
        <v>0.27772435897435799</v>
      </c>
      <c r="V9" s="42">
        <f>((O10*(Q10)^2)/S9)*T9</f>
        <v>0.26771159932954708</v>
      </c>
      <c r="W9" s="49">
        <f t="shared" ref="W9" si="1">(U9-V9)/U9</f>
        <v>3.6052867965158851E-2</v>
      </c>
    </row>
    <row r="10" spans="1:23" x14ac:dyDescent="0.6">
      <c r="B10" s="3"/>
      <c r="C10" s="4"/>
      <c r="D10" s="3">
        <v>421.51029748283702</v>
      </c>
      <c r="E10" s="4">
        <v>0.65351299326275303</v>
      </c>
      <c r="F10" s="3">
        <v>421.90416925948898</v>
      </c>
      <c r="G10" s="4">
        <v>-80.291697830964793</v>
      </c>
      <c r="H10" s="3">
        <v>464.22385076615501</v>
      </c>
      <c r="I10" s="4">
        <v>1.4577735124760001</v>
      </c>
      <c r="J10" s="3">
        <v>461.16248348745</v>
      </c>
      <c r="K10" s="4">
        <v>0.44278846153846102</v>
      </c>
      <c r="N10" s="3">
        <f t="shared" ref="N10:N18" si="2">D10</f>
        <v>421.51029748283702</v>
      </c>
      <c r="O10" s="21">
        <f t="shared" si="0"/>
        <v>153019.14580265086</v>
      </c>
      <c r="P10" s="3">
        <f t="shared" ref="P10:P18" si="3">F10</f>
        <v>421.90416925948898</v>
      </c>
      <c r="Q10" s="17">
        <f t="shared" ref="Q10:Q18" si="4">G10*(10^(-6))</f>
        <v>-8.0291697830964787E-5</v>
      </c>
      <c r="R10" s="3">
        <f t="shared" ref="R10:U17" si="5">H10</f>
        <v>464.22385076615501</v>
      </c>
      <c r="S10" s="24">
        <f t="shared" si="5"/>
        <v>1.4577735124760001</v>
      </c>
      <c r="T10" s="3">
        <f t="shared" si="5"/>
        <v>461.16248348745</v>
      </c>
      <c r="U10" s="51">
        <f t="shared" si="5"/>
        <v>0.44278846153846102</v>
      </c>
      <c r="V10" s="42">
        <f t="shared" ref="V10:V16" si="6">((O11*(Q11)^2)/S10)*T10</f>
        <v>0.436824749686822</v>
      </c>
      <c r="W10" s="49">
        <f t="shared" ref="W10:W16" si="7">(U10-V10)/U10</f>
        <v>1.3468534909239062E-2</v>
      </c>
    </row>
    <row r="11" spans="1:23" x14ac:dyDescent="0.6">
      <c r="B11" s="2"/>
      <c r="C11" s="1"/>
      <c r="D11" s="2">
        <v>461.32723112128099</v>
      </c>
      <c r="E11" s="1">
        <v>0.68046198267564995</v>
      </c>
      <c r="F11" s="2">
        <v>461.97884256378302</v>
      </c>
      <c r="G11" s="1">
        <v>-96.933433059087506</v>
      </c>
      <c r="H11" s="2">
        <v>523.98401065956</v>
      </c>
      <c r="I11" s="1">
        <v>1.3714011516314699</v>
      </c>
      <c r="J11" s="2">
        <v>521.20211360634005</v>
      </c>
      <c r="K11" s="1">
        <v>0.69919871794871702</v>
      </c>
      <c r="N11" s="3">
        <f t="shared" si="2"/>
        <v>461.32723112128099</v>
      </c>
      <c r="O11" s="21">
        <f t="shared" si="0"/>
        <v>146958.98161244689</v>
      </c>
      <c r="P11" s="3">
        <f t="shared" si="3"/>
        <v>461.97884256378302</v>
      </c>
      <c r="Q11" s="17">
        <f t="shared" si="4"/>
        <v>-9.6933433059087507E-5</v>
      </c>
      <c r="R11" s="3">
        <f t="shared" si="5"/>
        <v>523.98401065956</v>
      </c>
      <c r="S11" s="24">
        <f t="shared" si="5"/>
        <v>1.3714011516314699</v>
      </c>
      <c r="T11" s="3">
        <f t="shared" si="5"/>
        <v>521.20211360634005</v>
      </c>
      <c r="U11" s="51">
        <f t="shared" si="5"/>
        <v>0.69919871794871702</v>
      </c>
      <c r="V11" s="42">
        <f t="shared" si="6"/>
        <v>0.68614425314266769</v>
      </c>
      <c r="W11" s="49">
        <f t="shared" si="7"/>
        <v>1.8670607469573209E-2</v>
      </c>
    </row>
    <row r="12" spans="1:23" x14ac:dyDescent="0.6">
      <c r="B12" s="2"/>
      <c r="C12" s="1"/>
      <c r="D12" s="2">
        <v>521.28146453089198</v>
      </c>
      <c r="E12" s="1">
        <v>0.75745909528392796</v>
      </c>
      <c r="F12" s="2">
        <v>521.71748599875502</v>
      </c>
      <c r="G12" s="1">
        <v>-116.94091249065001</v>
      </c>
      <c r="H12" s="2">
        <v>570.35309793471004</v>
      </c>
      <c r="I12" s="1">
        <v>1.3330134357005701</v>
      </c>
      <c r="J12" s="2">
        <v>571.33421400264103</v>
      </c>
      <c r="K12" s="1">
        <v>0.93958333333333299</v>
      </c>
      <c r="N12" s="3">
        <f t="shared" si="2"/>
        <v>521.28146453089198</v>
      </c>
      <c r="O12" s="21">
        <f t="shared" si="0"/>
        <v>132020.33036848772</v>
      </c>
      <c r="P12" s="3">
        <f t="shared" si="3"/>
        <v>521.71748599875502</v>
      </c>
      <c r="Q12" s="17">
        <f t="shared" si="4"/>
        <v>-1.1694091249065E-4</v>
      </c>
      <c r="R12" s="3">
        <f t="shared" si="5"/>
        <v>570.35309793471004</v>
      </c>
      <c r="S12" s="24">
        <f t="shared" si="5"/>
        <v>1.3330134357005701</v>
      </c>
      <c r="T12" s="3">
        <f t="shared" si="5"/>
        <v>571.33421400264103</v>
      </c>
      <c r="U12" s="51">
        <f t="shared" si="5"/>
        <v>0.93958333333333299</v>
      </c>
      <c r="V12" s="42">
        <f t="shared" si="6"/>
        <v>0.93224976148480976</v>
      </c>
      <c r="W12" s="49">
        <f t="shared" si="7"/>
        <v>7.8051319008673034E-3</v>
      </c>
    </row>
    <row r="13" spans="1:23" x14ac:dyDescent="0.6">
      <c r="B13" s="2"/>
      <c r="C13" s="1"/>
      <c r="D13" s="2">
        <v>571.39588100686501</v>
      </c>
      <c r="E13" s="1">
        <v>0.85755534167468705</v>
      </c>
      <c r="F13" s="2">
        <v>571.49968886123202</v>
      </c>
      <c r="G13" s="1">
        <v>-136.57442034405301</v>
      </c>
      <c r="H13" s="2">
        <v>617.12191872085202</v>
      </c>
      <c r="I13" s="1">
        <v>1.3541266794625699</v>
      </c>
      <c r="J13" s="2">
        <v>621.07001321003895</v>
      </c>
      <c r="K13" s="1">
        <v>1.13189102564102</v>
      </c>
      <c r="N13" s="3">
        <f t="shared" si="2"/>
        <v>571.39588100686501</v>
      </c>
      <c r="O13" s="21">
        <f t="shared" si="0"/>
        <v>116610.54994388329</v>
      </c>
      <c r="P13" s="3">
        <f t="shared" si="3"/>
        <v>571.49968886123202</v>
      </c>
      <c r="Q13" s="17">
        <f t="shared" si="4"/>
        <v>-1.3657442034405301E-4</v>
      </c>
      <c r="R13" s="3">
        <f t="shared" si="5"/>
        <v>617.12191872085202</v>
      </c>
      <c r="S13" s="24">
        <f t="shared" si="5"/>
        <v>1.3541266794625699</v>
      </c>
      <c r="T13" s="3">
        <f t="shared" si="5"/>
        <v>621.07001321003895</v>
      </c>
      <c r="U13" s="51">
        <f t="shared" si="5"/>
        <v>1.13189102564102</v>
      </c>
      <c r="V13" s="42">
        <f t="shared" si="6"/>
        <v>1.1109038329351275</v>
      </c>
      <c r="W13" s="49">
        <f t="shared" si="7"/>
        <v>1.8541707841536106E-2</v>
      </c>
    </row>
    <row r="14" spans="1:23" x14ac:dyDescent="0.6">
      <c r="B14" s="2"/>
      <c r="C14" s="1"/>
      <c r="D14" s="2">
        <v>611.44164759725402</v>
      </c>
      <c r="E14" s="1">
        <v>0.96920115495669001</v>
      </c>
      <c r="F14" s="2">
        <v>611.57436216552503</v>
      </c>
      <c r="G14" s="1">
        <v>-153.21615557217601</v>
      </c>
      <c r="H14" s="2">
        <v>667.68820786142498</v>
      </c>
      <c r="I14" s="1">
        <v>1.42706333973128</v>
      </c>
      <c r="J14" s="2">
        <v>671.59841479524403</v>
      </c>
      <c r="K14" s="1">
        <v>1.1951923076922999</v>
      </c>
      <c r="N14" s="3">
        <f t="shared" si="2"/>
        <v>611.44164759725402</v>
      </c>
      <c r="O14" s="21">
        <f t="shared" si="0"/>
        <v>103177.7557100297</v>
      </c>
      <c r="P14" s="3">
        <f t="shared" si="3"/>
        <v>611.57436216552503</v>
      </c>
      <c r="Q14" s="17">
        <f t="shared" si="4"/>
        <v>-1.5321615557217601E-4</v>
      </c>
      <c r="R14" s="3">
        <f t="shared" si="5"/>
        <v>667.68820786142498</v>
      </c>
      <c r="S14" s="24">
        <f t="shared" si="5"/>
        <v>1.42706333973128</v>
      </c>
      <c r="T14" s="3">
        <f t="shared" si="5"/>
        <v>671.59841479524403</v>
      </c>
      <c r="U14" s="51">
        <f t="shared" si="5"/>
        <v>1.1951923076922999</v>
      </c>
      <c r="V14" s="42">
        <f t="shared" si="6"/>
        <v>1.1909727126641125</v>
      </c>
      <c r="W14" s="49">
        <f t="shared" si="7"/>
        <v>3.5304737162629805E-3</v>
      </c>
    </row>
    <row r="15" spans="1:23" x14ac:dyDescent="0.6">
      <c r="B15" s="2"/>
      <c r="C15" s="1"/>
      <c r="D15" s="2">
        <v>661.32723112128099</v>
      </c>
      <c r="E15" s="1">
        <v>1.15014436958614</v>
      </c>
      <c r="F15" s="2">
        <v>661.85438705662705</v>
      </c>
      <c r="G15" s="1">
        <v>-170.60583395661899</v>
      </c>
      <c r="H15" s="2">
        <v>721.65223184543595</v>
      </c>
      <c r="I15" s="1">
        <v>1.5595009596928899</v>
      </c>
      <c r="J15" s="2">
        <v>721.73051519154501</v>
      </c>
      <c r="K15" s="1">
        <v>1.18477564102564</v>
      </c>
      <c r="N15" s="3">
        <f t="shared" si="2"/>
        <v>661.32723112128099</v>
      </c>
      <c r="O15" s="21">
        <f t="shared" si="0"/>
        <v>86945.606694560702</v>
      </c>
      <c r="P15" s="3">
        <f t="shared" si="3"/>
        <v>661.85438705662705</v>
      </c>
      <c r="Q15" s="17">
        <f t="shared" si="4"/>
        <v>-1.7060583395661898E-4</v>
      </c>
      <c r="R15" s="3">
        <f t="shared" si="5"/>
        <v>721.65223184543595</v>
      </c>
      <c r="S15" s="24">
        <f t="shared" si="5"/>
        <v>1.5595009596928899</v>
      </c>
      <c r="T15" s="3">
        <f t="shared" si="5"/>
        <v>721.73051519154501</v>
      </c>
      <c r="U15" s="51">
        <f t="shared" si="5"/>
        <v>1.18477564102564</v>
      </c>
      <c r="V15" s="42">
        <f t="shared" si="6"/>
        <v>1.1776970918502785</v>
      </c>
      <c r="W15" s="49">
        <f t="shared" si="7"/>
        <v>5.9745904036596909E-3</v>
      </c>
    </row>
    <row r="16" spans="1:23" x14ac:dyDescent="0.6">
      <c r="B16" s="2"/>
      <c r="C16" s="1"/>
      <c r="D16" s="2">
        <v>721.28146453089198</v>
      </c>
      <c r="E16" s="1">
        <v>1.3888354186717899</v>
      </c>
      <c r="F16" s="2">
        <v>721.59303049159905</v>
      </c>
      <c r="G16" s="1">
        <v>-187.99551234106201</v>
      </c>
      <c r="H16" s="2">
        <v>770.81945369753498</v>
      </c>
      <c r="I16" s="1">
        <v>1.7111324376199599</v>
      </c>
      <c r="J16" s="2">
        <v>771.66446499339497</v>
      </c>
      <c r="K16" s="1">
        <v>1.1302884615384601</v>
      </c>
      <c r="N16" s="3">
        <f t="shared" si="2"/>
        <v>721.28146453089198</v>
      </c>
      <c r="O16" s="21">
        <f t="shared" si="0"/>
        <v>72002.772002772515</v>
      </c>
      <c r="P16" s="3">
        <f t="shared" si="3"/>
        <v>721.59303049159905</v>
      </c>
      <c r="Q16" s="17">
        <f t="shared" si="4"/>
        <v>-1.8799551234106201E-4</v>
      </c>
      <c r="R16" s="3">
        <f t="shared" si="5"/>
        <v>770.81945369753498</v>
      </c>
      <c r="S16" s="24">
        <f t="shared" si="5"/>
        <v>1.7111324376199599</v>
      </c>
      <c r="T16" s="3">
        <f t="shared" si="5"/>
        <v>771.66446499339497</v>
      </c>
      <c r="U16" s="51">
        <f t="shared" si="5"/>
        <v>1.1302884615384601</v>
      </c>
      <c r="V16" s="42">
        <f t="shared" si="6"/>
        <v>1.1184677513400338</v>
      </c>
      <c r="W16" s="49">
        <f t="shared" si="7"/>
        <v>1.0458135777425178E-2</v>
      </c>
    </row>
    <row r="17" spans="2:23" x14ac:dyDescent="0.6">
      <c r="B17" s="2"/>
      <c r="C17" s="1"/>
      <c r="D17" s="2">
        <v>771.39588100686501</v>
      </c>
      <c r="E17" s="1">
        <v>1.5851780558229001</v>
      </c>
      <c r="F17" s="2">
        <v>771.62414436838799</v>
      </c>
      <c r="G17" s="1">
        <v>-198.27973074046301</v>
      </c>
      <c r="H17" s="2">
        <v>822.58494337108596</v>
      </c>
      <c r="I17" s="1">
        <v>1.91074856046065</v>
      </c>
      <c r="J17" s="2">
        <v>821.59841479524403</v>
      </c>
      <c r="K17" s="1">
        <v>1.0846153846153801</v>
      </c>
      <c r="N17" s="3">
        <f t="shared" si="2"/>
        <v>771.39588100686501</v>
      </c>
      <c r="O17" s="21">
        <f t="shared" si="0"/>
        <v>63084.395871281376</v>
      </c>
      <c r="P17" s="3">
        <f t="shared" si="3"/>
        <v>771.62414436838799</v>
      </c>
      <c r="Q17" s="17">
        <f t="shared" si="4"/>
        <v>-1.98279730740463E-4</v>
      </c>
      <c r="R17" s="3">
        <f t="shared" si="5"/>
        <v>822.58494337108596</v>
      </c>
      <c r="S17" s="24">
        <f t="shared" si="5"/>
        <v>1.91074856046065</v>
      </c>
      <c r="T17" s="3">
        <f t="shared" ref="T17" si="8">J17</f>
        <v>821.59841479524403</v>
      </c>
      <c r="U17" s="51">
        <f t="shared" ref="U17" si="9">K17</f>
        <v>1.0846153846153801</v>
      </c>
      <c r="V17" s="42">
        <f t="shared" ref="V17" si="10">((O18*(Q18)^2)/S17)*T17</f>
        <v>1.0757736299352585</v>
      </c>
      <c r="W17" s="49">
        <f t="shared" ref="W17" si="11">(U17-V17)/U17</f>
        <v>8.1519724001121521E-3</v>
      </c>
    </row>
    <row r="18" spans="2:23" x14ac:dyDescent="0.6">
      <c r="B18" s="28"/>
      <c r="C18" s="29"/>
      <c r="D18" s="28">
        <v>821.28146453089198</v>
      </c>
      <c r="E18" s="29">
        <v>1.76997112608277</v>
      </c>
      <c r="F18" s="2">
        <v>821.90416925948898</v>
      </c>
      <c r="G18" s="1">
        <v>-210.43380703066501</v>
      </c>
      <c r="H18" s="28"/>
      <c r="I18" s="29"/>
      <c r="J18" s="28"/>
      <c r="K18" s="29"/>
      <c r="N18" s="32">
        <f t="shared" si="2"/>
        <v>821.28146453089198</v>
      </c>
      <c r="O18" s="21">
        <f t="shared" si="0"/>
        <v>56498.096791734693</v>
      </c>
      <c r="P18" s="32">
        <f t="shared" si="3"/>
        <v>821.90416925948898</v>
      </c>
      <c r="Q18" s="17">
        <f t="shared" si="4"/>
        <v>-2.10433807030665E-4</v>
      </c>
      <c r="R18" s="32"/>
      <c r="S18" s="35"/>
      <c r="T18" s="32"/>
      <c r="U18" s="35"/>
    </row>
    <row r="19" spans="2:23" x14ac:dyDescent="0.6">
      <c r="B19" s="30"/>
      <c r="C19" s="30"/>
      <c r="D19" s="30"/>
      <c r="E19" s="30"/>
      <c r="F19" s="30"/>
      <c r="G19" s="30"/>
      <c r="H19" s="30"/>
      <c r="I19" s="30"/>
      <c r="J19" s="30"/>
      <c r="K19" s="30"/>
      <c r="N19" s="30"/>
      <c r="O19" s="39"/>
      <c r="P19" s="30"/>
      <c r="Q19" s="40"/>
      <c r="R19" s="30"/>
      <c r="S19" s="41"/>
      <c r="T19" s="30"/>
      <c r="U19" s="41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ht="17.25" thickBot="1" x14ac:dyDescent="0.65">
      <c r="B26" s="31" t="s">
        <v>79</v>
      </c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5" t="s">
        <v>3</v>
      </c>
      <c r="C27" s="6" t="s">
        <v>19</v>
      </c>
      <c r="D27" s="7" t="s">
        <v>3</v>
      </c>
      <c r="E27" s="6" t="s">
        <v>8</v>
      </c>
      <c r="F27" s="7" t="s">
        <v>3</v>
      </c>
      <c r="G27" s="6" t="s">
        <v>21</v>
      </c>
      <c r="H27" s="7" t="s">
        <v>3</v>
      </c>
      <c r="I27" s="6" t="s">
        <v>2</v>
      </c>
      <c r="J27" s="7" t="s">
        <v>3</v>
      </c>
      <c r="K27" s="8" t="s">
        <v>6</v>
      </c>
      <c r="N27" s="5" t="s">
        <v>3</v>
      </c>
      <c r="O27" s="19" t="s">
        <v>19</v>
      </c>
      <c r="P27" s="7" t="s">
        <v>3</v>
      </c>
      <c r="Q27" s="15" t="s">
        <v>21</v>
      </c>
      <c r="R27" s="7" t="s">
        <v>3</v>
      </c>
      <c r="S27" s="23" t="s">
        <v>2</v>
      </c>
      <c r="T27" s="7" t="s">
        <v>3</v>
      </c>
      <c r="U27" s="25" t="s">
        <v>6</v>
      </c>
      <c r="V27" s="22" t="s">
        <v>89</v>
      </c>
    </row>
    <row r="28" spans="2:23" ht="17.25" thickBot="1" x14ac:dyDescent="0.65">
      <c r="B28" s="9" t="s">
        <v>4</v>
      </c>
      <c r="C28" s="10" t="s">
        <v>10</v>
      </c>
      <c r="D28" s="11" t="s">
        <v>4</v>
      </c>
      <c r="E28" s="10" t="s">
        <v>71</v>
      </c>
      <c r="F28" s="11" t="s">
        <v>4</v>
      </c>
      <c r="G28" s="27" t="s">
        <v>13</v>
      </c>
      <c r="H28" s="11" t="s">
        <v>4</v>
      </c>
      <c r="I28" s="10" t="s">
        <v>15</v>
      </c>
      <c r="J28" s="11" t="s">
        <v>4</v>
      </c>
      <c r="K28" s="12" t="s">
        <v>7</v>
      </c>
      <c r="N28" s="9" t="s">
        <v>4</v>
      </c>
      <c r="O28" s="20" t="s">
        <v>5</v>
      </c>
      <c r="P28" s="11" t="s">
        <v>4</v>
      </c>
      <c r="Q28" s="16" t="s">
        <v>14</v>
      </c>
      <c r="R28" s="11" t="s">
        <v>4</v>
      </c>
      <c r="S28" s="10" t="s">
        <v>15</v>
      </c>
      <c r="T28" s="11" t="s">
        <v>4</v>
      </c>
      <c r="U28" s="26" t="s">
        <v>7</v>
      </c>
      <c r="W28" t="s">
        <v>78</v>
      </c>
    </row>
    <row r="29" spans="2:23" x14ac:dyDescent="0.6">
      <c r="B29" s="3"/>
      <c r="C29" s="4"/>
      <c r="D29" s="3">
        <v>360.34500000000003</v>
      </c>
      <c r="E29" s="4">
        <v>0.65951700000000002</v>
      </c>
      <c r="F29" s="3">
        <v>363.13099999999997</v>
      </c>
      <c r="G29" s="4">
        <v>-68.796999999999997</v>
      </c>
      <c r="H29" s="3">
        <v>422.55</v>
      </c>
      <c r="I29" s="4">
        <v>1.55193</v>
      </c>
      <c r="J29" s="3">
        <v>420.82400000000001</v>
      </c>
      <c r="K29" s="4">
        <v>0.27964600000000001</v>
      </c>
      <c r="N29" s="3">
        <f>D29</f>
        <v>360.34500000000003</v>
      </c>
      <c r="O29" s="21">
        <f>1/E29*100000</f>
        <v>151626.11426240718</v>
      </c>
      <c r="P29" s="3">
        <f>F29</f>
        <v>363.13099999999997</v>
      </c>
      <c r="Q29" s="17">
        <f>G29*0.000001</f>
        <v>-6.8796999999999999E-5</v>
      </c>
      <c r="R29" s="3">
        <f>H29</f>
        <v>422.55</v>
      </c>
      <c r="S29" s="24">
        <f>I29</f>
        <v>1.55193</v>
      </c>
      <c r="T29" s="3">
        <f>J29</f>
        <v>420.82400000000001</v>
      </c>
      <c r="U29" s="51">
        <f>K29</f>
        <v>0.27964600000000001</v>
      </c>
      <c r="V29" s="42">
        <f>((O29*(Q29)^2)/S29)*T29</f>
        <v>0.19459934680020974</v>
      </c>
      <c r="W29" s="49">
        <f t="shared" ref="W29:W37" si="12">(U29-V29)/U29</f>
        <v>0.30412254493105662</v>
      </c>
    </row>
    <row r="30" spans="2:23" x14ac:dyDescent="0.6">
      <c r="B30" s="3"/>
      <c r="C30" s="4"/>
      <c r="D30" s="3">
        <v>417.81599999999997</v>
      </c>
      <c r="E30" s="4">
        <v>0.67560299999999995</v>
      </c>
      <c r="F30" s="3">
        <v>421.21199999999999</v>
      </c>
      <c r="G30" s="4">
        <v>-78.195499999999996</v>
      </c>
      <c r="H30" s="3">
        <v>461.15600000000001</v>
      </c>
      <c r="I30" s="4">
        <v>1.4479900000000001</v>
      </c>
      <c r="J30" s="3">
        <v>459.87</v>
      </c>
      <c r="K30" s="4">
        <v>0.43893799999999999</v>
      </c>
      <c r="N30" s="3">
        <f t="shared" ref="N30:N38" si="13">D30</f>
        <v>417.81599999999997</v>
      </c>
      <c r="O30" s="21">
        <f t="shared" ref="O30:O38" si="14">1/E30*100000</f>
        <v>148015.92059241893</v>
      </c>
      <c r="P30" s="3">
        <f t="shared" ref="P30:P38" si="15">F30</f>
        <v>421.21199999999999</v>
      </c>
      <c r="Q30" s="17">
        <f t="shared" ref="Q30:Q38" si="16">G30*0.000001</f>
        <v>-7.8195499999999987E-5</v>
      </c>
      <c r="R30" s="3">
        <f t="shared" ref="R30:R37" si="17">H30</f>
        <v>461.15600000000001</v>
      </c>
      <c r="S30" s="24">
        <f t="shared" ref="S30:S37" si="18">I30</f>
        <v>1.4479900000000001</v>
      </c>
      <c r="T30" s="3">
        <f t="shared" ref="T30:T37" si="19">J30</f>
        <v>459.87</v>
      </c>
      <c r="U30" s="51">
        <f t="shared" ref="U30:U37" si="20">K30</f>
        <v>0.43893799999999999</v>
      </c>
      <c r="V30" s="42">
        <f t="shared" ref="V30:V37" si="21">((O30*(Q30)^2)/S30)*T30</f>
        <v>0.28743620410400905</v>
      </c>
      <c r="W30" s="49">
        <f t="shared" si="12"/>
        <v>0.3451553428866741</v>
      </c>
    </row>
    <row r="31" spans="2:23" x14ac:dyDescent="0.6">
      <c r="B31" s="2"/>
      <c r="C31" s="1"/>
      <c r="D31" s="2">
        <v>462.83499999999998</v>
      </c>
      <c r="E31" s="1">
        <v>0.65951700000000002</v>
      </c>
      <c r="F31" s="2">
        <v>461.61599999999999</v>
      </c>
      <c r="G31" s="1">
        <v>-95.112799999999993</v>
      </c>
      <c r="H31" s="2">
        <v>525.43600000000004</v>
      </c>
      <c r="I31" s="1">
        <v>1.36351</v>
      </c>
      <c r="J31" s="2">
        <v>519.74</v>
      </c>
      <c r="K31" s="1">
        <v>0.71150400000000003</v>
      </c>
      <c r="N31" s="3">
        <f t="shared" si="13"/>
        <v>462.83499999999998</v>
      </c>
      <c r="O31" s="21">
        <f t="shared" si="14"/>
        <v>151626.11426240718</v>
      </c>
      <c r="P31" s="3">
        <f t="shared" si="15"/>
        <v>461.61599999999999</v>
      </c>
      <c r="Q31" s="17">
        <f t="shared" si="16"/>
        <v>-9.5112799999999995E-5</v>
      </c>
      <c r="R31" s="3">
        <f t="shared" si="17"/>
        <v>525.43600000000004</v>
      </c>
      <c r="S31" s="24">
        <f t="shared" si="18"/>
        <v>1.36351</v>
      </c>
      <c r="T31" s="3">
        <f t="shared" si="19"/>
        <v>519.74</v>
      </c>
      <c r="U31" s="51">
        <f t="shared" si="20"/>
        <v>0.71150400000000003</v>
      </c>
      <c r="V31" s="42">
        <f t="shared" si="21"/>
        <v>0.52285318026425354</v>
      </c>
      <c r="W31" s="49">
        <f t="shared" si="12"/>
        <v>0.2651437233462447</v>
      </c>
    </row>
    <row r="32" spans="2:23" x14ac:dyDescent="0.6">
      <c r="B32" s="2"/>
      <c r="C32" s="1"/>
      <c r="D32" s="2">
        <v>522.22199999999998</v>
      </c>
      <c r="E32" s="1">
        <v>0.75603200000000004</v>
      </c>
      <c r="F32" s="2">
        <v>522.22199999999998</v>
      </c>
      <c r="G32" s="1">
        <v>-115.789</v>
      </c>
      <c r="H32" s="2">
        <v>571.31200000000001</v>
      </c>
      <c r="I32" s="1">
        <v>1.3576900000000001</v>
      </c>
      <c r="J32" s="2">
        <v>571.79999999999995</v>
      </c>
      <c r="K32" s="1">
        <v>0.94867299999999999</v>
      </c>
      <c r="N32" s="3">
        <f t="shared" si="13"/>
        <v>522.22199999999998</v>
      </c>
      <c r="O32" s="21">
        <f t="shared" si="14"/>
        <v>132269.53356471681</v>
      </c>
      <c r="P32" s="3">
        <f t="shared" si="15"/>
        <v>522.22199999999998</v>
      </c>
      <c r="Q32" s="17">
        <f t="shared" si="16"/>
        <v>-1.15789E-4</v>
      </c>
      <c r="R32" s="3">
        <f t="shared" si="17"/>
        <v>571.31200000000001</v>
      </c>
      <c r="S32" s="24">
        <f t="shared" si="18"/>
        <v>1.3576900000000001</v>
      </c>
      <c r="T32" s="3">
        <f t="shared" si="19"/>
        <v>571.79999999999995</v>
      </c>
      <c r="U32" s="51">
        <f t="shared" si="20"/>
        <v>0.94867299999999999</v>
      </c>
      <c r="V32" s="42">
        <f t="shared" si="21"/>
        <v>0.74685786746181715</v>
      </c>
      <c r="W32" s="49">
        <f t="shared" si="12"/>
        <v>0.21273413761979401</v>
      </c>
    </row>
    <row r="33" spans="2:23" x14ac:dyDescent="0.6">
      <c r="B33" s="2"/>
      <c r="C33" s="1"/>
      <c r="D33" s="2">
        <v>572.03099999999995</v>
      </c>
      <c r="E33" s="1">
        <v>0.85254700000000005</v>
      </c>
      <c r="F33" s="2">
        <v>570.202</v>
      </c>
      <c r="G33" s="1">
        <v>-135.52600000000001</v>
      </c>
      <c r="H33" s="2">
        <v>618.10500000000002</v>
      </c>
      <c r="I33" s="1">
        <v>1.3519300000000001</v>
      </c>
      <c r="J33" s="2">
        <v>621.25800000000004</v>
      </c>
      <c r="K33" s="1">
        <v>1.1504399999999999</v>
      </c>
      <c r="N33" s="3">
        <f t="shared" si="13"/>
        <v>572.03099999999995</v>
      </c>
      <c r="O33" s="21">
        <f t="shared" si="14"/>
        <v>117295.58604980135</v>
      </c>
      <c r="P33" s="3">
        <f t="shared" si="15"/>
        <v>570.202</v>
      </c>
      <c r="Q33" s="17">
        <f t="shared" si="16"/>
        <v>-1.3552600000000002E-4</v>
      </c>
      <c r="R33" s="3">
        <f t="shared" si="17"/>
        <v>618.10500000000002</v>
      </c>
      <c r="S33" s="24">
        <f t="shared" si="18"/>
        <v>1.3519300000000001</v>
      </c>
      <c r="T33" s="3">
        <f t="shared" si="19"/>
        <v>621.25800000000004</v>
      </c>
      <c r="U33" s="51">
        <f t="shared" si="20"/>
        <v>1.1504399999999999</v>
      </c>
      <c r="V33" s="42">
        <f t="shared" si="21"/>
        <v>0.99002166677990555</v>
      </c>
      <c r="W33" s="49">
        <f t="shared" si="12"/>
        <v>0.13944085151776223</v>
      </c>
    </row>
    <row r="34" spans="2:23" x14ac:dyDescent="0.6">
      <c r="B34" s="2"/>
      <c r="C34" s="1"/>
      <c r="D34" s="2">
        <v>611.303</v>
      </c>
      <c r="E34" s="1">
        <v>0.96514699999999998</v>
      </c>
      <c r="F34" s="2">
        <v>614.39400000000001</v>
      </c>
      <c r="G34" s="1">
        <v>-151.50399999999999</v>
      </c>
      <c r="H34" s="2">
        <v>670.34500000000003</v>
      </c>
      <c r="I34" s="1">
        <v>1.42641</v>
      </c>
      <c r="J34" s="2">
        <v>669.84799999999996</v>
      </c>
      <c r="K34" s="1">
        <v>1.21062</v>
      </c>
      <c r="N34" s="3">
        <f t="shared" si="13"/>
        <v>611.303</v>
      </c>
      <c r="O34" s="21">
        <f t="shared" si="14"/>
        <v>103611.15975079444</v>
      </c>
      <c r="P34" s="3">
        <f t="shared" si="15"/>
        <v>614.39400000000001</v>
      </c>
      <c r="Q34" s="17">
        <f t="shared" si="16"/>
        <v>-1.5150399999999998E-4</v>
      </c>
      <c r="R34" s="3">
        <f t="shared" si="17"/>
        <v>670.34500000000003</v>
      </c>
      <c r="S34" s="24">
        <f t="shared" si="18"/>
        <v>1.42641</v>
      </c>
      <c r="T34" s="3">
        <f t="shared" si="19"/>
        <v>669.84799999999996</v>
      </c>
      <c r="U34" s="51">
        <f t="shared" si="20"/>
        <v>1.21062</v>
      </c>
      <c r="V34" s="42">
        <f t="shared" si="21"/>
        <v>1.1168288483365123</v>
      </c>
      <c r="W34" s="49">
        <f t="shared" si="12"/>
        <v>7.7473651239437419E-2</v>
      </c>
    </row>
    <row r="35" spans="2:23" x14ac:dyDescent="0.6">
      <c r="B35" s="2"/>
      <c r="C35" s="1"/>
      <c r="D35" s="2">
        <v>662.06899999999996</v>
      </c>
      <c r="E35" s="1">
        <v>1.14209</v>
      </c>
      <c r="F35" s="2">
        <v>662.37400000000002</v>
      </c>
      <c r="G35" s="1">
        <v>-168.42099999999999</v>
      </c>
      <c r="H35" s="2">
        <v>720.68200000000002</v>
      </c>
      <c r="I35" s="1">
        <v>1.5984100000000001</v>
      </c>
      <c r="J35" s="2">
        <v>721.90899999999999</v>
      </c>
      <c r="K35" s="1">
        <v>1.19292</v>
      </c>
      <c r="N35" s="3">
        <f t="shared" si="13"/>
        <v>662.06899999999996</v>
      </c>
      <c r="O35" s="21">
        <f t="shared" si="14"/>
        <v>87558.773826931327</v>
      </c>
      <c r="P35" s="3">
        <f t="shared" si="15"/>
        <v>662.37400000000002</v>
      </c>
      <c r="Q35" s="17">
        <f t="shared" si="16"/>
        <v>-1.6842099999999998E-4</v>
      </c>
      <c r="R35" s="3">
        <f t="shared" si="17"/>
        <v>720.68200000000002</v>
      </c>
      <c r="S35" s="24">
        <f t="shared" si="18"/>
        <v>1.5984100000000001</v>
      </c>
      <c r="T35" s="3">
        <f t="shared" si="19"/>
        <v>721.90899999999999</v>
      </c>
      <c r="U35" s="51">
        <f t="shared" si="20"/>
        <v>1.19292</v>
      </c>
      <c r="V35" s="42">
        <f t="shared" si="21"/>
        <v>1.1217250606274178</v>
      </c>
      <c r="W35" s="49">
        <f t="shared" si="12"/>
        <v>5.9681235432872404E-2</v>
      </c>
    </row>
    <row r="36" spans="2:23" x14ac:dyDescent="0.6">
      <c r="B36" s="2"/>
      <c r="C36" s="1"/>
      <c r="D36" s="2">
        <v>722.41399999999999</v>
      </c>
      <c r="E36" s="1">
        <v>1.3833800000000001</v>
      </c>
      <c r="F36" s="2">
        <v>722.98</v>
      </c>
      <c r="G36" s="1">
        <v>-187.21799999999999</v>
      </c>
      <c r="H36" s="2">
        <v>772.87199999999996</v>
      </c>
      <c r="I36" s="1">
        <v>1.7439</v>
      </c>
      <c r="J36" s="2">
        <v>770.49900000000002</v>
      </c>
      <c r="K36" s="1">
        <v>1.1398200000000001</v>
      </c>
      <c r="N36" s="3">
        <f t="shared" si="13"/>
        <v>722.41399999999999</v>
      </c>
      <c r="O36" s="21">
        <f t="shared" si="14"/>
        <v>72286.718038427629</v>
      </c>
      <c r="P36" s="3">
        <f t="shared" si="15"/>
        <v>722.98</v>
      </c>
      <c r="Q36" s="17">
        <f t="shared" si="16"/>
        <v>-1.8721799999999998E-4</v>
      </c>
      <c r="R36" s="3">
        <f t="shared" si="17"/>
        <v>772.87199999999996</v>
      </c>
      <c r="S36" s="24">
        <f t="shared" si="18"/>
        <v>1.7439</v>
      </c>
      <c r="T36" s="3">
        <f t="shared" si="19"/>
        <v>770.49900000000002</v>
      </c>
      <c r="U36" s="51">
        <f t="shared" si="20"/>
        <v>1.1398200000000001</v>
      </c>
      <c r="V36" s="42">
        <f t="shared" si="21"/>
        <v>1.1194487404794198</v>
      </c>
      <c r="W36" s="49">
        <f t="shared" si="12"/>
        <v>1.7872347844905576E-2</v>
      </c>
    </row>
    <row r="37" spans="2:23" x14ac:dyDescent="0.6">
      <c r="B37" s="2"/>
      <c r="C37" s="1"/>
      <c r="D37" s="2">
        <v>773.18</v>
      </c>
      <c r="E37" s="1">
        <v>1.6085799999999999</v>
      </c>
      <c r="F37" s="2">
        <v>776.01</v>
      </c>
      <c r="G37" s="1">
        <v>-196.61699999999999</v>
      </c>
      <c r="H37" s="2">
        <v>821.36699999999996</v>
      </c>
      <c r="I37" s="1">
        <v>1.92465</v>
      </c>
      <c r="J37" s="2">
        <v>822.56</v>
      </c>
      <c r="K37" s="1">
        <v>1.09735</v>
      </c>
      <c r="N37" s="3">
        <f t="shared" si="13"/>
        <v>773.18</v>
      </c>
      <c r="O37" s="21">
        <f t="shared" si="14"/>
        <v>62166.631438908858</v>
      </c>
      <c r="P37" s="3">
        <f t="shared" si="15"/>
        <v>776.01</v>
      </c>
      <c r="Q37" s="17">
        <f t="shared" si="16"/>
        <v>-1.9661699999999998E-4</v>
      </c>
      <c r="R37" s="3">
        <f t="shared" si="17"/>
        <v>821.36699999999996</v>
      </c>
      <c r="S37" s="24">
        <f t="shared" si="18"/>
        <v>1.92465</v>
      </c>
      <c r="T37" s="3">
        <f t="shared" si="19"/>
        <v>822.56</v>
      </c>
      <c r="U37" s="51">
        <f t="shared" si="20"/>
        <v>1.09735</v>
      </c>
      <c r="V37" s="42">
        <f t="shared" si="21"/>
        <v>1.0271060525358995</v>
      </c>
      <c r="W37" s="49">
        <f t="shared" si="12"/>
        <v>6.4012345618171554E-2</v>
      </c>
    </row>
    <row r="38" spans="2:23" x14ac:dyDescent="0.6">
      <c r="B38" s="2"/>
      <c r="C38" s="1"/>
      <c r="D38" s="2">
        <v>822.98900000000003</v>
      </c>
      <c r="E38" s="1">
        <v>1.8016099999999999</v>
      </c>
      <c r="F38" s="2">
        <v>822.72699999999998</v>
      </c>
      <c r="G38" s="1">
        <v>-208.83500000000001</v>
      </c>
      <c r="H38" s="2"/>
      <c r="I38" s="1"/>
      <c r="J38" s="2"/>
      <c r="K38" s="1"/>
      <c r="N38" s="2">
        <f t="shared" si="13"/>
        <v>822.98900000000003</v>
      </c>
      <c r="O38" s="43">
        <f t="shared" si="14"/>
        <v>55505.9086039709</v>
      </c>
      <c r="P38" s="2">
        <f t="shared" si="15"/>
        <v>822.72699999999998</v>
      </c>
      <c r="Q38" s="44">
        <f t="shared" si="16"/>
        <v>-2.0883499999999999E-4</v>
      </c>
      <c r="R38" s="2"/>
      <c r="S38" s="45"/>
      <c r="T38" s="2"/>
      <c r="U38" s="45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1"/>
  </sheetPr>
  <dimension ref="A1:W66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7.687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71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316.85779816513701</v>
      </c>
      <c r="E9" s="4">
        <v>2.1695533272561498</v>
      </c>
      <c r="F9" s="3">
        <v>312.30283911671899</v>
      </c>
      <c r="G9" s="4">
        <v>-90.852974186307506</v>
      </c>
      <c r="H9" s="3">
        <v>310.67615658362899</v>
      </c>
      <c r="I9" s="4">
        <v>0.81962761830876596</v>
      </c>
      <c r="J9" s="3">
        <v>300</v>
      </c>
      <c r="K9" s="4">
        <v>7.5981161695447497E-2</v>
      </c>
      <c r="N9" s="3">
        <f>D9</f>
        <v>316.85779816513701</v>
      </c>
      <c r="O9" s="21">
        <f>1/(E9*(10^(-3))*(10^(-2)))</f>
        <v>46092.436974789984</v>
      </c>
      <c r="P9" s="3">
        <f>F9</f>
        <v>312.30283911671899</v>
      </c>
      <c r="Q9" s="17">
        <f>G9*(10^(-6))</f>
        <v>-9.08529741863075E-5</v>
      </c>
      <c r="R9" s="3">
        <f>H9</f>
        <v>310.67615658362899</v>
      </c>
      <c r="S9" s="66">
        <f>I9</f>
        <v>0.81962761830876596</v>
      </c>
      <c r="T9" s="3">
        <f>J9</f>
        <v>300</v>
      </c>
      <c r="U9" s="51">
        <f>K9</f>
        <v>7.5981161695447497E-2</v>
      </c>
      <c r="V9" s="42">
        <f>((O9*(Q9)^2)/S9)*T9</f>
        <v>0.1392555905311931</v>
      </c>
      <c r="W9" s="49">
        <f t="shared" ref="W9" si="0">(U9-V9)/U9</f>
        <v>-0.83276469356136162</v>
      </c>
    </row>
    <row r="10" spans="1:23" x14ac:dyDescent="0.6">
      <c r="B10" s="3"/>
      <c r="C10" s="4"/>
      <c r="D10" s="3">
        <v>335.09174311926603</v>
      </c>
      <c r="E10" s="4">
        <v>2.1804922515952501</v>
      </c>
      <c r="F10" s="3">
        <v>316.088328075709</v>
      </c>
      <c r="G10" s="4">
        <v>-92.312008978675607</v>
      </c>
      <c r="H10" s="3">
        <v>345.14489069649198</v>
      </c>
      <c r="I10" s="4">
        <v>0.78006206361520503</v>
      </c>
      <c r="J10" s="3">
        <v>325.06871907641499</v>
      </c>
      <c r="K10" s="4">
        <v>0.105180533751962</v>
      </c>
      <c r="N10" s="3">
        <f t="shared" ref="N10:N27" si="1">D10</f>
        <v>335.09174311926603</v>
      </c>
      <c r="O10" s="21">
        <f t="shared" ref="O10:O27" si="2">1/(E10*(10^(-3))*(10^(-2)))</f>
        <v>45861.204013378127</v>
      </c>
      <c r="P10" s="3">
        <f t="shared" ref="P10:P26" si="3">F10</f>
        <v>316.088328075709</v>
      </c>
      <c r="Q10" s="17">
        <f t="shared" ref="Q10:Q28" si="4">G10*(10^(-6))</f>
        <v>-9.2312008978675598E-5</v>
      </c>
      <c r="R10" s="3">
        <f t="shared" ref="R10:R16" si="5">H10</f>
        <v>345.14489069649198</v>
      </c>
      <c r="S10" s="66">
        <f t="shared" ref="S10:S16" si="6">I10</f>
        <v>0.78006206361520503</v>
      </c>
      <c r="T10" s="3">
        <f t="shared" ref="T10:U29" si="7">J10</f>
        <v>325.06871907641499</v>
      </c>
      <c r="U10" s="51">
        <f t="shared" si="7"/>
        <v>0.105180533751962</v>
      </c>
      <c r="V10" s="42">
        <f>((AVERAGE(O9,O10)*(Q11)^2)/AVERAGE(S9,S10))*T10</f>
        <v>0.17065627548265191</v>
      </c>
      <c r="W10" s="49">
        <f t="shared" ref="W10:W29" si="8">(U10-V10)/U10</f>
        <v>-0.62250817137984482</v>
      </c>
    </row>
    <row r="11" spans="1:23" x14ac:dyDescent="0.6">
      <c r="B11" s="2"/>
      <c r="C11" s="1"/>
      <c r="D11" s="2">
        <v>368.46330275229298</v>
      </c>
      <c r="E11" s="1">
        <v>2.23518687329079</v>
      </c>
      <c r="F11" s="2">
        <v>327.12933753943202</v>
      </c>
      <c r="G11" s="1">
        <v>-95.566778900112197</v>
      </c>
      <c r="H11" s="2">
        <v>443.67056431113298</v>
      </c>
      <c r="I11" s="1">
        <v>0.68619084561675703</v>
      </c>
      <c r="J11" s="2">
        <v>350.13743815283101</v>
      </c>
      <c r="K11" s="1">
        <v>0.143799058084772</v>
      </c>
      <c r="N11" s="3">
        <f t="shared" si="1"/>
        <v>368.46330275229298</v>
      </c>
      <c r="O11" s="21">
        <f t="shared" si="2"/>
        <v>44738.988580750469</v>
      </c>
      <c r="P11" s="3">
        <f t="shared" si="3"/>
        <v>327.12933753943202</v>
      </c>
      <c r="Q11" s="17">
        <f t="shared" si="4"/>
        <v>-9.5566778900112187E-5</v>
      </c>
      <c r="R11" s="3">
        <f t="shared" si="5"/>
        <v>443.67056431113298</v>
      </c>
      <c r="S11" s="66">
        <f t="shared" si="6"/>
        <v>0.68619084561675703</v>
      </c>
      <c r="T11" s="3">
        <f t="shared" si="7"/>
        <v>350.13743815283101</v>
      </c>
      <c r="U11" s="51">
        <f t="shared" si="7"/>
        <v>0.143799058084772</v>
      </c>
      <c r="V11" s="42">
        <f>((AVERAGE(O10,O11)*(AVERAGE(Q11,Q12))^2)/S10)*T11</f>
        <v>0.20792307594367704</v>
      </c>
      <c r="W11" s="49">
        <f t="shared" si="8"/>
        <v>-0.44592794078736475</v>
      </c>
    </row>
    <row r="12" spans="1:23" x14ac:dyDescent="0.6">
      <c r="B12" s="2"/>
      <c r="C12" s="1"/>
      <c r="D12" s="2">
        <v>401.49082568807302</v>
      </c>
      <c r="E12" s="1">
        <v>2.3226982680036401</v>
      </c>
      <c r="F12" s="2">
        <v>359.93690851734999</v>
      </c>
      <c r="G12" s="1">
        <v>-106.677890011223</v>
      </c>
      <c r="H12" s="2">
        <v>543.11133706151497</v>
      </c>
      <c r="I12" s="1">
        <v>0.60705973622963505</v>
      </c>
      <c r="J12" s="2">
        <v>375.206157229246</v>
      </c>
      <c r="K12" s="1">
        <v>0.19466248037676601</v>
      </c>
      <c r="N12" s="3">
        <f t="shared" si="1"/>
        <v>401.49082568807302</v>
      </c>
      <c r="O12" s="21">
        <f t="shared" si="2"/>
        <v>43053.375196232446</v>
      </c>
      <c r="P12" s="3">
        <f t="shared" si="3"/>
        <v>359.93690851734999</v>
      </c>
      <c r="Q12" s="17">
        <f t="shared" si="4"/>
        <v>-1.06677890011223E-4</v>
      </c>
      <c r="R12" s="3">
        <f t="shared" si="5"/>
        <v>543.11133706151497</v>
      </c>
      <c r="S12" s="66">
        <f t="shared" si="6"/>
        <v>0.60705973622963505</v>
      </c>
      <c r="T12" s="3">
        <f t="shared" si="7"/>
        <v>375.206157229246</v>
      </c>
      <c r="U12" s="51">
        <f t="shared" si="7"/>
        <v>0.19466248037676601</v>
      </c>
      <c r="V12" s="42">
        <f>((O11*(AVERAGE(Q12,Q13))^2)/AVERAGE(S10,S11))*T12</f>
        <v>0.28726512328910075</v>
      </c>
      <c r="W12" s="49">
        <f t="shared" si="8"/>
        <v>-0.47570873818675208</v>
      </c>
    </row>
    <row r="13" spans="1:23" x14ac:dyDescent="0.6">
      <c r="B13" s="2"/>
      <c r="C13" s="1"/>
      <c r="D13" s="2">
        <v>436.92660550458697</v>
      </c>
      <c r="E13" s="1">
        <v>2.4813126709206901</v>
      </c>
      <c r="F13" s="2">
        <v>393.37539432176601</v>
      </c>
      <c r="G13" s="1">
        <v>-117.34006734006699</v>
      </c>
      <c r="H13" s="2">
        <v>645.60244026436203</v>
      </c>
      <c r="I13" s="1">
        <v>0.55585725368502703</v>
      </c>
      <c r="J13" s="2">
        <v>399.945024738867</v>
      </c>
      <c r="K13" s="1">
        <v>0.257770800627943</v>
      </c>
      <c r="N13" s="3">
        <f t="shared" si="1"/>
        <v>436.92660550458697</v>
      </c>
      <c r="O13" s="21">
        <f t="shared" si="2"/>
        <v>40301.249081557726</v>
      </c>
      <c r="P13" s="3">
        <f t="shared" si="3"/>
        <v>393.37539432176601</v>
      </c>
      <c r="Q13" s="17">
        <f t="shared" si="4"/>
        <v>-1.1734006734006699E-4</v>
      </c>
      <c r="R13" s="3">
        <f t="shared" si="5"/>
        <v>645.60244026436203</v>
      </c>
      <c r="S13" s="66">
        <f t="shared" si="6"/>
        <v>0.55585725368502703</v>
      </c>
      <c r="T13" s="3">
        <f t="shared" si="7"/>
        <v>399.945024738867</v>
      </c>
      <c r="U13" s="51">
        <f t="shared" si="7"/>
        <v>0.257770800627943</v>
      </c>
      <c r="V13" s="42">
        <f>((O12*(Q13)^2)/AVERAGE(S10,S11))*T13</f>
        <v>0.32338604694638928</v>
      </c>
      <c r="W13" s="49">
        <f t="shared" si="8"/>
        <v>-0.25454879357399735</v>
      </c>
    </row>
    <row r="14" spans="1:23" x14ac:dyDescent="0.6">
      <c r="B14" s="2"/>
      <c r="C14" s="1"/>
      <c r="D14" s="2">
        <v>471.33027522935703</v>
      </c>
      <c r="E14" s="1">
        <v>2.62898814949863</v>
      </c>
      <c r="F14" s="2">
        <v>425.23659305993698</v>
      </c>
      <c r="G14" s="1">
        <v>-129.68574635241299</v>
      </c>
      <c r="H14" s="2">
        <v>746.87341128622199</v>
      </c>
      <c r="I14" s="1">
        <v>0.52792862684251296</v>
      </c>
      <c r="J14" s="2">
        <v>425.01374381528302</v>
      </c>
      <c r="K14" s="1">
        <v>0.33500784929356298</v>
      </c>
      <c r="N14" s="3">
        <f t="shared" si="1"/>
        <v>471.33027522935703</v>
      </c>
      <c r="O14" s="21">
        <f t="shared" si="2"/>
        <v>38037.447988904336</v>
      </c>
      <c r="P14" s="3">
        <f t="shared" si="3"/>
        <v>425.23659305993698</v>
      </c>
      <c r="Q14" s="17">
        <f t="shared" si="4"/>
        <v>-1.2968574635241299E-4</v>
      </c>
      <c r="R14" s="3">
        <f t="shared" si="5"/>
        <v>746.87341128622199</v>
      </c>
      <c r="S14" s="66">
        <f t="shared" si="6"/>
        <v>0.52792862684251296</v>
      </c>
      <c r="T14" s="3">
        <f t="shared" si="7"/>
        <v>425.01374381528302</v>
      </c>
      <c r="U14" s="51">
        <f t="shared" si="7"/>
        <v>0.33500784929356298</v>
      </c>
      <c r="V14" s="42">
        <f>((AVERAGE(O12,O13)*(Q14)^2)/AVERAGE(S10,S11))*T14</f>
        <v>0.40635749758066247</v>
      </c>
      <c r="W14" s="49">
        <f t="shared" si="8"/>
        <v>-0.21297903448398531</v>
      </c>
    </row>
    <row r="15" spans="1:23" x14ac:dyDescent="0.6">
      <c r="B15" s="2"/>
      <c r="C15" s="1"/>
      <c r="D15" s="2">
        <v>506.76605504587098</v>
      </c>
      <c r="E15" s="1">
        <v>3.14311759343664</v>
      </c>
      <c r="F15" s="2">
        <v>464.03785488958903</v>
      </c>
      <c r="G15" s="1">
        <v>-146.29629629629599</v>
      </c>
      <c r="H15" s="2">
        <v>849.05948144382296</v>
      </c>
      <c r="I15" s="1">
        <v>0.52948021722265304</v>
      </c>
      <c r="J15" s="2">
        <v>450.08246289169801</v>
      </c>
      <c r="K15" s="1">
        <v>0.40188383045525899</v>
      </c>
      <c r="N15" s="3">
        <f t="shared" si="1"/>
        <v>506.76605504587098</v>
      </c>
      <c r="O15" s="21">
        <f t="shared" si="2"/>
        <v>31815.545243619541</v>
      </c>
      <c r="P15" s="3">
        <f t="shared" si="3"/>
        <v>464.03785488958903</v>
      </c>
      <c r="Q15" s="17">
        <f t="shared" si="4"/>
        <v>-1.4629629629629598E-4</v>
      </c>
      <c r="R15" s="3">
        <f t="shared" si="5"/>
        <v>849.05948144382296</v>
      </c>
      <c r="S15" s="66">
        <f t="shared" si="6"/>
        <v>0.52948021722265304</v>
      </c>
      <c r="T15" s="3">
        <f t="shared" si="7"/>
        <v>450.08246289169801</v>
      </c>
      <c r="U15" s="51">
        <f t="shared" si="7"/>
        <v>0.40188383045525899</v>
      </c>
      <c r="V15" s="42">
        <f>((AVERAGE(O13,O14)*(AVERAGE(Q14,Q15))^2)/S11)*T15</f>
        <v>0.48920983329639328</v>
      </c>
      <c r="W15" s="49">
        <f t="shared" si="8"/>
        <v>-0.21729165550704119</v>
      </c>
    </row>
    <row r="16" spans="1:23" x14ac:dyDescent="0.6">
      <c r="B16" s="2"/>
      <c r="C16" s="1"/>
      <c r="D16" s="2">
        <v>541.51376146788903</v>
      </c>
      <c r="E16" s="1">
        <v>3.4275296262534098</v>
      </c>
      <c r="F16" s="2">
        <v>500</v>
      </c>
      <c r="G16" s="1">
        <v>-155.499438832772</v>
      </c>
      <c r="H16" s="2">
        <v>902.13523131672503</v>
      </c>
      <c r="I16" s="1">
        <v>0.52637703646237299</v>
      </c>
      <c r="J16" s="2">
        <v>475.15118196811397</v>
      </c>
      <c r="K16" s="1">
        <v>0.48948194662480299</v>
      </c>
      <c r="N16" s="3">
        <f t="shared" si="1"/>
        <v>541.51376146788903</v>
      </c>
      <c r="O16" s="21">
        <f t="shared" si="2"/>
        <v>29175.531914893691</v>
      </c>
      <c r="P16" s="3">
        <f t="shared" si="3"/>
        <v>500</v>
      </c>
      <c r="Q16" s="17">
        <f t="shared" si="4"/>
        <v>-1.5549943883277198E-4</v>
      </c>
      <c r="R16" s="3">
        <f t="shared" si="5"/>
        <v>902.13523131672503</v>
      </c>
      <c r="S16" s="66">
        <f t="shared" si="6"/>
        <v>0.52637703646237299</v>
      </c>
      <c r="T16" s="3">
        <f t="shared" si="7"/>
        <v>475.15118196811397</v>
      </c>
      <c r="U16" s="51">
        <f t="shared" si="7"/>
        <v>0.48948194662480299</v>
      </c>
      <c r="V16" s="42">
        <f>((O14*(AVERAGE(Q15,Q16))^2)/S11)*T16</f>
        <v>0.59974200969718461</v>
      </c>
      <c r="W16" s="49">
        <f t="shared" si="8"/>
        <v>-0.22525869203690571</v>
      </c>
    </row>
    <row r="17" spans="2:23" x14ac:dyDescent="0.6">
      <c r="B17" s="2"/>
      <c r="C17" s="1"/>
      <c r="D17" s="2">
        <v>576.94954128440304</v>
      </c>
      <c r="E17" s="1">
        <v>3.76116681859616</v>
      </c>
      <c r="F17" s="2">
        <v>535.01577287066198</v>
      </c>
      <c r="G17" s="1">
        <v>-164.029180695847</v>
      </c>
      <c r="H17" s="2"/>
      <c r="I17" s="1"/>
      <c r="J17" s="2">
        <v>500.21990104452902</v>
      </c>
      <c r="K17" s="1">
        <v>0.54034536891679696</v>
      </c>
      <c r="N17" s="3">
        <f t="shared" si="1"/>
        <v>576.94954128440304</v>
      </c>
      <c r="O17" s="21">
        <f t="shared" si="2"/>
        <v>26587.4939408629</v>
      </c>
      <c r="P17" s="3">
        <f t="shared" si="3"/>
        <v>535.01577287066198</v>
      </c>
      <c r="Q17" s="17">
        <f t="shared" si="4"/>
        <v>-1.6402918069584701E-4</v>
      </c>
      <c r="R17" s="3"/>
      <c r="S17" s="24"/>
      <c r="T17" s="3">
        <f t="shared" si="7"/>
        <v>500.21990104452902</v>
      </c>
      <c r="U17" s="51">
        <f t="shared" si="7"/>
        <v>0.54034536891679696</v>
      </c>
      <c r="V17" s="42">
        <f>((O15*(Q16)^2)/AVERAGE(S11,S12))*T17</f>
        <v>0.59512103601436628</v>
      </c>
      <c r="W17" s="49">
        <f t="shared" si="8"/>
        <v>-0.10137158611607114</v>
      </c>
    </row>
    <row r="18" spans="2:23" x14ac:dyDescent="0.6">
      <c r="B18" s="2"/>
      <c r="C18" s="1"/>
      <c r="D18" s="2">
        <v>611.00917431192602</v>
      </c>
      <c r="E18" s="1">
        <v>4.20419325432999</v>
      </c>
      <c r="F18" s="2">
        <v>570.03154574132395</v>
      </c>
      <c r="G18" s="1">
        <v>-174.35465768799099</v>
      </c>
      <c r="H18" s="2"/>
      <c r="I18" s="1"/>
      <c r="J18" s="2">
        <v>524.95876855414997</v>
      </c>
      <c r="K18" s="1">
        <v>0.613814756671899</v>
      </c>
      <c r="N18" s="3">
        <f t="shared" si="1"/>
        <v>611.00917431192602</v>
      </c>
      <c r="O18" s="21">
        <f t="shared" si="2"/>
        <v>23785.776235906334</v>
      </c>
      <c r="P18" s="3">
        <f t="shared" si="3"/>
        <v>570.03154574132395</v>
      </c>
      <c r="Q18" s="17">
        <f t="shared" si="4"/>
        <v>-1.7435465768799097E-4</v>
      </c>
      <c r="R18" s="3"/>
      <c r="S18" s="24"/>
      <c r="T18" s="3">
        <f t="shared" si="7"/>
        <v>524.95876855414997</v>
      </c>
      <c r="U18" s="51">
        <f t="shared" si="7"/>
        <v>0.613814756671899</v>
      </c>
      <c r="V18" s="42">
        <f>((AVERAGE(O15,O16)*(AVERAGE(Q17,Q18))^2)/AVERAGE(AVERAGE(S11,S12),S12))*T18</f>
        <v>0.73107560479608824</v>
      </c>
      <c r="W18" s="49">
        <f t="shared" si="8"/>
        <v>-0.19103621548621127</v>
      </c>
    </row>
    <row r="19" spans="2:23" x14ac:dyDescent="0.6">
      <c r="B19" s="2"/>
      <c r="C19" s="1"/>
      <c r="D19" s="2">
        <v>646.78899082568796</v>
      </c>
      <c r="E19" s="1">
        <v>4.6636280765724702</v>
      </c>
      <c r="F19" s="2">
        <v>605.04731861198695</v>
      </c>
      <c r="G19" s="1">
        <v>-184.00673400673401</v>
      </c>
      <c r="H19" s="2"/>
      <c r="I19" s="1"/>
      <c r="J19" s="2">
        <v>550.02748763056604</v>
      </c>
      <c r="K19" s="1">
        <v>0.71648351648351605</v>
      </c>
      <c r="N19" s="3">
        <f t="shared" si="1"/>
        <v>646.78899082568796</v>
      </c>
      <c r="O19" s="21">
        <f t="shared" si="2"/>
        <v>21442.533229085224</v>
      </c>
      <c r="P19" s="3">
        <f t="shared" si="3"/>
        <v>605.04731861198695</v>
      </c>
      <c r="Q19" s="17">
        <f t="shared" si="4"/>
        <v>-1.8400673400673399E-4</v>
      </c>
      <c r="R19" s="3"/>
      <c r="S19" s="24"/>
      <c r="T19" s="3">
        <f t="shared" si="7"/>
        <v>550.02748763056604</v>
      </c>
      <c r="U19" s="51">
        <f t="shared" si="7"/>
        <v>0.71648351648351605</v>
      </c>
      <c r="V19" s="42">
        <f>((AVERAGE(O16,O17)*(AVERAGE(Q17,Q18))^2)/S12)*T19</f>
        <v>0.72315024000754002</v>
      </c>
      <c r="W19" s="49">
        <f t="shared" si="8"/>
        <v>-9.3047828326101572E-3</v>
      </c>
    </row>
    <row r="20" spans="2:23" x14ac:dyDescent="0.6">
      <c r="B20" s="2"/>
      <c r="C20" s="1"/>
      <c r="D20" s="2">
        <v>680.84862385321003</v>
      </c>
      <c r="E20" s="1">
        <v>5.2597994530537804</v>
      </c>
      <c r="F20" s="2">
        <v>640.06309148264904</v>
      </c>
      <c r="G20" s="1">
        <v>-193.20987654320899</v>
      </c>
      <c r="H20" s="2"/>
      <c r="I20" s="1"/>
      <c r="J20" s="2">
        <v>575.09620670698098</v>
      </c>
      <c r="K20" s="1">
        <v>0.79748822605965397</v>
      </c>
      <c r="N20" s="3">
        <f t="shared" si="1"/>
        <v>680.84862385321003</v>
      </c>
      <c r="O20" s="21">
        <f t="shared" si="2"/>
        <v>19012.13171577124</v>
      </c>
      <c r="P20" s="3">
        <f t="shared" si="3"/>
        <v>640.06309148264904</v>
      </c>
      <c r="Q20" s="17">
        <f t="shared" si="4"/>
        <v>-1.9320987654320899E-4</v>
      </c>
      <c r="R20" s="3"/>
      <c r="S20" s="24"/>
      <c r="T20" s="3">
        <f t="shared" si="7"/>
        <v>575.09620670698098</v>
      </c>
      <c r="U20" s="51">
        <f t="shared" si="7"/>
        <v>0.79748822605965397</v>
      </c>
      <c r="V20" s="42">
        <f>((O17*(Q18)^2)/S12)*T20</f>
        <v>0.76569107550315696</v>
      </c>
      <c r="W20" s="49">
        <f t="shared" si="8"/>
        <v>3.9871623827733488E-2</v>
      </c>
    </row>
    <row r="21" spans="2:23" x14ac:dyDescent="0.6">
      <c r="B21" s="2"/>
      <c r="C21" s="1"/>
      <c r="D21" s="2">
        <v>715.94036697247702</v>
      </c>
      <c r="E21" s="1">
        <v>5.7465815861440204</v>
      </c>
      <c r="F21" s="2">
        <v>674.13249211356401</v>
      </c>
      <c r="G21" s="1">
        <v>-201.51515151515099</v>
      </c>
      <c r="H21" s="2"/>
      <c r="I21" s="1"/>
      <c r="J21" s="2">
        <v>600.16492578339705</v>
      </c>
      <c r="K21" s="1">
        <v>0.86813186813186805</v>
      </c>
      <c r="N21" s="3">
        <f t="shared" si="1"/>
        <v>715.94036697247702</v>
      </c>
      <c r="O21" s="21">
        <f t="shared" si="2"/>
        <v>17401.649746192921</v>
      </c>
      <c r="P21" s="3">
        <f t="shared" si="3"/>
        <v>674.13249211356401</v>
      </c>
      <c r="Q21" s="17">
        <f t="shared" si="4"/>
        <v>-2.0151515151515097E-4</v>
      </c>
      <c r="R21" s="3"/>
      <c r="S21" s="24"/>
      <c r="T21" s="3">
        <f t="shared" si="7"/>
        <v>600.16492578339705</v>
      </c>
      <c r="U21" s="51">
        <f t="shared" si="7"/>
        <v>0.86813186813186805</v>
      </c>
      <c r="V21" s="42">
        <f>((O18*(Q19)^2)/AVERAGE(S12,S13))*T21</f>
        <v>0.83125956249796029</v>
      </c>
      <c r="W21" s="49">
        <f t="shared" si="8"/>
        <v>4.2473162185893747E-2</v>
      </c>
    </row>
    <row r="22" spans="2:23" x14ac:dyDescent="0.6">
      <c r="B22" s="2"/>
      <c r="C22" s="1"/>
      <c r="D22" s="2">
        <v>749.99999999999898</v>
      </c>
      <c r="E22" s="1">
        <v>6.1130355515041002</v>
      </c>
      <c r="F22" s="2">
        <v>709.14826498422701</v>
      </c>
      <c r="G22" s="1">
        <v>-209.37149270482601</v>
      </c>
      <c r="H22" s="2"/>
      <c r="I22" s="1"/>
      <c r="J22" s="2">
        <v>625.23364485981301</v>
      </c>
      <c r="K22" s="1">
        <v>0.92653061224489797</v>
      </c>
      <c r="N22" s="3">
        <f t="shared" si="1"/>
        <v>749.99999999999898</v>
      </c>
      <c r="O22" s="21">
        <f t="shared" si="2"/>
        <v>16358.484938860725</v>
      </c>
      <c r="P22" s="3">
        <f t="shared" si="3"/>
        <v>709.14826498422701</v>
      </c>
      <c r="Q22" s="17">
        <f t="shared" si="4"/>
        <v>-2.0937149270482599E-4</v>
      </c>
      <c r="R22" s="3"/>
      <c r="S22" s="24"/>
      <c r="T22" s="3">
        <f t="shared" si="7"/>
        <v>625.23364485981301</v>
      </c>
      <c r="U22" s="51">
        <f t="shared" si="7"/>
        <v>0.92653061224489797</v>
      </c>
      <c r="V22" s="42">
        <f>((AVERAGE(O18,O19)*(AVERAGE(Q19,Q20))^2)/S13)*T22</f>
        <v>0.90485928601776</v>
      </c>
      <c r="W22" s="49">
        <f t="shared" si="8"/>
        <v>2.3389757381712784E-2</v>
      </c>
    </row>
    <row r="23" spans="2:23" x14ac:dyDescent="0.6">
      <c r="B23" s="2"/>
      <c r="C23" s="1"/>
      <c r="D23" s="2">
        <v>785.09174311926495</v>
      </c>
      <c r="E23" s="1">
        <v>6.2388331814038196</v>
      </c>
      <c r="F23" s="2">
        <v>742.90220820189199</v>
      </c>
      <c r="G23" s="1">
        <v>-214.42199775533101</v>
      </c>
      <c r="H23" s="2"/>
      <c r="I23" s="1"/>
      <c r="J23" s="2">
        <v>649.97251236943305</v>
      </c>
      <c r="K23" s="1">
        <v>0.97268445839874396</v>
      </c>
      <c r="N23" s="3">
        <f t="shared" si="1"/>
        <v>785.09174311926495</v>
      </c>
      <c r="O23" s="21">
        <f t="shared" si="2"/>
        <v>16028.638223261272</v>
      </c>
      <c r="P23" s="3">
        <f t="shared" si="3"/>
        <v>742.90220820189199</v>
      </c>
      <c r="Q23" s="17">
        <f t="shared" si="4"/>
        <v>-2.1442199775533101E-4</v>
      </c>
      <c r="R23" s="3"/>
      <c r="S23" s="24"/>
      <c r="T23" s="3">
        <f t="shared" si="7"/>
        <v>649.97251236943305</v>
      </c>
      <c r="U23" s="51">
        <f t="shared" si="7"/>
        <v>0.97268445839874396</v>
      </c>
      <c r="V23" s="42">
        <f>((O19*(Q20)^2)/S13)*T23</f>
        <v>0.93597974585163735</v>
      </c>
      <c r="W23" s="49">
        <f t="shared" si="8"/>
        <v>3.7735477554078301E-2</v>
      </c>
    </row>
    <row r="24" spans="2:23" x14ac:dyDescent="0.6">
      <c r="B24" s="2"/>
      <c r="C24" s="1"/>
      <c r="D24" s="2">
        <v>819.49541284403597</v>
      </c>
      <c r="E24" s="1">
        <v>6.2497721057429301</v>
      </c>
      <c r="F24" s="2">
        <v>776.97160883280696</v>
      </c>
      <c r="G24" s="1">
        <v>-218.12570145903399</v>
      </c>
      <c r="H24" s="2"/>
      <c r="I24" s="1"/>
      <c r="J24" s="2">
        <v>675.04123144584901</v>
      </c>
      <c r="K24" s="1">
        <v>1.0113029827315501</v>
      </c>
      <c r="N24" s="3">
        <f t="shared" si="1"/>
        <v>819.49541284403597</v>
      </c>
      <c r="O24" s="21">
        <f t="shared" si="2"/>
        <v>16000.583430571776</v>
      </c>
      <c r="P24" s="3">
        <f t="shared" si="3"/>
        <v>776.97160883280696</v>
      </c>
      <c r="Q24" s="17">
        <f t="shared" si="4"/>
        <v>-2.1812570145903398E-4</v>
      </c>
      <c r="R24" s="3"/>
      <c r="S24" s="24"/>
      <c r="T24" s="3">
        <f t="shared" si="7"/>
        <v>675.04123144584901</v>
      </c>
      <c r="U24" s="51">
        <f t="shared" si="7"/>
        <v>1.0113029827315501</v>
      </c>
      <c r="V24" s="42">
        <f>((O20*(Q21)^2)/S13)*T24</f>
        <v>0.93759060777258585</v>
      </c>
      <c r="W24" s="49">
        <f t="shared" si="8"/>
        <v>7.2888517306520323E-2</v>
      </c>
    </row>
    <row r="25" spans="2:23" x14ac:dyDescent="0.6">
      <c r="B25" s="2"/>
      <c r="C25" s="1"/>
      <c r="D25" s="2">
        <v>853.89908256880699</v>
      </c>
      <c r="E25" s="1">
        <v>5.8833181403828601</v>
      </c>
      <c r="F25" s="2">
        <v>811.04100946372205</v>
      </c>
      <c r="G25" s="1">
        <v>-219.472502805836</v>
      </c>
      <c r="H25" s="2"/>
      <c r="I25" s="1"/>
      <c r="J25" s="2">
        <v>700.10995052226497</v>
      </c>
      <c r="K25" s="1">
        <v>1.0734693877551</v>
      </c>
      <c r="N25" s="3">
        <f t="shared" si="1"/>
        <v>853.89908256880699</v>
      </c>
      <c r="O25" s="21">
        <f t="shared" si="2"/>
        <v>16997.211031918196</v>
      </c>
      <c r="P25" s="3">
        <f t="shared" si="3"/>
        <v>811.04100946372205</v>
      </c>
      <c r="Q25" s="17">
        <f t="shared" si="4"/>
        <v>-2.1947250280583599E-4</v>
      </c>
      <c r="R25" s="3"/>
      <c r="S25" s="24"/>
      <c r="T25" s="3">
        <f t="shared" si="7"/>
        <v>700.10995052226497</v>
      </c>
      <c r="U25" s="51">
        <f t="shared" si="7"/>
        <v>1.0734693877551</v>
      </c>
      <c r="V25" s="42">
        <f>((AVERAGE(O20,O21)*(AVERAGE(Q21,Q22))^2)/AVERAGE(S13,S14))*T25</f>
        <v>0.99282476416209675</v>
      </c>
      <c r="W25" s="49">
        <f t="shared" si="8"/>
        <v>7.5125219696904347E-2</v>
      </c>
    </row>
    <row r="26" spans="2:23" x14ac:dyDescent="0.6">
      <c r="B26" s="2"/>
      <c r="C26" s="1"/>
      <c r="D26" s="2">
        <v>886.92660550458697</v>
      </c>
      <c r="E26" s="1">
        <v>5.1668185961713702</v>
      </c>
      <c r="F26" s="2">
        <v>846.05678233438402</v>
      </c>
      <c r="G26" s="1">
        <v>-216.8911335578</v>
      </c>
      <c r="H26" s="2"/>
      <c r="I26" s="1"/>
      <c r="J26" s="2">
        <v>724.848818031885</v>
      </c>
      <c r="K26" s="1">
        <v>1.1130298273155399</v>
      </c>
      <c r="N26" s="3">
        <f t="shared" si="1"/>
        <v>886.92660550458697</v>
      </c>
      <c r="O26" s="21">
        <f t="shared" si="2"/>
        <v>19354.269583627407</v>
      </c>
      <c r="P26" s="3">
        <f t="shared" si="3"/>
        <v>846.05678233438402</v>
      </c>
      <c r="Q26" s="17">
        <f t="shared" si="4"/>
        <v>-2.168911335578E-4</v>
      </c>
      <c r="R26" s="3"/>
      <c r="S26" s="24"/>
      <c r="T26" s="3">
        <f t="shared" si="7"/>
        <v>724.848818031885</v>
      </c>
      <c r="U26" s="51">
        <f t="shared" si="7"/>
        <v>1.1130298273155399</v>
      </c>
      <c r="V26" s="42">
        <f>((AVERAGE(O21,O22)*(AVERAGE(Q22,Q23))^2)/S14)*T26</f>
        <v>1.0406267118955452</v>
      </c>
      <c r="W26" s="49">
        <f t="shared" si="8"/>
        <v>6.5050471823041855E-2</v>
      </c>
    </row>
    <row r="27" spans="2:23" x14ac:dyDescent="0.6">
      <c r="B27" s="2"/>
      <c r="C27" s="1"/>
      <c r="D27" s="2">
        <v>897.93577981651299</v>
      </c>
      <c r="E27" s="1">
        <v>4.32452142206016</v>
      </c>
      <c r="F27" s="2">
        <v>880.12618296529899</v>
      </c>
      <c r="G27" s="1">
        <v>-210.493827160493</v>
      </c>
      <c r="H27" s="2"/>
      <c r="I27" s="1"/>
      <c r="J27" s="2">
        <v>749.91753710830096</v>
      </c>
      <c r="K27" s="1">
        <v>1.16389324960753</v>
      </c>
      <c r="N27" s="3">
        <f t="shared" si="1"/>
        <v>897.93577981651299</v>
      </c>
      <c r="O27" s="21">
        <f t="shared" si="2"/>
        <v>23123.946037099515</v>
      </c>
      <c r="P27" s="3">
        <f t="shared" ref="P27:P28" si="9">F27</f>
        <v>880.12618296529899</v>
      </c>
      <c r="Q27" s="17">
        <f t="shared" si="4"/>
        <v>-2.1049382716049298E-4</v>
      </c>
      <c r="R27" s="3"/>
      <c r="S27" s="24"/>
      <c r="T27" s="3">
        <f t="shared" si="7"/>
        <v>749.91753710830096</v>
      </c>
      <c r="U27" s="51">
        <f t="shared" si="7"/>
        <v>1.16389324960753</v>
      </c>
      <c r="V27" s="42">
        <f>((O22*(Q23)^2)/S14)*T27</f>
        <v>1.0683659844550903</v>
      </c>
      <c r="W27" s="49">
        <f t="shared" si="8"/>
        <v>8.2075624362158567E-2</v>
      </c>
    </row>
    <row r="28" spans="2:23" x14ac:dyDescent="0.6">
      <c r="B28" s="2"/>
      <c r="C28" s="1"/>
      <c r="D28" s="2"/>
      <c r="E28" s="1"/>
      <c r="F28" s="2">
        <v>895.89905362776005</v>
      </c>
      <c r="G28" s="1">
        <v>-202.300785634118</v>
      </c>
      <c r="H28" s="2"/>
      <c r="I28" s="1"/>
      <c r="J28" s="2">
        <v>774.98625618471601</v>
      </c>
      <c r="K28" s="1">
        <v>1.1864992150706399</v>
      </c>
      <c r="N28" s="3"/>
      <c r="O28" s="21"/>
      <c r="P28" s="3">
        <f t="shared" si="9"/>
        <v>895.89905362776005</v>
      </c>
      <c r="Q28" s="17">
        <f t="shared" si="4"/>
        <v>-2.0230078563411799E-4</v>
      </c>
      <c r="R28" s="3"/>
      <c r="S28" s="24"/>
      <c r="T28" s="3">
        <f t="shared" si="7"/>
        <v>774.98625618471601</v>
      </c>
      <c r="U28" s="51">
        <f t="shared" si="7"/>
        <v>1.1864992150706399</v>
      </c>
      <c r="V28" s="42">
        <f>((AVERAGE(O22,O23)*(Q24)^2)/S14)*T28</f>
        <v>1.1310318828872581</v>
      </c>
      <c r="W28" s="49">
        <f t="shared" si="8"/>
        <v>4.6748730617642689E-2</v>
      </c>
    </row>
    <row r="29" spans="2:23" x14ac:dyDescent="0.6">
      <c r="B29" s="28"/>
      <c r="C29" s="29"/>
      <c r="D29" s="28"/>
      <c r="E29" s="29"/>
      <c r="F29" s="28"/>
      <c r="G29" s="29"/>
      <c r="H29" s="28"/>
      <c r="I29" s="29"/>
      <c r="J29" s="28">
        <v>800.05497526113197</v>
      </c>
      <c r="K29" s="29">
        <v>1.2298273155416</v>
      </c>
      <c r="N29" s="32"/>
      <c r="O29" s="33"/>
      <c r="P29" s="32"/>
      <c r="Q29" s="34"/>
      <c r="R29" s="32"/>
      <c r="S29" s="35"/>
      <c r="T29" s="2">
        <f t="shared" ref="T29" si="10">J29</f>
        <v>800.05497526113197</v>
      </c>
      <c r="U29" s="54">
        <f t="shared" si="7"/>
        <v>1.2298273155416</v>
      </c>
      <c r="V29" s="42">
        <f>((AVERAGE(O23,O24)*(AVERAGE(Q24,Q25))^2)/AVERAGE(S14,S15))*T29</f>
        <v>1.1601505432357277</v>
      </c>
      <c r="W29" s="49">
        <f t="shared" si="8"/>
        <v>5.6655736480521635E-2</v>
      </c>
    </row>
    <row r="30" spans="2:23" x14ac:dyDescent="0.6">
      <c r="B30" s="2"/>
      <c r="C30" s="1"/>
      <c r="D30" s="2"/>
      <c r="E30" s="1"/>
      <c r="F30" s="2"/>
      <c r="G30" s="1"/>
      <c r="H30" s="2"/>
      <c r="I30" s="1"/>
      <c r="J30" s="2">
        <v>825.12369433754805</v>
      </c>
      <c r="K30" s="1">
        <v>1.27598116169544</v>
      </c>
      <c r="N30" s="2"/>
      <c r="O30" s="1"/>
      <c r="P30" s="2"/>
      <c r="Q30" s="1"/>
      <c r="R30" s="2"/>
      <c r="S30" s="1"/>
      <c r="T30" s="2">
        <f t="shared" ref="T30:T33" si="11">J30</f>
        <v>825.12369433754805</v>
      </c>
      <c r="U30" s="54">
        <f t="shared" ref="U30:U33" si="12">K30</f>
        <v>1.27598116169544</v>
      </c>
      <c r="V30" s="42">
        <f>((O24*(AVERAGE(Q25,Q26))^2)/S15)*T30</f>
        <v>1.1869768584658125</v>
      </c>
      <c r="W30" s="49">
        <f t="shared" ref="W30:W33" si="13">(U30-V30)/U30</f>
        <v>6.9753618549794588E-2</v>
      </c>
    </row>
    <row r="31" spans="2:23" x14ac:dyDescent="0.6">
      <c r="B31" s="2"/>
      <c r="C31" s="1"/>
      <c r="D31" s="2"/>
      <c r="E31" s="1"/>
      <c r="F31" s="2"/>
      <c r="G31" s="1"/>
      <c r="H31" s="2"/>
      <c r="I31" s="1"/>
      <c r="J31" s="2">
        <v>849.86256184716797</v>
      </c>
      <c r="K31" s="1">
        <v>1.36546310832025</v>
      </c>
      <c r="N31" s="2"/>
      <c r="O31" s="1"/>
      <c r="P31" s="2"/>
      <c r="Q31" s="1"/>
      <c r="R31" s="2"/>
      <c r="S31" s="1"/>
      <c r="T31" s="2">
        <f t="shared" si="11"/>
        <v>849.86256184716797</v>
      </c>
      <c r="U31" s="54">
        <f t="shared" si="12"/>
        <v>1.36546310832025</v>
      </c>
      <c r="V31" s="42">
        <f>((O25*(Q26)^2)/S15)*T31</f>
        <v>1.2833946465324255</v>
      </c>
      <c r="W31" s="49">
        <f t="shared" si="13"/>
        <v>6.0103023866226978E-2</v>
      </c>
    </row>
    <row r="32" spans="2:23" x14ac:dyDescent="0.6">
      <c r="B32" s="2"/>
      <c r="C32" s="1"/>
      <c r="D32" s="2"/>
      <c r="E32" s="1"/>
      <c r="F32" s="2"/>
      <c r="G32" s="1"/>
      <c r="H32" s="2"/>
      <c r="I32" s="1"/>
      <c r="J32" s="2">
        <v>874.93128092358404</v>
      </c>
      <c r="K32" s="1">
        <v>1.46907378335949</v>
      </c>
      <c r="N32" s="2"/>
      <c r="O32" s="1"/>
      <c r="P32" s="2"/>
      <c r="Q32" s="1"/>
      <c r="R32" s="2"/>
      <c r="S32" s="1"/>
      <c r="T32" s="2">
        <f t="shared" si="11"/>
        <v>874.93128092358404</v>
      </c>
      <c r="U32" s="54">
        <f t="shared" si="12"/>
        <v>1.46907378335949</v>
      </c>
      <c r="V32" s="42">
        <f>((AVERAGE(O25,O26)*(Q27)^2)/AVERAGE(S15,S16))*T32</f>
        <v>1.3346566956403081</v>
      </c>
      <c r="W32" s="49">
        <f t="shared" si="13"/>
        <v>9.1497846630817836E-2</v>
      </c>
    </row>
    <row r="33" spans="2:23" x14ac:dyDescent="0.6">
      <c r="B33" s="2"/>
      <c r="C33" s="1"/>
      <c r="D33" s="2"/>
      <c r="E33" s="1"/>
      <c r="F33" s="2"/>
      <c r="G33" s="1"/>
      <c r="H33" s="2"/>
      <c r="I33" s="1"/>
      <c r="J33" s="2">
        <v>900</v>
      </c>
      <c r="K33" s="1">
        <v>1.6583987441130299</v>
      </c>
      <c r="N33" s="2"/>
      <c r="O33" s="1"/>
      <c r="P33" s="2"/>
      <c r="Q33" s="1"/>
      <c r="R33" s="2"/>
      <c r="S33" s="1"/>
      <c r="T33" s="2">
        <f t="shared" si="11"/>
        <v>900</v>
      </c>
      <c r="U33" s="54">
        <f t="shared" si="12"/>
        <v>1.6583987441130299</v>
      </c>
      <c r="V33" s="42">
        <f>((O27*(Q28)^2)/S16)*T33</f>
        <v>1.6180899509134894</v>
      </c>
      <c r="W33" s="49">
        <f t="shared" si="13"/>
        <v>2.4305851257201156E-2</v>
      </c>
    </row>
    <row r="43" spans="2:23" ht="17.25" thickBot="1" x14ac:dyDescent="0.65">
      <c r="B43" t="s">
        <v>79</v>
      </c>
    </row>
    <row r="44" spans="2:23" x14ac:dyDescent="0.6">
      <c r="B44" s="5" t="s">
        <v>18</v>
      </c>
      <c r="C44" s="6" t="s">
        <v>19</v>
      </c>
      <c r="D44" s="7" t="s">
        <v>18</v>
      </c>
      <c r="E44" s="6" t="s">
        <v>20</v>
      </c>
      <c r="F44" s="7" t="s">
        <v>18</v>
      </c>
      <c r="G44" s="6" t="s">
        <v>21</v>
      </c>
      <c r="H44" s="7" t="s">
        <v>18</v>
      </c>
      <c r="I44" s="6" t="s">
        <v>22</v>
      </c>
      <c r="J44" s="7" t="s">
        <v>18</v>
      </c>
      <c r="K44" s="8" t="s">
        <v>23</v>
      </c>
      <c r="N44" s="5" t="s">
        <v>18</v>
      </c>
      <c r="O44" s="19" t="s">
        <v>19</v>
      </c>
      <c r="P44" s="7" t="s">
        <v>18</v>
      </c>
      <c r="Q44" s="15" t="s">
        <v>21</v>
      </c>
      <c r="R44" s="7" t="s">
        <v>18</v>
      </c>
      <c r="S44" s="23" t="s">
        <v>22</v>
      </c>
      <c r="T44" s="7" t="s">
        <v>18</v>
      </c>
      <c r="U44" s="25" t="s">
        <v>23</v>
      </c>
    </row>
    <row r="45" spans="2:23" ht="17.25" thickBot="1" x14ac:dyDescent="0.65">
      <c r="B45" s="9" t="s">
        <v>24</v>
      </c>
      <c r="C45" s="10" t="s">
        <v>25</v>
      </c>
      <c r="D45" s="11" t="s">
        <v>24</v>
      </c>
      <c r="E45" s="10" t="s">
        <v>71</v>
      </c>
      <c r="F45" s="11" t="s">
        <v>24</v>
      </c>
      <c r="G45" s="27" t="s">
        <v>27</v>
      </c>
      <c r="H45" s="11" t="s">
        <v>24</v>
      </c>
      <c r="I45" s="10" t="s">
        <v>28</v>
      </c>
      <c r="J45" s="11" t="s">
        <v>24</v>
      </c>
      <c r="K45" s="12" t="s">
        <v>29</v>
      </c>
      <c r="N45" s="9" t="s">
        <v>24</v>
      </c>
      <c r="O45" s="20" t="s">
        <v>30</v>
      </c>
      <c r="P45" s="11" t="s">
        <v>24</v>
      </c>
      <c r="Q45" s="16" t="s">
        <v>31</v>
      </c>
      <c r="R45" s="11" t="s">
        <v>24</v>
      </c>
      <c r="S45" s="10" t="s">
        <v>28</v>
      </c>
      <c r="T45" s="11" t="s">
        <v>24</v>
      </c>
      <c r="U45" s="26" t="s">
        <v>29</v>
      </c>
      <c r="W45" t="s">
        <v>78</v>
      </c>
    </row>
    <row r="46" spans="2:23" x14ac:dyDescent="0.6">
      <c r="B46" s="3"/>
      <c r="C46" s="4"/>
      <c r="D46" s="3">
        <v>316.346</v>
      </c>
      <c r="E46" s="4">
        <v>2.1625800000000002</v>
      </c>
      <c r="F46" s="3">
        <v>310.59399999999999</v>
      </c>
      <c r="G46" s="4">
        <v>-91.438400000000001</v>
      </c>
      <c r="H46" s="3">
        <v>309.36599999999999</v>
      </c>
      <c r="I46" s="4">
        <v>0.42068899999999998</v>
      </c>
      <c r="J46" s="3">
        <v>300.04300000000001</v>
      </c>
      <c r="K46" s="4">
        <v>6.9707400000000003E-2</v>
      </c>
      <c r="N46" s="3">
        <f>D46</f>
        <v>316.346</v>
      </c>
      <c r="O46" s="21">
        <f>1/E46*100000</f>
        <v>46241.063914398539</v>
      </c>
      <c r="P46" s="3">
        <f>F46</f>
        <v>310.59399999999999</v>
      </c>
      <c r="Q46" s="17">
        <f>G46*0.000001</f>
        <v>-9.1438400000000002E-5</v>
      </c>
      <c r="R46" s="3">
        <f>H46</f>
        <v>309.36599999999999</v>
      </c>
      <c r="S46" s="24">
        <f>I46</f>
        <v>0.42068899999999998</v>
      </c>
      <c r="T46" s="3">
        <f>J46</f>
        <v>300.04300000000001</v>
      </c>
      <c r="U46" s="51">
        <f>K46</f>
        <v>6.9707400000000003E-2</v>
      </c>
      <c r="V46" s="42">
        <f>((O46*(Q46)^2)/S46)*T46</f>
        <v>0.27574484156987245</v>
      </c>
      <c r="W46" s="49">
        <f t="shared" ref="W46:W66" si="14">(U46-V46)/U46</f>
        <v>-2.9557470450751633</v>
      </c>
    </row>
    <row r="47" spans="2:23" x14ac:dyDescent="0.6">
      <c r="B47" s="3"/>
      <c r="C47" s="4"/>
      <c r="D47" s="3">
        <v>334.61500000000001</v>
      </c>
      <c r="E47" s="4">
        <v>2.14724</v>
      </c>
      <c r="F47" s="3">
        <v>328.892</v>
      </c>
      <c r="G47" s="4">
        <v>-97.602699999999999</v>
      </c>
      <c r="H47" s="3">
        <v>346.95100000000002</v>
      </c>
      <c r="I47" s="4">
        <v>0.36835000000000001</v>
      </c>
      <c r="J47" s="3">
        <v>328.58499999999998</v>
      </c>
      <c r="K47" s="4">
        <v>0.101627</v>
      </c>
      <c r="N47" s="3">
        <f t="shared" ref="N47:N64" si="15">D47</f>
        <v>334.61500000000001</v>
      </c>
      <c r="O47" s="21">
        <f t="shared" ref="O47:O64" si="16">1/E47*100000</f>
        <v>46571.412604087112</v>
      </c>
      <c r="P47" s="3">
        <f t="shared" ref="P47:P63" si="17">F47</f>
        <v>328.892</v>
      </c>
      <c r="Q47" s="17">
        <f t="shared" ref="Q47:Q63" si="18">G47*0.000001</f>
        <v>-9.76027E-5</v>
      </c>
      <c r="R47" s="3">
        <f t="shared" ref="R47:R53" si="19">H47</f>
        <v>346.95100000000002</v>
      </c>
      <c r="S47" s="24">
        <f t="shared" ref="S47:S53" si="20">I47</f>
        <v>0.36835000000000001</v>
      </c>
      <c r="T47" s="3">
        <f t="shared" ref="T47:T66" si="21">J47</f>
        <v>328.58499999999998</v>
      </c>
      <c r="U47" s="51">
        <f t="shared" ref="U47:U66" si="22">K47</f>
        <v>0.101627</v>
      </c>
      <c r="V47" s="42">
        <f t="shared" ref="V47:V65" si="23">((O47*(Q47)^2)/S47)*T47</f>
        <v>0.39575839350352476</v>
      </c>
      <c r="W47" s="49">
        <f t="shared" si="14"/>
        <v>-2.8942248959776911</v>
      </c>
    </row>
    <row r="48" spans="2:23" x14ac:dyDescent="0.6">
      <c r="B48" s="2"/>
      <c r="C48" s="1"/>
      <c r="D48" s="2">
        <v>368.26900000000001</v>
      </c>
      <c r="E48" s="1">
        <v>2.1932499999999999</v>
      </c>
      <c r="F48" s="2">
        <v>349.11700000000002</v>
      </c>
      <c r="G48" s="1">
        <v>-104.11</v>
      </c>
      <c r="H48" s="2">
        <v>444.28300000000002</v>
      </c>
      <c r="I48" s="1">
        <v>0.24080499999999999</v>
      </c>
      <c r="J48" s="2">
        <v>352.03699999999998</v>
      </c>
      <c r="K48" s="1">
        <v>0.1394</v>
      </c>
      <c r="N48" s="3">
        <f t="shared" si="15"/>
        <v>368.26900000000001</v>
      </c>
      <c r="O48" s="21">
        <f t="shared" si="16"/>
        <v>45594.437478627609</v>
      </c>
      <c r="P48" s="3">
        <f t="shared" si="17"/>
        <v>349.11700000000002</v>
      </c>
      <c r="Q48" s="17">
        <f t="shared" si="18"/>
        <v>-1.0410999999999999E-4</v>
      </c>
      <c r="R48" s="3">
        <f t="shared" si="19"/>
        <v>444.28300000000002</v>
      </c>
      <c r="S48" s="24">
        <f t="shared" si="20"/>
        <v>0.24080499999999999</v>
      </c>
      <c r="T48" s="3">
        <f t="shared" si="21"/>
        <v>352.03699999999998</v>
      </c>
      <c r="U48" s="51">
        <f t="shared" si="22"/>
        <v>0.1394</v>
      </c>
      <c r="V48" s="42">
        <f t="shared" si="23"/>
        <v>0.72246958074462475</v>
      </c>
      <c r="W48" s="49">
        <f t="shared" si="14"/>
        <v>-4.1827086136630189</v>
      </c>
    </row>
    <row r="49" spans="2:23" x14ac:dyDescent="0.6">
      <c r="B49" s="2"/>
      <c r="C49" s="1"/>
      <c r="D49" s="2">
        <v>401.923</v>
      </c>
      <c r="E49" s="1">
        <v>2.3312900000000001</v>
      </c>
      <c r="F49" s="2">
        <v>386.67700000000002</v>
      </c>
      <c r="G49" s="1">
        <v>-116.438</v>
      </c>
      <c r="H49" s="2">
        <v>545.45699999999999</v>
      </c>
      <c r="I49" s="1">
        <v>0.13298499999999999</v>
      </c>
      <c r="J49" s="2">
        <v>375.50099999999998</v>
      </c>
      <c r="K49" s="1">
        <v>0.197574</v>
      </c>
      <c r="N49" s="3">
        <f t="shared" si="15"/>
        <v>401.923</v>
      </c>
      <c r="O49" s="21">
        <f t="shared" si="16"/>
        <v>42894.70636428758</v>
      </c>
      <c r="P49" s="3">
        <f t="shared" si="17"/>
        <v>386.67700000000002</v>
      </c>
      <c r="Q49" s="17">
        <f t="shared" si="18"/>
        <v>-1.16438E-4</v>
      </c>
      <c r="R49" s="3">
        <f t="shared" si="19"/>
        <v>545.45699999999999</v>
      </c>
      <c r="S49" s="24">
        <f t="shared" si="20"/>
        <v>0.13298499999999999</v>
      </c>
      <c r="T49" s="3">
        <f t="shared" si="21"/>
        <v>375.50099999999998</v>
      </c>
      <c r="U49" s="51">
        <f t="shared" si="22"/>
        <v>0.197574</v>
      </c>
      <c r="V49" s="42">
        <f t="shared" si="23"/>
        <v>1.6421076103005821</v>
      </c>
      <c r="W49" s="49">
        <f t="shared" si="14"/>
        <v>-7.3113547850455127</v>
      </c>
    </row>
    <row r="50" spans="2:23" x14ac:dyDescent="0.6">
      <c r="B50" s="2"/>
      <c r="C50" s="1"/>
      <c r="D50" s="2">
        <v>438.46199999999999</v>
      </c>
      <c r="E50" s="1">
        <v>2.4693299999999998</v>
      </c>
      <c r="F50" s="2">
        <v>422.31099999999998</v>
      </c>
      <c r="G50" s="1">
        <v>-128.42500000000001</v>
      </c>
      <c r="H50" s="2">
        <v>645.64200000000005</v>
      </c>
      <c r="I50" s="1">
        <v>8.0988699999999997E-2</v>
      </c>
      <c r="J50" s="2">
        <v>399.98899999999998</v>
      </c>
      <c r="K50" s="1">
        <v>0.26448500000000003</v>
      </c>
      <c r="N50" s="3">
        <f t="shared" si="15"/>
        <v>438.46199999999999</v>
      </c>
      <c r="O50" s="21">
        <f t="shared" si="16"/>
        <v>40496.814925506114</v>
      </c>
      <c r="P50" s="3">
        <f t="shared" si="17"/>
        <v>422.31099999999998</v>
      </c>
      <c r="Q50" s="17">
        <f t="shared" si="18"/>
        <v>-1.2842500000000002E-4</v>
      </c>
      <c r="R50" s="3">
        <f t="shared" si="19"/>
        <v>645.64200000000005</v>
      </c>
      <c r="S50" s="24">
        <f t="shared" si="20"/>
        <v>8.0988699999999997E-2</v>
      </c>
      <c r="T50" s="3">
        <f t="shared" si="21"/>
        <v>399.98899999999998</v>
      </c>
      <c r="U50" s="51">
        <f t="shared" si="22"/>
        <v>0.26448500000000003</v>
      </c>
      <c r="V50" s="42">
        <f t="shared" si="23"/>
        <v>3.2987061964349342</v>
      </c>
      <c r="W50" s="49">
        <f t="shared" si="14"/>
        <v>-11.472186310886945</v>
      </c>
    </row>
    <row r="51" spans="2:23" x14ac:dyDescent="0.6">
      <c r="B51" s="2"/>
      <c r="C51" s="1"/>
      <c r="D51" s="2">
        <v>472.11500000000001</v>
      </c>
      <c r="E51" s="1">
        <v>2.6687099999999999</v>
      </c>
      <c r="F51" s="2">
        <v>462.76100000000002</v>
      </c>
      <c r="G51" s="1">
        <v>-147.26</v>
      </c>
      <c r="H51" s="2">
        <v>748.71500000000003</v>
      </c>
      <c r="I51" s="1">
        <v>3.22922E-2</v>
      </c>
      <c r="J51" s="2">
        <v>422.44499999999999</v>
      </c>
      <c r="K51" s="1">
        <v>0.34015000000000001</v>
      </c>
      <c r="N51" s="3">
        <f t="shared" si="15"/>
        <v>472.11500000000001</v>
      </c>
      <c r="O51" s="21">
        <f t="shared" si="16"/>
        <v>37471.287625856683</v>
      </c>
      <c r="P51" s="3">
        <f t="shared" si="17"/>
        <v>462.76100000000002</v>
      </c>
      <c r="Q51" s="17">
        <f t="shared" si="18"/>
        <v>-1.4726E-4</v>
      </c>
      <c r="R51" s="3">
        <f t="shared" si="19"/>
        <v>748.71500000000003</v>
      </c>
      <c r="S51" s="24">
        <f t="shared" si="20"/>
        <v>3.22922E-2</v>
      </c>
      <c r="T51" s="3">
        <f t="shared" si="21"/>
        <v>422.44499999999999</v>
      </c>
      <c r="U51" s="51">
        <f t="shared" si="22"/>
        <v>0.34015000000000001</v>
      </c>
      <c r="V51" s="42">
        <f t="shared" si="23"/>
        <v>10.630183217809707</v>
      </c>
      <c r="W51" s="49">
        <f t="shared" si="14"/>
        <v>-30.251457350609165</v>
      </c>
    </row>
    <row r="52" spans="2:23" x14ac:dyDescent="0.6">
      <c r="B52" s="2"/>
      <c r="C52" s="1"/>
      <c r="D52" s="2">
        <v>503.846</v>
      </c>
      <c r="E52" s="1">
        <v>3.1288299999999998</v>
      </c>
      <c r="F52" s="2">
        <v>499.358</v>
      </c>
      <c r="G52" s="1">
        <v>-155.822</v>
      </c>
      <c r="H52" s="2">
        <v>852.726</v>
      </c>
      <c r="I52" s="1">
        <v>3.6145499999999997E-2</v>
      </c>
      <c r="J52" s="2">
        <v>453.041</v>
      </c>
      <c r="K52" s="1">
        <v>0.40120400000000001</v>
      </c>
      <c r="N52" s="3">
        <f t="shared" si="15"/>
        <v>503.846</v>
      </c>
      <c r="O52" s="21">
        <f t="shared" si="16"/>
        <v>31960.828808212653</v>
      </c>
      <c r="P52" s="3">
        <f t="shared" si="17"/>
        <v>499.358</v>
      </c>
      <c r="Q52" s="17">
        <f t="shared" si="18"/>
        <v>-1.5582199999999999E-4</v>
      </c>
      <c r="R52" s="3">
        <f t="shared" si="19"/>
        <v>852.726</v>
      </c>
      <c r="S52" s="24">
        <f t="shared" si="20"/>
        <v>3.6145499999999997E-2</v>
      </c>
      <c r="T52" s="3">
        <f t="shared" si="21"/>
        <v>453.041</v>
      </c>
      <c r="U52" s="51">
        <f t="shared" si="22"/>
        <v>0.40120400000000001</v>
      </c>
      <c r="V52" s="42">
        <f t="shared" si="23"/>
        <v>9.7265506351800219</v>
      </c>
      <c r="W52" s="49">
        <f t="shared" si="14"/>
        <v>-23.243403942084381</v>
      </c>
    </row>
    <row r="53" spans="2:23" x14ac:dyDescent="0.6">
      <c r="B53" s="2"/>
      <c r="C53" s="1"/>
      <c r="D53" s="2">
        <v>546.154</v>
      </c>
      <c r="E53" s="1">
        <v>3.4049100000000001</v>
      </c>
      <c r="F53" s="2">
        <v>533.06600000000003</v>
      </c>
      <c r="G53" s="1">
        <v>-164.041</v>
      </c>
      <c r="H53" s="2">
        <v>902.80700000000002</v>
      </c>
      <c r="I53" s="1">
        <v>3.3135600000000001E-2</v>
      </c>
      <c r="J53" s="2">
        <v>476.52600000000001</v>
      </c>
      <c r="K53" s="1">
        <v>0.49435000000000001</v>
      </c>
      <c r="N53" s="3">
        <f t="shared" si="15"/>
        <v>546.154</v>
      </c>
      <c r="O53" s="21">
        <f t="shared" si="16"/>
        <v>29369.351906511478</v>
      </c>
      <c r="P53" s="3">
        <f t="shared" si="17"/>
        <v>533.06600000000003</v>
      </c>
      <c r="Q53" s="17">
        <f t="shared" si="18"/>
        <v>-1.64041E-4</v>
      </c>
      <c r="R53" s="3">
        <f t="shared" si="19"/>
        <v>902.80700000000002</v>
      </c>
      <c r="S53" s="24">
        <f t="shared" si="20"/>
        <v>3.3135600000000001E-2</v>
      </c>
      <c r="T53" s="3">
        <f t="shared" si="21"/>
        <v>476.52600000000001</v>
      </c>
      <c r="U53" s="51">
        <f t="shared" si="22"/>
        <v>0.49435000000000001</v>
      </c>
      <c r="V53" s="42">
        <f t="shared" si="23"/>
        <v>11.365562687867339</v>
      </c>
      <c r="W53" s="49">
        <f t="shared" si="14"/>
        <v>-21.990922803413245</v>
      </c>
    </row>
    <row r="54" spans="2:23" x14ac:dyDescent="0.6">
      <c r="B54" s="2"/>
      <c r="C54" s="1"/>
      <c r="D54" s="2">
        <v>573.077</v>
      </c>
      <c r="E54" s="1">
        <v>3.7269899999999998</v>
      </c>
      <c r="F54" s="2">
        <v>565.81100000000004</v>
      </c>
      <c r="G54" s="1">
        <v>-174.315</v>
      </c>
      <c r="H54" s="2"/>
      <c r="I54" s="1"/>
      <c r="J54" s="2">
        <v>502.02100000000002</v>
      </c>
      <c r="K54" s="1">
        <v>0.540856</v>
      </c>
      <c r="N54" s="3">
        <f t="shared" si="15"/>
        <v>573.077</v>
      </c>
      <c r="O54" s="21">
        <f t="shared" si="16"/>
        <v>26831.303545220137</v>
      </c>
      <c r="P54" s="3">
        <f t="shared" si="17"/>
        <v>565.81100000000004</v>
      </c>
      <c r="Q54" s="17">
        <f t="shared" si="18"/>
        <v>-1.74315E-4</v>
      </c>
      <c r="R54" s="3"/>
      <c r="S54" s="24"/>
      <c r="T54" s="3">
        <f t="shared" si="21"/>
        <v>502.02100000000002</v>
      </c>
      <c r="U54" s="51">
        <f t="shared" si="22"/>
        <v>0.540856</v>
      </c>
      <c r="V54" s="42" t="e">
        <f t="shared" si="23"/>
        <v>#DIV/0!</v>
      </c>
      <c r="W54" s="49" t="e">
        <f t="shared" si="14"/>
        <v>#DIV/0!</v>
      </c>
    </row>
    <row r="55" spans="2:23" x14ac:dyDescent="0.6">
      <c r="B55" s="2"/>
      <c r="C55" s="1"/>
      <c r="D55" s="2">
        <v>610.577</v>
      </c>
      <c r="E55" s="1">
        <v>4.1564399999999999</v>
      </c>
      <c r="F55" s="2">
        <v>603.37099999999998</v>
      </c>
      <c r="G55" s="1">
        <v>-183.21899999999999</v>
      </c>
      <c r="H55" s="2"/>
      <c r="I55" s="1"/>
      <c r="J55" s="2">
        <v>529.57500000000005</v>
      </c>
      <c r="K55" s="1">
        <v>0.62523899999999999</v>
      </c>
      <c r="N55" s="3">
        <f t="shared" si="15"/>
        <v>610.577</v>
      </c>
      <c r="O55" s="21">
        <f t="shared" si="16"/>
        <v>24059.050533629743</v>
      </c>
      <c r="P55" s="3">
        <f t="shared" si="17"/>
        <v>603.37099999999998</v>
      </c>
      <c r="Q55" s="17">
        <f t="shared" si="18"/>
        <v>-1.8321899999999998E-4</v>
      </c>
      <c r="R55" s="3"/>
      <c r="S55" s="24"/>
      <c r="T55" s="3">
        <f t="shared" si="21"/>
        <v>529.57500000000005</v>
      </c>
      <c r="U55" s="51">
        <f t="shared" si="22"/>
        <v>0.62523899999999999</v>
      </c>
      <c r="V55" s="42" t="e">
        <f t="shared" si="23"/>
        <v>#DIV/0!</v>
      </c>
      <c r="W55" s="49" t="e">
        <f t="shared" si="14"/>
        <v>#DIV/0!</v>
      </c>
    </row>
    <row r="56" spans="2:23" x14ac:dyDescent="0.6">
      <c r="B56" s="2"/>
      <c r="C56" s="1"/>
      <c r="D56" s="2">
        <v>643.26900000000001</v>
      </c>
      <c r="E56" s="1">
        <v>4.6779099999999998</v>
      </c>
      <c r="F56" s="2">
        <v>639.96799999999996</v>
      </c>
      <c r="G56" s="1">
        <v>-192.80799999999999</v>
      </c>
      <c r="H56" s="2"/>
      <c r="I56" s="1"/>
      <c r="J56" s="2">
        <v>561.22500000000002</v>
      </c>
      <c r="K56" s="1">
        <v>0.74457499999999999</v>
      </c>
      <c r="N56" s="3">
        <f t="shared" si="15"/>
        <v>643.26900000000001</v>
      </c>
      <c r="O56" s="21">
        <f t="shared" si="16"/>
        <v>21377.067964112179</v>
      </c>
      <c r="P56" s="3">
        <f t="shared" si="17"/>
        <v>639.96799999999996</v>
      </c>
      <c r="Q56" s="17">
        <f t="shared" si="18"/>
        <v>-1.9280799999999999E-4</v>
      </c>
      <c r="R56" s="3"/>
      <c r="S56" s="24"/>
      <c r="T56" s="3">
        <f t="shared" si="21"/>
        <v>561.22500000000002</v>
      </c>
      <c r="U56" s="51">
        <f t="shared" si="22"/>
        <v>0.74457499999999999</v>
      </c>
      <c r="V56" s="42" t="e">
        <f t="shared" si="23"/>
        <v>#DIV/0!</v>
      </c>
      <c r="W56" s="49" t="e">
        <f t="shared" si="14"/>
        <v>#DIV/0!</v>
      </c>
    </row>
    <row r="57" spans="2:23" x14ac:dyDescent="0.6">
      <c r="B57" s="2"/>
      <c r="C57" s="1"/>
      <c r="D57" s="2">
        <v>679.80799999999999</v>
      </c>
      <c r="E57" s="1">
        <v>5.2607400000000002</v>
      </c>
      <c r="F57" s="2">
        <v>677.52800000000002</v>
      </c>
      <c r="G57" s="1">
        <v>-205.137</v>
      </c>
      <c r="H57" s="2"/>
      <c r="I57" s="1"/>
      <c r="J57" s="2">
        <v>585.72699999999998</v>
      </c>
      <c r="K57" s="1">
        <v>0.83480200000000004</v>
      </c>
      <c r="N57" s="3">
        <f t="shared" si="15"/>
        <v>679.80799999999999</v>
      </c>
      <c r="O57" s="21">
        <f t="shared" si="16"/>
        <v>19008.732611761843</v>
      </c>
      <c r="P57" s="3">
        <f t="shared" si="17"/>
        <v>677.52800000000002</v>
      </c>
      <c r="Q57" s="17">
        <f t="shared" si="18"/>
        <v>-2.0513699999999998E-4</v>
      </c>
      <c r="R57" s="3"/>
      <c r="S57" s="24"/>
      <c r="T57" s="3">
        <f t="shared" si="21"/>
        <v>585.72699999999998</v>
      </c>
      <c r="U57" s="51">
        <f t="shared" si="22"/>
        <v>0.83480200000000004</v>
      </c>
      <c r="V57" s="42" t="e">
        <f t="shared" si="23"/>
        <v>#DIV/0!</v>
      </c>
      <c r="W57" s="49" t="e">
        <f t="shared" si="14"/>
        <v>#DIV/0!</v>
      </c>
    </row>
    <row r="58" spans="2:23" x14ac:dyDescent="0.6">
      <c r="B58" s="2"/>
      <c r="C58" s="1"/>
      <c r="D58" s="2">
        <v>714.423</v>
      </c>
      <c r="E58" s="1">
        <v>5.7822100000000001</v>
      </c>
      <c r="F58" s="2">
        <v>711.23599999999999</v>
      </c>
      <c r="G58" s="1">
        <v>-210.61600000000001</v>
      </c>
      <c r="H58" s="2"/>
      <c r="I58" s="1"/>
      <c r="J58" s="2">
        <v>624.49300000000005</v>
      </c>
      <c r="K58" s="1">
        <v>0.93078799999999995</v>
      </c>
      <c r="N58" s="3">
        <f t="shared" si="15"/>
        <v>714.423</v>
      </c>
      <c r="O58" s="21">
        <f t="shared" si="16"/>
        <v>17294.425487832508</v>
      </c>
      <c r="P58" s="3">
        <f t="shared" si="17"/>
        <v>711.23599999999999</v>
      </c>
      <c r="Q58" s="17">
        <f t="shared" si="18"/>
        <v>-2.10616E-4</v>
      </c>
      <c r="R58" s="3"/>
      <c r="S58" s="24"/>
      <c r="T58" s="3">
        <f t="shared" si="21"/>
        <v>624.49300000000005</v>
      </c>
      <c r="U58" s="51">
        <f t="shared" si="22"/>
        <v>0.93078799999999995</v>
      </c>
      <c r="V58" s="42" t="e">
        <f t="shared" si="23"/>
        <v>#DIV/0!</v>
      </c>
      <c r="W58" s="49" t="e">
        <f t="shared" si="14"/>
        <v>#DIV/0!</v>
      </c>
    </row>
    <row r="59" spans="2:23" x14ac:dyDescent="0.6">
      <c r="B59" s="2"/>
      <c r="C59" s="1"/>
      <c r="D59" s="2">
        <v>748.077</v>
      </c>
      <c r="E59" s="1">
        <v>6.1042899999999998</v>
      </c>
      <c r="F59" s="2">
        <v>751.68499999999995</v>
      </c>
      <c r="G59" s="1">
        <v>-216.096</v>
      </c>
      <c r="H59" s="2"/>
      <c r="I59" s="1"/>
      <c r="J59" s="2">
        <v>669.36300000000006</v>
      </c>
      <c r="K59" s="1">
        <v>1.01217</v>
      </c>
      <c r="N59" s="3">
        <f t="shared" si="15"/>
        <v>748.077</v>
      </c>
      <c r="O59" s="21">
        <f t="shared" si="16"/>
        <v>16381.921566635923</v>
      </c>
      <c r="P59" s="3">
        <f t="shared" si="17"/>
        <v>751.68499999999995</v>
      </c>
      <c r="Q59" s="17">
        <f t="shared" si="18"/>
        <v>-2.1609599999999999E-4</v>
      </c>
      <c r="R59" s="3"/>
      <c r="S59" s="24"/>
      <c r="T59" s="3">
        <f t="shared" si="21"/>
        <v>669.36300000000006</v>
      </c>
      <c r="U59" s="51">
        <f t="shared" si="22"/>
        <v>1.01217</v>
      </c>
      <c r="V59" s="42" t="e">
        <f t="shared" si="23"/>
        <v>#DIV/0!</v>
      </c>
      <c r="W59" s="49" t="e">
        <f t="shared" si="14"/>
        <v>#DIV/0!</v>
      </c>
    </row>
    <row r="60" spans="2:23" x14ac:dyDescent="0.6">
      <c r="B60" s="2"/>
      <c r="C60" s="1"/>
      <c r="D60" s="2">
        <v>786.53800000000001</v>
      </c>
      <c r="E60" s="1">
        <v>6.2423299999999999</v>
      </c>
      <c r="F60" s="2">
        <v>792.13499999999999</v>
      </c>
      <c r="G60" s="1">
        <v>-219.863</v>
      </c>
      <c r="H60" s="2"/>
      <c r="I60" s="1"/>
      <c r="J60" s="2">
        <v>720.35</v>
      </c>
      <c r="K60" s="1">
        <v>1.1022700000000001</v>
      </c>
      <c r="N60" s="3">
        <f t="shared" si="15"/>
        <v>786.53800000000001</v>
      </c>
      <c r="O60" s="21">
        <f t="shared" si="16"/>
        <v>16019.659325924777</v>
      </c>
      <c r="P60" s="3">
        <f t="shared" si="17"/>
        <v>792.13499999999999</v>
      </c>
      <c r="Q60" s="17">
        <f t="shared" si="18"/>
        <v>-2.1986299999999999E-4</v>
      </c>
      <c r="R60" s="3"/>
      <c r="S60" s="24"/>
      <c r="T60" s="3">
        <f t="shared" si="21"/>
        <v>720.35</v>
      </c>
      <c r="U60" s="51">
        <f t="shared" si="22"/>
        <v>1.1022700000000001</v>
      </c>
      <c r="V60" s="42" t="e">
        <f t="shared" si="23"/>
        <v>#DIV/0!</v>
      </c>
      <c r="W60" s="49" t="e">
        <f t="shared" si="14"/>
        <v>#DIV/0!</v>
      </c>
    </row>
    <row r="61" spans="2:23" x14ac:dyDescent="0.6">
      <c r="B61" s="2"/>
      <c r="C61" s="1"/>
      <c r="D61" s="2">
        <v>821.154</v>
      </c>
      <c r="E61" s="1">
        <v>6.2883399999999998</v>
      </c>
      <c r="F61" s="2">
        <v>838.36300000000006</v>
      </c>
      <c r="G61" s="1">
        <v>-217.80799999999999</v>
      </c>
      <c r="H61" s="2"/>
      <c r="I61" s="1"/>
      <c r="J61" s="2">
        <v>766.23</v>
      </c>
      <c r="K61" s="1">
        <v>1.1690799999999999</v>
      </c>
      <c r="N61" s="3">
        <f t="shared" si="15"/>
        <v>821.154</v>
      </c>
      <c r="O61" s="21">
        <f t="shared" si="16"/>
        <v>15902.448022848637</v>
      </c>
      <c r="P61" s="3">
        <f t="shared" si="17"/>
        <v>838.36300000000006</v>
      </c>
      <c r="Q61" s="17">
        <f t="shared" si="18"/>
        <v>-2.1780799999999997E-4</v>
      </c>
      <c r="R61" s="3"/>
      <c r="S61" s="24"/>
      <c r="T61" s="3">
        <f t="shared" si="21"/>
        <v>766.23</v>
      </c>
      <c r="U61" s="51">
        <f t="shared" si="22"/>
        <v>1.1690799999999999</v>
      </c>
      <c r="V61" s="42" t="e">
        <f t="shared" si="23"/>
        <v>#DIV/0!</v>
      </c>
      <c r="W61" s="49" t="e">
        <f t="shared" si="14"/>
        <v>#DIV/0!</v>
      </c>
    </row>
    <row r="62" spans="2:23" x14ac:dyDescent="0.6">
      <c r="B62" s="2"/>
      <c r="C62" s="1"/>
      <c r="D62" s="2">
        <v>854.80799999999999</v>
      </c>
      <c r="E62" s="1">
        <v>5.8742299999999998</v>
      </c>
      <c r="F62" s="2">
        <v>878.81200000000001</v>
      </c>
      <c r="G62" s="1">
        <v>-211.30099999999999</v>
      </c>
      <c r="H62" s="2"/>
      <c r="I62" s="1"/>
      <c r="J62" s="2">
        <v>812.11599999999999</v>
      </c>
      <c r="K62" s="1">
        <v>1.2446299999999999</v>
      </c>
      <c r="N62" s="3">
        <f t="shared" si="15"/>
        <v>854.80799999999999</v>
      </c>
      <c r="O62" s="21">
        <f t="shared" si="16"/>
        <v>17023.507761868364</v>
      </c>
      <c r="P62" s="3">
        <f t="shared" si="17"/>
        <v>878.81200000000001</v>
      </c>
      <c r="Q62" s="17">
        <f t="shared" si="18"/>
        <v>-2.1130099999999997E-4</v>
      </c>
      <c r="R62" s="3"/>
      <c r="S62" s="24"/>
      <c r="T62" s="3">
        <f t="shared" si="21"/>
        <v>812.11599999999999</v>
      </c>
      <c r="U62" s="51">
        <f t="shared" si="22"/>
        <v>1.2446299999999999</v>
      </c>
      <c r="V62" s="42" t="e">
        <f t="shared" si="23"/>
        <v>#DIV/0!</v>
      </c>
      <c r="W62" s="49" t="e">
        <f t="shared" si="14"/>
        <v>#DIV/0!</v>
      </c>
    </row>
    <row r="63" spans="2:23" x14ac:dyDescent="0.6">
      <c r="B63" s="2"/>
      <c r="C63" s="1"/>
      <c r="D63" s="2">
        <v>885.577</v>
      </c>
      <c r="E63" s="1">
        <v>5.1993900000000002</v>
      </c>
      <c r="F63" s="2">
        <v>895.18499999999995</v>
      </c>
      <c r="G63" s="1">
        <v>-202.74</v>
      </c>
      <c r="H63" s="2"/>
      <c r="I63" s="1"/>
      <c r="J63" s="2">
        <v>839.67</v>
      </c>
      <c r="K63" s="1">
        <v>1.32901</v>
      </c>
      <c r="N63" s="3">
        <f t="shared" si="15"/>
        <v>885.577</v>
      </c>
      <c r="O63" s="21">
        <f t="shared" si="16"/>
        <v>19233.025412596478</v>
      </c>
      <c r="P63" s="3">
        <f t="shared" si="17"/>
        <v>895.18499999999995</v>
      </c>
      <c r="Q63" s="17">
        <f t="shared" si="18"/>
        <v>-2.0274E-4</v>
      </c>
      <c r="R63" s="3"/>
      <c r="S63" s="24"/>
      <c r="T63" s="3">
        <f t="shared" si="21"/>
        <v>839.67</v>
      </c>
      <c r="U63" s="51">
        <f t="shared" si="22"/>
        <v>1.32901</v>
      </c>
      <c r="V63" s="42" t="e">
        <f t="shared" si="23"/>
        <v>#DIV/0!</v>
      </c>
      <c r="W63" s="49" t="e">
        <f t="shared" si="14"/>
        <v>#DIV/0!</v>
      </c>
    </row>
    <row r="64" spans="2:23" x14ac:dyDescent="0.6">
      <c r="B64" s="2"/>
      <c r="C64" s="1"/>
      <c r="D64" s="2">
        <v>900</v>
      </c>
      <c r="E64" s="1">
        <v>4.40184</v>
      </c>
      <c r="F64" s="2"/>
      <c r="G64" s="1"/>
      <c r="H64" s="2"/>
      <c r="I64" s="1"/>
      <c r="J64" s="2">
        <v>864.17</v>
      </c>
      <c r="K64" s="1">
        <v>1.4163300000000001</v>
      </c>
      <c r="N64" s="3">
        <f t="shared" si="15"/>
        <v>900</v>
      </c>
      <c r="O64" s="21">
        <f t="shared" si="16"/>
        <v>22717.772567835269</v>
      </c>
      <c r="P64" s="3"/>
      <c r="Q64" s="17"/>
      <c r="R64" s="3"/>
      <c r="S64" s="24"/>
      <c r="T64" s="3">
        <f t="shared" si="21"/>
        <v>864.17</v>
      </c>
      <c r="U64" s="51">
        <f t="shared" si="22"/>
        <v>1.4163300000000001</v>
      </c>
      <c r="V64" s="42" t="e">
        <f t="shared" si="23"/>
        <v>#DIV/0!</v>
      </c>
      <c r="W64" s="49" t="e">
        <f t="shared" si="14"/>
        <v>#DIV/0!</v>
      </c>
    </row>
    <row r="65" spans="2:23" x14ac:dyDescent="0.6">
      <c r="B65" s="2"/>
      <c r="C65" s="1"/>
      <c r="D65" s="2"/>
      <c r="E65" s="1"/>
      <c r="F65" s="2"/>
      <c r="G65" s="1"/>
      <c r="H65" s="2"/>
      <c r="I65" s="1"/>
      <c r="J65" s="2">
        <v>881.55700000000002</v>
      </c>
      <c r="K65" s="1">
        <v>1.5328200000000001</v>
      </c>
      <c r="N65" s="3"/>
      <c r="O65" s="21"/>
      <c r="P65" s="3"/>
      <c r="Q65" s="17"/>
      <c r="R65" s="3"/>
      <c r="S65" s="24"/>
      <c r="T65" s="3">
        <f t="shared" si="21"/>
        <v>881.55700000000002</v>
      </c>
      <c r="U65" s="51">
        <f t="shared" si="22"/>
        <v>1.5328200000000001</v>
      </c>
      <c r="V65" s="42" t="e">
        <f t="shared" si="23"/>
        <v>#DIV/0!</v>
      </c>
      <c r="W65" s="49" t="e">
        <f t="shared" si="14"/>
        <v>#DIV/0!</v>
      </c>
    </row>
    <row r="66" spans="2:23" x14ac:dyDescent="0.6">
      <c r="B66" s="2"/>
      <c r="C66" s="1"/>
      <c r="D66" s="28"/>
      <c r="E66" s="29"/>
      <c r="F66" s="28"/>
      <c r="G66" s="29"/>
      <c r="H66" s="28"/>
      <c r="I66" s="29"/>
      <c r="J66" s="28">
        <v>902.01</v>
      </c>
      <c r="K66" s="29">
        <v>1.6667799999999999</v>
      </c>
      <c r="N66" s="32"/>
      <c r="O66" s="33"/>
      <c r="P66" s="32"/>
      <c r="Q66" s="34"/>
      <c r="R66" s="32"/>
      <c r="S66" s="35"/>
      <c r="T66" s="32">
        <f t="shared" si="21"/>
        <v>902.01</v>
      </c>
      <c r="U66" s="52">
        <f t="shared" si="22"/>
        <v>1.6667799999999999</v>
      </c>
      <c r="V66" s="42">
        <f>((O64*(Q63)^2)/S53)*T66</f>
        <v>25.419157091875437</v>
      </c>
      <c r="W66" s="49">
        <f t="shared" si="14"/>
        <v>-14.250457224034029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1"/>
  </sheetPr>
  <dimension ref="A1:W3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297.872340425532</v>
      </c>
      <c r="C9" s="4">
        <v>2132.6616288832902</v>
      </c>
      <c r="D9" s="3"/>
      <c r="E9" s="4"/>
      <c r="F9" s="3">
        <v>298.00374298190798</v>
      </c>
      <c r="G9" s="4">
        <v>-139.759036144578</v>
      </c>
      <c r="H9" s="3">
        <v>298.02590993214</v>
      </c>
      <c r="I9" s="4">
        <v>2.7421259842519601</v>
      </c>
      <c r="J9" s="3">
        <v>298.113207547169</v>
      </c>
      <c r="K9" s="4">
        <v>0.45748709122203102</v>
      </c>
      <c r="N9" s="3">
        <f>B9</f>
        <v>297.872340425532</v>
      </c>
      <c r="O9" s="21">
        <f>C9/(10^(-2))</f>
        <v>213266.16288832901</v>
      </c>
      <c r="P9" s="3">
        <f>F9</f>
        <v>298.00374298190798</v>
      </c>
      <c r="Q9" s="17">
        <f>G9*(10^(-6))</f>
        <v>-1.3975903614457799E-4</v>
      </c>
      <c r="R9" s="3">
        <f>H9</f>
        <v>298.02590993214</v>
      </c>
      <c r="S9" s="24">
        <f>I9</f>
        <v>2.7421259842519601</v>
      </c>
      <c r="T9" s="3">
        <f>J9</f>
        <v>298.113207547169</v>
      </c>
      <c r="U9" s="51">
        <f>K9</f>
        <v>0.45748709122203102</v>
      </c>
      <c r="V9" s="42">
        <f>((O9*(Q9)^2)/S9)*T9</f>
        <v>0.45287209586829758</v>
      </c>
      <c r="W9" s="49">
        <f t="shared" ref="W9" si="0">(U9-V9)/U9</f>
        <v>1.0087706172005755E-2</v>
      </c>
    </row>
    <row r="10" spans="1:23" x14ac:dyDescent="0.6">
      <c r="B10" s="3">
        <v>322.89361702127599</v>
      </c>
      <c r="C10" s="4">
        <v>1817.8001679261099</v>
      </c>
      <c r="D10" s="3"/>
      <c r="E10" s="4"/>
      <c r="F10" s="3">
        <v>322.95695570804702</v>
      </c>
      <c r="G10" s="4">
        <v>-151.80722891566199</v>
      </c>
      <c r="H10" s="3">
        <v>322.94879703886397</v>
      </c>
      <c r="I10" s="4">
        <v>2.5334645669291298</v>
      </c>
      <c r="J10" s="3">
        <v>322.969647251845</v>
      </c>
      <c r="K10" s="4">
        <v>0.541394148020653</v>
      </c>
      <c r="N10" s="3">
        <f t="shared" ref="N10:N19" si="1">B10</f>
        <v>322.89361702127599</v>
      </c>
      <c r="O10" s="21">
        <f t="shared" ref="O10:O19" si="2">C10/(10^(-2))</f>
        <v>181780.01679261099</v>
      </c>
      <c r="P10" s="3">
        <f t="shared" ref="P10:P19" si="3">F10</f>
        <v>322.95695570804702</v>
      </c>
      <c r="Q10" s="17">
        <f t="shared" ref="Q10:Q19" si="4">G10*(10^(-6))</f>
        <v>-1.5180722891566198E-4</v>
      </c>
      <c r="R10" s="3">
        <f t="shared" ref="R10:U19" si="5">H10</f>
        <v>322.94879703886397</v>
      </c>
      <c r="S10" s="24">
        <f t="shared" si="5"/>
        <v>2.5334645669291298</v>
      </c>
      <c r="T10" s="3">
        <f t="shared" si="5"/>
        <v>322.969647251845</v>
      </c>
      <c r="U10" s="51">
        <f t="shared" si="5"/>
        <v>0.541394148020653</v>
      </c>
      <c r="V10" s="42">
        <f t="shared" ref="V10:V19" si="6">((O10*(Q10)^2)/S10)*T10</f>
        <v>0.53404508104204207</v>
      </c>
      <c r="W10" s="49">
        <f t="shared" ref="W10:W19" si="7">(U10-V10)/U10</f>
        <v>1.3574337671508372E-2</v>
      </c>
    </row>
    <row r="11" spans="1:23" x14ac:dyDescent="0.6">
      <c r="B11" s="2">
        <v>372.936170212766</v>
      </c>
      <c r="C11" s="1">
        <v>1427.3719563392101</v>
      </c>
      <c r="D11" s="2"/>
      <c r="E11" s="1"/>
      <c r="F11" s="2">
        <v>373.112913287585</v>
      </c>
      <c r="G11" s="1">
        <v>-171.084337349397</v>
      </c>
      <c r="H11" s="2">
        <v>373.04133251079497</v>
      </c>
      <c r="I11" s="1">
        <v>2.2244094488188901</v>
      </c>
      <c r="J11" s="2">
        <v>372.92863002461002</v>
      </c>
      <c r="K11" s="1">
        <v>0.70017211703958604</v>
      </c>
      <c r="N11" s="3">
        <f t="shared" si="1"/>
        <v>372.936170212766</v>
      </c>
      <c r="O11" s="21">
        <f t="shared" si="2"/>
        <v>142737.19563392102</v>
      </c>
      <c r="P11" s="3">
        <f t="shared" si="3"/>
        <v>373.112913287585</v>
      </c>
      <c r="Q11" s="17">
        <f t="shared" si="4"/>
        <v>-1.7108433734939698E-4</v>
      </c>
      <c r="R11" s="3">
        <f t="shared" si="5"/>
        <v>373.04133251079497</v>
      </c>
      <c r="S11" s="24">
        <f t="shared" si="5"/>
        <v>2.2244094488188901</v>
      </c>
      <c r="T11" s="3">
        <f t="shared" si="5"/>
        <v>372.92863002461002</v>
      </c>
      <c r="U11" s="51">
        <f t="shared" si="5"/>
        <v>0.70017211703958604</v>
      </c>
      <c r="V11" s="42">
        <f t="shared" si="6"/>
        <v>0.70043632135904033</v>
      </c>
      <c r="W11" s="49">
        <f t="shared" si="7"/>
        <v>-3.7734196067586189E-4</v>
      </c>
    </row>
    <row r="12" spans="1:23" x14ac:dyDescent="0.6">
      <c r="B12" s="2">
        <v>422.97872340425499</v>
      </c>
      <c r="C12" s="1">
        <v>1062.13266162888</v>
      </c>
      <c r="D12" s="2"/>
      <c r="E12" s="1"/>
      <c r="F12" s="2">
        <v>423.01933873986201</v>
      </c>
      <c r="G12" s="1">
        <v>-192.168674698795</v>
      </c>
      <c r="H12" s="2">
        <v>422.88710672424401</v>
      </c>
      <c r="I12" s="1">
        <v>1.9468503937007799</v>
      </c>
      <c r="J12" s="2">
        <v>422.887612797374</v>
      </c>
      <c r="K12" s="1">
        <v>0.85636833046471506</v>
      </c>
      <c r="N12" s="3">
        <f t="shared" si="1"/>
        <v>422.97872340425499</v>
      </c>
      <c r="O12" s="21">
        <f t="shared" si="2"/>
        <v>106213.266162888</v>
      </c>
      <c r="P12" s="3">
        <f t="shared" si="3"/>
        <v>423.01933873986201</v>
      </c>
      <c r="Q12" s="17">
        <f t="shared" si="4"/>
        <v>-1.9216867469879498E-4</v>
      </c>
      <c r="R12" s="3">
        <f t="shared" si="5"/>
        <v>422.88710672424401</v>
      </c>
      <c r="S12" s="24">
        <f t="shared" si="5"/>
        <v>1.9468503937007799</v>
      </c>
      <c r="T12" s="3">
        <f t="shared" si="5"/>
        <v>422.887612797374</v>
      </c>
      <c r="U12" s="51">
        <f t="shared" si="5"/>
        <v>0.85636833046471506</v>
      </c>
      <c r="V12" s="42">
        <f t="shared" si="6"/>
        <v>0.85199361236460536</v>
      </c>
      <c r="W12" s="49">
        <f t="shared" si="7"/>
        <v>5.1084538562229673E-3</v>
      </c>
    </row>
    <row r="13" spans="1:23" x14ac:dyDescent="0.6">
      <c r="B13" s="2">
        <v>473.02127659574398</v>
      </c>
      <c r="C13" s="1">
        <v>858.52225020990704</v>
      </c>
      <c r="D13" s="2"/>
      <c r="E13" s="1"/>
      <c r="F13" s="2">
        <v>472.92576419213901</v>
      </c>
      <c r="G13" s="1">
        <v>-202.409638554216</v>
      </c>
      <c r="H13" s="2">
        <v>472.97964219617501</v>
      </c>
      <c r="I13" s="1">
        <v>1.74015748031496</v>
      </c>
      <c r="J13" s="2">
        <v>473.09269893355201</v>
      </c>
      <c r="K13" s="1">
        <v>0.96092943201376901</v>
      </c>
      <c r="N13" s="3">
        <f t="shared" si="1"/>
        <v>473.02127659574398</v>
      </c>
      <c r="O13" s="21">
        <f t="shared" si="2"/>
        <v>85852.225020990707</v>
      </c>
      <c r="P13" s="3">
        <f t="shared" si="3"/>
        <v>472.92576419213901</v>
      </c>
      <c r="Q13" s="17">
        <f t="shared" si="4"/>
        <v>-2.0240963855421598E-4</v>
      </c>
      <c r="R13" s="3">
        <f t="shared" si="5"/>
        <v>472.97964219617501</v>
      </c>
      <c r="S13" s="24">
        <f t="shared" si="5"/>
        <v>1.74015748031496</v>
      </c>
      <c r="T13" s="3">
        <f t="shared" si="5"/>
        <v>473.09269893355201</v>
      </c>
      <c r="U13" s="51">
        <f t="shared" si="5"/>
        <v>0.96092943201376901</v>
      </c>
      <c r="V13" s="42">
        <f t="shared" si="6"/>
        <v>0.95625039368561926</v>
      </c>
      <c r="W13" s="49">
        <f t="shared" si="7"/>
        <v>4.8692840205176568E-3</v>
      </c>
    </row>
    <row r="14" spans="1:23" x14ac:dyDescent="0.6">
      <c r="B14" s="2">
        <v>523.063829787234</v>
      </c>
      <c r="C14" s="1">
        <v>690.596137699412</v>
      </c>
      <c r="D14" s="2"/>
      <c r="E14" s="1"/>
      <c r="F14" s="2">
        <v>523.08172177167796</v>
      </c>
      <c r="G14" s="1">
        <v>-211.44578313253001</v>
      </c>
      <c r="H14" s="2">
        <v>523.07217766810595</v>
      </c>
      <c r="I14" s="1">
        <v>1.5551181102362199</v>
      </c>
      <c r="J14" s="2">
        <v>523.051681706316</v>
      </c>
      <c r="K14" s="1">
        <v>1.0435456110154899</v>
      </c>
      <c r="N14" s="3">
        <f t="shared" si="1"/>
        <v>523.063829787234</v>
      </c>
      <c r="O14" s="21">
        <f t="shared" si="2"/>
        <v>69059.613769941192</v>
      </c>
      <c r="P14" s="3">
        <f t="shared" si="3"/>
        <v>523.08172177167796</v>
      </c>
      <c r="Q14" s="17">
        <f t="shared" si="4"/>
        <v>-2.1144578313253001E-4</v>
      </c>
      <c r="R14" s="3">
        <f t="shared" si="5"/>
        <v>523.07217766810595</v>
      </c>
      <c r="S14" s="24">
        <f t="shared" si="5"/>
        <v>1.5551181102362199</v>
      </c>
      <c r="T14" s="3">
        <f t="shared" si="5"/>
        <v>523.051681706316</v>
      </c>
      <c r="U14" s="51">
        <f t="shared" si="5"/>
        <v>1.0435456110154899</v>
      </c>
      <c r="V14" s="42">
        <f t="shared" si="6"/>
        <v>1.0384926466993394</v>
      </c>
      <c r="W14" s="49">
        <f t="shared" si="7"/>
        <v>4.8421116075927223E-3</v>
      </c>
    </row>
    <row r="15" spans="1:23" x14ac:dyDescent="0.6">
      <c r="B15" s="2">
        <v>573.10638297872299</v>
      </c>
      <c r="C15" s="1">
        <v>594.03862300587696</v>
      </c>
      <c r="D15" s="2"/>
      <c r="E15" s="1"/>
      <c r="F15" s="2">
        <v>572.98814722395502</v>
      </c>
      <c r="G15" s="1">
        <v>-222.28915662650499</v>
      </c>
      <c r="H15" s="2">
        <v>572.91795188155402</v>
      </c>
      <c r="I15" s="1">
        <v>1.37204724409448</v>
      </c>
      <c r="J15" s="2">
        <v>573.01066447908102</v>
      </c>
      <c r="K15" s="1">
        <v>1.23072289156626</v>
      </c>
      <c r="N15" s="3">
        <f t="shared" si="1"/>
        <v>573.10638297872299</v>
      </c>
      <c r="O15" s="21">
        <f t="shared" si="2"/>
        <v>59403.862300587694</v>
      </c>
      <c r="P15" s="3">
        <f t="shared" si="3"/>
        <v>572.98814722395502</v>
      </c>
      <c r="Q15" s="17">
        <f t="shared" si="4"/>
        <v>-2.2228915662650498E-4</v>
      </c>
      <c r="R15" s="3">
        <f t="shared" si="5"/>
        <v>572.91795188155402</v>
      </c>
      <c r="S15" s="24">
        <f t="shared" si="5"/>
        <v>1.37204724409448</v>
      </c>
      <c r="T15" s="3">
        <f t="shared" si="5"/>
        <v>573.01066447908102</v>
      </c>
      <c r="U15" s="51">
        <f t="shared" si="5"/>
        <v>1.23072289156626</v>
      </c>
      <c r="V15" s="42">
        <f t="shared" si="6"/>
        <v>1.2258713013364881</v>
      </c>
      <c r="W15" s="49">
        <f t="shared" si="7"/>
        <v>3.9420654828298393E-3</v>
      </c>
    </row>
    <row r="16" spans="1:23" x14ac:dyDescent="0.6">
      <c r="B16" s="2">
        <v>622.89361702127599</v>
      </c>
      <c r="C16" s="1">
        <v>514.27371956339096</v>
      </c>
      <c r="D16" s="2"/>
      <c r="E16" s="1"/>
      <c r="F16" s="2">
        <v>622.89457267623197</v>
      </c>
      <c r="G16" s="1">
        <v>-231.325301204819</v>
      </c>
      <c r="H16" s="2">
        <v>623.01048735348502</v>
      </c>
      <c r="I16" s="1">
        <v>1.2381889763779499</v>
      </c>
      <c r="J16" s="2">
        <v>622.969647251845</v>
      </c>
      <c r="K16" s="1">
        <v>1.39853700516351</v>
      </c>
      <c r="N16" s="3">
        <f t="shared" si="1"/>
        <v>622.89361702127599</v>
      </c>
      <c r="O16" s="21">
        <f t="shared" si="2"/>
        <v>51427.371956339091</v>
      </c>
      <c r="P16" s="3">
        <f t="shared" si="3"/>
        <v>622.89457267623197</v>
      </c>
      <c r="Q16" s="17">
        <f t="shared" si="4"/>
        <v>-2.3132530120481898E-4</v>
      </c>
      <c r="R16" s="3">
        <f t="shared" si="5"/>
        <v>623.01048735348502</v>
      </c>
      <c r="S16" s="24">
        <f t="shared" si="5"/>
        <v>1.2381889763779499</v>
      </c>
      <c r="T16" s="3">
        <f t="shared" si="5"/>
        <v>622.969647251845</v>
      </c>
      <c r="U16" s="51">
        <f t="shared" si="5"/>
        <v>1.39853700516351</v>
      </c>
      <c r="V16" s="42">
        <f t="shared" si="6"/>
        <v>1.3845879837437598</v>
      </c>
      <c r="W16" s="49">
        <f t="shared" si="7"/>
        <v>9.9740095315671209E-3</v>
      </c>
    </row>
    <row r="17" spans="2:23" x14ac:dyDescent="0.6">
      <c r="B17" s="2">
        <v>672.936170212766</v>
      </c>
      <c r="C17" s="1">
        <v>440.80604534004999</v>
      </c>
      <c r="D17" s="2"/>
      <c r="E17" s="1"/>
      <c r="F17" s="2">
        <v>673.05053025577001</v>
      </c>
      <c r="G17" s="1">
        <v>-233.734939759036</v>
      </c>
      <c r="H17" s="2">
        <v>673.10302282541602</v>
      </c>
      <c r="I17" s="1">
        <v>1.15944881889763</v>
      </c>
      <c r="J17" s="2">
        <v>672.92863002461002</v>
      </c>
      <c r="K17" s="1">
        <v>1.40757314974182</v>
      </c>
      <c r="N17" s="3">
        <f t="shared" si="1"/>
        <v>672.936170212766</v>
      </c>
      <c r="O17" s="21">
        <f t="shared" si="2"/>
        <v>44080.604534004997</v>
      </c>
      <c r="P17" s="3">
        <f t="shared" si="3"/>
        <v>673.05053025577001</v>
      </c>
      <c r="Q17" s="17">
        <f t="shared" si="4"/>
        <v>-2.3373493975903598E-4</v>
      </c>
      <c r="R17" s="3">
        <f t="shared" si="5"/>
        <v>673.10302282541602</v>
      </c>
      <c r="S17" s="24">
        <f t="shared" si="5"/>
        <v>1.15944881889763</v>
      </c>
      <c r="T17" s="3">
        <f t="shared" si="5"/>
        <v>672.92863002461002</v>
      </c>
      <c r="U17" s="51">
        <f t="shared" si="5"/>
        <v>1.40757314974182</v>
      </c>
      <c r="V17" s="42">
        <f t="shared" si="6"/>
        <v>1.3976944493465253</v>
      </c>
      <c r="W17" s="49">
        <f t="shared" si="7"/>
        <v>7.0182500974153104E-3</v>
      </c>
    </row>
    <row r="18" spans="2:23" x14ac:dyDescent="0.6">
      <c r="B18" s="2">
        <v>722.97872340425499</v>
      </c>
      <c r="C18" s="1">
        <v>405.12174643156999</v>
      </c>
      <c r="D18" s="2"/>
      <c r="E18" s="1"/>
      <c r="F18" s="2">
        <v>722.95695570804696</v>
      </c>
      <c r="G18" s="1">
        <v>-236.144578313252</v>
      </c>
      <c r="H18" s="2">
        <v>722.94879703886397</v>
      </c>
      <c r="I18" s="1">
        <v>1.1240157480314901</v>
      </c>
      <c r="J18" s="2">
        <v>722.887612797374</v>
      </c>
      <c r="K18" s="1">
        <v>1.4643717728054999</v>
      </c>
      <c r="N18" s="3">
        <f t="shared" si="1"/>
        <v>722.97872340425499</v>
      </c>
      <c r="O18" s="21">
        <f t="shared" si="2"/>
        <v>40512.174643156999</v>
      </c>
      <c r="P18" s="3">
        <f t="shared" si="3"/>
        <v>722.95695570804696</v>
      </c>
      <c r="Q18" s="17">
        <f t="shared" si="4"/>
        <v>-2.3614457831325198E-4</v>
      </c>
      <c r="R18" s="3">
        <f t="shared" si="5"/>
        <v>722.94879703886397</v>
      </c>
      <c r="S18" s="24">
        <f t="shared" si="5"/>
        <v>1.1240157480314901</v>
      </c>
      <c r="T18" s="3">
        <f t="shared" si="5"/>
        <v>722.887612797374</v>
      </c>
      <c r="U18" s="51">
        <f t="shared" si="5"/>
        <v>1.4643717728054999</v>
      </c>
      <c r="V18" s="42">
        <f t="shared" si="6"/>
        <v>1.4529139748814692</v>
      </c>
      <c r="W18" s="49">
        <f t="shared" si="7"/>
        <v>7.8243777548917016E-3</v>
      </c>
    </row>
    <row r="19" spans="2:23" x14ac:dyDescent="0.6">
      <c r="B19" s="28">
        <v>773.02127659574398</v>
      </c>
      <c r="C19" s="29">
        <v>363.14021830394501</v>
      </c>
      <c r="D19" s="28"/>
      <c r="E19" s="29"/>
      <c r="F19" s="28">
        <v>773.112913287585</v>
      </c>
      <c r="G19" s="29">
        <v>-238.55421686746899</v>
      </c>
      <c r="H19" s="28">
        <v>773.04133251079497</v>
      </c>
      <c r="I19" s="29">
        <v>1.1259842519684999</v>
      </c>
      <c r="J19" s="28">
        <v>773.09269893355099</v>
      </c>
      <c r="K19" s="29">
        <v>1.41919104991394</v>
      </c>
      <c r="N19" s="32">
        <f t="shared" si="1"/>
        <v>773.02127659574398</v>
      </c>
      <c r="O19" s="21">
        <f t="shared" si="2"/>
        <v>36314.0218303945</v>
      </c>
      <c r="P19" s="32">
        <f t="shared" si="3"/>
        <v>773.112913287585</v>
      </c>
      <c r="Q19" s="17">
        <f t="shared" si="4"/>
        <v>-2.3855421686746898E-4</v>
      </c>
      <c r="R19" s="32">
        <f t="shared" si="5"/>
        <v>773.04133251079497</v>
      </c>
      <c r="S19" s="35">
        <f t="shared" si="5"/>
        <v>1.1259842519684999</v>
      </c>
      <c r="T19" s="32">
        <f t="shared" si="5"/>
        <v>773.09269893355099</v>
      </c>
      <c r="U19" s="52">
        <f t="shared" si="5"/>
        <v>1.41919104991394</v>
      </c>
      <c r="V19" s="42">
        <f t="shared" si="6"/>
        <v>1.418886972991483</v>
      </c>
      <c r="W19" s="49">
        <f t="shared" si="7"/>
        <v>2.1426073852098343E-4</v>
      </c>
    </row>
    <row r="20" spans="2:23" x14ac:dyDescent="0.6">
      <c r="B20" s="30"/>
      <c r="C20" s="30"/>
      <c r="D20" s="30"/>
      <c r="E20" s="30"/>
      <c r="F20" s="30"/>
      <c r="G20" s="30"/>
      <c r="H20" s="30"/>
      <c r="I20" s="30"/>
      <c r="J20" s="30"/>
      <c r="K20" s="30"/>
      <c r="N20" s="30"/>
      <c r="O20" s="39"/>
      <c r="P20" s="30"/>
      <c r="Q20" s="40"/>
      <c r="R20" s="30"/>
      <c r="S20" s="41"/>
      <c r="T20" s="30"/>
      <c r="U20" s="41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ht="17.25" thickBot="1" x14ac:dyDescent="0.65">
      <c r="B25" s="31" t="s">
        <v>79</v>
      </c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5" t="s">
        <v>18</v>
      </c>
      <c r="C26" s="6" t="s">
        <v>19</v>
      </c>
      <c r="D26" s="7" t="s">
        <v>18</v>
      </c>
      <c r="E26" s="6" t="s">
        <v>8</v>
      </c>
      <c r="F26" s="7" t="s">
        <v>18</v>
      </c>
      <c r="G26" s="6" t="s">
        <v>1</v>
      </c>
      <c r="H26" s="7" t="s">
        <v>18</v>
      </c>
      <c r="I26" s="6" t="s">
        <v>22</v>
      </c>
      <c r="J26" s="7" t="s">
        <v>18</v>
      </c>
      <c r="K26" s="8" t="s">
        <v>6</v>
      </c>
      <c r="N26" s="5" t="s">
        <v>18</v>
      </c>
      <c r="O26" s="19" t="s">
        <v>19</v>
      </c>
      <c r="P26" s="7" t="s">
        <v>18</v>
      </c>
      <c r="Q26" s="15" t="s">
        <v>1</v>
      </c>
      <c r="R26" s="7" t="s">
        <v>18</v>
      </c>
      <c r="S26" s="23" t="s">
        <v>22</v>
      </c>
      <c r="T26" s="7" t="s">
        <v>18</v>
      </c>
      <c r="U26" s="25" t="s">
        <v>6</v>
      </c>
    </row>
    <row r="27" spans="2:23" ht="17.25" thickBot="1" x14ac:dyDescent="0.65">
      <c r="B27" s="9" t="s">
        <v>24</v>
      </c>
      <c r="C27" s="10" t="s">
        <v>25</v>
      </c>
      <c r="D27" s="11" t="s">
        <v>24</v>
      </c>
      <c r="E27" s="10" t="s">
        <v>26</v>
      </c>
      <c r="F27" s="11" t="s">
        <v>24</v>
      </c>
      <c r="G27" s="27" t="s">
        <v>27</v>
      </c>
      <c r="H27" s="11" t="s">
        <v>24</v>
      </c>
      <c r="I27" s="10" t="s">
        <v>28</v>
      </c>
      <c r="J27" s="11" t="s">
        <v>24</v>
      </c>
      <c r="K27" s="12" t="s">
        <v>7</v>
      </c>
      <c r="N27" s="9" t="s">
        <v>24</v>
      </c>
      <c r="O27" s="20" t="s">
        <v>30</v>
      </c>
      <c r="P27" s="11" t="s">
        <v>24</v>
      </c>
      <c r="Q27" s="16" t="s">
        <v>31</v>
      </c>
      <c r="R27" s="11" t="s">
        <v>24</v>
      </c>
      <c r="S27" s="10" t="s">
        <v>28</v>
      </c>
      <c r="T27" s="11" t="s">
        <v>24</v>
      </c>
      <c r="U27" s="26" t="s">
        <v>7</v>
      </c>
      <c r="W27" t="s">
        <v>78</v>
      </c>
    </row>
    <row r="28" spans="2:23" x14ac:dyDescent="0.6">
      <c r="B28" s="3">
        <v>291.42099999999999</v>
      </c>
      <c r="C28" s="4">
        <v>2135.42</v>
      </c>
      <c r="D28" s="3"/>
      <c r="E28" s="4"/>
      <c r="F28" s="3">
        <v>295.47399999999999</v>
      </c>
      <c r="G28" s="4">
        <v>-148.637</v>
      </c>
      <c r="H28" s="3">
        <v>300.97000000000003</v>
      </c>
      <c r="I28" s="4">
        <v>2.7271000000000001</v>
      </c>
      <c r="J28" s="3">
        <v>298.214</v>
      </c>
      <c r="K28" s="4">
        <v>0.46875</v>
      </c>
      <c r="N28" s="3">
        <f>B28</f>
        <v>291.42099999999999</v>
      </c>
      <c r="O28" s="21">
        <f>C28*100</f>
        <v>213542</v>
      </c>
      <c r="P28" s="3">
        <f>F28</f>
        <v>295.47399999999999</v>
      </c>
      <c r="Q28" s="17">
        <f>G28*0.000001</f>
        <v>-1.4863699999999999E-4</v>
      </c>
      <c r="R28" s="3">
        <f>H28</f>
        <v>300.97000000000003</v>
      </c>
      <c r="S28" s="24">
        <f>I28</f>
        <v>2.7271000000000001</v>
      </c>
      <c r="T28" s="3">
        <f>J28</f>
        <v>298.214</v>
      </c>
      <c r="U28" s="51">
        <f>K28</f>
        <v>0.46875</v>
      </c>
      <c r="V28" s="42">
        <f>((O28*(Q28)^2)/S28)*T28</f>
        <v>0.51589834304408932</v>
      </c>
      <c r="W28" s="49">
        <f t="shared" ref="W28:W38" si="8">(U28-V28)/U28</f>
        <v>-0.10058313182739057</v>
      </c>
    </row>
    <row r="29" spans="2:23" x14ac:dyDescent="0.6">
      <c r="B29" s="3">
        <v>323.63799999999998</v>
      </c>
      <c r="C29" s="4">
        <v>1827.13</v>
      </c>
      <c r="D29" s="3"/>
      <c r="E29" s="4"/>
      <c r="F29" s="3">
        <v>317.72199999999998</v>
      </c>
      <c r="G29" s="4">
        <v>-157.03700000000001</v>
      </c>
      <c r="H29" s="3">
        <v>322.46199999999999</v>
      </c>
      <c r="I29" s="4">
        <v>2.5264799999999998</v>
      </c>
      <c r="J29" s="3">
        <v>328.57100000000003</v>
      </c>
      <c r="K29" s="4">
        <v>0.54374999999999996</v>
      </c>
      <c r="N29" s="3">
        <f t="shared" ref="N29:N38" si="9">B29</f>
        <v>323.63799999999998</v>
      </c>
      <c r="O29" s="21">
        <f t="shared" ref="O29:O38" si="10">C29*100</f>
        <v>182713</v>
      </c>
      <c r="P29" s="3">
        <f t="shared" ref="P29:P38" si="11">F29</f>
        <v>317.72199999999998</v>
      </c>
      <c r="Q29" s="17">
        <f t="shared" ref="Q29:Q38" si="12">G29*0.000001</f>
        <v>-1.5703700000000001E-4</v>
      </c>
      <c r="R29" s="3">
        <f t="shared" ref="R29:R38" si="13">H29</f>
        <v>322.46199999999999</v>
      </c>
      <c r="S29" s="24">
        <f t="shared" ref="S29:S38" si="14">I29</f>
        <v>2.5264799999999998</v>
      </c>
      <c r="T29" s="3">
        <f t="shared" ref="T29:T38" si="15">J29</f>
        <v>328.57100000000003</v>
      </c>
      <c r="U29" s="51">
        <f t="shared" ref="U29:U38" si="16">K29</f>
        <v>0.54374999999999996</v>
      </c>
      <c r="V29" s="42">
        <f t="shared" ref="V29:V38" si="17">((O29*(Q29)^2)/S29)*T29</f>
        <v>0.58598539696785279</v>
      </c>
      <c r="W29" s="49">
        <f t="shared" si="8"/>
        <v>-7.7674293274212117E-2</v>
      </c>
    </row>
    <row r="30" spans="2:23" x14ac:dyDescent="0.6">
      <c r="B30" s="2">
        <v>370.99200000000002</v>
      </c>
      <c r="C30" s="1">
        <v>1426.53</v>
      </c>
      <c r="D30" s="2"/>
      <c r="E30" s="1"/>
      <c r="F30" s="2">
        <v>373.28800000000001</v>
      </c>
      <c r="G30" s="1">
        <v>-160.45599999999999</v>
      </c>
      <c r="H30" s="2">
        <v>374.48399999999998</v>
      </c>
      <c r="I30" s="1">
        <v>2.2250000000000001</v>
      </c>
      <c r="J30" s="2">
        <v>376.786</v>
      </c>
      <c r="K30" s="1">
        <v>0.703125</v>
      </c>
      <c r="N30" s="3">
        <f t="shared" si="9"/>
        <v>370.99200000000002</v>
      </c>
      <c r="O30" s="21">
        <f t="shared" si="10"/>
        <v>142653</v>
      </c>
      <c r="P30" s="3">
        <f t="shared" si="11"/>
        <v>373.28800000000001</v>
      </c>
      <c r="Q30" s="17">
        <f t="shared" si="12"/>
        <v>-1.6045599999999998E-4</v>
      </c>
      <c r="R30" s="3">
        <f t="shared" si="13"/>
        <v>374.48399999999998</v>
      </c>
      <c r="S30" s="24">
        <f t="shared" si="14"/>
        <v>2.2250000000000001</v>
      </c>
      <c r="T30" s="3">
        <f t="shared" si="15"/>
        <v>376.786</v>
      </c>
      <c r="U30" s="51">
        <f t="shared" si="16"/>
        <v>0.703125</v>
      </c>
      <c r="V30" s="42">
        <f t="shared" si="17"/>
        <v>0.62195301091959865</v>
      </c>
      <c r="W30" s="49">
        <f t="shared" si="8"/>
        <v>0.11544460669212636</v>
      </c>
    </row>
    <row r="31" spans="2:23" x14ac:dyDescent="0.6">
      <c r="B31" s="2">
        <v>423.97800000000001</v>
      </c>
      <c r="C31" s="1">
        <v>1087.96</v>
      </c>
      <c r="D31" s="2"/>
      <c r="E31" s="1"/>
      <c r="F31" s="2">
        <v>416.00200000000001</v>
      </c>
      <c r="G31" s="1">
        <v>-199.267</v>
      </c>
      <c r="H31" s="2">
        <v>424.714</v>
      </c>
      <c r="I31" s="1">
        <v>1.9378500000000001</v>
      </c>
      <c r="J31" s="2">
        <v>423.214</v>
      </c>
      <c r="K31" s="1">
        <v>0.86250000000000004</v>
      </c>
      <c r="N31" s="3">
        <f t="shared" si="9"/>
        <v>423.97800000000001</v>
      </c>
      <c r="O31" s="21">
        <f t="shared" si="10"/>
        <v>108796</v>
      </c>
      <c r="P31" s="3">
        <f t="shared" si="11"/>
        <v>416.00200000000001</v>
      </c>
      <c r="Q31" s="17">
        <f t="shared" si="12"/>
        <v>-1.9926699999999999E-4</v>
      </c>
      <c r="R31" s="3">
        <f t="shared" si="13"/>
        <v>424.714</v>
      </c>
      <c r="S31" s="24">
        <f t="shared" si="14"/>
        <v>1.9378500000000001</v>
      </c>
      <c r="T31" s="3">
        <f t="shared" si="15"/>
        <v>423.214</v>
      </c>
      <c r="U31" s="51">
        <f t="shared" si="16"/>
        <v>0.86250000000000004</v>
      </c>
      <c r="V31" s="42">
        <f t="shared" si="17"/>
        <v>0.94346015157038321</v>
      </c>
      <c r="W31" s="49">
        <f t="shared" si="8"/>
        <v>-9.3866842400444239E-2</v>
      </c>
    </row>
    <row r="32" spans="2:23" x14ac:dyDescent="0.6">
      <c r="B32" s="2">
        <v>473.12700000000001</v>
      </c>
      <c r="C32" s="1">
        <v>888.44600000000003</v>
      </c>
      <c r="D32" s="2"/>
      <c r="E32" s="1"/>
      <c r="F32" s="2">
        <v>467.86500000000001</v>
      </c>
      <c r="G32" s="1">
        <v>-202.751</v>
      </c>
      <c r="H32" s="2">
        <v>476.774</v>
      </c>
      <c r="I32" s="1">
        <v>1.7220800000000001</v>
      </c>
      <c r="J32" s="2">
        <v>475</v>
      </c>
      <c r="K32" s="1">
        <v>0.96562499999999996</v>
      </c>
      <c r="N32" s="3">
        <f t="shared" si="9"/>
        <v>473.12700000000001</v>
      </c>
      <c r="O32" s="21">
        <f t="shared" si="10"/>
        <v>88844.6</v>
      </c>
      <c r="P32" s="3">
        <f t="shared" si="11"/>
        <v>467.86500000000001</v>
      </c>
      <c r="Q32" s="17">
        <f t="shared" si="12"/>
        <v>-2.0275099999999998E-4</v>
      </c>
      <c r="R32" s="3">
        <f t="shared" si="13"/>
        <v>476.774</v>
      </c>
      <c r="S32" s="24">
        <f t="shared" si="14"/>
        <v>1.7220800000000001</v>
      </c>
      <c r="T32" s="3">
        <f t="shared" si="15"/>
        <v>475</v>
      </c>
      <c r="U32" s="51">
        <f t="shared" si="16"/>
        <v>0.96562499999999996</v>
      </c>
      <c r="V32" s="42">
        <f t="shared" si="17"/>
        <v>1.0073892981651729</v>
      </c>
      <c r="W32" s="49">
        <f t="shared" si="8"/>
        <v>-4.3251053116036671E-2</v>
      </c>
    </row>
    <row r="33" spans="2:23" x14ac:dyDescent="0.6">
      <c r="B33" s="2">
        <v>520.37400000000002</v>
      </c>
      <c r="C33" s="1">
        <v>719.80200000000002</v>
      </c>
      <c r="D33" s="2"/>
      <c r="E33" s="1"/>
      <c r="F33" s="2">
        <v>521.57899999999995</v>
      </c>
      <c r="G33" s="1">
        <v>-206.203</v>
      </c>
      <c r="H33" s="2">
        <v>521.654</v>
      </c>
      <c r="I33" s="1">
        <v>1.5350900000000001</v>
      </c>
      <c r="J33" s="2">
        <v>528.57100000000003</v>
      </c>
      <c r="K33" s="1">
        <v>1.0687500000000001</v>
      </c>
      <c r="N33" s="3">
        <f t="shared" si="9"/>
        <v>520.37400000000002</v>
      </c>
      <c r="O33" s="21">
        <f t="shared" si="10"/>
        <v>71980.2</v>
      </c>
      <c r="P33" s="3">
        <f t="shared" si="11"/>
        <v>521.57899999999995</v>
      </c>
      <c r="Q33" s="17">
        <f t="shared" si="12"/>
        <v>-2.0620299999999999E-4</v>
      </c>
      <c r="R33" s="3">
        <f t="shared" si="13"/>
        <v>521.654</v>
      </c>
      <c r="S33" s="24">
        <f t="shared" si="14"/>
        <v>1.5350900000000001</v>
      </c>
      <c r="T33" s="3">
        <f t="shared" si="15"/>
        <v>528.57100000000003</v>
      </c>
      <c r="U33" s="51">
        <f t="shared" si="16"/>
        <v>1.0687500000000001</v>
      </c>
      <c r="V33" s="42">
        <f t="shared" si="17"/>
        <v>1.0538347063132323</v>
      </c>
      <c r="W33" s="49">
        <f t="shared" si="8"/>
        <v>1.3955830350192098E-2</v>
      </c>
    </row>
    <row r="34" spans="2:23" x14ac:dyDescent="0.6">
      <c r="B34" s="2">
        <v>575.14</v>
      </c>
      <c r="C34" s="1">
        <v>613.24599999999998</v>
      </c>
      <c r="D34" s="2"/>
      <c r="E34" s="1"/>
      <c r="F34" s="2">
        <v>569.75199999999995</v>
      </c>
      <c r="G34" s="1">
        <v>-214.14699999999999</v>
      </c>
      <c r="H34" s="2">
        <v>573.73400000000004</v>
      </c>
      <c r="I34" s="1">
        <v>1.3621700000000001</v>
      </c>
      <c r="J34" s="2">
        <v>571.42899999999997</v>
      </c>
      <c r="K34" s="1">
        <v>1.24688</v>
      </c>
      <c r="N34" s="3">
        <f t="shared" si="9"/>
        <v>575.14</v>
      </c>
      <c r="O34" s="21">
        <f t="shared" si="10"/>
        <v>61324.6</v>
      </c>
      <c r="P34" s="3">
        <f t="shared" si="11"/>
        <v>569.75199999999995</v>
      </c>
      <c r="Q34" s="17">
        <f t="shared" si="12"/>
        <v>-2.1414699999999998E-4</v>
      </c>
      <c r="R34" s="3">
        <f t="shared" si="13"/>
        <v>573.73400000000004</v>
      </c>
      <c r="S34" s="24">
        <f t="shared" si="14"/>
        <v>1.3621700000000001</v>
      </c>
      <c r="T34" s="3">
        <f t="shared" si="15"/>
        <v>571.42899999999997</v>
      </c>
      <c r="U34" s="51">
        <f t="shared" si="16"/>
        <v>1.24688</v>
      </c>
      <c r="V34" s="42">
        <f t="shared" si="17"/>
        <v>1.1797491668263074</v>
      </c>
      <c r="W34" s="49">
        <f t="shared" si="8"/>
        <v>5.3839048804770799E-2</v>
      </c>
    </row>
    <row r="35" spans="2:23" x14ac:dyDescent="0.6">
      <c r="B35" s="2">
        <v>622.35199999999998</v>
      </c>
      <c r="C35" s="1">
        <v>521.92200000000003</v>
      </c>
      <c r="D35" s="2"/>
      <c r="E35" s="1"/>
      <c r="F35" s="2">
        <v>619.80399999999997</v>
      </c>
      <c r="G35" s="1">
        <v>-230.851</v>
      </c>
      <c r="H35" s="2">
        <v>625.82600000000002</v>
      </c>
      <c r="I35" s="1">
        <v>1.21783</v>
      </c>
      <c r="J35" s="2">
        <v>623.21400000000006</v>
      </c>
      <c r="K35" s="1">
        <v>1.4156200000000001</v>
      </c>
      <c r="N35" s="3">
        <f t="shared" si="9"/>
        <v>622.35199999999998</v>
      </c>
      <c r="O35" s="21">
        <f t="shared" si="10"/>
        <v>52192.200000000004</v>
      </c>
      <c r="P35" s="3">
        <f t="shared" si="11"/>
        <v>619.80399999999997</v>
      </c>
      <c r="Q35" s="17">
        <f t="shared" si="12"/>
        <v>-2.3085099999999999E-4</v>
      </c>
      <c r="R35" s="3">
        <f t="shared" si="13"/>
        <v>625.82600000000002</v>
      </c>
      <c r="S35" s="24">
        <f t="shared" si="14"/>
        <v>1.21783</v>
      </c>
      <c r="T35" s="3">
        <f t="shared" si="15"/>
        <v>623.21400000000006</v>
      </c>
      <c r="U35" s="51">
        <f t="shared" si="16"/>
        <v>1.4156200000000001</v>
      </c>
      <c r="V35" s="42">
        <f t="shared" si="17"/>
        <v>1.4233760581223105</v>
      </c>
      <c r="W35" s="49">
        <f t="shared" si="8"/>
        <v>-5.4789125064003009E-3</v>
      </c>
    </row>
    <row r="36" spans="2:23" x14ac:dyDescent="0.6">
      <c r="B36" s="2">
        <v>673.33</v>
      </c>
      <c r="C36" s="1">
        <v>446.178</v>
      </c>
      <c r="D36" s="2"/>
      <c r="E36" s="1"/>
      <c r="F36" s="2">
        <v>673.505</v>
      </c>
      <c r="G36" s="1">
        <v>-229.90600000000001</v>
      </c>
      <c r="H36" s="2">
        <v>677.94500000000005</v>
      </c>
      <c r="I36" s="1">
        <v>1.13062</v>
      </c>
      <c r="J36" s="2">
        <v>675</v>
      </c>
      <c r="K36" s="1">
        <v>1.425</v>
      </c>
      <c r="N36" s="3">
        <f t="shared" si="9"/>
        <v>673.33</v>
      </c>
      <c r="O36" s="21">
        <f t="shared" si="10"/>
        <v>44617.8</v>
      </c>
      <c r="P36" s="3">
        <f t="shared" si="11"/>
        <v>673.505</v>
      </c>
      <c r="Q36" s="17">
        <f t="shared" si="12"/>
        <v>-2.2990599999999999E-4</v>
      </c>
      <c r="R36" s="3">
        <f t="shared" si="13"/>
        <v>677.94500000000005</v>
      </c>
      <c r="S36" s="24">
        <f t="shared" si="14"/>
        <v>1.13062</v>
      </c>
      <c r="T36" s="3">
        <f t="shared" si="15"/>
        <v>675</v>
      </c>
      <c r="U36" s="51">
        <f t="shared" si="16"/>
        <v>1.425</v>
      </c>
      <c r="V36" s="42">
        <f t="shared" si="17"/>
        <v>1.4079780119627678</v>
      </c>
      <c r="W36" s="49">
        <f t="shared" si="8"/>
        <v>1.1945254762969967E-2</v>
      </c>
    </row>
    <row r="37" spans="2:23" x14ac:dyDescent="0.6">
      <c r="B37" s="2">
        <v>722.38599999999997</v>
      </c>
      <c r="C37" s="1">
        <v>447.69499999999999</v>
      </c>
      <c r="D37" s="2"/>
      <c r="E37" s="1"/>
      <c r="F37" s="2">
        <v>723.51599999999996</v>
      </c>
      <c r="G37" s="1">
        <v>-233.423</v>
      </c>
      <c r="H37" s="2">
        <v>726.49300000000005</v>
      </c>
      <c r="I37" s="1">
        <v>1.10067</v>
      </c>
      <c r="J37" s="2">
        <v>721.42899999999997</v>
      </c>
      <c r="K37" s="1">
        <v>1.5</v>
      </c>
      <c r="N37" s="3">
        <f t="shared" si="9"/>
        <v>722.38599999999997</v>
      </c>
      <c r="O37" s="21">
        <f t="shared" si="10"/>
        <v>44769.5</v>
      </c>
      <c r="P37" s="3">
        <f t="shared" si="11"/>
        <v>723.51599999999996</v>
      </c>
      <c r="Q37" s="17">
        <f t="shared" si="12"/>
        <v>-2.3342299999999999E-4</v>
      </c>
      <c r="R37" s="3">
        <f t="shared" si="13"/>
        <v>726.49300000000005</v>
      </c>
      <c r="S37" s="24">
        <f t="shared" si="14"/>
        <v>1.10067</v>
      </c>
      <c r="T37" s="3">
        <f t="shared" si="15"/>
        <v>721.42899999999997</v>
      </c>
      <c r="U37" s="51">
        <f t="shared" si="16"/>
        <v>1.5</v>
      </c>
      <c r="V37" s="42">
        <f t="shared" si="17"/>
        <v>1.5988436761641651</v>
      </c>
      <c r="W37" s="49">
        <f t="shared" si="8"/>
        <v>-6.5895784109443412E-2</v>
      </c>
    </row>
    <row r="38" spans="2:23" x14ac:dyDescent="0.6">
      <c r="B38" s="28">
        <v>775.23699999999997</v>
      </c>
      <c r="C38" s="29">
        <v>402.93700000000001</v>
      </c>
      <c r="D38" s="28"/>
      <c r="E38" s="29"/>
      <c r="F38" s="28">
        <v>773.47199999999998</v>
      </c>
      <c r="G38" s="29">
        <v>-219.357</v>
      </c>
      <c r="H38" s="28">
        <v>773.24199999999996</v>
      </c>
      <c r="I38" s="29">
        <v>1.0707599999999999</v>
      </c>
      <c r="J38" s="28">
        <v>771.42899999999997</v>
      </c>
      <c r="K38" s="29">
        <v>1.43438</v>
      </c>
      <c r="N38" s="32">
        <f t="shared" si="9"/>
        <v>775.23699999999997</v>
      </c>
      <c r="O38" s="33">
        <f t="shared" si="10"/>
        <v>40293.700000000004</v>
      </c>
      <c r="P38" s="32">
        <f t="shared" si="11"/>
        <v>773.47199999999998</v>
      </c>
      <c r="Q38" s="34">
        <f t="shared" si="12"/>
        <v>-2.1935699999999999E-4</v>
      </c>
      <c r="R38" s="32">
        <f t="shared" si="13"/>
        <v>773.24199999999996</v>
      </c>
      <c r="S38" s="35">
        <f t="shared" si="14"/>
        <v>1.0707599999999999</v>
      </c>
      <c r="T38" s="32">
        <f t="shared" si="15"/>
        <v>771.42899999999997</v>
      </c>
      <c r="U38" s="52">
        <f t="shared" si="16"/>
        <v>1.43438</v>
      </c>
      <c r="V38" s="42">
        <f t="shared" si="17"/>
        <v>1.3968313272468398</v>
      </c>
      <c r="W38" s="49">
        <f t="shared" si="8"/>
        <v>2.6177632672764684E-2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1"/>
  </sheetPr>
  <dimension ref="A1:Y3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16</v>
      </c>
      <c r="M5" s="13"/>
      <c r="N5" s="68" t="s">
        <v>17</v>
      </c>
    </row>
    <row r="6" spans="1:25" ht="17.25" thickBot="1" x14ac:dyDescent="0.65">
      <c r="A6" s="13"/>
      <c r="M6" s="13"/>
    </row>
    <row r="7" spans="1:25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5" ht="17.25" thickBot="1" x14ac:dyDescent="0.65">
      <c r="B8" s="9" t="s">
        <v>33</v>
      </c>
      <c r="C8" s="10" t="s">
        <v>5</v>
      </c>
      <c r="D8" s="9" t="s">
        <v>33</v>
      </c>
      <c r="E8" s="10" t="s">
        <v>26</v>
      </c>
      <c r="F8" s="9" t="s">
        <v>33</v>
      </c>
      <c r="G8" s="27" t="s">
        <v>27</v>
      </c>
      <c r="H8" s="9" t="s">
        <v>33</v>
      </c>
      <c r="I8" s="10" t="s">
        <v>28</v>
      </c>
      <c r="J8" s="9" t="s">
        <v>33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5" x14ac:dyDescent="0.6">
      <c r="B9" s="3">
        <v>24.999999999999901</v>
      </c>
      <c r="C9" s="4">
        <v>70749.354005167901</v>
      </c>
      <c r="D9" s="3"/>
      <c r="E9" s="4"/>
      <c r="F9" s="3">
        <v>24.847560975609699</v>
      </c>
      <c r="G9" s="4">
        <v>219.44035346097201</v>
      </c>
      <c r="H9" s="3">
        <v>24.981217129977399</v>
      </c>
      <c r="I9" s="4">
        <v>0.94406130268199195</v>
      </c>
      <c r="J9" s="3">
        <v>24.9440715883668</v>
      </c>
      <c r="K9" s="4">
        <v>1.2145454545454499</v>
      </c>
      <c r="N9" s="3">
        <f>B9+273.15</f>
        <v>298.14999999999986</v>
      </c>
      <c r="O9" s="21">
        <f>C9</f>
        <v>70749.354005167901</v>
      </c>
      <c r="P9" s="3">
        <f>F9+273.15</f>
        <v>297.9975609756097</v>
      </c>
      <c r="Q9" s="17">
        <f>G9*(10^(-6))</f>
        <v>2.19440353460972E-4</v>
      </c>
      <c r="R9" s="3">
        <f>H9+273.15</f>
        <v>298.13121712997736</v>
      </c>
      <c r="S9" s="24">
        <f>I9</f>
        <v>0.94406130268199195</v>
      </c>
      <c r="T9" s="3">
        <f>J9+273.15</f>
        <v>298.09407158836677</v>
      </c>
      <c r="U9" s="51">
        <f>K9</f>
        <v>1.2145454545454499</v>
      </c>
      <c r="V9" s="42">
        <f>((O9*(Q9)^2)/S9)*T9</f>
        <v>1.0757432009500512</v>
      </c>
      <c r="W9" s="49">
        <f t="shared" ref="W9" si="0">(U9-V9)/U9</f>
        <v>0.11428329263094254</v>
      </c>
      <c r="Y9" s="14"/>
    </row>
    <row r="10" spans="1:25" x14ac:dyDescent="0.6">
      <c r="B10" s="3">
        <v>75</v>
      </c>
      <c r="C10" s="4">
        <v>57777.777777777701</v>
      </c>
      <c r="D10" s="3"/>
      <c r="E10" s="4"/>
      <c r="F10" s="3">
        <v>74.923780487804805</v>
      </c>
      <c r="G10" s="4">
        <v>229.10162002945501</v>
      </c>
      <c r="H10" s="3">
        <v>75.018782870022505</v>
      </c>
      <c r="I10" s="4">
        <v>0.89042145593869704</v>
      </c>
      <c r="J10" s="3">
        <v>75.055928411633104</v>
      </c>
      <c r="K10" s="4">
        <v>1.2863636363636299</v>
      </c>
      <c r="N10" s="3">
        <f t="shared" ref="N10:N13" si="1">B10+273.15</f>
        <v>348.15</v>
      </c>
      <c r="O10" s="21">
        <f t="shared" ref="O10:O13" si="2">C10</f>
        <v>57777.777777777701</v>
      </c>
      <c r="P10" s="3">
        <f t="shared" ref="P10:P13" si="3">F10+273.15</f>
        <v>348.07378048780481</v>
      </c>
      <c r="Q10" s="17">
        <f t="shared" ref="Q10:Q13" si="4">G10*(10^(-6))</f>
        <v>2.29101620029455E-4</v>
      </c>
      <c r="R10" s="3">
        <f t="shared" ref="R10:R13" si="5">H10+273.15</f>
        <v>348.16878287002248</v>
      </c>
      <c r="S10" s="24">
        <f t="shared" ref="S10:U13" si="6">I10</f>
        <v>0.89042145593869704</v>
      </c>
      <c r="T10" s="3">
        <f t="shared" ref="T10:T13" si="7">J10+273.15</f>
        <v>348.20592841163307</v>
      </c>
      <c r="U10" s="51">
        <f t="shared" si="6"/>
        <v>1.2863636363636299</v>
      </c>
      <c r="V10" s="42">
        <f t="shared" ref="V10:V13" si="8">((O10*(Q10)^2)/S10)*T10</f>
        <v>1.1859262966052611</v>
      </c>
      <c r="W10" s="49">
        <f t="shared" ref="W10:W13" si="9">(U10-V10)/U10</f>
        <v>7.8078497338661706E-2</v>
      </c>
      <c r="Y10" s="14"/>
    </row>
    <row r="11" spans="1:25" x14ac:dyDescent="0.6">
      <c r="B11" s="2">
        <v>125</v>
      </c>
      <c r="C11" s="1">
        <v>46666.666666666599</v>
      </c>
      <c r="D11" s="2"/>
      <c r="E11" s="1"/>
      <c r="F11" s="2">
        <v>125</v>
      </c>
      <c r="G11" s="1">
        <v>231.28129602356401</v>
      </c>
      <c r="H11" s="2">
        <v>125.056348610067</v>
      </c>
      <c r="I11" s="1">
        <v>0.86743295019157096</v>
      </c>
      <c r="J11" s="2">
        <v>125.055928411633</v>
      </c>
      <c r="K11" s="1">
        <v>1.25545454545454</v>
      </c>
      <c r="N11" s="3">
        <f t="shared" si="1"/>
        <v>398.15</v>
      </c>
      <c r="O11" s="21">
        <f t="shared" si="2"/>
        <v>46666.666666666599</v>
      </c>
      <c r="P11" s="3">
        <f t="shared" si="3"/>
        <v>398.15</v>
      </c>
      <c r="Q11" s="17">
        <f t="shared" si="4"/>
        <v>2.3128129602356399E-4</v>
      </c>
      <c r="R11" s="3">
        <f t="shared" si="5"/>
        <v>398.20634861006698</v>
      </c>
      <c r="S11" s="24">
        <f t="shared" si="6"/>
        <v>0.86743295019157096</v>
      </c>
      <c r="T11" s="3">
        <f t="shared" si="7"/>
        <v>398.20592841163295</v>
      </c>
      <c r="U11" s="51">
        <f t="shared" si="6"/>
        <v>1.25545454545454</v>
      </c>
      <c r="V11" s="42">
        <f t="shared" si="8"/>
        <v>1.1459340175386987</v>
      </c>
      <c r="W11" s="49">
        <f t="shared" si="9"/>
        <v>8.7235757210301218E-2</v>
      </c>
      <c r="Y11" s="14"/>
    </row>
    <row r="12" spans="1:25" x14ac:dyDescent="0.6">
      <c r="B12" s="2">
        <v>175</v>
      </c>
      <c r="C12" s="1">
        <v>39793.281653746701</v>
      </c>
      <c r="D12" s="2"/>
      <c r="E12" s="1"/>
      <c r="F12" s="2">
        <v>174.96189024390199</v>
      </c>
      <c r="G12" s="1">
        <v>215.55228276877699</v>
      </c>
      <c r="H12" s="2">
        <v>175.09391435011199</v>
      </c>
      <c r="I12" s="1">
        <v>0.89042145593869604</v>
      </c>
      <c r="J12" s="2">
        <v>175.055928411633</v>
      </c>
      <c r="K12" s="1">
        <v>1.04181818181818</v>
      </c>
      <c r="N12" s="3">
        <f t="shared" si="1"/>
        <v>448.15</v>
      </c>
      <c r="O12" s="21">
        <f t="shared" si="2"/>
        <v>39793.281653746701</v>
      </c>
      <c r="P12" s="3">
        <f t="shared" si="3"/>
        <v>448.11189024390194</v>
      </c>
      <c r="Q12" s="17">
        <f t="shared" si="4"/>
        <v>2.1555228276877699E-4</v>
      </c>
      <c r="R12" s="3">
        <f t="shared" si="5"/>
        <v>448.24391435011194</v>
      </c>
      <c r="S12" s="24">
        <f t="shared" si="6"/>
        <v>0.89042145593869604</v>
      </c>
      <c r="T12" s="3">
        <f t="shared" si="7"/>
        <v>448.20592841163295</v>
      </c>
      <c r="U12" s="51">
        <f t="shared" si="6"/>
        <v>1.04181818181818</v>
      </c>
      <c r="V12" s="42">
        <f t="shared" si="8"/>
        <v>0.93067273102525494</v>
      </c>
      <c r="W12" s="49">
        <f t="shared" si="9"/>
        <v>0.10668411507174325</v>
      </c>
      <c r="Y12" s="14"/>
    </row>
    <row r="13" spans="1:25" x14ac:dyDescent="0.6">
      <c r="B13" s="28">
        <v>225.35714285714201</v>
      </c>
      <c r="C13" s="29">
        <v>36589.147286821702</v>
      </c>
      <c r="D13" s="28"/>
      <c r="E13" s="29"/>
      <c r="F13" s="28">
        <v>225.03810975609699</v>
      </c>
      <c r="G13" s="29">
        <v>187.15758468335699</v>
      </c>
      <c r="H13" s="28">
        <v>225.01878287002199</v>
      </c>
      <c r="I13" s="29">
        <v>0.94406130268199195</v>
      </c>
      <c r="J13" s="28">
        <v>225.055928411633</v>
      </c>
      <c r="K13" s="29">
        <v>0.77090909090908999</v>
      </c>
      <c r="N13" s="3">
        <f t="shared" si="1"/>
        <v>498.50714285714196</v>
      </c>
      <c r="O13" s="33">
        <f t="shared" si="2"/>
        <v>36589.147286821702</v>
      </c>
      <c r="P13" s="3">
        <f t="shared" si="3"/>
        <v>498.18810975609699</v>
      </c>
      <c r="Q13" s="17">
        <f t="shared" si="4"/>
        <v>1.8715758468335698E-4</v>
      </c>
      <c r="R13" s="3">
        <f t="shared" si="5"/>
        <v>498.16878287002197</v>
      </c>
      <c r="S13" s="35">
        <f t="shared" si="6"/>
        <v>0.94406130268199195</v>
      </c>
      <c r="T13" s="3">
        <f t="shared" si="7"/>
        <v>498.20592841163295</v>
      </c>
      <c r="U13" s="52">
        <f t="shared" si="6"/>
        <v>0.77090909090908999</v>
      </c>
      <c r="V13" s="42">
        <f t="shared" si="8"/>
        <v>0.6763567787184418</v>
      </c>
      <c r="W13" s="49">
        <f t="shared" si="9"/>
        <v>0.12265040496428435</v>
      </c>
      <c r="Y13" s="14"/>
    </row>
    <row r="14" spans="1:25" x14ac:dyDescent="0.6">
      <c r="B14" s="30"/>
      <c r="C14" s="30"/>
      <c r="D14" s="30"/>
      <c r="E14" s="30"/>
      <c r="F14" s="30"/>
      <c r="G14" s="30"/>
      <c r="H14" s="30"/>
      <c r="I14" s="30"/>
      <c r="J14" s="30"/>
      <c r="K14" s="30"/>
      <c r="N14" s="30"/>
      <c r="O14" s="39"/>
      <c r="P14" s="30"/>
      <c r="Q14" s="40"/>
      <c r="R14" s="30"/>
      <c r="S14" s="41"/>
      <c r="T14" s="30"/>
      <c r="U14" s="41"/>
    </row>
    <row r="15" spans="1:25" x14ac:dyDescent="0.6">
      <c r="B15" s="31"/>
      <c r="C15" s="31"/>
      <c r="D15" s="31"/>
      <c r="E15" s="31"/>
      <c r="F15" s="31"/>
      <c r="G15" s="31"/>
      <c r="H15" s="31"/>
      <c r="I15" s="31"/>
      <c r="J15" s="31"/>
      <c r="K15" s="31"/>
      <c r="N15" s="31"/>
      <c r="O15" s="36"/>
      <c r="P15" s="31"/>
      <c r="Q15" s="37"/>
      <c r="R15" s="31"/>
      <c r="S15" s="38"/>
      <c r="T15" s="31"/>
      <c r="U15" s="38"/>
    </row>
    <row r="16" spans="1:25" x14ac:dyDescent="0.6">
      <c r="B16" s="31"/>
      <c r="C16" s="31"/>
      <c r="D16" s="31"/>
      <c r="E16" s="31"/>
      <c r="F16" s="31"/>
      <c r="G16" s="31"/>
      <c r="H16" s="31"/>
      <c r="I16" s="31"/>
      <c r="J16" s="31"/>
      <c r="K16" s="31"/>
      <c r="N16" s="31"/>
      <c r="O16" s="36"/>
      <c r="P16" s="31"/>
      <c r="Q16" s="37"/>
      <c r="R16" s="31"/>
      <c r="S16" s="38"/>
      <c r="T16" s="31"/>
      <c r="U16" s="38"/>
    </row>
    <row r="17" spans="2:23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6"/>
      <c r="P17" s="31"/>
      <c r="Q17" s="37"/>
      <c r="R17" s="31"/>
      <c r="S17" s="38"/>
      <c r="T17" s="31"/>
      <c r="U17" s="38"/>
      <c r="V17"/>
    </row>
    <row r="18" spans="2:23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6"/>
      <c r="P18" s="31"/>
      <c r="Q18" s="37"/>
      <c r="R18" s="31"/>
      <c r="S18" s="38"/>
      <c r="T18" s="31"/>
      <c r="U18" s="38"/>
      <c r="V18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ht="17.25" thickBot="1" x14ac:dyDescent="0.65">
      <c r="B21" s="31" t="s">
        <v>79</v>
      </c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5" t="s">
        <v>3</v>
      </c>
      <c r="C22" s="6" t="s">
        <v>0</v>
      </c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9" t="s">
        <v>33</v>
      </c>
      <c r="C23" s="10" t="s">
        <v>5</v>
      </c>
      <c r="D23" s="9" t="s">
        <v>33</v>
      </c>
      <c r="E23" s="10" t="s">
        <v>11</v>
      </c>
      <c r="F23" s="9" t="s">
        <v>33</v>
      </c>
      <c r="G23" s="27" t="s">
        <v>13</v>
      </c>
      <c r="H23" s="9" t="s">
        <v>33</v>
      </c>
      <c r="I23" s="10" t="s">
        <v>15</v>
      </c>
      <c r="J23" s="9" t="s">
        <v>33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  <c r="W23" t="s">
        <v>78</v>
      </c>
    </row>
    <row r="24" spans="2:23" x14ac:dyDescent="0.6">
      <c r="B24" s="3">
        <v>26.913399999999999</v>
      </c>
      <c r="C24" s="4">
        <v>71023.8</v>
      </c>
      <c r="D24" s="3"/>
      <c r="E24" s="4"/>
      <c r="F24" s="3">
        <v>25.05</v>
      </c>
      <c r="G24" s="4">
        <v>220.04599999999999</v>
      </c>
      <c r="H24" s="3">
        <v>26.845600000000001</v>
      </c>
      <c r="I24" s="4">
        <v>0.94857100000000005</v>
      </c>
      <c r="J24" s="3">
        <v>25.4237</v>
      </c>
      <c r="K24" s="4">
        <v>1.2188099999999999</v>
      </c>
      <c r="N24" s="3">
        <f>B24+273</f>
        <v>299.91340000000002</v>
      </c>
      <c r="O24" s="21">
        <f>C24</f>
        <v>71023.8</v>
      </c>
      <c r="P24" s="3">
        <f>F24+273</f>
        <v>298.05</v>
      </c>
      <c r="Q24" s="17">
        <f>G24*0.000001</f>
        <v>2.2004599999999997E-4</v>
      </c>
      <c r="R24" s="3">
        <f>H24+273</f>
        <v>299.84559999999999</v>
      </c>
      <c r="S24" s="24">
        <f>I24</f>
        <v>0.94857100000000005</v>
      </c>
      <c r="T24" s="3">
        <f>J24+273</f>
        <v>298.4237</v>
      </c>
      <c r="U24" s="51">
        <f>K24</f>
        <v>1.2188099999999999</v>
      </c>
      <c r="V24" s="42">
        <f>((O24*(Q24)^2)/S24)*T24</f>
        <v>1.0819179569116502</v>
      </c>
      <c r="W24" s="49">
        <f t="shared" ref="W24:W28" si="10">(U24-V24)/U24</f>
        <v>0.11231614696987209</v>
      </c>
    </row>
    <row r="25" spans="2:23" x14ac:dyDescent="0.6">
      <c r="B25" s="3">
        <v>78.410600000000002</v>
      </c>
      <c r="C25" s="4">
        <v>58395</v>
      </c>
      <c r="D25" s="3"/>
      <c r="E25" s="4"/>
      <c r="F25" s="3">
        <v>74.308499999999995</v>
      </c>
      <c r="G25" s="4">
        <v>229.262</v>
      </c>
      <c r="H25" s="3">
        <v>77.181200000000004</v>
      </c>
      <c r="I25" s="4">
        <v>0.89142900000000003</v>
      </c>
      <c r="J25" s="3">
        <v>74.576300000000003</v>
      </c>
      <c r="K25" s="4">
        <v>1.2881199999999999</v>
      </c>
      <c r="N25" s="3">
        <f t="shared" ref="N25:N28" si="11">B25+273</f>
        <v>351.41059999999999</v>
      </c>
      <c r="O25" s="21">
        <f t="shared" ref="O25:O28" si="12">C25</f>
        <v>58395</v>
      </c>
      <c r="P25" s="3">
        <f t="shared" ref="P25:P28" si="13">F25+273</f>
        <v>347.30849999999998</v>
      </c>
      <c r="Q25" s="17">
        <f t="shared" ref="Q25:Q28" si="14">G25*0.000001</f>
        <v>2.2926199999999999E-4</v>
      </c>
      <c r="R25" s="3">
        <f t="shared" ref="R25:R28" si="15">H25+273</f>
        <v>350.18119999999999</v>
      </c>
      <c r="S25" s="24">
        <f t="shared" ref="S25:S28" si="16">I25</f>
        <v>0.89142900000000003</v>
      </c>
      <c r="T25" s="3">
        <f t="shared" ref="T25:T28" si="17">J25+273</f>
        <v>347.5763</v>
      </c>
      <c r="U25" s="51">
        <f t="shared" ref="U25:U28" si="18">K25</f>
        <v>1.2881199999999999</v>
      </c>
      <c r="V25" s="42">
        <f t="shared" ref="V25:V28" si="19">((O25*(Q25)^2)/S25)*T25</f>
        <v>1.196749386527294</v>
      </c>
      <c r="W25" s="49">
        <f t="shared" si="10"/>
        <v>7.0933308599125805E-2</v>
      </c>
    </row>
    <row r="26" spans="2:23" x14ac:dyDescent="0.6">
      <c r="B26" s="2">
        <v>128.23599999999999</v>
      </c>
      <c r="C26" s="1">
        <v>47239</v>
      </c>
      <c r="D26" s="2"/>
      <c r="E26" s="1"/>
      <c r="F26" s="2">
        <v>125.31699999999999</v>
      </c>
      <c r="G26" s="1">
        <v>231.09</v>
      </c>
      <c r="H26" s="2">
        <v>126.678</v>
      </c>
      <c r="I26" s="1">
        <v>0.86857099999999998</v>
      </c>
      <c r="J26" s="2">
        <v>125.42400000000001</v>
      </c>
      <c r="K26" s="1">
        <v>1.2465299999999999</v>
      </c>
      <c r="N26" s="3">
        <f t="shared" si="11"/>
        <v>401.23599999999999</v>
      </c>
      <c r="O26" s="21">
        <f t="shared" si="12"/>
        <v>47239</v>
      </c>
      <c r="P26" s="3">
        <f t="shared" si="13"/>
        <v>398.31700000000001</v>
      </c>
      <c r="Q26" s="17">
        <f t="shared" si="14"/>
        <v>2.3108999999999998E-4</v>
      </c>
      <c r="R26" s="3">
        <f t="shared" si="15"/>
        <v>399.678</v>
      </c>
      <c r="S26" s="24">
        <f t="shared" si="16"/>
        <v>0.86857099999999998</v>
      </c>
      <c r="T26" s="3">
        <f t="shared" si="17"/>
        <v>398.42399999999998</v>
      </c>
      <c r="U26" s="51">
        <f t="shared" si="18"/>
        <v>1.2465299999999999</v>
      </c>
      <c r="V26" s="42">
        <f t="shared" si="19"/>
        <v>1.1571859898202594</v>
      </c>
      <c r="W26" s="49">
        <f t="shared" si="10"/>
        <v>7.1674175655411801E-2</v>
      </c>
    </row>
    <row r="27" spans="2:23" x14ac:dyDescent="0.6">
      <c r="B27" s="2">
        <v>175.58799999999999</v>
      </c>
      <c r="C27" s="1">
        <v>40494.199999999997</v>
      </c>
      <c r="D27" s="2"/>
      <c r="E27" s="1"/>
      <c r="F27" s="2">
        <v>174.73400000000001</v>
      </c>
      <c r="G27" s="1">
        <v>216.393</v>
      </c>
      <c r="H27" s="2">
        <v>174.49700000000001</v>
      </c>
      <c r="I27" s="1">
        <v>0.90285700000000002</v>
      </c>
      <c r="J27" s="2">
        <v>175.42400000000001</v>
      </c>
      <c r="K27" s="1">
        <v>1.0316799999999999</v>
      </c>
      <c r="N27" s="3">
        <f t="shared" si="11"/>
        <v>448.58799999999997</v>
      </c>
      <c r="O27" s="21">
        <f t="shared" si="12"/>
        <v>40494.199999999997</v>
      </c>
      <c r="P27" s="3">
        <f t="shared" si="13"/>
        <v>447.73400000000004</v>
      </c>
      <c r="Q27" s="17">
        <f t="shared" si="14"/>
        <v>2.16393E-4</v>
      </c>
      <c r="R27" s="3">
        <f t="shared" si="15"/>
        <v>447.49700000000001</v>
      </c>
      <c r="S27" s="24">
        <f t="shared" si="16"/>
        <v>0.90285700000000002</v>
      </c>
      <c r="T27" s="3">
        <f t="shared" si="17"/>
        <v>448.42399999999998</v>
      </c>
      <c r="U27" s="51">
        <f t="shared" si="18"/>
        <v>1.0316799999999999</v>
      </c>
      <c r="V27" s="42">
        <f t="shared" si="19"/>
        <v>0.94177925107998206</v>
      </c>
      <c r="W27" s="49">
        <f t="shared" si="10"/>
        <v>8.7140148999707151E-2</v>
      </c>
    </row>
    <row r="28" spans="2:23" x14ac:dyDescent="0.6">
      <c r="B28" s="28">
        <v>226.37</v>
      </c>
      <c r="C28" s="29">
        <v>36308.199999999997</v>
      </c>
      <c r="D28" s="28"/>
      <c r="E28" s="29"/>
      <c r="F28" s="28">
        <v>223.39400000000001</v>
      </c>
      <c r="G28" s="29">
        <v>187.78200000000001</v>
      </c>
      <c r="H28" s="28">
        <v>224.83199999999999</v>
      </c>
      <c r="I28" s="29">
        <v>0.97142899999999999</v>
      </c>
      <c r="J28" s="28">
        <v>225.42400000000001</v>
      </c>
      <c r="K28" s="29">
        <v>0.76831700000000003</v>
      </c>
      <c r="N28" s="32">
        <f t="shared" si="11"/>
        <v>499.37</v>
      </c>
      <c r="O28" s="33">
        <f t="shared" si="12"/>
        <v>36308.199999999997</v>
      </c>
      <c r="P28" s="32">
        <f t="shared" si="13"/>
        <v>496.39400000000001</v>
      </c>
      <c r="Q28" s="34">
        <f t="shared" si="14"/>
        <v>1.87782E-4</v>
      </c>
      <c r="R28" s="32">
        <f t="shared" si="15"/>
        <v>497.83199999999999</v>
      </c>
      <c r="S28" s="35">
        <f t="shared" si="16"/>
        <v>0.97142899999999999</v>
      </c>
      <c r="T28" s="32">
        <f t="shared" si="17"/>
        <v>498.42399999999998</v>
      </c>
      <c r="U28" s="52">
        <f t="shared" si="18"/>
        <v>0.76831700000000003</v>
      </c>
      <c r="V28" s="42">
        <f t="shared" si="19"/>
        <v>0.65690190526808401</v>
      </c>
      <c r="W28" s="49">
        <f t="shared" si="10"/>
        <v>0.14501188276702978</v>
      </c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1"/>
  </sheetPr>
  <dimension ref="A1:W3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36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298.395378690629</v>
      </c>
      <c r="E9" s="4">
        <v>15.0109409190371</v>
      </c>
      <c r="F9" s="3">
        <v>297.97979797979798</v>
      </c>
      <c r="G9" s="4">
        <v>-185.750528541226</v>
      </c>
      <c r="H9" s="3">
        <v>297.97570850202402</v>
      </c>
      <c r="I9" s="4">
        <v>0.93951612903225701</v>
      </c>
      <c r="J9" s="3">
        <v>297.93956043956001</v>
      </c>
      <c r="K9" s="4">
        <v>0.71556473829201095</v>
      </c>
      <c r="N9" s="3">
        <f>D9</f>
        <v>298.395378690629</v>
      </c>
      <c r="O9" s="21">
        <f>1/E9*1000000</f>
        <v>66618.075801749714</v>
      </c>
      <c r="P9" s="3">
        <f>F9</f>
        <v>297.97979797979798</v>
      </c>
      <c r="Q9" s="17">
        <f>G9*0.000001</f>
        <v>-1.8575052854122599E-4</v>
      </c>
      <c r="R9" s="3">
        <f>H9</f>
        <v>297.97570850202402</v>
      </c>
      <c r="S9" s="24">
        <f>I9</f>
        <v>0.93951612903225701</v>
      </c>
      <c r="T9" s="3">
        <f>J9</f>
        <v>297.93956043956001</v>
      </c>
      <c r="U9" s="51">
        <f>K9</f>
        <v>0.71556473829201095</v>
      </c>
      <c r="V9" s="42">
        <f>((O9*(Q9)^2)/S9)*T9</f>
        <v>0.72891373413404592</v>
      </c>
      <c r="W9" s="49">
        <f t="shared" ref="W9" si="0">(U9-V9)/U9</f>
        <v>-1.8655189569427123E-2</v>
      </c>
    </row>
    <row r="10" spans="1:23" x14ac:dyDescent="0.6">
      <c r="B10" s="3"/>
      <c r="C10" s="4"/>
      <c r="D10" s="3">
        <v>323.106546854942</v>
      </c>
      <c r="E10" s="4">
        <v>15.7986870897155</v>
      </c>
      <c r="F10" s="3">
        <v>322.89562289562201</v>
      </c>
      <c r="G10" s="4">
        <v>-190.65539112050701</v>
      </c>
      <c r="H10" s="3">
        <v>322.60458839406198</v>
      </c>
      <c r="I10" s="4">
        <v>0.91834677419354804</v>
      </c>
      <c r="J10" s="3">
        <v>323.00824175824101</v>
      </c>
      <c r="K10" s="4">
        <v>0.80509641873278204</v>
      </c>
      <c r="N10" s="3">
        <f t="shared" ref="N10:N15" si="1">D10</f>
        <v>323.106546854942</v>
      </c>
      <c r="O10" s="21">
        <f t="shared" ref="O10:O15" si="2">1/E10*1000000</f>
        <v>63296.398891966906</v>
      </c>
      <c r="P10" s="3">
        <f t="shared" ref="P10:P15" si="3">F10</f>
        <v>322.89562289562201</v>
      </c>
      <c r="Q10" s="17">
        <f t="shared" ref="Q10:Q15" si="4">G10*0.000001</f>
        <v>-1.9065539112050699E-4</v>
      </c>
      <c r="R10" s="3">
        <f t="shared" ref="R10:U15" si="5">H10</f>
        <v>322.60458839406198</v>
      </c>
      <c r="S10" s="24">
        <f t="shared" si="5"/>
        <v>0.91834677419354804</v>
      </c>
      <c r="T10" s="3">
        <f t="shared" si="5"/>
        <v>323.00824175824101</v>
      </c>
      <c r="U10" s="51">
        <f t="shared" si="5"/>
        <v>0.80509641873278204</v>
      </c>
      <c r="V10" s="42">
        <f t="shared" ref="V10:V15" si="6">((O10*(Q10)^2)/S10)*T10</f>
        <v>0.80925255997461076</v>
      </c>
      <c r="W10" s="49">
        <f t="shared" ref="W10:W15" si="7">(U10-V10)/U10</f>
        <v>-5.162290062562286E-3</v>
      </c>
    </row>
    <row r="11" spans="1:23" x14ac:dyDescent="0.6">
      <c r="B11" s="2"/>
      <c r="C11" s="1"/>
      <c r="D11" s="2">
        <v>373.65211810012801</v>
      </c>
      <c r="E11" s="1">
        <v>17.6805251641137</v>
      </c>
      <c r="F11" s="2">
        <v>373.06397306397298</v>
      </c>
      <c r="G11" s="1">
        <v>-194.12262156448199</v>
      </c>
      <c r="H11" s="2">
        <v>372.874493927125</v>
      </c>
      <c r="I11" s="1">
        <v>0.90826612903225801</v>
      </c>
      <c r="J11" s="2">
        <v>372.97390109890102</v>
      </c>
      <c r="K11" s="1">
        <v>0.87258953168043996</v>
      </c>
      <c r="N11" s="3">
        <f t="shared" si="1"/>
        <v>373.65211810012801</v>
      </c>
      <c r="O11" s="21">
        <f t="shared" si="2"/>
        <v>56559.405940594334</v>
      </c>
      <c r="P11" s="3">
        <f t="shared" si="3"/>
        <v>373.06397306397298</v>
      </c>
      <c r="Q11" s="17">
        <f t="shared" si="4"/>
        <v>-1.9412262156448198E-4</v>
      </c>
      <c r="R11" s="3">
        <f t="shared" si="5"/>
        <v>372.874493927125</v>
      </c>
      <c r="S11" s="24">
        <f t="shared" si="5"/>
        <v>0.90826612903225801</v>
      </c>
      <c r="T11" s="3">
        <f t="shared" si="5"/>
        <v>372.97390109890102</v>
      </c>
      <c r="U11" s="51">
        <f t="shared" si="5"/>
        <v>0.87258953168043996</v>
      </c>
      <c r="V11" s="42">
        <f t="shared" si="6"/>
        <v>0.87523053099169168</v>
      </c>
      <c r="W11" s="49">
        <f t="shared" si="7"/>
        <v>-3.0266227308109761E-3</v>
      </c>
    </row>
    <row r="12" spans="1:23" x14ac:dyDescent="0.6">
      <c r="B12" s="2"/>
      <c r="C12" s="1"/>
      <c r="D12" s="2">
        <v>423.395378690629</v>
      </c>
      <c r="E12" s="1">
        <v>19.562363238511999</v>
      </c>
      <c r="F12" s="2">
        <v>423.06397306397298</v>
      </c>
      <c r="G12" s="1">
        <v>-192.93868921775899</v>
      </c>
      <c r="H12" s="2">
        <v>423.313090418353</v>
      </c>
      <c r="I12" s="1">
        <v>0.92137096774193505</v>
      </c>
      <c r="J12" s="2">
        <v>422.93956043956001</v>
      </c>
      <c r="K12" s="1">
        <v>0.86914600550964105</v>
      </c>
      <c r="N12" s="3">
        <f t="shared" si="1"/>
        <v>423.395378690629</v>
      </c>
      <c r="O12" s="21">
        <f t="shared" si="2"/>
        <v>51118.568232662292</v>
      </c>
      <c r="P12" s="3">
        <f t="shared" si="3"/>
        <v>423.06397306397298</v>
      </c>
      <c r="Q12" s="17">
        <f t="shared" si="4"/>
        <v>-1.9293868921775898E-4</v>
      </c>
      <c r="R12" s="3">
        <f t="shared" si="5"/>
        <v>423.313090418353</v>
      </c>
      <c r="S12" s="24">
        <f t="shared" si="5"/>
        <v>0.92137096774193505</v>
      </c>
      <c r="T12" s="3">
        <f t="shared" si="5"/>
        <v>422.93956043956001</v>
      </c>
      <c r="U12" s="51">
        <f t="shared" si="5"/>
        <v>0.86914600550964105</v>
      </c>
      <c r="V12" s="42">
        <f t="shared" si="6"/>
        <v>0.87349639043986815</v>
      </c>
      <c r="W12" s="49">
        <f t="shared" si="7"/>
        <v>-5.0053557200394286E-3</v>
      </c>
    </row>
    <row r="13" spans="1:23" x14ac:dyDescent="0.6">
      <c r="B13" s="2"/>
      <c r="C13" s="1"/>
      <c r="D13" s="2">
        <v>473.13863928112897</v>
      </c>
      <c r="E13" s="1">
        <v>20.853391684901499</v>
      </c>
      <c r="F13" s="2">
        <v>473.23232323232298</v>
      </c>
      <c r="G13" s="1">
        <v>-180.422832980972</v>
      </c>
      <c r="H13" s="2">
        <v>473.07692307692298</v>
      </c>
      <c r="I13" s="1">
        <v>0.98487903225806395</v>
      </c>
      <c r="J13" s="2">
        <v>473.07692307692298</v>
      </c>
      <c r="K13" s="1">
        <v>0.74242424242424199</v>
      </c>
      <c r="N13" s="3">
        <f t="shared" si="1"/>
        <v>473.13863928112897</v>
      </c>
      <c r="O13" s="21">
        <f t="shared" si="2"/>
        <v>47953.830010493257</v>
      </c>
      <c r="P13" s="3">
        <f t="shared" si="3"/>
        <v>473.23232323232298</v>
      </c>
      <c r="Q13" s="17">
        <f t="shared" si="4"/>
        <v>-1.80422832980972E-4</v>
      </c>
      <c r="R13" s="3">
        <f t="shared" si="5"/>
        <v>473.07692307692298</v>
      </c>
      <c r="S13" s="24">
        <f t="shared" si="5"/>
        <v>0.98487903225806395</v>
      </c>
      <c r="T13" s="3">
        <f t="shared" si="5"/>
        <v>473.07692307692298</v>
      </c>
      <c r="U13" s="51">
        <f t="shared" si="5"/>
        <v>0.74242424242424199</v>
      </c>
      <c r="V13" s="42">
        <f t="shared" si="6"/>
        <v>0.74981680023943209</v>
      </c>
      <c r="W13" s="49">
        <f t="shared" si="7"/>
        <v>-9.9573227714805541E-3</v>
      </c>
    </row>
    <row r="14" spans="1:23" x14ac:dyDescent="0.6">
      <c r="B14" s="2"/>
      <c r="C14" s="1"/>
      <c r="D14" s="2">
        <v>523.20282413350401</v>
      </c>
      <c r="E14" s="1">
        <v>21.312910284463801</v>
      </c>
      <c r="F14" s="2">
        <v>523.06397306397298</v>
      </c>
      <c r="G14" s="1">
        <v>-163.93234672304399</v>
      </c>
      <c r="H14" s="2">
        <v>523.17813765182098</v>
      </c>
      <c r="I14" s="1">
        <v>1.1008064516128999</v>
      </c>
      <c r="J14" s="2">
        <v>523.04258241758203</v>
      </c>
      <c r="K14" s="1">
        <v>0.59435261707988896</v>
      </c>
      <c r="N14" s="3">
        <f t="shared" si="1"/>
        <v>523.20282413350401</v>
      </c>
      <c r="O14" s="21">
        <f t="shared" si="2"/>
        <v>46919.917864476593</v>
      </c>
      <c r="P14" s="3">
        <f t="shared" si="3"/>
        <v>523.06397306397298</v>
      </c>
      <c r="Q14" s="17">
        <f t="shared" si="4"/>
        <v>-1.6393234672304398E-4</v>
      </c>
      <c r="R14" s="3">
        <f t="shared" si="5"/>
        <v>523.17813765182098</v>
      </c>
      <c r="S14" s="24">
        <f t="shared" si="5"/>
        <v>1.1008064516128999</v>
      </c>
      <c r="T14" s="3">
        <f t="shared" si="5"/>
        <v>523.04258241758203</v>
      </c>
      <c r="U14" s="51">
        <f t="shared" si="5"/>
        <v>0.59435261707988896</v>
      </c>
      <c r="V14" s="42">
        <f t="shared" si="6"/>
        <v>0.59911837043619232</v>
      </c>
      <c r="W14" s="49">
        <f t="shared" si="7"/>
        <v>-8.0183938277549101E-3</v>
      </c>
    </row>
    <row r="15" spans="1:23" x14ac:dyDescent="0.6">
      <c r="B15" s="28"/>
      <c r="C15" s="29"/>
      <c r="D15" s="28">
        <v>572.946084724005</v>
      </c>
      <c r="E15" s="29">
        <v>20.897155361050299</v>
      </c>
      <c r="F15" s="28">
        <v>573.06397306397298</v>
      </c>
      <c r="G15" s="29">
        <v>-141.01479915433401</v>
      </c>
      <c r="H15" s="28">
        <v>572.94197031039096</v>
      </c>
      <c r="I15" s="29">
        <v>1.2510080645161199</v>
      </c>
      <c r="J15" s="28">
        <v>572.49313186813094</v>
      </c>
      <c r="K15" s="29">
        <v>0.43044077134986197</v>
      </c>
      <c r="N15" s="32">
        <f t="shared" si="1"/>
        <v>572.946084724005</v>
      </c>
      <c r="O15" s="33">
        <f t="shared" si="2"/>
        <v>47853.403141361319</v>
      </c>
      <c r="P15" s="32">
        <f t="shared" si="3"/>
        <v>573.06397306397298</v>
      </c>
      <c r="Q15" s="34">
        <f t="shared" si="4"/>
        <v>-1.4101479915433401E-4</v>
      </c>
      <c r="R15" s="32">
        <f t="shared" si="5"/>
        <v>572.94197031039096</v>
      </c>
      <c r="S15" s="35">
        <f t="shared" si="5"/>
        <v>1.2510080645161199</v>
      </c>
      <c r="T15" s="32">
        <f t="shared" si="5"/>
        <v>572.49313186813094</v>
      </c>
      <c r="U15" s="52">
        <f t="shared" si="5"/>
        <v>0.43044077134986197</v>
      </c>
      <c r="V15" s="42">
        <f t="shared" si="6"/>
        <v>0.4354641291978299</v>
      </c>
      <c r="W15" s="49">
        <f t="shared" si="7"/>
        <v>-1.167026495239909E-2</v>
      </c>
    </row>
    <row r="16" spans="1:23" x14ac:dyDescent="0.6">
      <c r="B16" s="30"/>
      <c r="C16" s="30"/>
      <c r="D16" s="30"/>
      <c r="E16" s="30"/>
      <c r="F16" s="30"/>
      <c r="G16" s="30"/>
      <c r="H16" s="30"/>
      <c r="I16" s="30"/>
      <c r="J16" s="30"/>
      <c r="K16" s="30"/>
      <c r="N16" s="30"/>
      <c r="O16" s="39"/>
      <c r="P16" s="30"/>
      <c r="Q16" s="40"/>
      <c r="R16" s="30"/>
      <c r="S16" s="41"/>
      <c r="T16" s="30"/>
      <c r="U16" s="41"/>
    </row>
    <row r="17" spans="2:23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6"/>
      <c r="P17" s="31"/>
      <c r="Q17" s="37"/>
      <c r="R17" s="31"/>
      <c r="S17" s="38"/>
      <c r="T17" s="31"/>
      <c r="U17" s="38"/>
      <c r="V17"/>
    </row>
    <row r="18" spans="2:23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6"/>
      <c r="P18" s="31"/>
      <c r="Q18" s="37"/>
      <c r="R18" s="31"/>
      <c r="S18" s="38"/>
      <c r="T18" s="31"/>
      <c r="U18" s="38"/>
      <c r="V18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ht="17.25" thickBot="1" x14ac:dyDescent="0.65">
      <c r="B30" s="31" t="s">
        <v>79</v>
      </c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32</v>
      </c>
      <c r="F32" s="11" t="s">
        <v>4</v>
      </c>
      <c r="G32" s="27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296.71100000000001</v>
      </c>
      <c r="E33" s="4">
        <v>14.680099999999999</v>
      </c>
      <c r="F33" s="3">
        <v>300.45</v>
      </c>
      <c r="G33" s="4">
        <v>-185.51400000000001</v>
      </c>
      <c r="H33" s="3">
        <v>297.13200000000001</v>
      </c>
      <c r="I33" s="4">
        <v>0.92955299999999996</v>
      </c>
      <c r="J33" s="3">
        <v>296.91699999999997</v>
      </c>
      <c r="K33" s="4">
        <v>0.70786499999999997</v>
      </c>
      <c r="N33" s="3">
        <f>D33</f>
        <v>296.71100000000001</v>
      </c>
      <c r="O33" s="21">
        <f>1/E33*1000000</f>
        <v>68119.426979380252</v>
      </c>
      <c r="P33" s="3">
        <f>F33</f>
        <v>300.45</v>
      </c>
      <c r="Q33" s="17">
        <f>G33*0.000001</f>
        <v>-1.8551400000000001E-4</v>
      </c>
      <c r="R33" s="3">
        <f>H33</f>
        <v>297.13200000000001</v>
      </c>
      <c r="S33" s="24">
        <f>I33</f>
        <v>0.92955299999999996</v>
      </c>
      <c r="T33" s="3">
        <f>J33</f>
        <v>296.91699999999997</v>
      </c>
      <c r="U33" s="51">
        <f>K33</f>
        <v>0.70786499999999997</v>
      </c>
      <c r="V33" s="42">
        <f>((O33*(Q33)^2)/S33)*T33</f>
        <v>0.74883351292508005</v>
      </c>
      <c r="W33" s="49">
        <f t="shared" ref="W33:W39" si="8">(U33-V33)/U33</f>
        <v>-5.7876166959914786E-2</v>
      </c>
    </row>
    <row r="34" spans="2:23" x14ac:dyDescent="0.6">
      <c r="B34" s="3"/>
      <c r="C34" s="4"/>
      <c r="D34" s="3">
        <v>323.517</v>
      </c>
      <c r="E34" s="4">
        <v>15.7639</v>
      </c>
      <c r="F34" s="3">
        <v>324.55099999999999</v>
      </c>
      <c r="G34" s="4">
        <v>-190.59800000000001</v>
      </c>
      <c r="H34" s="3">
        <v>320.66000000000003</v>
      </c>
      <c r="I34" s="4">
        <v>0.91408999999999996</v>
      </c>
      <c r="J34" s="3">
        <v>323.19</v>
      </c>
      <c r="K34" s="4">
        <v>0.79400700000000002</v>
      </c>
      <c r="N34" s="3">
        <f t="shared" ref="N34:N39" si="9">D34</f>
        <v>323.517</v>
      </c>
      <c r="O34" s="21">
        <f t="shared" ref="O34:O39" si="10">1/E34*1000000</f>
        <v>63436.078635363076</v>
      </c>
      <c r="P34" s="3">
        <f t="shared" ref="P34:P39" si="11">F34</f>
        <v>324.55099999999999</v>
      </c>
      <c r="Q34" s="17">
        <f t="shared" ref="Q34:Q39" si="12">G34*0.000001</f>
        <v>-1.9059799999999999E-4</v>
      </c>
      <c r="R34" s="3">
        <f t="shared" ref="R34:R39" si="13">H34</f>
        <v>320.66000000000003</v>
      </c>
      <c r="S34" s="24">
        <f t="shared" ref="S34:S39" si="14">I34</f>
        <v>0.91408999999999996</v>
      </c>
      <c r="T34" s="3">
        <f t="shared" ref="T34:T39" si="15">J34</f>
        <v>323.19</v>
      </c>
      <c r="U34" s="51">
        <f t="shared" ref="U34:U39" si="16">K34</f>
        <v>0.79400700000000002</v>
      </c>
      <c r="V34" s="42">
        <f t="shared" ref="V34:V39" si="17">((O34*(Q34)^2)/S34)*T34</f>
        <v>0.8147830088023762</v>
      </c>
      <c r="W34" s="49">
        <f t="shared" si="8"/>
        <v>-2.6166027254641556E-2</v>
      </c>
    </row>
    <row r="35" spans="2:23" x14ac:dyDescent="0.6">
      <c r="B35" s="2"/>
      <c r="C35" s="1"/>
      <c r="D35" s="2">
        <v>371.767</v>
      </c>
      <c r="E35" s="1">
        <v>17.6905</v>
      </c>
      <c r="F35" s="2">
        <v>372.714</v>
      </c>
      <c r="G35" s="1">
        <v>-193.32499999999999</v>
      </c>
      <c r="H35" s="2">
        <v>370.41899999999998</v>
      </c>
      <c r="I35" s="1">
        <v>0.89404099999999997</v>
      </c>
      <c r="J35" s="2">
        <v>371.98399999999998</v>
      </c>
      <c r="K35" s="1">
        <v>0.86142300000000005</v>
      </c>
      <c r="N35" s="3">
        <f t="shared" si="9"/>
        <v>371.767</v>
      </c>
      <c r="O35" s="21">
        <f t="shared" si="10"/>
        <v>56527.514767813227</v>
      </c>
      <c r="P35" s="3">
        <f t="shared" si="11"/>
        <v>372.714</v>
      </c>
      <c r="Q35" s="17">
        <f t="shared" si="12"/>
        <v>-1.9332499999999997E-4</v>
      </c>
      <c r="R35" s="3">
        <f t="shared" si="13"/>
        <v>370.41899999999998</v>
      </c>
      <c r="S35" s="24">
        <f t="shared" si="14"/>
        <v>0.89404099999999997</v>
      </c>
      <c r="T35" s="3">
        <f t="shared" si="15"/>
        <v>371.98399999999998</v>
      </c>
      <c r="U35" s="51">
        <f t="shared" si="16"/>
        <v>0.86142300000000005</v>
      </c>
      <c r="V35" s="42">
        <f t="shared" si="17"/>
        <v>0.87902809166494922</v>
      </c>
      <c r="W35" s="49">
        <f t="shared" si="8"/>
        <v>-2.0437220349293166E-2</v>
      </c>
    </row>
    <row r="36" spans="2:23" x14ac:dyDescent="0.6">
      <c r="B36" s="2"/>
      <c r="C36" s="1"/>
      <c r="D36" s="2">
        <v>424.48</v>
      </c>
      <c r="E36" s="1">
        <v>19.494</v>
      </c>
      <c r="F36" s="2">
        <v>423.642</v>
      </c>
      <c r="G36" s="1">
        <v>-193.72200000000001</v>
      </c>
      <c r="H36" s="2">
        <v>423.75799999999998</v>
      </c>
      <c r="I36" s="1">
        <v>0.917269</v>
      </c>
      <c r="J36" s="2">
        <v>422.654</v>
      </c>
      <c r="K36" s="1">
        <v>0.86142300000000005</v>
      </c>
      <c r="N36" s="3">
        <f t="shared" si="9"/>
        <v>424.48</v>
      </c>
      <c r="O36" s="21">
        <f t="shared" si="10"/>
        <v>51297.835231353238</v>
      </c>
      <c r="P36" s="3">
        <f t="shared" si="11"/>
        <v>423.642</v>
      </c>
      <c r="Q36" s="17">
        <f t="shared" si="12"/>
        <v>-1.9372200000000001E-4</v>
      </c>
      <c r="R36" s="3">
        <f t="shared" si="13"/>
        <v>423.75799999999998</v>
      </c>
      <c r="S36" s="24">
        <f t="shared" si="14"/>
        <v>0.917269</v>
      </c>
      <c r="T36" s="3">
        <f t="shared" si="15"/>
        <v>422.654</v>
      </c>
      <c r="U36" s="51">
        <f t="shared" si="16"/>
        <v>0.86142300000000005</v>
      </c>
      <c r="V36" s="42">
        <f t="shared" si="17"/>
        <v>0.88704406318413243</v>
      </c>
      <c r="W36" s="49">
        <f t="shared" si="8"/>
        <v>-2.9742720108625349E-2</v>
      </c>
    </row>
    <row r="37" spans="2:23" x14ac:dyDescent="0.6">
      <c r="B37" s="2"/>
      <c r="C37" s="1"/>
      <c r="D37" s="2">
        <v>474.50700000000001</v>
      </c>
      <c r="E37" s="1">
        <v>20.934200000000001</v>
      </c>
      <c r="F37" s="2">
        <v>474.49599999999998</v>
      </c>
      <c r="G37" s="1">
        <v>-180.166</v>
      </c>
      <c r="H37" s="2">
        <v>475.24599999999998</v>
      </c>
      <c r="I37" s="1">
        <v>0.98900399999999999</v>
      </c>
      <c r="J37" s="2">
        <v>473.32400000000001</v>
      </c>
      <c r="K37" s="1">
        <v>0.74157300000000004</v>
      </c>
      <c r="N37" s="3">
        <f t="shared" si="9"/>
        <v>474.50700000000001</v>
      </c>
      <c r="O37" s="21">
        <f t="shared" si="10"/>
        <v>47768.722950960626</v>
      </c>
      <c r="P37" s="3">
        <f t="shared" si="11"/>
        <v>474.49599999999998</v>
      </c>
      <c r="Q37" s="17">
        <f t="shared" si="12"/>
        <v>-1.80166E-4</v>
      </c>
      <c r="R37" s="3">
        <f t="shared" si="13"/>
        <v>475.24599999999998</v>
      </c>
      <c r="S37" s="24">
        <f t="shared" si="14"/>
        <v>0.98900399999999999</v>
      </c>
      <c r="T37" s="3">
        <f t="shared" si="15"/>
        <v>473.32400000000001</v>
      </c>
      <c r="U37" s="51">
        <f t="shared" si="16"/>
        <v>0.74157300000000004</v>
      </c>
      <c r="V37" s="42">
        <f t="shared" si="17"/>
        <v>0.74207838544531335</v>
      </c>
      <c r="W37" s="49">
        <f t="shared" si="8"/>
        <v>-6.8150464662725184E-4</v>
      </c>
    </row>
    <row r="38" spans="2:23" x14ac:dyDescent="0.6">
      <c r="B38" s="2"/>
      <c r="C38" s="1"/>
      <c r="D38" s="2">
        <v>524.51099999999997</v>
      </c>
      <c r="E38" s="1">
        <v>21.159700000000001</v>
      </c>
      <c r="F38" s="2">
        <v>523.48199999999997</v>
      </c>
      <c r="G38" s="1">
        <v>-163.357</v>
      </c>
      <c r="H38" s="2">
        <v>523.97900000000004</v>
      </c>
      <c r="I38" s="1">
        <v>1.1092200000000001</v>
      </c>
      <c r="J38" s="2">
        <v>523.05600000000004</v>
      </c>
      <c r="K38" s="1">
        <v>0.58801499999999995</v>
      </c>
      <c r="N38" s="3">
        <f t="shared" si="9"/>
        <v>524.51099999999997</v>
      </c>
      <c r="O38" s="21">
        <f t="shared" si="10"/>
        <v>47259.649238883343</v>
      </c>
      <c r="P38" s="3">
        <f t="shared" si="11"/>
        <v>523.48199999999997</v>
      </c>
      <c r="Q38" s="17">
        <f t="shared" si="12"/>
        <v>-1.6335699999999999E-4</v>
      </c>
      <c r="R38" s="3">
        <f t="shared" si="13"/>
        <v>523.97900000000004</v>
      </c>
      <c r="S38" s="24">
        <f t="shared" si="14"/>
        <v>1.1092200000000001</v>
      </c>
      <c r="T38" s="3">
        <f t="shared" si="15"/>
        <v>523.05600000000004</v>
      </c>
      <c r="U38" s="51">
        <f t="shared" si="16"/>
        <v>0.58801499999999995</v>
      </c>
      <c r="V38" s="42">
        <f t="shared" si="17"/>
        <v>0.59469801501362429</v>
      </c>
      <c r="W38" s="49">
        <f t="shared" si="8"/>
        <v>-1.1365381858667447E-2</v>
      </c>
    </row>
    <row r="39" spans="2:23" x14ac:dyDescent="0.6">
      <c r="B39" s="28"/>
      <c r="C39" s="29"/>
      <c r="D39" s="28">
        <v>570.93200000000002</v>
      </c>
      <c r="E39" s="29">
        <v>20.779199999999999</v>
      </c>
      <c r="F39" s="28">
        <v>571.51</v>
      </c>
      <c r="G39" s="29">
        <v>-140.50200000000001</v>
      </c>
      <c r="H39" s="28">
        <v>574.49800000000005</v>
      </c>
      <c r="I39" s="29">
        <v>1.2564599999999999</v>
      </c>
      <c r="J39" s="28">
        <v>573.72699999999998</v>
      </c>
      <c r="K39" s="29">
        <v>0.42696600000000001</v>
      </c>
      <c r="N39" s="32">
        <f t="shared" si="9"/>
        <v>570.93200000000002</v>
      </c>
      <c r="O39" s="33">
        <f t="shared" si="10"/>
        <v>48125.048125048132</v>
      </c>
      <c r="P39" s="32">
        <f t="shared" si="11"/>
        <v>571.51</v>
      </c>
      <c r="Q39" s="34">
        <f t="shared" si="12"/>
        <v>-1.40502E-4</v>
      </c>
      <c r="R39" s="32">
        <f t="shared" si="13"/>
        <v>574.49800000000005</v>
      </c>
      <c r="S39" s="35">
        <f t="shared" si="14"/>
        <v>1.2564599999999999</v>
      </c>
      <c r="T39" s="32">
        <f t="shared" si="15"/>
        <v>573.72699999999998</v>
      </c>
      <c r="U39" s="52">
        <f t="shared" si="16"/>
        <v>0.42696600000000001</v>
      </c>
      <c r="V39" s="42">
        <f t="shared" si="17"/>
        <v>0.43380325947203136</v>
      </c>
      <c r="W39" s="49">
        <f t="shared" si="8"/>
        <v>-1.6013592351689226E-2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1"/>
  </sheetPr>
  <dimension ref="A1:W41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72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302.54129606099099</v>
      </c>
      <c r="E9" s="4">
        <v>0.47518037518037498</v>
      </c>
      <c r="F9" s="3">
        <v>302.52707581227401</v>
      </c>
      <c r="G9" s="4">
        <v>137.692307692307</v>
      </c>
      <c r="H9" s="3">
        <v>302.557856272837</v>
      </c>
      <c r="I9" s="4">
        <v>1.35100521221146</v>
      </c>
      <c r="J9" s="3">
        <v>302.57731958762798</v>
      </c>
      <c r="K9" s="4">
        <v>0.895350669818754</v>
      </c>
      <c r="N9" s="3">
        <f>D9</f>
        <v>302.54129606099099</v>
      </c>
      <c r="O9" s="21">
        <f>1/(E9*(10^(-5)))</f>
        <v>210446.40145763749</v>
      </c>
      <c r="P9" s="3">
        <f>F9</f>
        <v>302.52707581227401</v>
      </c>
      <c r="Q9" s="17">
        <f>G9*(10^(-6))</f>
        <v>1.3769230769230699E-4</v>
      </c>
      <c r="R9" s="3">
        <f>H9</f>
        <v>302.557856272837</v>
      </c>
      <c r="S9" s="24">
        <f>I9</f>
        <v>1.35100521221146</v>
      </c>
      <c r="T9" s="3">
        <f>J9</f>
        <v>302.57731958762798</v>
      </c>
      <c r="U9" s="51">
        <f>K9</f>
        <v>0.895350669818754</v>
      </c>
      <c r="V9" s="42">
        <f>((O9*(Q9)^2)/S9)*T9</f>
        <v>0.89359392583326058</v>
      </c>
      <c r="W9" s="49">
        <f t="shared" ref="W9" si="0">(U9-V9)/U9</f>
        <v>1.9620736820904284E-3</v>
      </c>
    </row>
    <row r="10" spans="1:23" x14ac:dyDescent="0.6">
      <c r="B10" s="3"/>
      <c r="C10" s="4"/>
      <c r="D10" s="3">
        <v>322.871664548919</v>
      </c>
      <c r="E10" s="4">
        <v>0.52279942279942204</v>
      </c>
      <c r="F10" s="3">
        <v>322.86401925390999</v>
      </c>
      <c r="G10" s="4">
        <v>146.24125874125801</v>
      </c>
      <c r="H10" s="3">
        <v>322.77710109622399</v>
      </c>
      <c r="I10" s="4">
        <v>1.2899478778853299</v>
      </c>
      <c r="J10" s="3">
        <v>322.809278350515</v>
      </c>
      <c r="K10" s="4">
        <v>1.02773837667454</v>
      </c>
      <c r="N10" s="3">
        <f t="shared" ref="N10:N17" si="1">D10</f>
        <v>322.871664548919</v>
      </c>
      <c r="O10" s="21">
        <f t="shared" ref="O10:O17" si="2">1/(E10*(10^(-5)))</f>
        <v>191277.94645321582</v>
      </c>
      <c r="P10" s="3">
        <f t="shared" ref="P10:P17" si="3">F10</f>
        <v>322.86401925390999</v>
      </c>
      <c r="Q10" s="17">
        <f t="shared" ref="Q10:Q17" si="4">G10*(10^(-6))</f>
        <v>1.4624125874125799E-4</v>
      </c>
      <c r="R10" s="3">
        <f t="shared" ref="R10:U17" si="5">H10</f>
        <v>322.77710109622399</v>
      </c>
      <c r="S10" s="24">
        <f t="shared" si="5"/>
        <v>1.2899478778853299</v>
      </c>
      <c r="T10" s="3">
        <f t="shared" si="5"/>
        <v>322.809278350515</v>
      </c>
      <c r="U10" s="51">
        <f t="shared" si="5"/>
        <v>1.02773837667454</v>
      </c>
      <c r="V10" s="42">
        <f t="shared" ref="V10:V17" si="6">((O10*(Q10)^2)/S10)*T10</f>
        <v>1.0237138527651743</v>
      </c>
      <c r="W10" s="49">
        <f t="shared" ref="W10:W17" si="7">(U10-V10)/U10</f>
        <v>3.9159031137748065E-3</v>
      </c>
    </row>
    <row r="11" spans="1:23" x14ac:dyDescent="0.6">
      <c r="B11" s="2"/>
      <c r="C11" s="1"/>
      <c r="D11" s="2">
        <v>344.98094027954198</v>
      </c>
      <c r="E11" s="1">
        <v>0.57763347763347705</v>
      </c>
      <c r="F11" s="2">
        <v>345.00601684717202</v>
      </c>
      <c r="G11" s="1">
        <v>152.797202797202</v>
      </c>
      <c r="H11" s="2">
        <v>344.94518879415301</v>
      </c>
      <c r="I11" s="1">
        <v>1.24750558451228</v>
      </c>
      <c r="J11" s="2">
        <v>344.97422680412302</v>
      </c>
      <c r="K11" s="1">
        <v>1.1207249802994399</v>
      </c>
      <c r="N11" s="3">
        <f t="shared" si="1"/>
        <v>344.98094027954198</v>
      </c>
      <c r="O11" s="21">
        <f t="shared" si="2"/>
        <v>173120.1598800901</v>
      </c>
      <c r="P11" s="3">
        <f t="shared" si="3"/>
        <v>345.00601684717202</v>
      </c>
      <c r="Q11" s="17">
        <f t="shared" si="4"/>
        <v>1.52797202797202E-4</v>
      </c>
      <c r="R11" s="3">
        <f t="shared" si="5"/>
        <v>344.94518879415301</v>
      </c>
      <c r="S11" s="24">
        <f t="shared" si="5"/>
        <v>1.24750558451228</v>
      </c>
      <c r="T11" s="3">
        <f t="shared" si="5"/>
        <v>344.97422680412302</v>
      </c>
      <c r="U11" s="51">
        <f t="shared" si="5"/>
        <v>1.1207249802994399</v>
      </c>
      <c r="V11" s="42">
        <f t="shared" si="6"/>
        <v>1.1176931870580953</v>
      </c>
      <c r="W11" s="49">
        <f t="shared" si="7"/>
        <v>2.7052071602210286E-3</v>
      </c>
    </row>
    <row r="12" spans="1:23" x14ac:dyDescent="0.6">
      <c r="B12" s="2"/>
      <c r="C12" s="1"/>
      <c r="D12" s="2">
        <v>367.97966963151202</v>
      </c>
      <c r="E12" s="1">
        <v>0.63896103896103895</v>
      </c>
      <c r="F12" s="2">
        <v>367.99037304452401</v>
      </c>
      <c r="G12" s="1">
        <v>159.98251748251701</v>
      </c>
      <c r="H12" s="2">
        <v>367.965895249695</v>
      </c>
      <c r="I12" s="1">
        <v>1.19985107967237</v>
      </c>
      <c r="J12" s="2">
        <v>368.04123711340202</v>
      </c>
      <c r="K12" s="1">
        <v>1.2318360914105499</v>
      </c>
      <c r="N12" s="3">
        <f t="shared" si="1"/>
        <v>367.97966963151202</v>
      </c>
      <c r="O12" s="21">
        <f t="shared" si="2"/>
        <v>156504.0650406504</v>
      </c>
      <c r="P12" s="3">
        <f t="shared" si="3"/>
        <v>367.99037304452401</v>
      </c>
      <c r="Q12" s="17">
        <f t="shared" si="4"/>
        <v>1.5998251748251702E-4</v>
      </c>
      <c r="R12" s="3">
        <f t="shared" si="5"/>
        <v>367.965895249695</v>
      </c>
      <c r="S12" s="24">
        <f t="shared" si="5"/>
        <v>1.19985107967237</v>
      </c>
      <c r="T12" s="3">
        <f t="shared" si="5"/>
        <v>368.04123711340202</v>
      </c>
      <c r="U12" s="51">
        <f t="shared" si="5"/>
        <v>1.2318360914105499</v>
      </c>
      <c r="V12" s="42">
        <f t="shared" si="6"/>
        <v>1.2286828904832401</v>
      </c>
      <c r="W12" s="49">
        <f t="shared" si="7"/>
        <v>2.5597568940354701E-3</v>
      </c>
    </row>
    <row r="13" spans="1:23" x14ac:dyDescent="0.6">
      <c r="B13" s="2"/>
      <c r="C13" s="1"/>
      <c r="D13" s="2">
        <v>391.99491740787801</v>
      </c>
      <c r="E13" s="1">
        <v>0.70894660894660899</v>
      </c>
      <c r="F13" s="2">
        <v>392.05776173285199</v>
      </c>
      <c r="G13" s="1">
        <v>165.69930069930001</v>
      </c>
      <c r="H13" s="2">
        <v>391.96102314250902</v>
      </c>
      <c r="I13" s="1">
        <v>1.1477289650037199</v>
      </c>
      <c r="J13" s="2">
        <v>392.01030927835001</v>
      </c>
      <c r="K13" s="1">
        <v>1.32482269503546</v>
      </c>
      <c r="N13" s="3">
        <f t="shared" si="1"/>
        <v>391.99491740787801</v>
      </c>
      <c r="O13" s="21">
        <f t="shared" si="2"/>
        <v>141054.34561367799</v>
      </c>
      <c r="P13" s="3">
        <f t="shared" si="3"/>
        <v>392.05776173285199</v>
      </c>
      <c r="Q13" s="17">
        <f t="shared" si="4"/>
        <v>1.6569930069930001E-4</v>
      </c>
      <c r="R13" s="3">
        <f t="shared" si="5"/>
        <v>391.96102314250902</v>
      </c>
      <c r="S13" s="24">
        <f t="shared" si="5"/>
        <v>1.1477289650037199</v>
      </c>
      <c r="T13" s="3">
        <f t="shared" si="5"/>
        <v>392.01030927835001</v>
      </c>
      <c r="U13" s="51">
        <f t="shared" si="5"/>
        <v>1.32482269503546</v>
      </c>
      <c r="V13" s="42">
        <f t="shared" si="6"/>
        <v>1.3227749689168926</v>
      </c>
      <c r="W13" s="49">
        <f t="shared" si="7"/>
        <v>1.5456605070556981E-3</v>
      </c>
    </row>
    <row r="14" spans="1:23" x14ac:dyDescent="0.6">
      <c r="B14" s="2"/>
      <c r="C14" s="1"/>
      <c r="D14" s="2">
        <v>416.01016518424399</v>
      </c>
      <c r="E14" s="1">
        <v>0.78686868686868705</v>
      </c>
      <c r="F14" s="2">
        <v>416.004813477737</v>
      </c>
      <c r="G14" s="1">
        <v>170.83916083916</v>
      </c>
      <c r="H14" s="2">
        <v>415.95615103532202</v>
      </c>
      <c r="I14" s="1">
        <v>1.10081906180193</v>
      </c>
      <c r="J14" s="2">
        <v>415.979381443298</v>
      </c>
      <c r="K14" s="1">
        <v>1.4091410559495601</v>
      </c>
      <c r="N14" s="3">
        <f t="shared" si="1"/>
        <v>416.01016518424399</v>
      </c>
      <c r="O14" s="21">
        <f t="shared" si="2"/>
        <v>127086.00770218224</v>
      </c>
      <c r="P14" s="3">
        <f t="shared" si="3"/>
        <v>416.004813477737</v>
      </c>
      <c r="Q14" s="17">
        <f t="shared" si="4"/>
        <v>1.7083916083915999E-4</v>
      </c>
      <c r="R14" s="3">
        <f t="shared" si="5"/>
        <v>415.95615103532202</v>
      </c>
      <c r="S14" s="24">
        <f t="shared" si="5"/>
        <v>1.10081906180193</v>
      </c>
      <c r="T14" s="3">
        <f t="shared" si="5"/>
        <v>415.979381443298</v>
      </c>
      <c r="U14" s="51">
        <f t="shared" si="5"/>
        <v>1.4091410559495601</v>
      </c>
      <c r="V14" s="42">
        <f t="shared" si="6"/>
        <v>1.4016141056526421</v>
      </c>
      <c r="W14" s="49">
        <f t="shared" si="7"/>
        <v>5.3415165679392375E-3</v>
      </c>
    </row>
    <row r="15" spans="1:23" x14ac:dyDescent="0.6">
      <c r="B15" s="2"/>
      <c r="C15" s="1"/>
      <c r="D15" s="2">
        <v>440.15247776365902</v>
      </c>
      <c r="E15" s="1">
        <v>0.87200577200577201</v>
      </c>
      <c r="F15" s="2">
        <v>440.19253910950601</v>
      </c>
      <c r="G15" s="1">
        <v>176.136363636363</v>
      </c>
      <c r="H15" s="2">
        <v>440.19488428745399</v>
      </c>
      <c r="I15" s="1">
        <v>1.05986597170513</v>
      </c>
      <c r="J15" s="2">
        <v>440.20618556700998</v>
      </c>
      <c r="K15" s="1">
        <v>1.48557919621749</v>
      </c>
      <c r="N15" s="3">
        <f t="shared" si="1"/>
        <v>440.15247776365902</v>
      </c>
      <c r="O15" s="21">
        <f t="shared" si="2"/>
        <v>114678.13999669037</v>
      </c>
      <c r="P15" s="3">
        <f t="shared" si="3"/>
        <v>440.19253910950601</v>
      </c>
      <c r="Q15" s="17">
        <f t="shared" si="4"/>
        <v>1.7613636363636299E-4</v>
      </c>
      <c r="R15" s="3">
        <f t="shared" si="5"/>
        <v>440.19488428745399</v>
      </c>
      <c r="S15" s="24">
        <f t="shared" si="5"/>
        <v>1.05986597170513</v>
      </c>
      <c r="T15" s="3">
        <f t="shared" si="5"/>
        <v>440.20618556700998</v>
      </c>
      <c r="U15" s="51">
        <f t="shared" si="5"/>
        <v>1.48557919621749</v>
      </c>
      <c r="V15" s="42">
        <f t="shared" si="6"/>
        <v>1.4776918714403713</v>
      </c>
      <c r="W15" s="49">
        <f t="shared" si="7"/>
        <v>5.3092590399764997E-3</v>
      </c>
    </row>
    <row r="16" spans="1:23" x14ac:dyDescent="0.6">
      <c r="B16" s="2"/>
      <c r="C16" s="1"/>
      <c r="D16" s="2">
        <v>464.67598475222297</v>
      </c>
      <c r="E16" s="1">
        <v>0.94920634920634905</v>
      </c>
      <c r="F16" s="2">
        <v>464.7412755716</v>
      </c>
      <c r="G16" s="1">
        <v>181.17132867132801</v>
      </c>
      <c r="H16" s="2">
        <v>464.67722289890298</v>
      </c>
      <c r="I16" s="1">
        <v>1.02933730454207</v>
      </c>
      <c r="J16" s="2">
        <v>464.69072164948398</v>
      </c>
      <c r="K16" s="1">
        <v>1.5675334909377401</v>
      </c>
      <c r="N16" s="3">
        <f t="shared" si="1"/>
        <v>464.67598475222297</v>
      </c>
      <c r="O16" s="21">
        <f t="shared" si="2"/>
        <v>105351.17056856188</v>
      </c>
      <c r="P16" s="3">
        <f t="shared" si="3"/>
        <v>464.7412755716</v>
      </c>
      <c r="Q16" s="17">
        <f t="shared" si="4"/>
        <v>1.8117132867132799E-4</v>
      </c>
      <c r="R16" s="3">
        <f t="shared" si="5"/>
        <v>464.67722289890298</v>
      </c>
      <c r="S16" s="24">
        <f t="shared" si="5"/>
        <v>1.02933730454207</v>
      </c>
      <c r="T16" s="3">
        <f t="shared" si="5"/>
        <v>464.69072164948398</v>
      </c>
      <c r="U16" s="51">
        <f t="shared" si="5"/>
        <v>1.5675334909377401</v>
      </c>
      <c r="V16" s="42">
        <f t="shared" si="6"/>
        <v>1.5610779623170483</v>
      </c>
      <c r="W16" s="49">
        <f t="shared" si="7"/>
        <v>4.1182715763411828E-3</v>
      </c>
    </row>
    <row r="17" spans="2:23" x14ac:dyDescent="0.6">
      <c r="B17" s="28"/>
      <c r="C17" s="29"/>
      <c r="D17" s="28">
        <v>488.05590851334102</v>
      </c>
      <c r="E17" s="29">
        <v>1.03867243867243</v>
      </c>
      <c r="F17" s="28">
        <v>487.96630565583598</v>
      </c>
      <c r="G17" s="29">
        <v>184.423076923076</v>
      </c>
      <c r="H17" s="28">
        <v>488.06333739342199</v>
      </c>
      <c r="I17" s="29">
        <v>1.0181682799702101</v>
      </c>
      <c r="J17" s="28">
        <v>488.01546391752498</v>
      </c>
      <c r="K17" s="29">
        <v>1.5785657998423901</v>
      </c>
      <c r="N17" s="32">
        <f t="shared" si="1"/>
        <v>488.05590851334102</v>
      </c>
      <c r="O17" s="21">
        <f t="shared" si="2"/>
        <v>96276.743539872987</v>
      </c>
      <c r="P17" s="32">
        <f t="shared" si="3"/>
        <v>487.96630565583598</v>
      </c>
      <c r="Q17" s="17">
        <f t="shared" si="4"/>
        <v>1.8442307692307597E-4</v>
      </c>
      <c r="R17" s="32">
        <f t="shared" si="5"/>
        <v>488.06333739342199</v>
      </c>
      <c r="S17" s="35">
        <f t="shared" si="5"/>
        <v>1.0181682799702101</v>
      </c>
      <c r="T17" s="32">
        <f t="shared" si="5"/>
        <v>488.01546391752498</v>
      </c>
      <c r="U17" s="52">
        <f t="shared" si="5"/>
        <v>1.5785657998423901</v>
      </c>
      <c r="V17" s="42">
        <f t="shared" si="6"/>
        <v>1.5695166974172048</v>
      </c>
      <c r="W17" s="49">
        <f t="shared" si="7"/>
        <v>5.7324835151558477E-3</v>
      </c>
    </row>
    <row r="18" spans="2:23" x14ac:dyDescent="0.6">
      <c r="B18" s="30"/>
      <c r="C18" s="30"/>
      <c r="D18" s="30"/>
      <c r="E18" s="30"/>
      <c r="F18" s="30"/>
      <c r="G18" s="30"/>
      <c r="H18" s="30"/>
      <c r="I18" s="30"/>
      <c r="J18" s="30"/>
      <c r="K18" s="30"/>
      <c r="N18" s="30"/>
      <c r="O18" s="39"/>
      <c r="P18" s="30"/>
      <c r="Q18" s="40"/>
      <c r="R18" s="30"/>
      <c r="S18" s="41"/>
      <c r="T18" s="30"/>
      <c r="U18" s="41"/>
      <c r="V18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ht="17.25" thickBot="1" x14ac:dyDescent="0.65">
      <c r="B30" s="31" t="s">
        <v>79</v>
      </c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72</v>
      </c>
      <c r="F32" s="11" t="s">
        <v>4</v>
      </c>
      <c r="G32" s="27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303.66000000000003</v>
      </c>
      <c r="E33" s="4">
        <v>0.47077799999999997</v>
      </c>
      <c r="F33" s="3">
        <v>302.70299999999997</v>
      </c>
      <c r="G33" s="4">
        <v>138.43100000000001</v>
      </c>
      <c r="H33" s="3">
        <v>301.24</v>
      </c>
      <c r="I33" s="4">
        <v>1.34158</v>
      </c>
      <c r="J33" s="3">
        <v>302.88400000000001</v>
      </c>
      <c r="K33" s="4">
        <v>0.90433200000000002</v>
      </c>
      <c r="N33" s="3">
        <f>D33</f>
        <v>303.66000000000003</v>
      </c>
      <c r="O33" s="21">
        <f>1/E33*100000</f>
        <v>212414.34391581596</v>
      </c>
      <c r="P33" s="3">
        <f>F33</f>
        <v>302.70299999999997</v>
      </c>
      <c r="Q33" s="17">
        <f>G33*0.000001</f>
        <v>1.38431E-4</v>
      </c>
      <c r="R33" s="3">
        <f>H33</f>
        <v>301.24</v>
      </c>
      <c r="S33" s="24">
        <f>I33</f>
        <v>1.34158</v>
      </c>
      <c r="T33" s="3">
        <f>J33</f>
        <v>302.88400000000001</v>
      </c>
      <c r="U33" s="51">
        <f>K33</f>
        <v>0.90433200000000002</v>
      </c>
      <c r="V33" s="42">
        <f>((O33*(Q33)^2)/S33)*T33</f>
        <v>0.91898899273599599</v>
      </c>
      <c r="W33" s="49">
        <f t="shared" ref="W33:W41" si="8">(U33-V33)/U33</f>
        <v>-1.6207535214938725E-2</v>
      </c>
    </row>
    <row r="34" spans="2:23" x14ac:dyDescent="0.6">
      <c r="B34" s="3"/>
      <c r="C34" s="4"/>
      <c r="D34" s="3">
        <v>325.33</v>
      </c>
      <c r="E34" s="4">
        <v>0.53150299999999995</v>
      </c>
      <c r="F34" s="3">
        <v>321.62200000000001</v>
      </c>
      <c r="G34" s="4">
        <v>147.059</v>
      </c>
      <c r="H34" s="3">
        <v>324.39100000000002</v>
      </c>
      <c r="I34" s="4">
        <v>1.2877400000000001</v>
      </c>
      <c r="J34" s="3">
        <v>321.64100000000002</v>
      </c>
      <c r="K34" s="4">
        <v>1.02912</v>
      </c>
      <c r="N34" s="3">
        <f t="shared" ref="N34:N41" si="9">D34</f>
        <v>325.33</v>
      </c>
      <c r="O34" s="21">
        <f t="shared" ref="O34:O41" si="10">1/E34*100000</f>
        <v>188145.6924984431</v>
      </c>
      <c r="P34" s="3">
        <f t="shared" ref="P34:P41" si="11">F34</f>
        <v>321.62200000000001</v>
      </c>
      <c r="Q34" s="17">
        <f t="shared" ref="Q34:Q41" si="12">G34*0.000001</f>
        <v>1.47059E-4</v>
      </c>
      <c r="R34" s="3">
        <f t="shared" ref="R34:R41" si="13">H34</f>
        <v>324.39100000000002</v>
      </c>
      <c r="S34" s="24">
        <f t="shared" ref="S34:S41" si="14">I34</f>
        <v>1.2877400000000001</v>
      </c>
      <c r="T34" s="3">
        <f t="shared" ref="T34:T41" si="15">J34</f>
        <v>321.64100000000002</v>
      </c>
      <c r="U34" s="51">
        <f t="shared" ref="U34:U41" si="16">K34</f>
        <v>1.02912</v>
      </c>
      <c r="V34" s="42">
        <f t="shared" ref="V34:V41" si="17">((O34*(Q34)^2)/S34)*T34</f>
        <v>1.0162971656270106</v>
      </c>
      <c r="W34" s="49">
        <f t="shared" si="8"/>
        <v>1.2459999196390584E-2</v>
      </c>
    </row>
    <row r="35" spans="2:23" x14ac:dyDescent="0.6">
      <c r="B35" s="2"/>
      <c r="C35" s="1"/>
      <c r="D35" s="2">
        <v>346.09100000000001</v>
      </c>
      <c r="E35" s="1">
        <v>0.58203899999999997</v>
      </c>
      <c r="F35" s="2">
        <v>342.34199999999998</v>
      </c>
      <c r="G35" s="1">
        <v>153.333</v>
      </c>
      <c r="H35" s="2">
        <v>343.09199999999998</v>
      </c>
      <c r="I35" s="1">
        <v>1.23922</v>
      </c>
      <c r="J35" s="2">
        <v>345.71199999999999</v>
      </c>
      <c r="K35" s="1">
        <v>1.12652</v>
      </c>
      <c r="N35" s="3">
        <f t="shared" si="9"/>
        <v>346.09100000000001</v>
      </c>
      <c r="O35" s="21">
        <f t="shared" si="10"/>
        <v>171809.79281457086</v>
      </c>
      <c r="P35" s="3">
        <f t="shared" si="11"/>
        <v>342.34199999999998</v>
      </c>
      <c r="Q35" s="17">
        <f t="shared" si="12"/>
        <v>1.5333299999999999E-4</v>
      </c>
      <c r="R35" s="3">
        <f t="shared" si="13"/>
        <v>343.09199999999998</v>
      </c>
      <c r="S35" s="24">
        <f t="shared" si="14"/>
        <v>1.23922</v>
      </c>
      <c r="T35" s="3">
        <f t="shared" si="15"/>
        <v>345.71199999999999</v>
      </c>
      <c r="U35" s="51">
        <f t="shared" si="16"/>
        <v>1.12652</v>
      </c>
      <c r="V35" s="42">
        <f t="shared" si="17"/>
        <v>1.1268995888162427</v>
      </c>
      <c r="W35" s="49">
        <f t="shared" si="8"/>
        <v>-3.3695701473811549E-4</v>
      </c>
    </row>
    <row r="36" spans="2:23" x14ac:dyDescent="0.6">
      <c r="B36" s="2"/>
      <c r="C36" s="1"/>
      <c r="D36" s="2">
        <v>369.56700000000001</v>
      </c>
      <c r="E36" s="1">
        <v>0.64782499999999998</v>
      </c>
      <c r="F36" s="2">
        <v>368.46800000000002</v>
      </c>
      <c r="G36" s="1">
        <v>160.78399999999999</v>
      </c>
      <c r="H36" s="2">
        <v>368.90499999999997</v>
      </c>
      <c r="I36" s="1">
        <v>1.1909000000000001</v>
      </c>
      <c r="J36" s="2">
        <v>368.89699999999999</v>
      </c>
      <c r="K36" s="1">
        <v>1.22939</v>
      </c>
      <c r="N36" s="3">
        <f t="shared" si="9"/>
        <v>369.56700000000001</v>
      </c>
      <c r="O36" s="21">
        <f t="shared" si="10"/>
        <v>154362.67510515958</v>
      </c>
      <c r="P36" s="3">
        <f t="shared" si="11"/>
        <v>368.46800000000002</v>
      </c>
      <c r="Q36" s="17">
        <f t="shared" si="12"/>
        <v>1.60784E-4</v>
      </c>
      <c r="R36" s="3">
        <f t="shared" si="13"/>
        <v>368.90499999999997</v>
      </c>
      <c r="S36" s="24">
        <f t="shared" si="14"/>
        <v>1.1909000000000001</v>
      </c>
      <c r="T36" s="3">
        <f t="shared" si="15"/>
        <v>368.89699999999999</v>
      </c>
      <c r="U36" s="51">
        <f t="shared" si="16"/>
        <v>1.22939</v>
      </c>
      <c r="V36" s="42">
        <f t="shared" si="17"/>
        <v>1.2361118852418476</v>
      </c>
      <c r="W36" s="49">
        <f t="shared" si="8"/>
        <v>-5.4676589543168402E-3</v>
      </c>
    </row>
    <row r="37" spans="2:23" x14ac:dyDescent="0.6">
      <c r="B37" s="2"/>
      <c r="C37" s="1"/>
      <c r="D37" s="2">
        <v>393.04300000000001</v>
      </c>
      <c r="E37" s="1">
        <v>0.71361200000000002</v>
      </c>
      <c r="F37" s="2">
        <v>391.892</v>
      </c>
      <c r="G37" s="1">
        <v>165.88200000000001</v>
      </c>
      <c r="H37" s="2">
        <v>390.26600000000002</v>
      </c>
      <c r="I37" s="1">
        <v>1.1533500000000001</v>
      </c>
      <c r="J37" s="2">
        <v>392.07499999999999</v>
      </c>
      <c r="K37" s="1">
        <v>1.3213699999999999</v>
      </c>
      <c r="N37" s="3">
        <f t="shared" si="9"/>
        <v>393.04300000000001</v>
      </c>
      <c r="O37" s="21">
        <f t="shared" si="10"/>
        <v>140132.17266525785</v>
      </c>
      <c r="P37" s="3">
        <f t="shared" si="11"/>
        <v>391.892</v>
      </c>
      <c r="Q37" s="17">
        <f t="shared" si="12"/>
        <v>1.6588200000000001E-4</v>
      </c>
      <c r="R37" s="3">
        <f t="shared" si="13"/>
        <v>390.26600000000002</v>
      </c>
      <c r="S37" s="24">
        <f t="shared" si="14"/>
        <v>1.1533500000000001</v>
      </c>
      <c r="T37" s="3">
        <f t="shared" si="15"/>
        <v>392.07499999999999</v>
      </c>
      <c r="U37" s="51">
        <f t="shared" si="16"/>
        <v>1.3213699999999999</v>
      </c>
      <c r="V37" s="42">
        <f t="shared" si="17"/>
        <v>1.3108240851199098</v>
      </c>
      <c r="W37" s="49">
        <f t="shared" si="8"/>
        <v>7.9810460961654631E-3</v>
      </c>
    </row>
    <row r="38" spans="2:23" x14ac:dyDescent="0.6">
      <c r="B38" s="2"/>
      <c r="C38" s="1"/>
      <c r="D38" s="2">
        <v>414.72500000000002</v>
      </c>
      <c r="E38" s="1">
        <v>0.78965700000000005</v>
      </c>
      <c r="F38" s="2">
        <v>414.41399999999999</v>
      </c>
      <c r="G38" s="1">
        <v>170.58799999999999</v>
      </c>
      <c r="H38" s="2">
        <v>415.19799999999998</v>
      </c>
      <c r="I38" s="1">
        <v>1.0941000000000001</v>
      </c>
      <c r="J38" s="2">
        <v>413.47500000000002</v>
      </c>
      <c r="K38" s="1">
        <v>1.4133899999999999</v>
      </c>
      <c r="N38" s="3">
        <f t="shared" si="9"/>
        <v>414.72500000000002</v>
      </c>
      <c r="O38" s="21">
        <f t="shared" si="10"/>
        <v>126637.26149454761</v>
      </c>
      <c r="P38" s="3">
        <f t="shared" si="11"/>
        <v>414.41399999999999</v>
      </c>
      <c r="Q38" s="17">
        <f t="shared" si="12"/>
        <v>1.7058799999999997E-4</v>
      </c>
      <c r="R38" s="3">
        <f t="shared" si="13"/>
        <v>415.19799999999998</v>
      </c>
      <c r="S38" s="24">
        <f t="shared" si="14"/>
        <v>1.0941000000000001</v>
      </c>
      <c r="T38" s="3">
        <f t="shared" si="15"/>
        <v>413.47500000000002</v>
      </c>
      <c r="U38" s="51">
        <f t="shared" si="16"/>
        <v>1.4133899999999999</v>
      </c>
      <c r="V38" s="42">
        <f t="shared" si="17"/>
        <v>1.392677961867578</v>
      </c>
      <c r="W38" s="49">
        <f t="shared" si="8"/>
        <v>1.4654156412895204E-2</v>
      </c>
    </row>
    <row r="39" spans="2:23" x14ac:dyDescent="0.6">
      <c r="B39" s="2"/>
      <c r="C39" s="1"/>
      <c r="D39" s="2">
        <v>440.911</v>
      </c>
      <c r="E39" s="1">
        <v>0.865587</v>
      </c>
      <c r="F39" s="2">
        <v>437.83800000000002</v>
      </c>
      <c r="G39" s="1">
        <v>176.078</v>
      </c>
      <c r="H39" s="2">
        <v>439.22500000000002</v>
      </c>
      <c r="I39" s="1">
        <v>1.05663</v>
      </c>
      <c r="J39" s="2">
        <v>439.3</v>
      </c>
      <c r="K39" s="1">
        <v>1.4780599999999999</v>
      </c>
      <c r="N39" s="3">
        <f t="shared" si="9"/>
        <v>440.911</v>
      </c>
      <c r="O39" s="21">
        <f t="shared" si="10"/>
        <v>115528.53728163663</v>
      </c>
      <c r="P39" s="3">
        <f t="shared" si="11"/>
        <v>437.83800000000002</v>
      </c>
      <c r="Q39" s="17">
        <f t="shared" si="12"/>
        <v>1.76078E-4</v>
      </c>
      <c r="R39" s="3">
        <f t="shared" si="13"/>
        <v>439.22500000000002</v>
      </c>
      <c r="S39" s="24">
        <f t="shared" si="14"/>
        <v>1.05663</v>
      </c>
      <c r="T39" s="3">
        <f t="shared" si="15"/>
        <v>439.3</v>
      </c>
      <c r="U39" s="51">
        <f t="shared" si="16"/>
        <v>1.4780599999999999</v>
      </c>
      <c r="V39" s="42">
        <f t="shared" si="17"/>
        <v>1.489147559565853</v>
      </c>
      <c r="W39" s="49">
        <f t="shared" si="8"/>
        <v>-7.5014272531920599E-3</v>
      </c>
    </row>
    <row r="40" spans="2:23" x14ac:dyDescent="0.6">
      <c r="B40" s="2"/>
      <c r="C40" s="1"/>
      <c r="D40" s="2">
        <v>465.3</v>
      </c>
      <c r="E40" s="1">
        <v>0.94666899999999998</v>
      </c>
      <c r="F40" s="2">
        <v>464.86500000000001</v>
      </c>
      <c r="G40" s="1">
        <v>180.78399999999999</v>
      </c>
      <c r="H40" s="2">
        <v>462.351</v>
      </c>
      <c r="I40" s="1">
        <v>1.0354699999999999</v>
      </c>
      <c r="J40" s="2">
        <v>462.47399999999999</v>
      </c>
      <c r="K40" s="1">
        <v>1.5645899999999999</v>
      </c>
      <c r="N40" s="3">
        <f t="shared" si="9"/>
        <v>465.3</v>
      </c>
      <c r="O40" s="21">
        <f t="shared" si="10"/>
        <v>105633.5424525362</v>
      </c>
      <c r="P40" s="3">
        <f t="shared" si="11"/>
        <v>464.86500000000001</v>
      </c>
      <c r="Q40" s="17">
        <f t="shared" si="12"/>
        <v>1.80784E-4</v>
      </c>
      <c r="R40" s="3">
        <f t="shared" si="13"/>
        <v>462.351</v>
      </c>
      <c r="S40" s="24">
        <f t="shared" si="14"/>
        <v>1.0354699999999999</v>
      </c>
      <c r="T40" s="3">
        <f t="shared" si="15"/>
        <v>462.47399999999999</v>
      </c>
      <c r="U40" s="51">
        <f t="shared" si="16"/>
        <v>1.5645899999999999</v>
      </c>
      <c r="V40" s="42">
        <f t="shared" si="17"/>
        <v>1.5419547457045497</v>
      </c>
      <c r="W40" s="49">
        <f t="shared" si="8"/>
        <v>1.4467211407109987E-2</v>
      </c>
    </row>
    <row r="41" spans="2:23" x14ac:dyDescent="0.6">
      <c r="B41" s="2"/>
      <c r="C41" s="1"/>
      <c r="D41" s="2">
        <v>487.89499999999998</v>
      </c>
      <c r="E41" s="1">
        <v>1.0380100000000001</v>
      </c>
      <c r="F41" s="2">
        <v>485.58600000000001</v>
      </c>
      <c r="G41" s="1">
        <v>183.922</v>
      </c>
      <c r="H41" s="2">
        <v>487.25200000000001</v>
      </c>
      <c r="I41" s="1">
        <v>1.0198</v>
      </c>
      <c r="J41" s="2">
        <v>487.36599999999999</v>
      </c>
      <c r="K41" s="1">
        <v>1.5693600000000001</v>
      </c>
      <c r="N41" s="2">
        <f t="shared" si="9"/>
        <v>487.89499999999998</v>
      </c>
      <c r="O41" s="43">
        <f t="shared" si="10"/>
        <v>96338.185566613029</v>
      </c>
      <c r="P41" s="2">
        <f t="shared" si="11"/>
        <v>485.58600000000001</v>
      </c>
      <c r="Q41" s="44">
        <f t="shared" si="12"/>
        <v>1.8392199999999999E-4</v>
      </c>
      <c r="R41" s="2">
        <f t="shared" si="13"/>
        <v>487.25200000000001</v>
      </c>
      <c r="S41" s="45">
        <f t="shared" si="14"/>
        <v>1.0198</v>
      </c>
      <c r="T41" s="2">
        <f t="shared" si="15"/>
        <v>487.36599999999999</v>
      </c>
      <c r="U41" s="54">
        <f t="shared" si="16"/>
        <v>1.5693600000000001</v>
      </c>
      <c r="V41" s="42">
        <f t="shared" si="17"/>
        <v>1.5574210668900603</v>
      </c>
      <c r="W41" s="49">
        <f t="shared" si="8"/>
        <v>7.6075171470789136E-3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1" max="11" width="9.4375" bestFit="1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27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1.6556299999999999</v>
      </c>
      <c r="E9" s="4">
        <v>594.30399999999997</v>
      </c>
      <c r="F9" s="3">
        <v>4.8701299999999996</v>
      </c>
      <c r="G9" s="4">
        <v>-2.5</v>
      </c>
      <c r="H9" s="3">
        <v>7.2397</v>
      </c>
      <c r="I9" s="4">
        <v>60.525799999999997</v>
      </c>
      <c r="J9" s="3">
        <v>11.827999999999999</v>
      </c>
      <c r="K9" s="17">
        <v>-1.73472E-18</v>
      </c>
      <c r="N9" s="3">
        <f>D9</f>
        <v>1.6556299999999999</v>
      </c>
      <c r="O9" s="21">
        <f>1/(E9*(10^(-6))*(10^(-2)))</f>
        <v>168264.05341374115</v>
      </c>
      <c r="P9" s="3">
        <f>F9</f>
        <v>4.8701299999999996</v>
      </c>
      <c r="Q9" s="17">
        <f>G9*(10^(-6))</f>
        <v>-2.4999999999999998E-6</v>
      </c>
      <c r="R9" s="3">
        <f>H9</f>
        <v>7.2397</v>
      </c>
      <c r="S9" s="24">
        <f>I9*(10^(-3))/(10^(-2))</f>
        <v>6.0525799999999998</v>
      </c>
      <c r="T9" s="3">
        <f>J9</f>
        <v>11.827999999999999</v>
      </c>
      <c r="U9" s="51">
        <f>K9</f>
        <v>-1.73472E-18</v>
      </c>
      <c r="V9" s="42">
        <f>((AVERAGE(O9,O10)*(AVERAGE(AVERAGE(Q9,Q10))^2)/AVERAGE(S10,S11))*T9)</f>
        <v>6.8971862733724602E-6</v>
      </c>
      <c r="W9" s="49">
        <f>(U9-V9)/U9</f>
        <v>3975965154822.793</v>
      </c>
    </row>
    <row r="10" spans="1:23" x14ac:dyDescent="0.6">
      <c r="B10" s="3"/>
      <c r="C10" s="4"/>
      <c r="D10" s="3">
        <v>24.834399999999999</v>
      </c>
      <c r="E10" s="4">
        <v>600</v>
      </c>
      <c r="F10" s="3">
        <v>32.467500000000001</v>
      </c>
      <c r="G10" s="4">
        <v>-6.875</v>
      </c>
      <c r="H10" s="3">
        <v>8.3761700000000001</v>
      </c>
      <c r="I10" s="4">
        <v>65.401700000000005</v>
      </c>
      <c r="J10" s="3">
        <v>50.537599999999998</v>
      </c>
      <c r="K10" s="4">
        <v>2.6785699999999998E-4</v>
      </c>
      <c r="N10" s="3">
        <f t="shared" ref="N10:N20" si="0">D10</f>
        <v>24.834399999999999</v>
      </c>
      <c r="O10" s="21">
        <f t="shared" ref="O10:O20" si="1">1/(E10*(10^(-6))*(10^(-2)))</f>
        <v>166666.66666666669</v>
      </c>
      <c r="P10" s="3">
        <f t="shared" ref="P10:P19" si="2">F10</f>
        <v>32.467500000000001</v>
      </c>
      <c r="Q10" s="17">
        <f t="shared" ref="Q10:Q19" si="3">G10*(10^(-6))</f>
        <v>-6.8749999999999994E-6</v>
      </c>
      <c r="R10" s="3">
        <f t="shared" ref="R10:U23" si="4">H10</f>
        <v>8.3761700000000001</v>
      </c>
      <c r="S10" s="24">
        <f t="shared" ref="S10:S23" si="5">I10*(10^(-3))/(10^(-2))</f>
        <v>6.5401700000000007</v>
      </c>
      <c r="T10" s="3">
        <f t="shared" si="4"/>
        <v>50.537599999999998</v>
      </c>
      <c r="U10" s="51">
        <f t="shared" si="4"/>
        <v>2.6785699999999998E-4</v>
      </c>
      <c r="V10" s="42">
        <f>((O11*(Q11)^2)/S15)*T10</f>
        <v>3.3975911262732893E-4</v>
      </c>
      <c r="W10" s="49">
        <f t="shared" ref="W10:W17" si="6">(U10-V10)/U10</f>
        <v>-0.26843469697386646</v>
      </c>
    </row>
    <row r="11" spans="1:23" x14ac:dyDescent="0.6">
      <c r="B11" s="2"/>
      <c r="C11" s="1"/>
      <c r="D11" s="2">
        <v>49.668900000000001</v>
      </c>
      <c r="E11" s="1">
        <v>615.19000000000005</v>
      </c>
      <c r="F11" s="2">
        <v>63.311700000000002</v>
      </c>
      <c r="G11" s="1">
        <v>-10.9375</v>
      </c>
      <c r="H11" s="2">
        <v>16.886299999999999</v>
      </c>
      <c r="I11" s="1">
        <v>60.803400000000003</v>
      </c>
      <c r="J11" s="2">
        <v>92.473100000000002</v>
      </c>
      <c r="K11" s="1">
        <v>1.71429E-3</v>
      </c>
      <c r="N11" s="3">
        <f t="shared" si="0"/>
        <v>49.668900000000001</v>
      </c>
      <c r="O11" s="21">
        <f t="shared" si="1"/>
        <v>162551.40688242656</v>
      </c>
      <c r="P11" s="3">
        <f t="shared" si="2"/>
        <v>63.311700000000002</v>
      </c>
      <c r="Q11" s="17">
        <f t="shared" si="3"/>
        <v>-1.09375E-5</v>
      </c>
      <c r="R11" s="3">
        <f t="shared" si="4"/>
        <v>16.886299999999999</v>
      </c>
      <c r="S11" s="24">
        <f t="shared" si="5"/>
        <v>6.0803400000000005</v>
      </c>
      <c r="T11" s="3">
        <f t="shared" si="4"/>
        <v>92.473100000000002</v>
      </c>
      <c r="U11" s="51">
        <f t="shared" si="4"/>
        <v>1.71429E-3</v>
      </c>
      <c r="V11" s="42">
        <f>((O13*(Q12)^2)/S16)*T11</f>
        <v>1.4942293163439106E-3</v>
      </c>
      <c r="W11" s="49">
        <f t="shared" si="6"/>
        <v>0.12836841121169079</v>
      </c>
    </row>
    <row r="12" spans="1:23" x14ac:dyDescent="0.6">
      <c r="B12" s="2"/>
      <c r="C12" s="1"/>
      <c r="D12" s="2">
        <v>76.158900000000003</v>
      </c>
      <c r="E12" s="1">
        <v>639.87300000000005</v>
      </c>
      <c r="F12" s="2">
        <v>87.662300000000002</v>
      </c>
      <c r="G12" s="1">
        <v>-16.25</v>
      </c>
      <c r="H12" s="2">
        <v>22.159199999999998</v>
      </c>
      <c r="I12" s="1">
        <v>54.486899999999999</v>
      </c>
      <c r="J12" s="2">
        <v>126.88200000000001</v>
      </c>
      <c r="K12" s="1">
        <v>3.4821399999999999E-3</v>
      </c>
      <c r="N12" s="3">
        <f t="shared" si="0"/>
        <v>76.158900000000003</v>
      </c>
      <c r="O12" s="21">
        <f t="shared" si="1"/>
        <v>156281.01201332139</v>
      </c>
      <c r="P12" s="3">
        <f t="shared" si="2"/>
        <v>87.662300000000002</v>
      </c>
      <c r="Q12" s="17">
        <f t="shared" si="3"/>
        <v>-1.6249999999999999E-5</v>
      </c>
      <c r="R12" s="3">
        <f t="shared" si="4"/>
        <v>22.159199999999998</v>
      </c>
      <c r="S12" s="24">
        <f t="shared" si="5"/>
        <v>5.44869</v>
      </c>
      <c r="T12" s="3">
        <f t="shared" si="4"/>
        <v>126.88200000000001</v>
      </c>
      <c r="U12" s="51">
        <f t="shared" si="4"/>
        <v>3.4821399999999999E-3</v>
      </c>
      <c r="V12" s="42">
        <f>((AVERAGE(O13,O14)*(Q13)^2)/S17)*T12</f>
        <v>3.3651143598517202E-3</v>
      </c>
      <c r="W12" s="49">
        <f t="shared" si="6"/>
        <v>3.360739089992925E-2</v>
      </c>
    </row>
    <row r="13" spans="1:23" x14ac:dyDescent="0.6">
      <c r="B13" s="2"/>
      <c r="C13" s="1"/>
      <c r="D13" s="2">
        <v>105.96</v>
      </c>
      <c r="E13" s="1">
        <v>664.55700000000002</v>
      </c>
      <c r="F13" s="2">
        <v>120.13</v>
      </c>
      <c r="G13" s="1">
        <v>-21.25</v>
      </c>
      <c r="H13" s="2">
        <v>25.2624</v>
      </c>
      <c r="I13" s="1">
        <v>46.164299999999997</v>
      </c>
      <c r="J13" s="2">
        <v>158.065</v>
      </c>
      <c r="K13" s="1">
        <v>5.4642900000000001E-3</v>
      </c>
      <c r="N13" s="3">
        <f t="shared" si="0"/>
        <v>105.96</v>
      </c>
      <c r="O13" s="21">
        <f t="shared" si="1"/>
        <v>150476.18187755151</v>
      </c>
      <c r="P13" s="3">
        <f t="shared" si="2"/>
        <v>120.13</v>
      </c>
      <c r="Q13" s="17">
        <f t="shared" si="3"/>
        <v>-2.1249999999999998E-5</v>
      </c>
      <c r="R13" s="3">
        <f t="shared" si="4"/>
        <v>25.2624</v>
      </c>
      <c r="S13" s="24">
        <f t="shared" si="5"/>
        <v>4.6164299999999994</v>
      </c>
      <c r="T13" s="3">
        <f t="shared" si="4"/>
        <v>158.065</v>
      </c>
      <c r="U13" s="51">
        <f t="shared" si="4"/>
        <v>5.4642900000000001E-3</v>
      </c>
      <c r="V13" s="42">
        <f>((O15*(AVERAGE(Q14,Q15))^2)/S18)*T13</f>
        <v>5.9223670358825439E-3</v>
      </c>
      <c r="W13" s="49">
        <f t="shared" si="6"/>
        <v>-8.3831025784236152E-2</v>
      </c>
    </row>
    <row r="14" spans="1:23" x14ac:dyDescent="0.6">
      <c r="B14" s="2"/>
      <c r="C14" s="1"/>
      <c r="D14" s="2">
        <v>135.762</v>
      </c>
      <c r="E14" s="1">
        <v>691.13900000000001</v>
      </c>
      <c r="F14" s="2">
        <v>147.727</v>
      </c>
      <c r="G14" s="1">
        <v>-25.9375</v>
      </c>
      <c r="H14" s="2">
        <v>34.794199999999996</v>
      </c>
      <c r="I14" s="1">
        <v>37.835500000000003</v>
      </c>
      <c r="J14" s="2">
        <v>189.24700000000001</v>
      </c>
      <c r="K14" s="1">
        <v>7.6071400000000001E-3</v>
      </c>
      <c r="N14" s="3">
        <f t="shared" si="0"/>
        <v>135.762</v>
      </c>
      <c r="O14" s="21">
        <f t="shared" si="1"/>
        <v>144688.69503819058</v>
      </c>
      <c r="P14" s="3">
        <f t="shared" si="2"/>
        <v>147.727</v>
      </c>
      <c r="Q14" s="17">
        <f t="shared" si="3"/>
        <v>-2.59375E-5</v>
      </c>
      <c r="R14" s="3">
        <f t="shared" si="4"/>
        <v>34.794199999999996</v>
      </c>
      <c r="S14" s="24">
        <f t="shared" si="5"/>
        <v>3.78355</v>
      </c>
      <c r="T14" s="3">
        <f t="shared" si="4"/>
        <v>189.24700000000001</v>
      </c>
      <c r="U14" s="51">
        <f t="shared" si="4"/>
        <v>7.6071400000000001E-3</v>
      </c>
      <c r="V14" s="42">
        <f>((O16*(AVERAGE(Q15,Q16))^2)/S19)*T14</f>
        <v>7.8069839747245086E-3</v>
      </c>
      <c r="W14" s="49">
        <f t="shared" si="6"/>
        <v>-2.6270579314237475E-2</v>
      </c>
    </row>
    <row r="15" spans="1:23" x14ac:dyDescent="0.6">
      <c r="B15" s="2"/>
      <c r="C15" s="1"/>
      <c r="D15" s="2">
        <v>160.596</v>
      </c>
      <c r="E15" s="1">
        <v>723.41800000000001</v>
      </c>
      <c r="F15" s="2">
        <v>178.571</v>
      </c>
      <c r="G15" s="1">
        <v>-29.6875</v>
      </c>
      <c r="H15" s="2">
        <v>52.889600000000002</v>
      </c>
      <c r="I15" s="1">
        <v>28.924800000000001</v>
      </c>
      <c r="J15" s="2">
        <v>218.28</v>
      </c>
      <c r="K15" s="1">
        <v>9.5892900000000003E-3</v>
      </c>
      <c r="N15" s="3">
        <f t="shared" si="0"/>
        <v>160.596</v>
      </c>
      <c r="O15" s="21">
        <f t="shared" si="1"/>
        <v>138232.66769696082</v>
      </c>
      <c r="P15" s="3">
        <f t="shared" si="2"/>
        <v>178.571</v>
      </c>
      <c r="Q15" s="17">
        <f t="shared" si="3"/>
        <v>-2.96875E-5</v>
      </c>
      <c r="R15" s="3">
        <f t="shared" si="4"/>
        <v>52.889600000000002</v>
      </c>
      <c r="S15" s="24">
        <f t="shared" si="5"/>
        <v>2.8924799999999999</v>
      </c>
      <c r="T15" s="3">
        <f t="shared" si="4"/>
        <v>218.28</v>
      </c>
      <c r="U15" s="51">
        <f t="shared" si="4"/>
        <v>9.5892900000000003E-3</v>
      </c>
      <c r="V15" s="42">
        <f>((AVERAGE(O17,O18)*(AVERAGE(Q16,Q17))^2)/S20)*T15</f>
        <v>9.8470326639942454E-3</v>
      </c>
      <c r="W15" s="49">
        <f t="shared" si="6"/>
        <v>-2.6878180135781173E-2</v>
      </c>
    </row>
    <row r="16" spans="1:23" x14ac:dyDescent="0.6">
      <c r="B16" s="2"/>
      <c r="C16" s="1"/>
      <c r="D16" s="2">
        <v>190.39699999999999</v>
      </c>
      <c r="E16" s="1">
        <v>759.49400000000003</v>
      </c>
      <c r="F16" s="2">
        <v>207.792</v>
      </c>
      <c r="G16" s="1">
        <v>-35</v>
      </c>
      <c r="H16" s="2">
        <v>84.974699999999999</v>
      </c>
      <c r="I16" s="1">
        <v>24.590800000000002</v>
      </c>
      <c r="J16" s="2">
        <v>251.613</v>
      </c>
      <c r="K16" s="1">
        <v>1.1410699999999999E-2</v>
      </c>
      <c r="N16" s="3">
        <f t="shared" si="0"/>
        <v>190.39699999999999</v>
      </c>
      <c r="O16" s="21">
        <f t="shared" si="1"/>
        <v>131666.60961113582</v>
      </c>
      <c r="P16" s="3">
        <f t="shared" si="2"/>
        <v>207.792</v>
      </c>
      <c r="Q16" s="17">
        <f t="shared" si="3"/>
        <v>-3.4999999999999997E-5</v>
      </c>
      <c r="R16" s="3">
        <f t="shared" si="4"/>
        <v>84.974699999999999</v>
      </c>
      <c r="S16" s="24">
        <f t="shared" si="5"/>
        <v>2.4590800000000002</v>
      </c>
      <c r="T16" s="3">
        <f t="shared" si="4"/>
        <v>251.613</v>
      </c>
      <c r="U16" s="51">
        <f t="shared" si="4"/>
        <v>1.1410699999999999E-2</v>
      </c>
      <c r="V16" s="42">
        <f>((O19)*(Q18)^2)/(S21)*T16</f>
        <v>1.2739496727860631E-2</v>
      </c>
      <c r="W16" s="49">
        <f t="shared" si="6"/>
        <v>-0.1164518152138459</v>
      </c>
    </row>
    <row r="17" spans="2:23" x14ac:dyDescent="0.6">
      <c r="B17" s="2"/>
      <c r="C17" s="1"/>
      <c r="D17" s="2">
        <v>208.60900000000001</v>
      </c>
      <c r="E17" s="1">
        <v>778.48099999999999</v>
      </c>
      <c r="F17" s="2">
        <v>233.76599999999999</v>
      </c>
      <c r="G17" s="1">
        <v>-40</v>
      </c>
      <c r="H17" s="2">
        <v>123.553</v>
      </c>
      <c r="I17" s="1">
        <v>25.127700000000001</v>
      </c>
      <c r="J17" s="2">
        <v>284.94600000000003</v>
      </c>
      <c r="K17" s="1">
        <v>1.2749999999999999E-2</v>
      </c>
      <c r="N17" s="3">
        <f t="shared" si="0"/>
        <v>208.60900000000001</v>
      </c>
      <c r="O17" s="21">
        <f t="shared" si="1"/>
        <v>128455.28664154939</v>
      </c>
      <c r="P17" s="3">
        <f t="shared" si="2"/>
        <v>233.76599999999999</v>
      </c>
      <c r="Q17" s="17">
        <f t="shared" si="3"/>
        <v>-3.9999999999999996E-5</v>
      </c>
      <c r="R17" s="3">
        <f t="shared" si="4"/>
        <v>123.553</v>
      </c>
      <c r="S17" s="24">
        <f t="shared" si="5"/>
        <v>2.5127700000000002</v>
      </c>
      <c r="T17" s="3">
        <f t="shared" si="4"/>
        <v>284.94600000000003</v>
      </c>
      <c r="U17" s="51">
        <f t="shared" si="4"/>
        <v>1.2749999999999999E-2</v>
      </c>
      <c r="V17" s="42">
        <f>((O20*(Q19)^2)/S23)*T17</f>
        <v>1.2692276240302114E-2</v>
      </c>
      <c r="W17" s="49">
        <f t="shared" si="6"/>
        <v>4.5273537017949264E-3</v>
      </c>
    </row>
    <row r="18" spans="2:23" x14ac:dyDescent="0.6">
      <c r="B18" s="2"/>
      <c r="C18" s="1"/>
      <c r="D18" s="2">
        <v>236.755</v>
      </c>
      <c r="E18" s="1">
        <v>805.06299999999999</v>
      </c>
      <c r="F18" s="2">
        <v>256.49299999999999</v>
      </c>
      <c r="G18" s="1">
        <v>-43.75</v>
      </c>
      <c r="H18" s="2">
        <v>156.81299999999999</v>
      </c>
      <c r="I18" s="1">
        <v>28.538499999999999</v>
      </c>
      <c r="J18" s="2"/>
      <c r="K18" s="1"/>
      <c r="N18" s="3">
        <f t="shared" si="0"/>
        <v>236.755</v>
      </c>
      <c r="O18" s="21">
        <f t="shared" si="1"/>
        <v>124213.88139810177</v>
      </c>
      <c r="P18" s="3">
        <f t="shared" si="2"/>
        <v>256.49299999999999</v>
      </c>
      <c r="Q18" s="17">
        <f t="shared" si="3"/>
        <v>-4.375E-5</v>
      </c>
      <c r="R18" s="3">
        <f t="shared" si="4"/>
        <v>156.81299999999999</v>
      </c>
      <c r="S18" s="24">
        <f t="shared" si="5"/>
        <v>2.85385</v>
      </c>
      <c r="T18" s="3"/>
      <c r="U18" s="24"/>
      <c r="V18" s="42"/>
    </row>
    <row r="19" spans="2:23" x14ac:dyDescent="0.6">
      <c r="B19" s="2"/>
      <c r="C19" s="1"/>
      <c r="D19" s="2">
        <v>261.589</v>
      </c>
      <c r="E19" s="1">
        <v>827.84799999999996</v>
      </c>
      <c r="F19" s="2">
        <v>285.714</v>
      </c>
      <c r="G19" s="1">
        <v>-47.1875</v>
      </c>
      <c r="H19" s="2">
        <v>184.73500000000001</v>
      </c>
      <c r="I19" s="1">
        <v>33.3889</v>
      </c>
      <c r="J19" s="2"/>
      <c r="K19" s="1"/>
      <c r="N19" s="3">
        <f t="shared" si="0"/>
        <v>261.589</v>
      </c>
      <c r="O19" s="21">
        <f t="shared" si="1"/>
        <v>120795.12180980085</v>
      </c>
      <c r="P19" s="3">
        <f t="shared" si="2"/>
        <v>285.714</v>
      </c>
      <c r="Q19" s="17">
        <f t="shared" si="3"/>
        <v>-4.7187499999999995E-5</v>
      </c>
      <c r="R19" s="3">
        <f t="shared" si="4"/>
        <v>184.73500000000001</v>
      </c>
      <c r="S19" s="24">
        <f t="shared" si="5"/>
        <v>3.3388899999999997</v>
      </c>
      <c r="T19" s="3"/>
      <c r="U19" s="24"/>
      <c r="V19" s="42"/>
    </row>
    <row r="20" spans="2:23" x14ac:dyDescent="0.6">
      <c r="B20" s="2"/>
      <c r="C20" s="1"/>
      <c r="D20" s="2">
        <v>288.07900000000001</v>
      </c>
      <c r="E20" s="1">
        <v>858.22799999999995</v>
      </c>
      <c r="F20" s="2"/>
      <c r="G20" s="1"/>
      <c r="H20" s="2">
        <v>218.029</v>
      </c>
      <c r="I20" s="1">
        <v>39.381599999999999</v>
      </c>
      <c r="J20" s="2"/>
      <c r="K20" s="1"/>
      <c r="N20" s="3">
        <f t="shared" si="0"/>
        <v>288.07900000000001</v>
      </c>
      <c r="O20" s="21">
        <f t="shared" si="1"/>
        <v>116519.15341843893</v>
      </c>
      <c r="P20" s="3"/>
      <c r="Q20" s="17"/>
      <c r="R20" s="3">
        <f t="shared" si="4"/>
        <v>218.029</v>
      </c>
      <c r="S20" s="24">
        <f t="shared" si="5"/>
        <v>3.9381600000000003</v>
      </c>
      <c r="T20" s="3"/>
      <c r="U20" s="24"/>
      <c r="V20" s="42"/>
    </row>
    <row r="21" spans="2:23" x14ac:dyDescent="0.6">
      <c r="B21" s="2"/>
      <c r="C21" s="1"/>
      <c r="D21" s="2"/>
      <c r="E21" s="1"/>
      <c r="F21" s="2"/>
      <c r="G21" s="1"/>
      <c r="H21" s="2">
        <v>247.041</v>
      </c>
      <c r="I21" s="1">
        <v>45.665300000000002</v>
      </c>
      <c r="J21" s="2"/>
      <c r="K21" s="1"/>
      <c r="N21" s="3"/>
      <c r="O21" s="21"/>
      <c r="P21" s="3"/>
      <c r="Q21" s="17"/>
      <c r="R21" s="3">
        <f t="shared" si="4"/>
        <v>247.041</v>
      </c>
      <c r="S21" s="24">
        <f t="shared" si="5"/>
        <v>4.5665300000000002</v>
      </c>
      <c r="T21" s="3"/>
      <c r="U21" s="24"/>
      <c r="V21"/>
    </row>
    <row r="22" spans="2:23" x14ac:dyDescent="0.6">
      <c r="B22" s="2"/>
      <c r="C22" s="1"/>
      <c r="D22" s="2"/>
      <c r="E22" s="1"/>
      <c r="F22" s="2"/>
      <c r="G22" s="1"/>
      <c r="H22" s="2">
        <v>267.483</v>
      </c>
      <c r="I22" s="1">
        <v>51.9572</v>
      </c>
      <c r="J22" s="2"/>
      <c r="K22" s="1"/>
      <c r="N22" s="3"/>
      <c r="O22" s="21"/>
      <c r="P22" s="3"/>
      <c r="Q22" s="17"/>
      <c r="R22" s="3">
        <f t="shared" si="4"/>
        <v>267.483</v>
      </c>
      <c r="S22" s="24">
        <f t="shared" si="5"/>
        <v>5.1957199999999997</v>
      </c>
      <c r="T22" s="3"/>
      <c r="U22" s="24"/>
      <c r="V22"/>
    </row>
    <row r="23" spans="2:23" x14ac:dyDescent="0.6">
      <c r="B23" s="28"/>
      <c r="C23" s="29"/>
      <c r="D23" s="28"/>
      <c r="E23" s="29"/>
      <c r="F23" s="28"/>
      <c r="G23" s="29"/>
      <c r="H23" s="28">
        <v>290.06599999999997</v>
      </c>
      <c r="I23" s="29">
        <v>58.247100000000003</v>
      </c>
      <c r="J23" s="28"/>
      <c r="K23" s="29"/>
      <c r="N23" s="32"/>
      <c r="O23" s="33"/>
      <c r="P23" s="32"/>
      <c r="Q23" s="34"/>
      <c r="R23" s="32">
        <f t="shared" si="4"/>
        <v>290.06599999999997</v>
      </c>
      <c r="S23" s="24">
        <f t="shared" si="5"/>
        <v>5.8247100000000005</v>
      </c>
      <c r="T23" s="32"/>
      <c r="U23" s="35"/>
      <c r="V23"/>
    </row>
    <row r="24" spans="2:23" x14ac:dyDescent="0.6">
      <c r="B24" s="30"/>
      <c r="C24" s="30"/>
      <c r="D24" s="30"/>
      <c r="E24" s="30"/>
      <c r="F24" s="30"/>
      <c r="G24" s="30"/>
      <c r="H24" s="30"/>
      <c r="I24" s="30"/>
      <c r="J24" s="30"/>
      <c r="K24" s="30"/>
      <c r="N24" s="30"/>
      <c r="O24" s="39"/>
      <c r="P24" s="30"/>
      <c r="Q24" s="40"/>
      <c r="R24" s="30"/>
      <c r="S24" s="41"/>
      <c r="T24" s="30"/>
      <c r="U24" s="41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B31" s="31"/>
      <c r="C31" s="31"/>
      <c r="D31" s="31"/>
      <c r="E31" s="31"/>
      <c r="F31" s="31"/>
      <c r="G31" s="31"/>
      <c r="H31" s="31"/>
      <c r="I31" s="31"/>
      <c r="J31" s="31"/>
      <c r="K31" s="31"/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1"/>
  </sheetPr>
  <dimension ref="A1:W5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8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72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302.96010296010297</v>
      </c>
      <c r="E9" s="4">
        <v>0.47724550898203499</v>
      </c>
      <c r="F9" s="3">
        <v>302.98120544393998</v>
      </c>
      <c r="G9" s="4">
        <v>134.442344045368</v>
      </c>
      <c r="H9" s="3">
        <v>303.01244269810002</v>
      </c>
      <c r="I9" s="4">
        <v>1.3342465753424599</v>
      </c>
      <c r="J9" s="3">
        <v>303.05602716468502</v>
      </c>
      <c r="K9" s="4">
        <v>0.86970954356846397</v>
      </c>
      <c r="N9" s="3">
        <f>D9</f>
        <v>302.96010296010297</v>
      </c>
      <c r="O9" s="21">
        <f>1/(E9*(10^(-5)))</f>
        <v>209535.75909661269</v>
      </c>
      <c r="P9" s="3">
        <f>F9</f>
        <v>302.98120544393998</v>
      </c>
      <c r="Q9" s="17">
        <f>G9*(10^(-6))</f>
        <v>1.3444234404536798E-4</v>
      </c>
      <c r="R9" s="3">
        <f>H9</f>
        <v>303.01244269810002</v>
      </c>
      <c r="S9" s="24">
        <f>I9</f>
        <v>1.3342465753424599</v>
      </c>
      <c r="T9" s="3">
        <f>J9</f>
        <v>303.05602716468502</v>
      </c>
      <c r="U9" s="51">
        <f>K9</f>
        <v>0.86970954356846397</v>
      </c>
      <c r="V9" s="42">
        <f>((O9*(Q9)^2)/S9)*T9</f>
        <v>0.86023504354473512</v>
      </c>
      <c r="W9" s="49">
        <f t="shared" ref="W9" si="0">(U9-V9)/U9</f>
        <v>1.0893866916596634E-2</v>
      </c>
    </row>
    <row r="10" spans="1:23" x14ac:dyDescent="0.6">
      <c r="B10" s="3"/>
      <c r="C10" s="4"/>
      <c r="D10" s="3">
        <v>325.61132561132501</v>
      </c>
      <c r="E10" s="4">
        <v>0.526646706586826</v>
      </c>
      <c r="F10" s="3">
        <v>325.66429034348602</v>
      </c>
      <c r="G10" s="4">
        <v>141.58790170132301</v>
      </c>
      <c r="H10" s="3">
        <v>325.67125081859803</v>
      </c>
      <c r="I10" s="4">
        <v>1.29657534246575</v>
      </c>
      <c r="J10" s="3">
        <v>325.63667232597601</v>
      </c>
      <c r="K10" s="4">
        <v>0.96313969571230895</v>
      </c>
      <c r="N10" s="3">
        <f t="shared" ref="N10:N17" si="1">D10</f>
        <v>325.61132561132501</v>
      </c>
      <c r="O10" s="21">
        <f t="shared" ref="O10:O17" si="2">1/(E10*(10^(-5)))</f>
        <v>189880.61398521898</v>
      </c>
      <c r="P10" s="3">
        <f t="shared" ref="P10:P17" si="3">F10</f>
        <v>325.66429034348602</v>
      </c>
      <c r="Q10" s="17">
        <f t="shared" ref="Q10:Q17" si="4">G10*(10^(-6))</f>
        <v>1.41587901701323E-4</v>
      </c>
      <c r="R10" s="3">
        <f t="shared" ref="R10:U17" si="5">H10</f>
        <v>325.67125081859803</v>
      </c>
      <c r="S10" s="24">
        <f t="shared" si="5"/>
        <v>1.29657534246575</v>
      </c>
      <c r="T10" s="3">
        <f t="shared" si="5"/>
        <v>325.63667232597601</v>
      </c>
      <c r="U10" s="51">
        <f t="shared" si="5"/>
        <v>0.96313969571230895</v>
      </c>
      <c r="V10" s="42">
        <f t="shared" ref="V10:V17" si="6">((O10*(Q10)^2)/S10)*T10</f>
        <v>0.9560232815340638</v>
      </c>
      <c r="W10" s="49">
        <f t="shared" ref="W10:W17" si="7">(U10-V10)/U10</f>
        <v>7.3887663543781897E-3</v>
      </c>
    </row>
    <row r="11" spans="1:23" x14ac:dyDescent="0.6">
      <c r="B11" s="2"/>
      <c r="C11" s="1"/>
      <c r="D11" s="2">
        <v>348.00514800514799</v>
      </c>
      <c r="E11" s="1">
        <v>0.57964071856287402</v>
      </c>
      <c r="F11" s="2">
        <v>348.08813998703801</v>
      </c>
      <c r="G11" s="1">
        <v>147.82608695652101</v>
      </c>
      <c r="H11" s="2">
        <v>348.068107400131</v>
      </c>
      <c r="I11" s="1">
        <v>1.25410958904109</v>
      </c>
      <c r="J11" s="2">
        <v>348.04753820033898</v>
      </c>
      <c r="K11" s="1">
        <v>1.05076071922544</v>
      </c>
      <c r="N11" s="3">
        <f t="shared" si="1"/>
        <v>348.00514800514799</v>
      </c>
      <c r="O11" s="21">
        <f t="shared" si="2"/>
        <v>172520.66115702485</v>
      </c>
      <c r="P11" s="3">
        <f t="shared" si="3"/>
        <v>348.08813998703801</v>
      </c>
      <c r="Q11" s="17">
        <f t="shared" si="4"/>
        <v>1.4782608695652099E-4</v>
      </c>
      <c r="R11" s="3">
        <f t="shared" si="5"/>
        <v>348.068107400131</v>
      </c>
      <c r="S11" s="24">
        <f t="shared" si="5"/>
        <v>1.25410958904109</v>
      </c>
      <c r="T11" s="3">
        <f t="shared" si="5"/>
        <v>348.04753820033898</v>
      </c>
      <c r="U11" s="51">
        <f t="shared" si="5"/>
        <v>1.05076071922544</v>
      </c>
      <c r="V11" s="42">
        <f t="shared" si="6"/>
        <v>1.0462762174716793</v>
      </c>
      <c r="W11" s="49">
        <f t="shared" si="7"/>
        <v>4.2678620086468496E-3</v>
      </c>
    </row>
    <row r="12" spans="1:23" x14ac:dyDescent="0.6">
      <c r="B12" s="2"/>
      <c r="C12" s="1"/>
      <c r="D12" s="2">
        <v>372.20077220077201</v>
      </c>
      <c r="E12" s="1">
        <v>0.64431137724550802</v>
      </c>
      <c r="F12" s="2">
        <v>372.19701879455602</v>
      </c>
      <c r="G12" s="1">
        <v>153.950850661625</v>
      </c>
      <c r="H12" s="2">
        <v>372.16764898493699</v>
      </c>
      <c r="I12" s="1">
        <v>1.2171232876712299</v>
      </c>
      <c r="J12" s="2">
        <v>372.15619694397202</v>
      </c>
      <c r="K12" s="1">
        <v>1.13063623789764</v>
      </c>
      <c r="N12" s="3">
        <f t="shared" si="1"/>
        <v>372.20077220077201</v>
      </c>
      <c r="O12" s="21">
        <f t="shared" si="2"/>
        <v>155204.46096654297</v>
      </c>
      <c r="P12" s="3">
        <f t="shared" si="3"/>
        <v>372.19701879455602</v>
      </c>
      <c r="Q12" s="17">
        <f t="shared" si="4"/>
        <v>1.5395085066162499E-4</v>
      </c>
      <c r="R12" s="3">
        <f t="shared" si="5"/>
        <v>372.16764898493699</v>
      </c>
      <c r="S12" s="24">
        <f t="shared" si="5"/>
        <v>1.2171232876712299</v>
      </c>
      <c r="T12" s="3">
        <f t="shared" si="5"/>
        <v>372.15619694397202</v>
      </c>
      <c r="U12" s="51">
        <f t="shared" si="5"/>
        <v>1.13063623789764</v>
      </c>
      <c r="V12" s="42">
        <f t="shared" si="6"/>
        <v>1.1247579427829175</v>
      </c>
      <c r="W12" s="49">
        <f t="shared" si="7"/>
        <v>5.1991037591833031E-3</v>
      </c>
    </row>
    <row r="13" spans="1:23" x14ac:dyDescent="0.6">
      <c r="B13" s="2"/>
      <c r="C13" s="1"/>
      <c r="D13" s="2">
        <v>396.78249678249603</v>
      </c>
      <c r="E13" s="1">
        <v>0.71347305389221505</v>
      </c>
      <c r="F13" s="2">
        <v>396.82436811406302</v>
      </c>
      <c r="G13" s="1">
        <v>159.22495274101999</v>
      </c>
      <c r="H13" s="2">
        <v>396.79109364767498</v>
      </c>
      <c r="I13" s="1">
        <v>1.1678082191780801</v>
      </c>
      <c r="J13" s="2">
        <v>396.77419354838702</v>
      </c>
      <c r="K13" s="1">
        <v>1.2090594744121701</v>
      </c>
      <c r="N13" s="3">
        <f t="shared" si="1"/>
        <v>396.78249678249603</v>
      </c>
      <c r="O13" s="21">
        <f t="shared" si="2"/>
        <v>140159.46286193881</v>
      </c>
      <c r="P13" s="3">
        <f t="shared" si="3"/>
        <v>396.82436811406302</v>
      </c>
      <c r="Q13" s="17">
        <f t="shared" si="4"/>
        <v>1.5922495274101999E-4</v>
      </c>
      <c r="R13" s="3">
        <f t="shared" si="5"/>
        <v>396.79109364767498</v>
      </c>
      <c r="S13" s="24">
        <f t="shared" si="5"/>
        <v>1.1678082191780801</v>
      </c>
      <c r="T13" s="3">
        <f t="shared" si="5"/>
        <v>396.77419354838702</v>
      </c>
      <c r="U13" s="51">
        <f t="shared" si="5"/>
        <v>1.2090594744121701</v>
      </c>
      <c r="V13" s="42">
        <f t="shared" si="6"/>
        <v>1.2073038118382353</v>
      </c>
      <c r="W13" s="49">
        <f t="shared" si="7"/>
        <v>1.4520895051820023E-3</v>
      </c>
    </row>
    <row r="14" spans="1:23" x14ac:dyDescent="0.6">
      <c r="B14" s="2"/>
      <c r="C14" s="1"/>
      <c r="D14" s="2">
        <v>422.00772200772201</v>
      </c>
      <c r="E14" s="1">
        <v>0.79341317365269404</v>
      </c>
      <c r="F14" s="2">
        <v>422.099805573558</v>
      </c>
      <c r="G14" s="1">
        <v>163.81852551984801</v>
      </c>
      <c r="H14" s="2">
        <v>422.069417157825</v>
      </c>
      <c r="I14" s="1">
        <v>1.1253424657534199</v>
      </c>
      <c r="J14" s="2">
        <v>422.07130730050898</v>
      </c>
      <c r="K14" s="1">
        <v>1.2690871369294601</v>
      </c>
      <c r="N14" s="3">
        <f t="shared" si="1"/>
        <v>422.00772200772201</v>
      </c>
      <c r="O14" s="21">
        <f t="shared" si="2"/>
        <v>126037.73584905668</v>
      </c>
      <c r="P14" s="3">
        <f t="shared" si="3"/>
        <v>422.099805573558</v>
      </c>
      <c r="Q14" s="17">
        <f t="shared" si="4"/>
        <v>1.63818525519848E-4</v>
      </c>
      <c r="R14" s="3">
        <f t="shared" si="5"/>
        <v>422.069417157825</v>
      </c>
      <c r="S14" s="24">
        <f t="shared" si="5"/>
        <v>1.1253424657534199</v>
      </c>
      <c r="T14" s="3">
        <f t="shared" si="5"/>
        <v>422.07130730050898</v>
      </c>
      <c r="U14" s="51">
        <f t="shared" si="5"/>
        <v>1.2690871369294601</v>
      </c>
      <c r="V14" s="42">
        <f t="shared" si="6"/>
        <v>1.2686088596262981</v>
      </c>
      <c r="W14" s="49">
        <f t="shared" si="7"/>
        <v>3.7686719000174618E-4</v>
      </c>
    </row>
    <row r="15" spans="1:23" x14ac:dyDescent="0.6">
      <c r="B15" s="2"/>
      <c r="C15" s="1"/>
      <c r="D15" s="2">
        <v>446.58944658944603</v>
      </c>
      <c r="E15" s="1">
        <v>0.88053892215568796</v>
      </c>
      <c r="F15" s="2">
        <v>446.59753726506801</v>
      </c>
      <c r="G15" s="1">
        <v>167.39130434782601</v>
      </c>
      <c r="H15" s="2">
        <v>446.56188605108002</v>
      </c>
      <c r="I15" s="1">
        <v>1.0739726027397201</v>
      </c>
      <c r="J15" s="2">
        <v>446.51952461799601</v>
      </c>
      <c r="K15" s="1">
        <v>1.32427385892116</v>
      </c>
      <c r="N15" s="3">
        <f t="shared" si="1"/>
        <v>446.58944658944603</v>
      </c>
      <c r="O15" s="21">
        <f t="shared" si="2"/>
        <v>113566.81400884061</v>
      </c>
      <c r="P15" s="3">
        <f t="shared" si="3"/>
        <v>446.59753726506801</v>
      </c>
      <c r="Q15" s="17">
        <f t="shared" si="4"/>
        <v>1.6739130434782599E-4</v>
      </c>
      <c r="R15" s="3">
        <f t="shared" si="5"/>
        <v>446.56188605108002</v>
      </c>
      <c r="S15" s="24">
        <f t="shared" si="5"/>
        <v>1.0739726027397201</v>
      </c>
      <c r="T15" s="3">
        <f t="shared" si="5"/>
        <v>446.51952461799601</v>
      </c>
      <c r="U15" s="51">
        <f t="shared" si="5"/>
        <v>1.32427385892116</v>
      </c>
      <c r="V15" s="42">
        <f t="shared" si="6"/>
        <v>1.3230141235387241</v>
      </c>
      <c r="W15" s="49">
        <f t="shared" si="7"/>
        <v>9.5126500757344748E-4</v>
      </c>
    </row>
    <row r="16" spans="1:23" x14ac:dyDescent="0.6">
      <c r="B16" s="2"/>
      <c r="C16" s="1"/>
      <c r="D16" s="2">
        <v>471.29987129987097</v>
      </c>
      <c r="E16" s="1">
        <v>0.97574850299401095</v>
      </c>
      <c r="F16" s="2">
        <v>471.35450421257201</v>
      </c>
      <c r="G16" s="1">
        <v>170.170132325141</v>
      </c>
      <c r="H16" s="2">
        <v>471.31630648330002</v>
      </c>
      <c r="I16" s="1">
        <v>1.02671232876712</v>
      </c>
      <c r="J16" s="2">
        <v>471.30730050933698</v>
      </c>
      <c r="K16" s="1">
        <v>1.3639695712309801</v>
      </c>
      <c r="N16" s="3">
        <f t="shared" si="1"/>
        <v>471.29987129987097</v>
      </c>
      <c r="O16" s="21">
        <f t="shared" si="2"/>
        <v>102485.42497698691</v>
      </c>
      <c r="P16" s="3">
        <f t="shared" si="3"/>
        <v>471.35450421257201</v>
      </c>
      <c r="Q16" s="17">
        <f t="shared" si="4"/>
        <v>1.70170132325141E-4</v>
      </c>
      <c r="R16" s="3">
        <f t="shared" si="5"/>
        <v>471.31630648330002</v>
      </c>
      <c r="S16" s="24">
        <f t="shared" si="5"/>
        <v>1.02671232876712</v>
      </c>
      <c r="T16" s="3">
        <f t="shared" si="5"/>
        <v>471.30730050933698</v>
      </c>
      <c r="U16" s="51">
        <f t="shared" si="5"/>
        <v>1.3639695712309801</v>
      </c>
      <c r="V16" s="42">
        <f t="shared" si="6"/>
        <v>1.3623358002502113</v>
      </c>
      <c r="W16" s="49">
        <f t="shared" si="7"/>
        <v>1.1978060326480033E-3</v>
      </c>
    </row>
    <row r="17" spans="2:23" x14ac:dyDescent="0.6">
      <c r="B17" s="28"/>
      <c r="C17" s="29"/>
      <c r="D17" s="28">
        <v>496.39639639639603</v>
      </c>
      <c r="E17" s="29">
        <v>1.0772455089820301</v>
      </c>
      <c r="F17" s="28">
        <v>496.50032404406898</v>
      </c>
      <c r="G17" s="29">
        <v>172.04158790170101</v>
      </c>
      <c r="H17" s="28">
        <v>496.46365422396798</v>
      </c>
      <c r="I17" s="29">
        <v>0.99315068493150704</v>
      </c>
      <c r="J17" s="28">
        <v>496.43463497453303</v>
      </c>
      <c r="K17" s="29">
        <v>1.37413554633471</v>
      </c>
      <c r="N17" s="32">
        <f t="shared" si="1"/>
        <v>496.39639639639603</v>
      </c>
      <c r="O17" s="21">
        <f t="shared" si="2"/>
        <v>92829.349638688655</v>
      </c>
      <c r="P17" s="32">
        <f t="shared" si="3"/>
        <v>496.50032404406898</v>
      </c>
      <c r="Q17" s="17">
        <f t="shared" si="4"/>
        <v>1.7204158790170101E-4</v>
      </c>
      <c r="R17" s="32">
        <f t="shared" si="5"/>
        <v>496.46365422396798</v>
      </c>
      <c r="S17" s="35">
        <f t="shared" si="5"/>
        <v>0.99315068493150704</v>
      </c>
      <c r="T17" s="32">
        <f t="shared" si="5"/>
        <v>496.43463497453303</v>
      </c>
      <c r="U17" s="52">
        <f t="shared" si="5"/>
        <v>1.37413554633471</v>
      </c>
      <c r="V17" s="42">
        <f t="shared" si="6"/>
        <v>1.3734065665400186</v>
      </c>
      <c r="W17" s="49">
        <f t="shared" si="7"/>
        <v>5.3050064575935099E-4</v>
      </c>
    </row>
    <row r="18" spans="2:23" x14ac:dyDescent="0.6">
      <c r="B18" s="30"/>
      <c r="C18" s="30"/>
      <c r="D18" s="30"/>
      <c r="E18" s="30"/>
      <c r="F18" s="30"/>
      <c r="G18" s="30"/>
      <c r="H18" s="30"/>
      <c r="I18" s="30"/>
      <c r="J18" s="30"/>
      <c r="K18" s="30"/>
      <c r="N18" s="30"/>
      <c r="O18" s="39"/>
      <c r="P18" s="30"/>
      <c r="Q18" s="40"/>
      <c r="R18" s="30"/>
      <c r="S18" s="41"/>
      <c r="T18" s="30"/>
      <c r="U18" s="41"/>
      <c r="V18"/>
    </row>
    <row r="19" spans="2:23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  <c r="V19"/>
    </row>
    <row r="20" spans="2:23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  <c r="V20"/>
    </row>
    <row r="21" spans="2:2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  <c r="V2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  <c r="V23"/>
    </row>
    <row r="24" spans="2:23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  <c r="V24"/>
    </row>
    <row r="25" spans="2:2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  <c r="V25"/>
    </row>
    <row r="26" spans="2:23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  <c r="V26"/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ht="17.25" thickBot="1" x14ac:dyDescent="0.65">
      <c r="B30" s="31" t="s">
        <v>79</v>
      </c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72</v>
      </c>
      <c r="F32" s="11" t="s">
        <v>4</v>
      </c>
      <c r="G32" s="27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302.95600000000002</v>
      </c>
      <c r="E33" s="4">
        <v>0.48483700000000002</v>
      </c>
      <c r="F33" s="3">
        <v>303.65300000000002</v>
      </c>
      <c r="G33" s="4">
        <v>134.68299999999999</v>
      </c>
      <c r="H33" s="3">
        <v>302.75900000000001</v>
      </c>
      <c r="I33" s="4">
        <v>1.3233299999999999</v>
      </c>
      <c r="J33" s="3">
        <v>302.78699999999998</v>
      </c>
      <c r="K33" s="4">
        <v>0.87763199999999997</v>
      </c>
      <c r="N33" s="3">
        <f>D33</f>
        <v>302.95600000000002</v>
      </c>
      <c r="O33" s="21">
        <f>1/E33*100000</f>
        <v>206254.88566260412</v>
      </c>
      <c r="P33" s="3">
        <f>F33</f>
        <v>303.65300000000002</v>
      </c>
      <c r="Q33" s="17">
        <f>G33*0.000001</f>
        <v>1.34683E-4</v>
      </c>
      <c r="R33" s="3">
        <f>H33</f>
        <v>302.75900000000001</v>
      </c>
      <c r="S33" s="24">
        <f>I33</f>
        <v>1.3233299999999999</v>
      </c>
      <c r="T33" s="3">
        <f>J33</f>
        <v>302.78699999999998</v>
      </c>
      <c r="U33" s="51">
        <f>K33</f>
        <v>0.87763199999999997</v>
      </c>
      <c r="V33" s="42">
        <f>((O33*(Q33)^2)/S33)*T33</f>
        <v>0.85604949355335591</v>
      </c>
      <c r="W33" s="49">
        <f t="shared" ref="W33:W41" si="8">(U33-V33)/U33</f>
        <v>2.4591749670299232E-2</v>
      </c>
    </row>
    <row r="34" spans="2:23" x14ac:dyDescent="0.6">
      <c r="B34" s="3"/>
      <c r="C34" s="4"/>
      <c r="D34" s="3">
        <v>325.10899999999998</v>
      </c>
      <c r="E34" s="4">
        <v>0.53492799999999996</v>
      </c>
      <c r="F34" s="3">
        <v>324.65800000000002</v>
      </c>
      <c r="G34" s="4">
        <v>141.82499999999999</v>
      </c>
      <c r="H34" s="3">
        <v>323.77800000000002</v>
      </c>
      <c r="I34" s="4">
        <v>1.30097</v>
      </c>
      <c r="J34" s="3">
        <v>327.178</v>
      </c>
      <c r="K34" s="4">
        <v>0.96447400000000005</v>
      </c>
      <c r="N34" s="3">
        <f t="shared" ref="N34:N41" si="9">D34</f>
        <v>325.10899999999998</v>
      </c>
      <c r="O34" s="21">
        <f t="shared" ref="O34:O41" si="10">1/E34*100000</f>
        <v>186941.04627164779</v>
      </c>
      <c r="P34" s="3">
        <f t="shared" ref="P34:P41" si="11">F34</f>
        <v>324.65800000000002</v>
      </c>
      <c r="Q34" s="17">
        <f t="shared" ref="Q34:Q41" si="12">G34*0.000001</f>
        <v>1.4182499999999999E-4</v>
      </c>
      <c r="R34" s="3">
        <f t="shared" ref="R34:R41" si="13">H34</f>
        <v>323.77800000000002</v>
      </c>
      <c r="S34" s="24">
        <f t="shared" ref="S34:S41" si="14">I34</f>
        <v>1.30097</v>
      </c>
      <c r="T34" s="3">
        <f t="shared" ref="T34:T41" si="15">J34</f>
        <v>327.178</v>
      </c>
      <c r="U34" s="51">
        <f t="shared" ref="U34:U41" si="16">K34</f>
        <v>0.96447400000000005</v>
      </c>
      <c r="V34" s="42">
        <f t="shared" ref="V34:V41" si="17">((O34*(Q34)^2)/S34)*T34</f>
        <v>0.94564267929930956</v>
      </c>
      <c r="W34" s="49">
        <f t="shared" si="8"/>
        <v>1.9524964592814827E-2</v>
      </c>
    </row>
    <row r="35" spans="2:23" x14ac:dyDescent="0.6">
      <c r="B35" s="2"/>
      <c r="C35" s="1"/>
      <c r="D35" s="2">
        <v>347.26299999999998</v>
      </c>
      <c r="E35" s="1">
        <v>0.58501899999999996</v>
      </c>
      <c r="F35" s="2">
        <v>348.40199999999999</v>
      </c>
      <c r="G35" s="1">
        <v>147.381</v>
      </c>
      <c r="H35" s="2">
        <v>348.13499999999999</v>
      </c>
      <c r="I35" s="1">
        <v>1.25573</v>
      </c>
      <c r="J35" s="2">
        <v>347.387</v>
      </c>
      <c r="K35" s="1">
        <v>1.05132</v>
      </c>
      <c r="N35" s="3">
        <f t="shared" si="9"/>
        <v>347.26299999999998</v>
      </c>
      <c r="O35" s="21">
        <f t="shared" si="10"/>
        <v>170934.61921749552</v>
      </c>
      <c r="P35" s="3">
        <f t="shared" si="11"/>
        <v>348.40199999999999</v>
      </c>
      <c r="Q35" s="17">
        <f t="shared" si="12"/>
        <v>1.47381E-4</v>
      </c>
      <c r="R35" s="3">
        <f t="shared" si="13"/>
        <v>348.13499999999999</v>
      </c>
      <c r="S35" s="24">
        <f t="shared" si="14"/>
        <v>1.25573</v>
      </c>
      <c r="T35" s="3">
        <f t="shared" si="15"/>
        <v>347.387</v>
      </c>
      <c r="U35" s="51">
        <f t="shared" si="16"/>
        <v>1.05132</v>
      </c>
      <c r="V35" s="42">
        <f t="shared" si="17"/>
        <v>1.0271416004193219</v>
      </c>
      <c r="W35" s="49">
        <f t="shared" si="8"/>
        <v>2.2998135278200865E-2</v>
      </c>
    </row>
    <row r="36" spans="2:23" x14ac:dyDescent="0.6">
      <c r="B36" s="2"/>
      <c r="C36" s="1"/>
      <c r="D36" s="2">
        <v>372.18900000000002</v>
      </c>
      <c r="E36" s="1">
        <v>0.64772099999999999</v>
      </c>
      <c r="F36" s="2">
        <v>373.97300000000001</v>
      </c>
      <c r="G36" s="1">
        <v>153.333</v>
      </c>
      <c r="H36" s="2">
        <v>373.58499999999998</v>
      </c>
      <c r="I36" s="1">
        <v>1.22201</v>
      </c>
      <c r="J36" s="2">
        <v>373.17099999999999</v>
      </c>
      <c r="K36" s="1">
        <v>1.13026</v>
      </c>
      <c r="N36" s="3">
        <f t="shared" si="9"/>
        <v>372.18900000000002</v>
      </c>
      <c r="O36" s="21">
        <f t="shared" si="10"/>
        <v>154387.46003294628</v>
      </c>
      <c r="P36" s="3">
        <f t="shared" si="11"/>
        <v>373.97300000000001</v>
      </c>
      <c r="Q36" s="17">
        <f t="shared" si="12"/>
        <v>1.5333299999999999E-4</v>
      </c>
      <c r="R36" s="3">
        <f t="shared" si="13"/>
        <v>373.58499999999998</v>
      </c>
      <c r="S36" s="24">
        <f t="shared" si="14"/>
        <v>1.22201</v>
      </c>
      <c r="T36" s="3">
        <f t="shared" si="15"/>
        <v>373.17099999999999</v>
      </c>
      <c r="U36" s="51">
        <f t="shared" si="16"/>
        <v>1.13026</v>
      </c>
      <c r="V36" s="42">
        <f t="shared" si="17"/>
        <v>1.1084507828901002</v>
      </c>
      <c r="W36" s="49">
        <f t="shared" si="8"/>
        <v>1.9295752402013523E-2</v>
      </c>
    </row>
    <row r="37" spans="2:23" x14ac:dyDescent="0.6">
      <c r="B37" s="2"/>
      <c r="C37" s="1"/>
      <c r="D37" s="2">
        <v>398.03800000000001</v>
      </c>
      <c r="E37" s="1">
        <v>0.71039399999999997</v>
      </c>
      <c r="F37" s="2">
        <v>394.06400000000002</v>
      </c>
      <c r="G37" s="1">
        <v>158.49199999999999</v>
      </c>
      <c r="H37" s="2">
        <v>400.16500000000002</v>
      </c>
      <c r="I37" s="1">
        <v>1.16536</v>
      </c>
      <c r="J37" s="2">
        <v>398.95499999999998</v>
      </c>
      <c r="K37" s="1">
        <v>1.2111799999999999</v>
      </c>
      <c r="N37" s="3">
        <f t="shared" si="9"/>
        <v>398.03800000000001</v>
      </c>
      <c r="O37" s="21">
        <f t="shared" si="10"/>
        <v>140766.95467585593</v>
      </c>
      <c r="P37" s="3">
        <f t="shared" si="11"/>
        <v>394.06400000000002</v>
      </c>
      <c r="Q37" s="17">
        <f t="shared" si="12"/>
        <v>1.5849199999999999E-4</v>
      </c>
      <c r="R37" s="3">
        <f t="shared" si="13"/>
        <v>400.16500000000002</v>
      </c>
      <c r="S37" s="24">
        <f t="shared" si="14"/>
        <v>1.16536</v>
      </c>
      <c r="T37" s="3">
        <f t="shared" si="15"/>
        <v>398.95499999999998</v>
      </c>
      <c r="U37" s="51">
        <f t="shared" si="16"/>
        <v>1.2111799999999999</v>
      </c>
      <c r="V37" s="42">
        <f t="shared" si="17"/>
        <v>1.2105401881320808</v>
      </c>
      <c r="W37" s="49">
        <f t="shared" si="8"/>
        <v>5.2825498102608299E-4</v>
      </c>
    </row>
    <row r="38" spans="2:23" x14ac:dyDescent="0.6">
      <c r="B38" s="2"/>
      <c r="C38" s="1"/>
      <c r="D38" s="2">
        <v>422.06</v>
      </c>
      <c r="E38" s="1">
        <v>0.79852199999999995</v>
      </c>
      <c r="F38" s="2">
        <v>424.20100000000002</v>
      </c>
      <c r="G38" s="1">
        <v>164.048</v>
      </c>
      <c r="H38" s="2">
        <v>420.096</v>
      </c>
      <c r="I38" s="1">
        <v>1.12574</v>
      </c>
      <c r="J38" s="2">
        <v>423.34500000000003</v>
      </c>
      <c r="K38" s="1">
        <v>1.27237</v>
      </c>
      <c r="N38" s="3">
        <f t="shared" si="9"/>
        <v>422.06</v>
      </c>
      <c r="O38" s="21">
        <f t="shared" si="10"/>
        <v>125231.36494673909</v>
      </c>
      <c r="P38" s="3">
        <f t="shared" si="11"/>
        <v>424.20100000000002</v>
      </c>
      <c r="Q38" s="17">
        <f t="shared" si="12"/>
        <v>1.64048E-4</v>
      </c>
      <c r="R38" s="3">
        <f t="shared" si="13"/>
        <v>420.096</v>
      </c>
      <c r="S38" s="24">
        <f t="shared" si="14"/>
        <v>1.12574</v>
      </c>
      <c r="T38" s="3">
        <f t="shared" si="15"/>
        <v>423.34500000000003</v>
      </c>
      <c r="U38" s="51">
        <f t="shared" si="16"/>
        <v>1.27237</v>
      </c>
      <c r="V38" s="42">
        <f t="shared" si="17"/>
        <v>1.2673930791325865</v>
      </c>
      <c r="W38" s="49">
        <f t="shared" si="8"/>
        <v>3.911535848388068E-3</v>
      </c>
    </row>
    <row r="39" spans="2:23" x14ac:dyDescent="0.6">
      <c r="B39" s="2"/>
      <c r="C39" s="1"/>
      <c r="D39" s="2">
        <v>447.00400000000002</v>
      </c>
      <c r="E39" s="1">
        <v>0.88662099999999999</v>
      </c>
      <c r="F39" s="2">
        <v>447.94499999999999</v>
      </c>
      <c r="G39" s="1">
        <v>166.82499999999999</v>
      </c>
      <c r="H39" s="2">
        <v>446.66399999999999</v>
      </c>
      <c r="I39" s="1">
        <v>1.08057</v>
      </c>
      <c r="J39" s="2">
        <v>446.34100000000001</v>
      </c>
      <c r="K39" s="1">
        <v>1.33158</v>
      </c>
      <c r="N39" s="3">
        <f t="shared" si="9"/>
        <v>447.00400000000002</v>
      </c>
      <c r="O39" s="21">
        <f t="shared" si="10"/>
        <v>112787.76388107208</v>
      </c>
      <c r="P39" s="3">
        <f t="shared" si="11"/>
        <v>447.94499999999999</v>
      </c>
      <c r="Q39" s="17">
        <f t="shared" si="12"/>
        <v>1.6682499999999998E-4</v>
      </c>
      <c r="R39" s="3">
        <f t="shared" si="13"/>
        <v>446.66399999999999</v>
      </c>
      <c r="S39" s="24">
        <f t="shared" si="14"/>
        <v>1.08057</v>
      </c>
      <c r="T39" s="3">
        <f t="shared" si="15"/>
        <v>446.34100000000001</v>
      </c>
      <c r="U39" s="51">
        <f t="shared" si="16"/>
        <v>1.33158</v>
      </c>
      <c r="V39" s="42">
        <f t="shared" si="17"/>
        <v>1.2965764513745346</v>
      </c>
      <c r="W39" s="49">
        <f t="shared" si="8"/>
        <v>2.6287229175464784E-2</v>
      </c>
    </row>
    <row r="40" spans="2:23" x14ac:dyDescent="0.6">
      <c r="B40" s="2"/>
      <c r="C40" s="1"/>
      <c r="D40" s="2">
        <v>472.86500000000001</v>
      </c>
      <c r="E40" s="1">
        <v>0.96834200000000004</v>
      </c>
      <c r="F40" s="2">
        <v>471.68900000000002</v>
      </c>
      <c r="G40" s="1">
        <v>170</v>
      </c>
      <c r="H40" s="2">
        <v>471.01499999999999</v>
      </c>
      <c r="I40" s="1">
        <v>1.04108</v>
      </c>
      <c r="J40" s="2">
        <v>470.73200000000003</v>
      </c>
      <c r="K40" s="1">
        <v>1.36711</v>
      </c>
      <c r="N40" s="3">
        <f t="shared" si="9"/>
        <v>472.86500000000001</v>
      </c>
      <c r="O40" s="21">
        <f t="shared" si="10"/>
        <v>103269.2994830339</v>
      </c>
      <c r="P40" s="3">
        <f t="shared" si="11"/>
        <v>471.68900000000002</v>
      </c>
      <c r="Q40" s="17">
        <f t="shared" si="12"/>
        <v>1.6999999999999999E-4</v>
      </c>
      <c r="R40" s="3">
        <f t="shared" si="13"/>
        <v>471.01499999999999</v>
      </c>
      <c r="S40" s="24">
        <f t="shared" si="14"/>
        <v>1.04108</v>
      </c>
      <c r="T40" s="3">
        <f t="shared" si="15"/>
        <v>470.73200000000003</v>
      </c>
      <c r="U40" s="51">
        <f t="shared" si="16"/>
        <v>1.36711</v>
      </c>
      <c r="V40" s="42">
        <f t="shared" si="17"/>
        <v>1.3494558883608876</v>
      </c>
      <c r="W40" s="49">
        <f t="shared" si="8"/>
        <v>1.2913453664381401E-2</v>
      </c>
    </row>
    <row r="41" spans="2:23" x14ac:dyDescent="0.6">
      <c r="B41" s="28"/>
      <c r="C41" s="29"/>
      <c r="D41" s="28">
        <v>497.82499999999999</v>
      </c>
      <c r="E41" s="29">
        <v>1.0818399999999999</v>
      </c>
      <c r="F41" s="28">
        <v>496.34699999999998</v>
      </c>
      <c r="G41" s="29">
        <v>171.58699999999999</v>
      </c>
      <c r="H41" s="28">
        <v>495.36700000000002</v>
      </c>
      <c r="I41" s="29">
        <v>1.00159</v>
      </c>
      <c r="J41" s="28">
        <v>497.21300000000002</v>
      </c>
      <c r="K41" s="29">
        <v>1.375</v>
      </c>
      <c r="N41" s="32">
        <f t="shared" si="9"/>
        <v>497.82499999999999</v>
      </c>
      <c r="O41" s="33">
        <f t="shared" si="10"/>
        <v>92435.110552392231</v>
      </c>
      <c r="P41" s="32">
        <f t="shared" si="11"/>
        <v>496.34699999999998</v>
      </c>
      <c r="Q41" s="34">
        <f t="shared" si="12"/>
        <v>1.7158699999999998E-4</v>
      </c>
      <c r="R41" s="32">
        <f t="shared" si="13"/>
        <v>495.36700000000002</v>
      </c>
      <c r="S41" s="35">
        <f t="shared" si="14"/>
        <v>1.00159</v>
      </c>
      <c r="T41" s="32">
        <f t="shared" si="15"/>
        <v>497.21300000000002</v>
      </c>
      <c r="U41" s="52">
        <f t="shared" si="16"/>
        <v>1.375</v>
      </c>
      <c r="V41" s="42">
        <f t="shared" si="17"/>
        <v>1.3510089389531701</v>
      </c>
      <c r="W41" s="49">
        <f t="shared" si="8"/>
        <v>1.7448044397694481E-2</v>
      </c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  <row r="46" spans="2:23" x14ac:dyDescent="0.6">
      <c r="O46"/>
      <c r="Q46"/>
      <c r="S46"/>
      <c r="U46"/>
      <c r="V46"/>
    </row>
    <row r="47" spans="2:23" x14ac:dyDescent="0.6">
      <c r="O47"/>
      <c r="Q47"/>
      <c r="S47"/>
      <c r="U47"/>
      <c r="V47"/>
    </row>
    <row r="48" spans="2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384.82799999999997</v>
      </c>
      <c r="C9" s="4">
        <v>227.56800000000001</v>
      </c>
      <c r="D9" s="3"/>
      <c r="E9" s="4"/>
      <c r="F9" s="3">
        <v>387.58800000000002</v>
      </c>
      <c r="G9" s="4">
        <v>187.28299999999999</v>
      </c>
      <c r="H9" s="3">
        <v>372.16500000000002</v>
      </c>
      <c r="I9" s="4">
        <v>2.4679799999999998</v>
      </c>
      <c r="J9" s="3">
        <f>100+$J$16</f>
        <v>373.15</v>
      </c>
      <c r="K9" s="4">
        <v>0.129412</v>
      </c>
      <c r="N9" s="3">
        <f>B9</f>
        <v>384.82799999999997</v>
      </c>
      <c r="O9" s="21">
        <f>C9/(10^(-2))</f>
        <v>22756.799999999999</v>
      </c>
      <c r="P9" s="3">
        <f>F9</f>
        <v>387.58800000000002</v>
      </c>
      <c r="Q9" s="17">
        <f>G9*(10^(-6))</f>
        <v>1.8728299999999998E-4</v>
      </c>
      <c r="R9" s="3">
        <f>H9</f>
        <v>372.16500000000002</v>
      </c>
      <c r="S9" s="24">
        <f>I9</f>
        <v>2.4679799999999998</v>
      </c>
      <c r="T9" s="3">
        <f>J9</f>
        <v>373.15</v>
      </c>
      <c r="U9" s="51">
        <f>K9</f>
        <v>0.129412</v>
      </c>
      <c r="V9" s="42">
        <f>((O9*(Q9)^2)/S9)*T9</f>
        <v>0.12068400598755558</v>
      </c>
      <c r="W9" s="49">
        <f>(U9-V9)/U9</f>
        <v>6.7443467471675136E-2</v>
      </c>
    </row>
    <row r="10" spans="1:23" x14ac:dyDescent="0.6">
      <c r="B10" s="3">
        <v>480</v>
      </c>
      <c r="C10" s="4">
        <v>271.351</v>
      </c>
      <c r="D10" s="3"/>
      <c r="E10" s="4"/>
      <c r="F10" s="3">
        <v>482.93</v>
      </c>
      <c r="G10" s="4">
        <v>201.22499999999999</v>
      </c>
      <c r="H10" s="3">
        <v>469.072</v>
      </c>
      <c r="I10" s="4">
        <v>2.3694600000000001</v>
      </c>
      <c r="J10" s="3">
        <f>200+$J$16</f>
        <v>473.15</v>
      </c>
      <c r="K10" s="4">
        <v>0.21764700000000001</v>
      </c>
      <c r="N10" s="3">
        <f t="shared" ref="N10:N14" si="0">B10</f>
        <v>480</v>
      </c>
      <c r="O10" s="21">
        <f t="shared" ref="O10:O14" si="1">C10/(10^(-2))</f>
        <v>27135.1</v>
      </c>
      <c r="P10" s="3">
        <f t="shared" ref="P10:P14" si="2">F10</f>
        <v>482.93</v>
      </c>
      <c r="Q10" s="17">
        <f t="shared" ref="Q10:Q14" si="3">G10*(10^(-6))</f>
        <v>2.01225E-4</v>
      </c>
      <c r="R10" s="3">
        <f t="shared" ref="R10:U14" si="4">H10</f>
        <v>469.072</v>
      </c>
      <c r="S10" s="24">
        <f t="shared" si="4"/>
        <v>2.3694600000000001</v>
      </c>
      <c r="T10" s="3">
        <f t="shared" si="4"/>
        <v>473.15</v>
      </c>
      <c r="U10" s="51">
        <f t="shared" si="4"/>
        <v>0.21764700000000001</v>
      </c>
      <c r="V10" s="42">
        <f t="shared" ref="V10:V14" si="5">((O10*(Q10)^2)/S10)*T10</f>
        <v>0.21940411133340731</v>
      </c>
      <c r="W10" s="49">
        <f t="shared" ref="W10:W14" si="6">(U10-V10)/U10</f>
        <v>-8.0732164165244983E-3</v>
      </c>
    </row>
    <row r="11" spans="1:23" x14ac:dyDescent="0.6">
      <c r="B11" s="2">
        <v>581.37900000000002</v>
      </c>
      <c r="C11" s="1">
        <v>302.16199999999998</v>
      </c>
      <c r="D11" s="2"/>
      <c r="E11" s="1"/>
      <c r="F11" s="2">
        <v>582.31799999999998</v>
      </c>
      <c r="G11" s="1">
        <v>207.56100000000001</v>
      </c>
      <c r="H11" s="2">
        <v>572.16499999999996</v>
      </c>
      <c r="I11" s="1">
        <v>2.3817699999999999</v>
      </c>
      <c r="J11" s="3">
        <f>300+$J$16</f>
        <v>573.15</v>
      </c>
      <c r="K11" s="1">
        <v>0.32352900000000001</v>
      </c>
      <c r="N11" s="3">
        <f t="shared" si="0"/>
        <v>581.37900000000002</v>
      </c>
      <c r="O11" s="21">
        <f t="shared" si="1"/>
        <v>30216.199999999997</v>
      </c>
      <c r="P11" s="3">
        <f t="shared" si="2"/>
        <v>582.31799999999998</v>
      </c>
      <c r="Q11" s="17">
        <f t="shared" si="3"/>
        <v>2.0756099999999999E-4</v>
      </c>
      <c r="R11" s="3">
        <f t="shared" si="4"/>
        <v>572.16499999999996</v>
      </c>
      <c r="S11" s="24">
        <f t="shared" si="4"/>
        <v>2.3817699999999999</v>
      </c>
      <c r="T11" s="3">
        <f t="shared" si="4"/>
        <v>573.15</v>
      </c>
      <c r="U11" s="51">
        <f t="shared" si="4"/>
        <v>0.32352900000000001</v>
      </c>
      <c r="V11" s="42">
        <f t="shared" si="5"/>
        <v>0.31325631242888446</v>
      </c>
      <c r="W11" s="49">
        <f t="shared" si="6"/>
        <v>3.1751983813245635E-2</v>
      </c>
    </row>
    <row r="12" spans="1:23" x14ac:dyDescent="0.6">
      <c r="B12" s="2">
        <v>684.82799999999997</v>
      </c>
      <c r="C12" s="1">
        <v>336.21600000000001</v>
      </c>
      <c r="D12" s="2"/>
      <c r="E12" s="1"/>
      <c r="F12" s="2">
        <v>683.66700000000003</v>
      </c>
      <c r="G12" s="1">
        <v>205.12299999999999</v>
      </c>
      <c r="H12" s="2">
        <v>671.13400000000001</v>
      </c>
      <c r="I12" s="1">
        <v>2.5418699999999999</v>
      </c>
      <c r="J12" s="3">
        <f>400+$J$16</f>
        <v>673.15</v>
      </c>
      <c r="K12" s="1">
        <v>0.38431399999999999</v>
      </c>
      <c r="N12" s="3">
        <f t="shared" si="0"/>
        <v>684.82799999999997</v>
      </c>
      <c r="O12" s="21">
        <f t="shared" si="1"/>
        <v>33621.599999999999</v>
      </c>
      <c r="P12" s="3">
        <f t="shared" si="2"/>
        <v>683.66700000000003</v>
      </c>
      <c r="Q12" s="17">
        <f t="shared" si="3"/>
        <v>2.0512299999999998E-4</v>
      </c>
      <c r="R12" s="3">
        <f t="shared" si="4"/>
        <v>671.13400000000001</v>
      </c>
      <c r="S12" s="24">
        <f t="shared" si="4"/>
        <v>2.5418699999999999</v>
      </c>
      <c r="T12" s="3">
        <f t="shared" si="4"/>
        <v>673.15</v>
      </c>
      <c r="U12" s="51">
        <f t="shared" si="4"/>
        <v>0.38431399999999999</v>
      </c>
      <c r="V12" s="42">
        <f t="shared" si="5"/>
        <v>0.37463263837713756</v>
      </c>
      <c r="W12" s="49">
        <f t="shared" si="6"/>
        <v>2.5191280106533792E-2</v>
      </c>
    </row>
    <row r="13" spans="1:23" x14ac:dyDescent="0.6">
      <c r="B13" s="2">
        <v>780</v>
      </c>
      <c r="C13" s="1">
        <v>371.892</v>
      </c>
      <c r="D13" s="2"/>
      <c r="E13" s="1"/>
      <c r="F13" s="2">
        <v>780.67899999999997</v>
      </c>
      <c r="G13" s="1">
        <v>186.315</v>
      </c>
      <c r="H13" s="2">
        <v>774.22699999999998</v>
      </c>
      <c r="I13" s="1">
        <v>2.9605899999999998</v>
      </c>
      <c r="J13" s="3">
        <f>500+$J$16</f>
        <v>773.15</v>
      </c>
      <c r="K13" s="1">
        <v>0.34509800000000002</v>
      </c>
      <c r="N13" s="3">
        <f t="shared" si="0"/>
        <v>780</v>
      </c>
      <c r="O13" s="21">
        <f t="shared" si="1"/>
        <v>37189.199999999997</v>
      </c>
      <c r="P13" s="3">
        <f t="shared" si="2"/>
        <v>780.67899999999997</v>
      </c>
      <c r="Q13" s="17">
        <f t="shared" si="3"/>
        <v>1.8631499999999999E-4</v>
      </c>
      <c r="R13" s="3">
        <f t="shared" si="4"/>
        <v>774.22699999999998</v>
      </c>
      <c r="S13" s="24">
        <f t="shared" si="4"/>
        <v>2.9605899999999998</v>
      </c>
      <c r="T13" s="3">
        <f t="shared" si="4"/>
        <v>773.15</v>
      </c>
      <c r="U13" s="51">
        <f t="shared" si="4"/>
        <v>0.34509800000000002</v>
      </c>
      <c r="V13" s="42">
        <f t="shared" si="5"/>
        <v>0.33713044210940757</v>
      </c>
      <c r="W13" s="49">
        <f t="shared" si="6"/>
        <v>2.3087812420218162E-2</v>
      </c>
    </row>
    <row r="14" spans="1:23" x14ac:dyDescent="0.6">
      <c r="B14" s="28">
        <v>879.31</v>
      </c>
      <c r="C14" s="29">
        <v>462.70299999999997</v>
      </c>
      <c r="D14" s="28"/>
      <c r="E14" s="29"/>
      <c r="F14" s="28">
        <v>881.49400000000003</v>
      </c>
      <c r="G14" s="29">
        <v>140.018</v>
      </c>
      <c r="H14" s="28">
        <v>873.19600000000003</v>
      </c>
      <c r="I14" s="29">
        <v>3.6133000000000002</v>
      </c>
      <c r="J14" s="3">
        <f>600+$J$16</f>
        <v>873.15</v>
      </c>
      <c r="K14" s="29">
        <v>0.26666699999999999</v>
      </c>
      <c r="N14" s="32">
        <f t="shared" si="0"/>
        <v>879.31</v>
      </c>
      <c r="O14" s="21">
        <f t="shared" si="1"/>
        <v>46270.299999999996</v>
      </c>
      <c r="P14" s="32">
        <f t="shared" si="2"/>
        <v>881.49400000000003</v>
      </c>
      <c r="Q14" s="17">
        <f t="shared" si="3"/>
        <v>1.40018E-4</v>
      </c>
      <c r="R14" s="32">
        <f t="shared" si="4"/>
        <v>873.19600000000003</v>
      </c>
      <c r="S14" s="35">
        <f t="shared" si="4"/>
        <v>3.6133000000000002</v>
      </c>
      <c r="T14" s="32">
        <f t="shared" si="4"/>
        <v>873.15</v>
      </c>
      <c r="U14" s="52">
        <f t="shared" si="4"/>
        <v>0.26666699999999999</v>
      </c>
      <c r="V14" s="42">
        <f t="shared" si="5"/>
        <v>0.21920723925791336</v>
      </c>
      <c r="W14" s="49">
        <f t="shared" si="6"/>
        <v>0.17797388031547448</v>
      </c>
    </row>
    <row r="15" spans="1:23" x14ac:dyDescent="0.6">
      <c r="B15" s="30"/>
      <c r="C15" s="30"/>
      <c r="D15" s="30"/>
      <c r="E15" s="30"/>
      <c r="F15" s="30"/>
      <c r="G15" s="30"/>
      <c r="H15" s="30"/>
      <c r="I15" s="30"/>
      <c r="J15" s="30"/>
      <c r="K15" s="30"/>
      <c r="N15" s="30"/>
      <c r="O15" s="39"/>
      <c r="P15" s="30"/>
      <c r="Q15" s="40"/>
      <c r="R15" s="30"/>
      <c r="S15" s="41"/>
      <c r="T15" s="30"/>
      <c r="U15" s="41"/>
    </row>
    <row r="16" spans="1:23" x14ac:dyDescent="0.6">
      <c r="B16" s="31"/>
      <c r="C16" s="31"/>
      <c r="D16" s="31"/>
      <c r="E16" s="31"/>
      <c r="F16" s="31"/>
      <c r="G16" s="31"/>
      <c r="H16" s="31"/>
      <c r="I16" s="31"/>
      <c r="J16" s="31">
        <v>273.14999999999998</v>
      </c>
      <c r="K16" s="31"/>
      <c r="N16" s="31"/>
      <c r="O16" s="36"/>
      <c r="P16" s="31"/>
      <c r="Q16" s="37"/>
      <c r="R16" s="31"/>
      <c r="S16" s="38"/>
      <c r="T16" s="31"/>
      <c r="U16" s="38"/>
    </row>
    <row r="17" spans="2:23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6"/>
      <c r="P17" s="31"/>
      <c r="Q17" s="37"/>
      <c r="R17" s="31"/>
      <c r="S17" s="38"/>
      <c r="T17" s="31"/>
      <c r="U17" s="38"/>
      <c r="V17"/>
    </row>
    <row r="18" spans="2:23" ht="17.25" thickBot="1" x14ac:dyDescent="0.65">
      <c r="B18" s="31" t="s">
        <v>79</v>
      </c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6"/>
      <c r="P18" s="31"/>
      <c r="Q18" s="37"/>
      <c r="R18" s="31"/>
      <c r="S18" s="38"/>
      <c r="T18" s="31"/>
      <c r="U18" s="38"/>
      <c r="V18"/>
    </row>
    <row r="19" spans="2:23" x14ac:dyDescent="0.6">
      <c r="B19" s="5" t="s">
        <v>3</v>
      </c>
      <c r="C19" s="6" t="s">
        <v>0</v>
      </c>
      <c r="D19" s="7" t="s">
        <v>3</v>
      </c>
      <c r="E19" s="6" t="s">
        <v>8</v>
      </c>
      <c r="F19" s="7" t="s">
        <v>3</v>
      </c>
      <c r="G19" s="6" t="s">
        <v>1</v>
      </c>
      <c r="H19" s="7" t="s">
        <v>3</v>
      </c>
      <c r="I19" s="6" t="s">
        <v>2</v>
      </c>
      <c r="J19" s="7" t="s">
        <v>3</v>
      </c>
      <c r="K19" s="8" t="s">
        <v>6</v>
      </c>
      <c r="N19" s="5" t="s">
        <v>3</v>
      </c>
      <c r="O19" s="19" t="s">
        <v>0</v>
      </c>
      <c r="P19" s="7" t="s">
        <v>3</v>
      </c>
      <c r="Q19" s="15" t="s">
        <v>1</v>
      </c>
      <c r="R19" s="7" t="s">
        <v>3</v>
      </c>
      <c r="S19" s="23" t="s">
        <v>2</v>
      </c>
      <c r="T19" s="7" t="s">
        <v>3</v>
      </c>
      <c r="U19" s="25" t="s">
        <v>6</v>
      </c>
    </row>
    <row r="20" spans="2:23" ht="17.25" thickBot="1" x14ac:dyDescent="0.65">
      <c r="B20" s="9" t="s">
        <v>4</v>
      </c>
      <c r="C20" s="10" t="s">
        <v>10</v>
      </c>
      <c r="D20" s="11" t="s">
        <v>4</v>
      </c>
      <c r="E20" s="10" t="s">
        <v>11</v>
      </c>
      <c r="F20" s="11" t="s">
        <v>4</v>
      </c>
      <c r="G20" s="27" t="s">
        <v>13</v>
      </c>
      <c r="H20" s="11" t="s">
        <v>4</v>
      </c>
      <c r="I20" s="10" t="s">
        <v>15</v>
      </c>
      <c r="J20" s="11" t="s">
        <v>4</v>
      </c>
      <c r="K20" s="12" t="s">
        <v>7</v>
      </c>
      <c r="N20" s="9" t="s">
        <v>4</v>
      </c>
      <c r="O20" s="20" t="s">
        <v>5</v>
      </c>
      <c r="P20" s="11" t="s">
        <v>4</v>
      </c>
      <c r="Q20" s="16" t="s">
        <v>14</v>
      </c>
      <c r="R20" s="11" t="s">
        <v>4</v>
      </c>
      <c r="S20" s="10" t="s">
        <v>15</v>
      </c>
      <c r="T20" s="11" t="s">
        <v>4</v>
      </c>
      <c r="U20" s="26" t="s">
        <v>7</v>
      </c>
      <c r="W20" t="s">
        <v>78</v>
      </c>
    </row>
    <row r="21" spans="2:23" x14ac:dyDescent="0.6">
      <c r="B21" s="3">
        <v>384.82799999999997</v>
      </c>
      <c r="C21" s="4">
        <v>227.56800000000001</v>
      </c>
      <c r="D21" s="3"/>
      <c r="E21" s="4"/>
      <c r="F21" s="3">
        <v>387.58800000000002</v>
      </c>
      <c r="G21" s="4">
        <v>187.28299999999999</v>
      </c>
      <c r="H21" s="3">
        <v>372.16500000000002</v>
      </c>
      <c r="I21" s="4">
        <v>2.4679799999999998</v>
      </c>
      <c r="J21" s="3">
        <v>393.55900000000003</v>
      </c>
      <c r="K21" s="4">
        <v>0.129412</v>
      </c>
      <c r="N21" s="3">
        <f>B21</f>
        <v>384.82799999999997</v>
      </c>
      <c r="O21" s="21">
        <f>C21*100</f>
        <v>22756.800000000003</v>
      </c>
      <c r="P21" s="3">
        <f>F21</f>
        <v>387.58800000000002</v>
      </c>
      <c r="Q21" s="17">
        <f>G21*0.000001</f>
        <v>1.8728299999999998E-4</v>
      </c>
      <c r="R21" s="3">
        <f>H21</f>
        <v>372.16500000000002</v>
      </c>
      <c r="S21" s="24">
        <f>I21</f>
        <v>2.4679799999999998</v>
      </c>
      <c r="T21" s="3">
        <f>J21</f>
        <v>393.55900000000003</v>
      </c>
      <c r="U21" s="24">
        <f>K21</f>
        <v>0.129412</v>
      </c>
      <c r="V21" s="22">
        <f>((O21*(Q21)^2)/S21)*T21</f>
        <v>0.12728467563300658</v>
      </c>
      <c r="W21" s="49">
        <f>(U21-V21)/U21</f>
        <v>1.6438385675157031E-2</v>
      </c>
    </row>
    <row r="22" spans="2:23" x14ac:dyDescent="0.6">
      <c r="B22" s="3">
        <v>480</v>
      </c>
      <c r="C22" s="4">
        <v>271.351</v>
      </c>
      <c r="D22" s="3"/>
      <c r="E22" s="4"/>
      <c r="F22" s="3">
        <v>482.93</v>
      </c>
      <c r="G22" s="4">
        <v>201.22499999999999</v>
      </c>
      <c r="H22" s="3">
        <v>469.072</v>
      </c>
      <c r="I22" s="4">
        <v>2.3694600000000001</v>
      </c>
      <c r="J22" s="3">
        <v>485.08499999999998</v>
      </c>
      <c r="K22" s="4">
        <v>0.21764700000000001</v>
      </c>
      <c r="N22" s="3">
        <f t="shared" ref="N22:N26" si="7">B22</f>
        <v>480</v>
      </c>
      <c r="O22" s="21">
        <f t="shared" ref="O22:O26" si="8">C22*100</f>
        <v>27135.1</v>
      </c>
      <c r="P22" s="3">
        <f t="shared" ref="P22:P26" si="9">F22</f>
        <v>482.93</v>
      </c>
      <c r="Q22" s="17">
        <f t="shared" ref="Q22:Q26" si="10">G22*0.000001</f>
        <v>2.01225E-4</v>
      </c>
      <c r="R22" s="3">
        <f t="shared" ref="R22:R26" si="11">H22</f>
        <v>469.072</v>
      </c>
      <c r="S22" s="24">
        <f t="shared" ref="S22:S26" si="12">I22</f>
        <v>2.3694600000000001</v>
      </c>
      <c r="T22" s="3">
        <f t="shared" ref="T22:T26" si="13">J22</f>
        <v>485.08499999999998</v>
      </c>
      <c r="U22" s="24">
        <f t="shared" ref="U22:U26" si="14">K22</f>
        <v>0.21764700000000001</v>
      </c>
      <c r="V22" s="22">
        <f t="shared" ref="V22:V26" si="15">((O22*(Q22)^2)/S22)*T22</f>
        <v>0.22493848324245141</v>
      </c>
      <c r="W22" s="49">
        <f t="shared" ref="W22:W26" si="16">(U22-V22)/U22</f>
        <v>-3.350141854678175E-2</v>
      </c>
    </row>
    <row r="23" spans="2:23" x14ac:dyDescent="0.6">
      <c r="B23" s="2">
        <v>581.37900000000002</v>
      </c>
      <c r="C23" s="1">
        <v>302.16199999999998</v>
      </c>
      <c r="D23" s="2"/>
      <c r="E23" s="1"/>
      <c r="F23" s="2">
        <v>582.31799999999998</v>
      </c>
      <c r="G23" s="1">
        <v>207.56100000000001</v>
      </c>
      <c r="H23" s="2">
        <v>572.16499999999996</v>
      </c>
      <c r="I23" s="1">
        <v>2.3817699999999999</v>
      </c>
      <c r="J23" s="2">
        <v>590.84699999999998</v>
      </c>
      <c r="K23" s="1">
        <v>0.32352900000000001</v>
      </c>
      <c r="N23" s="3">
        <f t="shared" si="7"/>
        <v>581.37900000000002</v>
      </c>
      <c r="O23" s="21">
        <f t="shared" si="8"/>
        <v>30216.199999999997</v>
      </c>
      <c r="P23" s="3">
        <f t="shared" si="9"/>
        <v>582.31799999999998</v>
      </c>
      <c r="Q23" s="17">
        <f t="shared" si="10"/>
        <v>2.0756099999999999E-4</v>
      </c>
      <c r="R23" s="3">
        <f t="shared" si="11"/>
        <v>572.16499999999996</v>
      </c>
      <c r="S23" s="24">
        <f t="shared" si="12"/>
        <v>2.3817699999999999</v>
      </c>
      <c r="T23" s="3">
        <f t="shared" si="13"/>
        <v>590.84699999999998</v>
      </c>
      <c r="U23" s="24">
        <f t="shared" si="14"/>
        <v>0.32352900000000001</v>
      </c>
      <c r="V23" s="22">
        <f t="shared" si="15"/>
        <v>0.32292864421123457</v>
      </c>
      <c r="W23" s="49">
        <f t="shared" si="16"/>
        <v>1.8556475270082085E-3</v>
      </c>
    </row>
    <row r="24" spans="2:23" x14ac:dyDescent="0.6">
      <c r="B24" s="2">
        <v>684.82799999999997</v>
      </c>
      <c r="C24" s="1">
        <v>336.21600000000001</v>
      </c>
      <c r="D24" s="2"/>
      <c r="E24" s="1"/>
      <c r="F24" s="2">
        <v>683.66700000000003</v>
      </c>
      <c r="G24" s="1">
        <v>205.12299999999999</v>
      </c>
      <c r="H24" s="2">
        <v>671.13400000000001</v>
      </c>
      <c r="I24" s="1">
        <v>2.5418699999999999</v>
      </c>
      <c r="J24" s="2">
        <v>686.44100000000003</v>
      </c>
      <c r="K24" s="1">
        <v>0.38431399999999999</v>
      </c>
      <c r="N24" s="3">
        <f t="shared" si="7"/>
        <v>684.82799999999997</v>
      </c>
      <c r="O24" s="21">
        <f t="shared" si="8"/>
        <v>33621.599999999999</v>
      </c>
      <c r="P24" s="3">
        <f t="shared" si="9"/>
        <v>683.66700000000003</v>
      </c>
      <c r="Q24" s="17">
        <f t="shared" si="10"/>
        <v>2.0512299999999998E-4</v>
      </c>
      <c r="R24" s="3">
        <f t="shared" si="11"/>
        <v>671.13400000000001</v>
      </c>
      <c r="S24" s="24">
        <f t="shared" si="12"/>
        <v>2.5418699999999999</v>
      </c>
      <c r="T24" s="3">
        <f t="shared" si="13"/>
        <v>686.44100000000003</v>
      </c>
      <c r="U24" s="24">
        <f t="shared" si="14"/>
        <v>0.38431399999999999</v>
      </c>
      <c r="V24" s="22">
        <f t="shared" si="15"/>
        <v>0.38202956684281469</v>
      </c>
      <c r="W24" s="49">
        <f t="shared" si="16"/>
        <v>5.9441840713200531E-3</v>
      </c>
    </row>
    <row r="25" spans="2:23" x14ac:dyDescent="0.6">
      <c r="B25" s="2">
        <v>780</v>
      </c>
      <c r="C25" s="1">
        <v>371.892</v>
      </c>
      <c r="D25" s="2"/>
      <c r="E25" s="1"/>
      <c r="F25" s="2">
        <v>780.67899999999997</v>
      </c>
      <c r="G25" s="1">
        <v>186.315</v>
      </c>
      <c r="H25" s="2">
        <v>774.22699999999998</v>
      </c>
      <c r="I25" s="1">
        <v>2.9605899999999998</v>
      </c>
      <c r="J25" s="2">
        <v>784.06799999999998</v>
      </c>
      <c r="K25" s="1">
        <v>0.34509800000000002</v>
      </c>
      <c r="N25" s="3">
        <f t="shared" si="7"/>
        <v>780</v>
      </c>
      <c r="O25" s="21">
        <f t="shared" si="8"/>
        <v>37189.199999999997</v>
      </c>
      <c r="P25" s="3">
        <f t="shared" si="9"/>
        <v>780.67899999999997</v>
      </c>
      <c r="Q25" s="17">
        <f t="shared" si="10"/>
        <v>1.8631499999999999E-4</v>
      </c>
      <c r="R25" s="3">
        <f t="shared" si="11"/>
        <v>774.22699999999998</v>
      </c>
      <c r="S25" s="24">
        <f t="shared" si="12"/>
        <v>2.9605899999999998</v>
      </c>
      <c r="T25" s="3">
        <f t="shared" si="13"/>
        <v>784.06799999999998</v>
      </c>
      <c r="U25" s="24">
        <f t="shared" si="14"/>
        <v>0.34509800000000002</v>
      </c>
      <c r="V25" s="22">
        <f t="shared" si="15"/>
        <v>0.34189121319774818</v>
      </c>
      <c r="W25" s="49">
        <f t="shared" si="16"/>
        <v>9.2923946306609634E-3</v>
      </c>
    </row>
    <row r="26" spans="2:23" x14ac:dyDescent="0.6">
      <c r="B26" s="28">
        <v>879.31</v>
      </c>
      <c r="C26" s="29">
        <v>462.70299999999997</v>
      </c>
      <c r="D26" s="28"/>
      <c r="E26" s="29"/>
      <c r="F26" s="28">
        <v>881.49400000000003</v>
      </c>
      <c r="G26" s="29">
        <v>140.018</v>
      </c>
      <c r="H26" s="28">
        <v>873.19600000000003</v>
      </c>
      <c r="I26" s="29">
        <v>3.6133000000000002</v>
      </c>
      <c r="J26" s="28">
        <v>883.72900000000004</v>
      </c>
      <c r="K26" s="29">
        <v>0.26666699999999999</v>
      </c>
      <c r="N26" s="32">
        <f t="shared" si="7"/>
        <v>879.31</v>
      </c>
      <c r="O26" s="33">
        <f t="shared" si="8"/>
        <v>46270.299999999996</v>
      </c>
      <c r="P26" s="32">
        <f t="shared" si="9"/>
        <v>881.49400000000003</v>
      </c>
      <c r="Q26" s="34">
        <f t="shared" si="10"/>
        <v>1.40018E-4</v>
      </c>
      <c r="R26" s="32">
        <f t="shared" si="11"/>
        <v>873.19600000000003</v>
      </c>
      <c r="S26" s="35">
        <f t="shared" si="12"/>
        <v>3.6133000000000002</v>
      </c>
      <c r="T26" s="32">
        <f t="shared" si="13"/>
        <v>883.72900000000004</v>
      </c>
      <c r="U26" s="35">
        <f t="shared" si="14"/>
        <v>0.26666699999999999</v>
      </c>
      <c r="V26" s="22">
        <f t="shared" si="15"/>
        <v>0.22186313272880551</v>
      </c>
      <c r="W26" s="49">
        <f t="shared" si="16"/>
        <v>0.16801429224911399</v>
      </c>
    </row>
    <row r="27" spans="2:23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  <c r="V27"/>
    </row>
    <row r="28" spans="2:23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  <c r="V28"/>
    </row>
    <row r="29" spans="2:23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  <c r="V29"/>
    </row>
    <row r="30" spans="2:23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300.24937115101</v>
      </c>
      <c r="C9" s="4">
        <v>2063.9344262294999</v>
      </c>
      <c r="D9" s="3"/>
      <c r="E9" s="4"/>
      <c r="F9" s="3">
        <v>303.40145576707698</v>
      </c>
      <c r="G9" s="4">
        <v>-125.684210526315</v>
      </c>
      <c r="H9" s="3">
        <v>299.20664282484398</v>
      </c>
      <c r="I9" s="4">
        <v>2.54901960784313</v>
      </c>
      <c r="J9" s="3">
        <v>299.17900465845599</v>
      </c>
      <c r="K9" s="4">
        <v>0.38370370370370299</v>
      </c>
      <c r="N9" s="3">
        <f>B9</f>
        <v>300.24937115101</v>
      </c>
      <c r="O9" s="21">
        <f>C9/(10^(-2))</f>
        <v>206393.44262294998</v>
      </c>
      <c r="P9" s="3">
        <f>F9</f>
        <v>303.40145576707698</v>
      </c>
      <c r="Q9" s="17">
        <f>G9*(10^(-6))</f>
        <v>-1.2568421052631498E-4</v>
      </c>
      <c r="R9" s="3">
        <f>H9</f>
        <v>299.20664282484398</v>
      </c>
      <c r="S9" s="24">
        <f>I9</f>
        <v>2.54901960784313</v>
      </c>
      <c r="T9" s="3">
        <f>J9</f>
        <v>299.17900465845599</v>
      </c>
      <c r="U9" s="51">
        <f>K9</f>
        <v>0.38370370370370299</v>
      </c>
      <c r="V9" s="42">
        <f>((O9*(Q9)^2)/S9)*T9</f>
        <v>0.3826619452367333</v>
      </c>
      <c r="W9" s="49">
        <f>(U9-V9)/U9</f>
        <v>2.7150075876623218E-3</v>
      </c>
    </row>
    <row r="10" spans="1:23" x14ac:dyDescent="0.6">
      <c r="B10" s="3">
        <v>324.01118917512298</v>
      </c>
      <c r="C10" s="4">
        <v>1955.73770491803</v>
      </c>
      <c r="D10" s="3"/>
      <c r="E10" s="4"/>
      <c r="F10" s="3">
        <v>328.64991601343701</v>
      </c>
      <c r="G10" s="4">
        <v>-128.84210526315701</v>
      </c>
      <c r="H10" s="3">
        <v>350.14592839232103</v>
      </c>
      <c r="I10" s="4">
        <v>2.5620915032679701</v>
      </c>
      <c r="J10" s="3">
        <v>349.57028427348001</v>
      </c>
      <c r="K10" s="4">
        <v>0.46962962962962901</v>
      </c>
      <c r="N10" s="3">
        <f t="shared" ref="N10:N28" si="0">B10</f>
        <v>324.01118917512298</v>
      </c>
      <c r="O10" s="21">
        <f t="shared" ref="O10:O28" si="1">C10/(10^(-2))</f>
        <v>195573.77049180301</v>
      </c>
      <c r="P10" s="3">
        <f t="shared" ref="P10:P28" si="2">F10</f>
        <v>328.64991601343701</v>
      </c>
      <c r="Q10" s="17">
        <f t="shared" ref="Q10:Q28" si="3">G10*(10^(-6))</f>
        <v>-1.2884210526315699E-4</v>
      </c>
      <c r="R10" s="3">
        <f t="shared" ref="R10:R19" si="4">H10</f>
        <v>350.14592839232103</v>
      </c>
      <c r="S10" s="24">
        <f t="shared" ref="S10:S19" si="5">I10</f>
        <v>2.5620915032679701</v>
      </c>
      <c r="T10" s="3">
        <f t="shared" ref="T10:U19" si="6">J10</f>
        <v>349.57028427348001</v>
      </c>
      <c r="U10" s="51">
        <f t="shared" si="6"/>
        <v>0.46962962962962901</v>
      </c>
      <c r="V10" s="42">
        <f>((O11*(Q11)^2)/S10)*T10</f>
        <v>0.4810500687490431</v>
      </c>
      <c r="W10" s="49">
        <f t="shared" ref="W10:W19" si="7">(U10-V10)/U10</f>
        <v>-2.4317969733768215E-2</v>
      </c>
    </row>
    <row r="11" spans="1:23" x14ac:dyDescent="0.6">
      <c r="B11" s="2">
        <v>348.44739352936</v>
      </c>
      <c r="C11" s="1">
        <v>1877.0491803278601</v>
      </c>
      <c r="D11" s="2"/>
      <c r="E11" s="1"/>
      <c r="F11" s="2">
        <v>354.535274356103</v>
      </c>
      <c r="G11" s="1">
        <v>-137.052631578947</v>
      </c>
      <c r="H11" s="2">
        <v>399.20253216590601</v>
      </c>
      <c r="I11" s="1">
        <v>2.5620915032679701</v>
      </c>
      <c r="J11" s="2">
        <v>399.955414110665</v>
      </c>
      <c r="K11" s="1">
        <v>0.56740740740740703</v>
      </c>
      <c r="N11" s="3">
        <f t="shared" si="0"/>
        <v>348.44739352936</v>
      </c>
      <c r="O11" s="21">
        <f t="shared" si="1"/>
        <v>187704.91803278599</v>
      </c>
      <c r="P11" s="3">
        <f t="shared" si="2"/>
        <v>354.535274356103</v>
      </c>
      <c r="Q11" s="17">
        <f t="shared" si="3"/>
        <v>-1.3705263157894699E-4</v>
      </c>
      <c r="R11" s="3">
        <f t="shared" si="4"/>
        <v>399.20253216590601</v>
      </c>
      <c r="S11" s="24">
        <f t="shared" si="5"/>
        <v>2.5620915032679701</v>
      </c>
      <c r="T11" s="3">
        <f t="shared" si="6"/>
        <v>399.955414110665</v>
      </c>
      <c r="U11" s="51">
        <f t="shared" si="6"/>
        <v>0.56740740740740703</v>
      </c>
      <c r="V11" s="42">
        <f>((O12*(Q12)^2)/S11)*T11</f>
        <v>0.56315650317321453</v>
      </c>
      <c r="W11" s="49">
        <f t="shared" si="7"/>
        <v>7.4918025015141996E-3</v>
      </c>
    </row>
    <row r="12" spans="1:23" x14ac:dyDescent="0.6">
      <c r="B12" s="2">
        <v>399.30609766675298</v>
      </c>
      <c r="C12" s="1">
        <v>1724.5901639344199</v>
      </c>
      <c r="D12" s="2"/>
      <c r="E12" s="1"/>
      <c r="F12" s="2">
        <v>405.69008958566599</v>
      </c>
      <c r="G12" s="1">
        <v>-144.63157894736801</v>
      </c>
      <c r="H12" s="2">
        <v>448.888066757101</v>
      </c>
      <c r="I12" s="1">
        <v>2.5620915032679701</v>
      </c>
      <c r="J12" s="2">
        <v>449.08752671309702</v>
      </c>
      <c r="K12" s="1">
        <v>0.67999999999999905</v>
      </c>
      <c r="N12" s="3">
        <f t="shared" si="0"/>
        <v>399.30609766675298</v>
      </c>
      <c r="O12" s="21">
        <f t="shared" si="1"/>
        <v>172459.016393442</v>
      </c>
      <c r="P12" s="3">
        <f t="shared" si="2"/>
        <v>405.69008958566599</v>
      </c>
      <c r="Q12" s="17">
        <f t="shared" si="3"/>
        <v>-1.4463157894736801E-4</v>
      </c>
      <c r="R12" s="3">
        <f t="shared" si="4"/>
        <v>448.888066757101</v>
      </c>
      <c r="S12" s="24">
        <f t="shared" si="5"/>
        <v>2.5620915032679701</v>
      </c>
      <c r="T12" s="3">
        <f t="shared" si="6"/>
        <v>449.08752671309702</v>
      </c>
      <c r="U12" s="51">
        <f t="shared" si="6"/>
        <v>0.67999999999999905</v>
      </c>
      <c r="V12" s="42">
        <f>((O14*(Q14)^2)/S12)*T12</f>
        <v>0.68044060607712831</v>
      </c>
      <c r="W12" s="49">
        <f t="shared" si="7"/>
        <v>-6.4795011342537955E-4</v>
      </c>
    </row>
    <row r="13" spans="1:23" x14ac:dyDescent="0.6">
      <c r="B13" s="2">
        <v>424.41235146153099</v>
      </c>
      <c r="C13" s="1">
        <v>1665.5737704917999</v>
      </c>
      <c r="D13" s="2"/>
      <c r="E13" s="1"/>
      <c r="F13" s="2">
        <v>431.58944568868901</v>
      </c>
      <c r="G13" s="1">
        <v>-150.31578947368399</v>
      </c>
      <c r="H13" s="2">
        <v>499.21486414272198</v>
      </c>
      <c r="I13" s="1">
        <v>2.52287581699346</v>
      </c>
      <c r="J13" s="2">
        <v>499.46035699460299</v>
      </c>
      <c r="K13" s="1">
        <v>0.80148148148148102</v>
      </c>
      <c r="N13" s="3">
        <f t="shared" si="0"/>
        <v>424.41235146153099</v>
      </c>
      <c r="O13" s="21">
        <f t="shared" si="1"/>
        <v>166557.37704917998</v>
      </c>
      <c r="P13" s="3">
        <f t="shared" si="2"/>
        <v>431.58944568868901</v>
      </c>
      <c r="Q13" s="17">
        <f t="shared" si="3"/>
        <v>-1.5031578947368398E-4</v>
      </c>
      <c r="R13" s="3">
        <f t="shared" si="4"/>
        <v>499.21486414272198</v>
      </c>
      <c r="S13" s="24">
        <f t="shared" si="5"/>
        <v>2.52287581699346</v>
      </c>
      <c r="T13" s="3">
        <f t="shared" si="6"/>
        <v>499.46035699460299</v>
      </c>
      <c r="U13" s="51">
        <f t="shared" si="6"/>
        <v>0.80148148148148102</v>
      </c>
      <c r="V13" s="42">
        <f>((O16*(Q16)^2)/S13)*T13</f>
        <v>0.79327203788145983</v>
      </c>
      <c r="W13" s="49">
        <f t="shared" si="7"/>
        <v>1.0242836284684476E-2</v>
      </c>
    </row>
    <row r="14" spans="1:23" x14ac:dyDescent="0.6">
      <c r="B14" s="2">
        <v>450.177812472894</v>
      </c>
      <c r="C14" s="1">
        <v>1601.63934426229</v>
      </c>
      <c r="D14" s="2"/>
      <c r="E14" s="1"/>
      <c r="F14" s="2">
        <v>456.82565789473603</v>
      </c>
      <c r="G14" s="1">
        <v>-155.68421052631501</v>
      </c>
      <c r="H14" s="2">
        <v>548.90862005179395</v>
      </c>
      <c r="I14" s="1">
        <v>2.49673202614379</v>
      </c>
      <c r="J14" s="2">
        <v>549.21359715880203</v>
      </c>
      <c r="K14" s="1">
        <v>0.91703703703703598</v>
      </c>
      <c r="N14" s="3">
        <f t="shared" si="0"/>
        <v>450.177812472894</v>
      </c>
      <c r="O14" s="21">
        <f t="shared" si="1"/>
        <v>160163.93442622901</v>
      </c>
      <c r="P14" s="3">
        <f t="shared" si="2"/>
        <v>456.82565789473603</v>
      </c>
      <c r="Q14" s="17">
        <f t="shared" si="3"/>
        <v>-1.55684210526315E-4</v>
      </c>
      <c r="R14" s="3">
        <f t="shared" si="4"/>
        <v>548.90862005179395</v>
      </c>
      <c r="S14" s="24">
        <f t="shared" si="5"/>
        <v>2.49673202614379</v>
      </c>
      <c r="T14" s="3">
        <f t="shared" si="6"/>
        <v>549.21359715880203</v>
      </c>
      <c r="U14" s="51">
        <f t="shared" si="6"/>
        <v>0.91703703703703598</v>
      </c>
      <c r="V14" s="42">
        <f>((O18*(Q18)^2)/S14)*T14</f>
        <v>0.94020680941098744</v>
      </c>
      <c r="W14" s="49">
        <f t="shared" si="7"/>
        <v>-2.5265906869817854E-2</v>
      </c>
    </row>
    <row r="15" spans="1:23" x14ac:dyDescent="0.6">
      <c r="B15" s="2">
        <v>475.28406626767202</v>
      </c>
      <c r="C15" s="1">
        <v>1542.62295081967</v>
      </c>
      <c r="D15" s="2"/>
      <c r="E15" s="1"/>
      <c r="F15" s="2">
        <v>482.06536954087301</v>
      </c>
      <c r="G15" s="1">
        <v>-160.42105263157799</v>
      </c>
      <c r="H15" s="2">
        <v>599.23130677847598</v>
      </c>
      <c r="I15" s="1">
        <v>2.4705882352941102</v>
      </c>
      <c r="J15" s="2">
        <v>598.968374767461</v>
      </c>
      <c r="K15" s="1">
        <v>1.0296296296296199</v>
      </c>
      <c r="N15" s="3">
        <f t="shared" si="0"/>
        <v>475.28406626767202</v>
      </c>
      <c r="O15" s="21">
        <f t="shared" si="1"/>
        <v>154262.29508196699</v>
      </c>
      <c r="P15" s="3">
        <f t="shared" si="2"/>
        <v>482.06536954087301</v>
      </c>
      <c r="Q15" s="17">
        <f t="shared" si="3"/>
        <v>-1.60421052631578E-4</v>
      </c>
      <c r="R15" s="3">
        <f t="shared" si="4"/>
        <v>599.23130677847598</v>
      </c>
      <c r="S15" s="24">
        <f t="shared" si="5"/>
        <v>2.4705882352941102</v>
      </c>
      <c r="T15" s="3">
        <f t="shared" si="6"/>
        <v>598.968374767461</v>
      </c>
      <c r="U15" s="51">
        <f t="shared" si="6"/>
        <v>1.0296296296296199</v>
      </c>
      <c r="V15" s="42">
        <f>((O20*(Q20)^2)/S15)*T15</f>
        <v>1.0427380703076981</v>
      </c>
      <c r="W15" s="49">
        <f t="shared" si="7"/>
        <v>-1.27312193636012E-2</v>
      </c>
    </row>
    <row r="16" spans="1:23" x14ac:dyDescent="0.6">
      <c r="B16" s="2">
        <v>503.05750715586697</v>
      </c>
      <c r="C16" s="1">
        <v>1532.7868852459001</v>
      </c>
      <c r="D16" s="2"/>
      <c r="E16" s="1"/>
      <c r="F16" s="2">
        <v>507.98922172452399</v>
      </c>
      <c r="G16" s="1">
        <v>-161.68421052631501</v>
      </c>
      <c r="H16" s="2">
        <v>648.92095202861003</v>
      </c>
      <c r="I16" s="1">
        <v>2.4575163398692799</v>
      </c>
      <c r="J16" s="2">
        <v>649.35657949356505</v>
      </c>
      <c r="K16" s="1">
        <v>1.12148148148148</v>
      </c>
      <c r="N16" s="3">
        <f t="shared" si="0"/>
        <v>503.05750715586697</v>
      </c>
      <c r="O16" s="21">
        <f t="shared" si="1"/>
        <v>153278.68852458999</v>
      </c>
      <c r="P16" s="3">
        <f t="shared" si="2"/>
        <v>507.98922172452399</v>
      </c>
      <c r="Q16" s="17">
        <f t="shared" si="3"/>
        <v>-1.6168421052631501E-4</v>
      </c>
      <c r="R16" s="3">
        <f t="shared" si="4"/>
        <v>648.92095202861003</v>
      </c>
      <c r="S16" s="24">
        <f t="shared" si="5"/>
        <v>2.4575163398692799</v>
      </c>
      <c r="T16" s="3">
        <f t="shared" si="6"/>
        <v>649.35657949356505</v>
      </c>
      <c r="U16" s="51">
        <f t="shared" si="6"/>
        <v>1.12148148148148</v>
      </c>
      <c r="V16" s="42">
        <f>((O22*(Q22)^2)/S16)*T16</f>
        <v>1.1125651246993662</v>
      </c>
      <c r="W16" s="49">
        <f t="shared" si="7"/>
        <v>7.9505162852401678E-3</v>
      </c>
    </row>
    <row r="17" spans="2:23" x14ac:dyDescent="0.6">
      <c r="B17" s="2">
        <v>525.52910052909999</v>
      </c>
      <c r="C17" s="1">
        <v>1498.3606557377</v>
      </c>
      <c r="D17" s="2"/>
      <c r="E17" s="1"/>
      <c r="F17" s="2">
        <v>532.55704087345998</v>
      </c>
      <c r="G17" s="1">
        <v>-167.68421052631501</v>
      </c>
      <c r="H17" s="2">
        <v>699.85201627820902</v>
      </c>
      <c r="I17" s="1">
        <v>2.49673202614379</v>
      </c>
      <c r="J17" s="2">
        <v>699.12980643574201</v>
      </c>
      <c r="K17" s="1">
        <v>1.1985185185185101</v>
      </c>
      <c r="N17" s="3">
        <f t="shared" si="0"/>
        <v>525.52910052909999</v>
      </c>
      <c r="O17" s="21">
        <f t="shared" si="1"/>
        <v>149836.06557377</v>
      </c>
      <c r="P17" s="3">
        <f t="shared" si="2"/>
        <v>532.55704087345998</v>
      </c>
      <c r="Q17" s="17">
        <f t="shared" si="3"/>
        <v>-1.67684210526315E-4</v>
      </c>
      <c r="R17" s="3">
        <f t="shared" si="4"/>
        <v>699.85201627820902</v>
      </c>
      <c r="S17" s="24">
        <f t="shared" si="5"/>
        <v>2.49673202614379</v>
      </c>
      <c r="T17" s="3">
        <f t="shared" si="6"/>
        <v>699.12980643574201</v>
      </c>
      <c r="U17" s="51">
        <f t="shared" si="6"/>
        <v>1.1985185185185101</v>
      </c>
      <c r="V17" s="42">
        <f>((O24*(Q24)^2)/S17)*T17</f>
        <v>1.173396800498423</v>
      </c>
      <c r="W17" s="49">
        <f t="shared" si="7"/>
        <v>2.0960642352977652E-2</v>
      </c>
    </row>
    <row r="18" spans="2:23" x14ac:dyDescent="0.6">
      <c r="B18" s="2">
        <v>552.62815508717097</v>
      </c>
      <c r="C18" s="1">
        <v>1459.01639344262</v>
      </c>
      <c r="D18" s="2"/>
      <c r="E18" s="1"/>
      <c r="F18" s="2">
        <v>557.80375139977605</v>
      </c>
      <c r="G18" s="1">
        <v>-171.157894736842</v>
      </c>
      <c r="H18" s="2">
        <v>748.26735725736796</v>
      </c>
      <c r="I18" s="1">
        <v>2.5359477124182899</v>
      </c>
      <c r="J18" s="2">
        <v>748.90764571129796</v>
      </c>
      <c r="K18" s="1">
        <v>1.2666666666666599</v>
      </c>
      <c r="N18" s="3">
        <f t="shared" si="0"/>
        <v>552.62815508717097</v>
      </c>
      <c r="O18" s="21">
        <f t="shared" si="1"/>
        <v>145901.63934426199</v>
      </c>
      <c r="P18" s="3">
        <f t="shared" si="2"/>
        <v>557.80375139977605</v>
      </c>
      <c r="Q18" s="17">
        <f t="shared" si="3"/>
        <v>-1.7115789473684198E-4</v>
      </c>
      <c r="R18" s="3">
        <f t="shared" si="4"/>
        <v>748.26735725736796</v>
      </c>
      <c r="S18" s="24">
        <f t="shared" si="5"/>
        <v>2.5359477124182899</v>
      </c>
      <c r="T18" s="3">
        <f t="shared" si="6"/>
        <v>748.90764571129796</v>
      </c>
      <c r="U18" s="51">
        <f t="shared" si="6"/>
        <v>1.2666666666666599</v>
      </c>
      <c r="V18" s="42">
        <f>((O26*(Q26)^2)/S18)*T18</f>
        <v>1.2309639412617768</v>
      </c>
      <c r="W18" s="49">
        <f t="shared" si="7"/>
        <v>2.8186362161750023E-2</v>
      </c>
    </row>
    <row r="19" spans="2:23" x14ac:dyDescent="0.6">
      <c r="B19" s="28">
        <v>577.72356665799202</v>
      </c>
      <c r="C19" s="29">
        <v>1375.4098360655701</v>
      </c>
      <c r="D19" s="28"/>
      <c r="E19" s="29"/>
      <c r="F19" s="28">
        <v>581.72592385218297</v>
      </c>
      <c r="G19" s="29">
        <v>-173.68421052631501</v>
      </c>
      <c r="H19" s="28">
        <v>799.84790561927002</v>
      </c>
      <c r="I19" s="29">
        <v>2.5098039215686199</v>
      </c>
      <c r="J19" s="28">
        <v>799.30046277078202</v>
      </c>
      <c r="K19" s="29">
        <v>1.34962962962962</v>
      </c>
      <c r="N19" s="3">
        <f t="shared" si="0"/>
        <v>577.72356665799202</v>
      </c>
      <c r="O19" s="21">
        <f t="shared" si="1"/>
        <v>137540.98360655701</v>
      </c>
      <c r="P19" s="3">
        <f t="shared" si="2"/>
        <v>581.72592385218297</v>
      </c>
      <c r="Q19" s="17">
        <f t="shared" si="3"/>
        <v>-1.7368421052631501E-4</v>
      </c>
      <c r="R19" s="3">
        <f t="shared" si="4"/>
        <v>799.84790561927002</v>
      </c>
      <c r="S19" s="24">
        <f t="shared" si="5"/>
        <v>2.5098039215686199</v>
      </c>
      <c r="T19" s="32">
        <f t="shared" si="6"/>
        <v>799.30046277078202</v>
      </c>
      <c r="U19" s="52">
        <f t="shared" si="6"/>
        <v>1.34962962962962</v>
      </c>
      <c r="V19" s="42">
        <f>((O28*(Q28)^2)/S19)*T19</f>
        <v>1.3389628868842294</v>
      </c>
      <c r="W19" s="49">
        <f t="shared" si="7"/>
        <v>7.9034592240819976E-3</v>
      </c>
    </row>
    <row r="20" spans="2:23" x14ac:dyDescent="0.6">
      <c r="B20" s="2">
        <v>600.21684447913901</v>
      </c>
      <c r="C20" s="50">
        <v>1390.1639344262201</v>
      </c>
      <c r="D20" s="30"/>
      <c r="E20" s="30"/>
      <c r="F20" s="2">
        <v>607.64452687569894</v>
      </c>
      <c r="G20" s="50">
        <v>-175.894736842105</v>
      </c>
      <c r="H20" s="30"/>
      <c r="I20" s="30"/>
      <c r="J20" s="30"/>
      <c r="K20" s="30"/>
      <c r="N20" s="3">
        <f t="shared" si="0"/>
        <v>600.21684447913901</v>
      </c>
      <c r="O20" s="21">
        <f t="shared" si="1"/>
        <v>139016.39344262201</v>
      </c>
      <c r="P20" s="3">
        <f t="shared" si="2"/>
        <v>607.64452687569894</v>
      </c>
      <c r="Q20" s="17">
        <f t="shared" si="3"/>
        <v>-1.75894736842105E-4</v>
      </c>
      <c r="R20" s="30"/>
      <c r="S20" s="41"/>
      <c r="T20" s="30"/>
      <c r="U20" s="41"/>
      <c r="V20"/>
    </row>
    <row r="21" spans="2:23" x14ac:dyDescent="0.6">
      <c r="B21" s="2">
        <v>624.65088038858505</v>
      </c>
      <c r="C21" s="50">
        <v>1306.5573770491801</v>
      </c>
      <c r="D21" s="31"/>
      <c r="E21" s="31"/>
      <c r="F21" s="2">
        <v>632.23509238521797</v>
      </c>
      <c r="G21" s="50">
        <v>-177.78947368421001</v>
      </c>
      <c r="H21" s="31"/>
      <c r="I21" s="31"/>
      <c r="J21" s="31"/>
      <c r="K21" s="31"/>
      <c r="N21" s="3">
        <f t="shared" si="0"/>
        <v>624.65088038858505</v>
      </c>
      <c r="O21" s="21">
        <f t="shared" si="1"/>
        <v>130655.73770491801</v>
      </c>
      <c r="P21" s="3">
        <f t="shared" si="2"/>
        <v>632.23509238521797</v>
      </c>
      <c r="Q21" s="17">
        <f t="shared" si="3"/>
        <v>-1.7778947368420999E-4</v>
      </c>
      <c r="R21" s="31"/>
      <c r="S21" s="38"/>
      <c r="T21" s="31"/>
      <c r="U21" s="38"/>
      <c r="V21"/>
    </row>
    <row r="22" spans="2:23" x14ac:dyDescent="0.6">
      <c r="B22" s="2">
        <v>649.77014485211203</v>
      </c>
      <c r="C22" s="50">
        <v>1277.0491803278601</v>
      </c>
      <c r="D22" s="31"/>
      <c r="E22" s="31"/>
      <c r="F22" s="2">
        <v>656.815159574468</v>
      </c>
      <c r="G22" s="50">
        <v>-181.57894736842101</v>
      </c>
      <c r="H22" s="31"/>
      <c r="I22" s="31"/>
      <c r="J22" s="31"/>
      <c r="K22" s="31"/>
      <c r="N22" s="3">
        <f t="shared" si="0"/>
        <v>649.77014485211203</v>
      </c>
      <c r="O22" s="21">
        <f t="shared" si="1"/>
        <v>127704.91803278601</v>
      </c>
      <c r="P22" s="3">
        <f t="shared" si="2"/>
        <v>656.815159574468</v>
      </c>
      <c r="Q22" s="17">
        <f t="shared" si="3"/>
        <v>-1.8157894736842099E-4</v>
      </c>
      <c r="R22" s="31"/>
      <c r="S22" s="38"/>
      <c r="T22" s="31"/>
      <c r="U22" s="38"/>
      <c r="V22"/>
    </row>
    <row r="23" spans="2:23" x14ac:dyDescent="0.6">
      <c r="B23" s="2">
        <v>675.55078497701402</v>
      </c>
      <c r="C23" s="1">
        <v>1247.5409836065501</v>
      </c>
      <c r="F23" s="2">
        <v>682.07936730123095</v>
      </c>
      <c r="G23" s="1">
        <v>-181.894736842105</v>
      </c>
      <c r="N23" s="3">
        <f t="shared" si="0"/>
        <v>675.55078497701402</v>
      </c>
      <c r="O23" s="21">
        <f t="shared" si="1"/>
        <v>124754.098360655</v>
      </c>
      <c r="P23" s="3">
        <f t="shared" si="2"/>
        <v>682.07936730123095</v>
      </c>
      <c r="Q23" s="17">
        <f t="shared" si="3"/>
        <v>-1.8189473684210501E-4</v>
      </c>
    </row>
    <row r="24" spans="2:23" x14ac:dyDescent="0.6">
      <c r="B24" s="2">
        <v>700.67438633012296</v>
      </c>
      <c r="C24" s="1">
        <v>1227.86885245901</v>
      </c>
      <c r="F24" s="2">
        <v>706.66468365061598</v>
      </c>
      <c r="G24" s="1">
        <v>-184.73684210526301</v>
      </c>
      <c r="N24" s="3">
        <f t="shared" si="0"/>
        <v>700.67438633012296</v>
      </c>
      <c r="O24" s="21">
        <f t="shared" si="1"/>
        <v>122786.88524590099</v>
      </c>
      <c r="P24" s="3">
        <f t="shared" si="2"/>
        <v>706.66468365061598</v>
      </c>
      <c r="Q24" s="17">
        <f t="shared" si="3"/>
        <v>-1.84736842105263E-4</v>
      </c>
    </row>
    <row r="25" spans="2:23" x14ac:dyDescent="0.6">
      <c r="B25" s="2">
        <v>723.80518691994098</v>
      </c>
      <c r="C25" s="1">
        <v>1188.52459016393</v>
      </c>
      <c r="F25" s="2">
        <v>731.25349944008894</v>
      </c>
      <c r="G25" s="1">
        <v>-186.947368421052</v>
      </c>
      <c r="N25" s="3">
        <f t="shared" si="0"/>
        <v>723.80518691994098</v>
      </c>
      <c r="O25" s="21">
        <f t="shared" si="1"/>
        <v>118852.459016393</v>
      </c>
      <c r="P25" s="3">
        <f t="shared" si="2"/>
        <v>731.25349944008894</v>
      </c>
      <c r="Q25" s="17">
        <f t="shared" si="3"/>
        <v>-1.8694736842105199E-4</v>
      </c>
    </row>
    <row r="26" spans="2:23" x14ac:dyDescent="0.6">
      <c r="B26" s="2">
        <v>750.25153959580098</v>
      </c>
      <c r="C26" s="1">
        <v>1168.85245901639</v>
      </c>
      <c r="F26" s="2">
        <v>756.50895856662896</v>
      </c>
      <c r="G26" s="1">
        <v>-188.84210526315701</v>
      </c>
      <c r="N26" s="3">
        <f t="shared" si="0"/>
        <v>750.25153959580098</v>
      </c>
      <c r="O26" s="21">
        <f t="shared" si="1"/>
        <v>116885.24590163899</v>
      </c>
      <c r="P26" s="3">
        <f t="shared" si="2"/>
        <v>756.50895856662896</v>
      </c>
      <c r="Q26" s="17">
        <f t="shared" si="3"/>
        <v>-1.8884210526315699E-4</v>
      </c>
    </row>
    <row r="27" spans="2:23" x14ac:dyDescent="0.6">
      <c r="B27" s="2">
        <v>774.718102177118</v>
      </c>
      <c r="C27" s="1">
        <v>1159.01639344262</v>
      </c>
      <c r="F27" s="2">
        <v>781.10652295632599</v>
      </c>
      <c r="G27" s="1">
        <v>-189.47368421052599</v>
      </c>
      <c r="N27" s="3">
        <f t="shared" si="0"/>
        <v>774.718102177118</v>
      </c>
      <c r="O27" s="21">
        <f t="shared" si="1"/>
        <v>115901.639344262</v>
      </c>
      <c r="P27" s="3">
        <f t="shared" si="2"/>
        <v>781.10652295632599</v>
      </c>
      <c r="Q27" s="17">
        <f t="shared" si="3"/>
        <v>-1.8947368421052597E-4</v>
      </c>
    </row>
    <row r="28" spans="2:23" x14ac:dyDescent="0.6">
      <c r="B28" s="2">
        <v>800.50524763639498</v>
      </c>
      <c r="C28" s="1">
        <v>1144.26229508196</v>
      </c>
      <c r="F28" s="2">
        <v>805.03044512877898</v>
      </c>
      <c r="G28" s="1">
        <v>-191.68421052631501</v>
      </c>
      <c r="N28" s="3">
        <f t="shared" si="0"/>
        <v>800.50524763639498</v>
      </c>
      <c r="O28" s="21">
        <f t="shared" si="1"/>
        <v>114426.229508196</v>
      </c>
      <c r="P28" s="3">
        <f t="shared" si="2"/>
        <v>805.03044512877898</v>
      </c>
      <c r="Q28" s="17">
        <f t="shared" si="3"/>
        <v>-1.9168421052631501E-4</v>
      </c>
    </row>
    <row r="37" spans="2:23" x14ac:dyDescent="0.6">
      <c r="O37"/>
      <c r="Q37"/>
      <c r="S37"/>
      <c r="U37"/>
      <c r="V37"/>
    </row>
    <row r="38" spans="2:23" ht="17.25" thickBot="1" x14ac:dyDescent="0.65">
      <c r="B38" s="31" t="s">
        <v>79</v>
      </c>
      <c r="C38" s="31"/>
      <c r="D38" s="31"/>
      <c r="E38" s="31"/>
      <c r="F38" s="31"/>
      <c r="G38" s="31"/>
      <c r="H38" s="31"/>
      <c r="I38" s="31"/>
      <c r="J38" s="31"/>
      <c r="K38" s="31"/>
      <c r="N38" s="31"/>
      <c r="O38" s="36"/>
      <c r="P38" s="31"/>
      <c r="Q38" s="37"/>
      <c r="R38" s="31"/>
      <c r="S38" s="38"/>
      <c r="T38" s="31"/>
      <c r="U38" s="38"/>
      <c r="V38"/>
    </row>
    <row r="39" spans="2:23" x14ac:dyDescent="0.6">
      <c r="B39" s="5" t="s">
        <v>3</v>
      </c>
      <c r="C39" s="6" t="s">
        <v>0</v>
      </c>
      <c r="D39" s="7" t="s">
        <v>3</v>
      </c>
      <c r="E39" s="6" t="s">
        <v>8</v>
      </c>
      <c r="F39" s="7" t="s">
        <v>3</v>
      </c>
      <c r="G39" s="6" t="s">
        <v>1</v>
      </c>
      <c r="H39" s="7" t="s">
        <v>3</v>
      </c>
      <c r="I39" s="6" t="s">
        <v>2</v>
      </c>
      <c r="J39" s="7" t="s">
        <v>3</v>
      </c>
      <c r="K39" s="8" t="s">
        <v>6</v>
      </c>
      <c r="N39" s="5" t="s">
        <v>3</v>
      </c>
      <c r="O39" s="19" t="s">
        <v>0</v>
      </c>
      <c r="P39" s="7" t="s">
        <v>3</v>
      </c>
      <c r="Q39" s="15" t="s">
        <v>1</v>
      </c>
      <c r="R39" s="7" t="s">
        <v>3</v>
      </c>
      <c r="S39" s="23" t="s">
        <v>2</v>
      </c>
      <c r="T39" s="7" t="s">
        <v>3</v>
      </c>
      <c r="U39" s="25" t="s">
        <v>6</v>
      </c>
    </row>
    <row r="40" spans="2:23" ht="17.25" thickBot="1" x14ac:dyDescent="0.65">
      <c r="B40" s="9" t="s">
        <v>4</v>
      </c>
      <c r="C40" s="10" t="s">
        <v>10</v>
      </c>
      <c r="D40" s="11" t="s">
        <v>4</v>
      </c>
      <c r="E40" s="10" t="s">
        <v>11</v>
      </c>
      <c r="F40" s="11" t="s">
        <v>4</v>
      </c>
      <c r="G40" s="27" t="s">
        <v>13</v>
      </c>
      <c r="H40" s="11" t="s">
        <v>4</v>
      </c>
      <c r="I40" s="10" t="s">
        <v>15</v>
      </c>
      <c r="J40" s="11" t="s">
        <v>4</v>
      </c>
      <c r="K40" s="12" t="s">
        <v>7</v>
      </c>
      <c r="N40" s="9" t="s">
        <v>4</v>
      </c>
      <c r="O40" s="20" t="s">
        <v>5</v>
      </c>
      <c r="P40" s="11" t="s">
        <v>4</v>
      </c>
      <c r="Q40" s="16" t="s">
        <v>14</v>
      </c>
      <c r="R40" s="11" t="s">
        <v>4</v>
      </c>
      <c r="S40" s="10" t="s">
        <v>15</v>
      </c>
      <c r="T40" s="11" t="s">
        <v>4</v>
      </c>
      <c r="U40" s="26" t="s">
        <v>7</v>
      </c>
      <c r="W40" t="s">
        <v>78</v>
      </c>
    </row>
    <row r="41" spans="2:23" x14ac:dyDescent="0.6">
      <c r="B41" s="3">
        <v>298.82400000000001</v>
      </c>
      <c r="C41" s="4">
        <v>2104.9299999999998</v>
      </c>
      <c r="D41" s="3"/>
      <c r="E41" s="4"/>
      <c r="F41" s="3">
        <v>296.29500000000002</v>
      </c>
      <c r="G41" s="4">
        <v>-126.696</v>
      </c>
      <c r="H41" s="3">
        <v>303.37599999999998</v>
      </c>
      <c r="I41" s="4">
        <v>2.5567000000000002</v>
      </c>
      <c r="J41" s="3">
        <v>297.83699999999999</v>
      </c>
      <c r="K41" s="4">
        <v>0.38028800000000001</v>
      </c>
      <c r="N41" s="3">
        <f>B41</f>
        <v>298.82400000000001</v>
      </c>
      <c r="O41" s="21">
        <f>C41*100</f>
        <v>210492.99999999997</v>
      </c>
      <c r="P41" s="3">
        <f>F41</f>
        <v>296.29500000000002</v>
      </c>
      <c r="Q41" s="17">
        <f>G41*0.000001</f>
        <v>-1.2669599999999998E-4</v>
      </c>
      <c r="R41" s="3">
        <f>H41</f>
        <v>303.37599999999998</v>
      </c>
      <c r="S41" s="24">
        <f>I41</f>
        <v>2.5567000000000002</v>
      </c>
      <c r="T41" s="3">
        <f>J41</f>
        <v>297.83699999999999</v>
      </c>
      <c r="U41" s="24">
        <f>K41</f>
        <v>0.38028800000000001</v>
      </c>
      <c r="V41" s="22">
        <f>((O41*(Q41)^2)/S41)*T41</f>
        <v>0.39360657325560422</v>
      </c>
      <c r="W41" s="49">
        <f>(U41-V41)/U41</f>
        <v>-3.5022333746014087E-2</v>
      </c>
    </row>
    <row r="42" spans="2:23" x14ac:dyDescent="0.6">
      <c r="B42" s="3">
        <v>348.92200000000003</v>
      </c>
      <c r="C42" s="4">
        <v>1929.52</v>
      </c>
      <c r="D42" s="3"/>
      <c r="E42" s="4"/>
      <c r="F42" s="3">
        <v>349.55799999999999</v>
      </c>
      <c r="G42" s="4">
        <v>-137.916</v>
      </c>
      <c r="H42" s="3">
        <v>359.49400000000003</v>
      </c>
      <c r="I42" s="4">
        <v>2.61856</v>
      </c>
      <c r="J42" s="3">
        <v>350.22</v>
      </c>
      <c r="K42" s="4">
        <v>0.48941299999999999</v>
      </c>
      <c r="N42" s="3">
        <f t="shared" ref="N42:N51" si="8">B42</f>
        <v>348.92200000000003</v>
      </c>
      <c r="O42" s="21">
        <f t="shared" ref="O42:O51" si="9">C42*100</f>
        <v>192952</v>
      </c>
      <c r="P42" s="3">
        <f t="shared" ref="P42:P51" si="10">F42</f>
        <v>349.55799999999999</v>
      </c>
      <c r="Q42" s="17">
        <f t="shared" ref="Q42:Q51" si="11">G42*0.000001</f>
        <v>-1.37916E-4</v>
      </c>
      <c r="R42" s="3">
        <f t="shared" ref="R42:R49" si="12">H42</f>
        <v>359.49400000000003</v>
      </c>
      <c r="S42" s="24">
        <f t="shared" ref="S42:S49" si="13">I42</f>
        <v>2.61856</v>
      </c>
      <c r="T42" s="3">
        <f t="shared" ref="T42:T51" si="14">J42</f>
        <v>350.22</v>
      </c>
      <c r="U42" s="24">
        <f t="shared" ref="U42:U51" si="15">K42</f>
        <v>0.48941299999999999</v>
      </c>
      <c r="V42" s="22">
        <f t="shared" ref="V42" si="16">((O42*(Q42)^2)/S42)*T42</f>
        <v>0.49085927795907885</v>
      </c>
      <c r="W42" s="49">
        <f t="shared" ref="W42:W51" si="17">(U42-V42)/U42</f>
        <v>-2.9551277940693603E-3</v>
      </c>
    </row>
    <row r="43" spans="2:23" x14ac:dyDescent="0.6">
      <c r="B43" s="2">
        <v>399.02</v>
      </c>
      <c r="C43" s="1">
        <v>1754.11</v>
      </c>
      <c r="D43" s="2"/>
      <c r="E43" s="1"/>
      <c r="F43" s="2">
        <v>399.83100000000002</v>
      </c>
      <c r="G43" s="1">
        <v>-144.89500000000001</v>
      </c>
      <c r="H43" s="2">
        <v>424.47300000000001</v>
      </c>
      <c r="I43" s="1">
        <v>2.61856</v>
      </c>
      <c r="J43" s="2">
        <v>398.05700000000002</v>
      </c>
      <c r="K43" s="1">
        <v>0.57142199999999999</v>
      </c>
      <c r="N43" s="3">
        <f t="shared" si="8"/>
        <v>399.02</v>
      </c>
      <c r="O43" s="21">
        <f t="shared" si="9"/>
        <v>175411</v>
      </c>
      <c r="P43" s="3">
        <f t="shared" si="10"/>
        <v>399.83100000000002</v>
      </c>
      <c r="Q43" s="17">
        <f t="shared" si="11"/>
        <v>-1.44895E-4</v>
      </c>
      <c r="R43" s="3">
        <f t="shared" si="12"/>
        <v>424.47300000000001</v>
      </c>
      <c r="S43" s="24">
        <f t="shared" si="13"/>
        <v>2.61856</v>
      </c>
      <c r="T43" s="3">
        <f t="shared" si="14"/>
        <v>398.05700000000002</v>
      </c>
      <c r="U43" s="24">
        <f t="shared" si="15"/>
        <v>0.57142199999999999</v>
      </c>
      <c r="V43" s="22">
        <f>((O43*(Q43)^2)/AVERAGE(S42,S43))*T43</f>
        <v>0.55981735621120132</v>
      </c>
      <c r="W43" s="49">
        <f t="shared" si="17"/>
        <v>2.030836017653969E-2</v>
      </c>
    </row>
    <row r="44" spans="2:23" x14ac:dyDescent="0.6">
      <c r="B44" s="2">
        <v>449.08100000000002</v>
      </c>
      <c r="C44" s="1">
        <v>1645.07</v>
      </c>
      <c r="D44" s="2"/>
      <c r="E44" s="1"/>
      <c r="F44" s="2">
        <v>453.10700000000003</v>
      </c>
      <c r="G44" s="1">
        <v>-157.53200000000001</v>
      </c>
      <c r="H44" s="2">
        <v>486.49799999999999</v>
      </c>
      <c r="I44" s="1">
        <v>2.5567000000000002</v>
      </c>
      <c r="J44" s="2">
        <v>448.16</v>
      </c>
      <c r="K44" s="1">
        <v>0.680504</v>
      </c>
      <c r="N44" s="3">
        <f t="shared" si="8"/>
        <v>449.08100000000002</v>
      </c>
      <c r="O44" s="21">
        <f t="shared" si="9"/>
        <v>164507</v>
      </c>
      <c r="P44" s="3">
        <f t="shared" si="10"/>
        <v>453.10700000000003</v>
      </c>
      <c r="Q44" s="17">
        <f t="shared" si="11"/>
        <v>-1.57532E-4</v>
      </c>
      <c r="R44" s="3">
        <f t="shared" si="12"/>
        <v>486.49799999999999</v>
      </c>
      <c r="S44" s="24">
        <f t="shared" si="13"/>
        <v>2.5567000000000002</v>
      </c>
      <c r="T44" s="3">
        <f t="shared" si="14"/>
        <v>448.16</v>
      </c>
      <c r="U44" s="24">
        <f t="shared" si="15"/>
        <v>0.680504</v>
      </c>
      <c r="V44" s="22">
        <f>((O44*(Q44)^2)/AVERAGE(S43,S44))*T44</f>
        <v>0.70705446635942448</v>
      </c>
      <c r="W44" s="49">
        <f t="shared" si="17"/>
        <v>-3.9015885813197988E-2</v>
      </c>
    </row>
    <row r="45" spans="2:23" x14ac:dyDescent="0.6">
      <c r="B45" s="2">
        <v>502.07100000000003</v>
      </c>
      <c r="C45" s="1">
        <v>1558.25</v>
      </c>
      <c r="D45" s="2"/>
      <c r="E45" s="1"/>
      <c r="F45" s="2">
        <v>497.47199999999998</v>
      </c>
      <c r="G45" s="1">
        <v>-164.52199999999999</v>
      </c>
      <c r="H45" s="2">
        <v>560.33799999999997</v>
      </c>
      <c r="I45" s="1">
        <v>2.4329900000000002</v>
      </c>
      <c r="J45" s="2">
        <v>500.52800000000002</v>
      </c>
      <c r="K45" s="1">
        <v>0.81665699999999997</v>
      </c>
      <c r="N45" s="3">
        <f t="shared" si="8"/>
        <v>502.07100000000003</v>
      </c>
      <c r="O45" s="21">
        <f t="shared" si="9"/>
        <v>155825</v>
      </c>
      <c r="P45" s="3">
        <f t="shared" si="10"/>
        <v>497.47199999999998</v>
      </c>
      <c r="Q45" s="17">
        <f t="shared" si="11"/>
        <v>-1.6452199999999998E-4</v>
      </c>
      <c r="R45" s="3">
        <f t="shared" si="12"/>
        <v>560.33799999999997</v>
      </c>
      <c r="S45" s="24">
        <f t="shared" si="13"/>
        <v>2.4329900000000002</v>
      </c>
      <c r="T45" s="3">
        <f t="shared" si="14"/>
        <v>500.52800000000002</v>
      </c>
      <c r="U45" s="24">
        <f t="shared" si="15"/>
        <v>0.81665699999999997</v>
      </c>
      <c r="V45" s="22">
        <f>((O45*(Q45)^2)/AVERAGE(S43,S45))*T45</f>
        <v>0.83583165181584396</v>
      </c>
      <c r="W45" s="49">
        <f t="shared" si="17"/>
        <v>-2.3479443408730951E-2</v>
      </c>
    </row>
    <row r="46" spans="2:23" x14ac:dyDescent="0.6">
      <c r="B46" s="2">
        <v>558.01400000000001</v>
      </c>
      <c r="C46" s="1">
        <v>1449.39</v>
      </c>
      <c r="D46" s="2"/>
      <c r="E46" s="1"/>
      <c r="F46" s="2">
        <v>553.65099999999995</v>
      </c>
      <c r="G46" s="1">
        <v>-171.489</v>
      </c>
      <c r="H46" s="2">
        <v>610.54899999999998</v>
      </c>
      <c r="I46" s="1">
        <v>2.4329900000000002</v>
      </c>
      <c r="J46" s="2">
        <v>552.91099999999994</v>
      </c>
      <c r="K46" s="1">
        <v>0.92578199999999999</v>
      </c>
      <c r="N46" s="3">
        <f t="shared" si="8"/>
        <v>558.01400000000001</v>
      </c>
      <c r="O46" s="21">
        <f t="shared" si="9"/>
        <v>144939</v>
      </c>
      <c r="P46" s="3">
        <f t="shared" si="10"/>
        <v>553.65099999999995</v>
      </c>
      <c r="Q46" s="17">
        <f t="shared" si="11"/>
        <v>-1.7148899999999998E-4</v>
      </c>
      <c r="R46" s="3">
        <f t="shared" si="12"/>
        <v>610.54899999999998</v>
      </c>
      <c r="S46" s="24">
        <f t="shared" si="13"/>
        <v>2.4329900000000002</v>
      </c>
      <c r="T46" s="3">
        <f t="shared" si="14"/>
        <v>552.91099999999994</v>
      </c>
      <c r="U46" s="24">
        <f t="shared" si="15"/>
        <v>0.92578199999999999</v>
      </c>
      <c r="V46" s="22">
        <f>((O46*(Q46)^2)/S45)*T46</f>
        <v>0.96866298055069577</v>
      </c>
      <c r="W46" s="49">
        <f t="shared" si="17"/>
        <v>-4.6318658767070198E-2</v>
      </c>
    </row>
    <row r="47" spans="2:23" x14ac:dyDescent="0.6">
      <c r="B47" s="2">
        <v>599.22699999999998</v>
      </c>
      <c r="C47" s="1">
        <v>1384.32</v>
      </c>
      <c r="D47" s="2"/>
      <c r="E47" s="1"/>
      <c r="F47" s="2">
        <v>612.79700000000003</v>
      </c>
      <c r="G47" s="1">
        <v>-179.86600000000001</v>
      </c>
      <c r="H47" s="2">
        <v>684.38800000000003</v>
      </c>
      <c r="I47" s="1">
        <v>2.49485</v>
      </c>
      <c r="J47" s="2">
        <v>598.45399999999995</v>
      </c>
      <c r="K47" s="1">
        <v>1.03478</v>
      </c>
      <c r="N47" s="3">
        <f t="shared" si="8"/>
        <v>599.22699999999998</v>
      </c>
      <c r="O47" s="21">
        <f t="shared" si="9"/>
        <v>138432</v>
      </c>
      <c r="P47" s="3">
        <f t="shared" si="10"/>
        <v>612.79700000000003</v>
      </c>
      <c r="Q47" s="17">
        <f t="shared" si="11"/>
        <v>-1.7986600000000002E-4</v>
      </c>
      <c r="R47" s="3">
        <f t="shared" si="12"/>
        <v>684.38800000000003</v>
      </c>
      <c r="S47" s="24">
        <f t="shared" si="13"/>
        <v>2.49485</v>
      </c>
      <c r="T47" s="3">
        <f t="shared" si="14"/>
        <v>598.45399999999995</v>
      </c>
      <c r="U47" s="24">
        <f t="shared" si="15"/>
        <v>1.03478</v>
      </c>
      <c r="V47" s="22">
        <f>((O47*(Q47)^2)/S46)*T47</f>
        <v>1.1016029665691152</v>
      </c>
      <c r="W47" s="49">
        <f t="shared" si="17"/>
        <v>-6.4576979231445453E-2</v>
      </c>
    </row>
    <row r="48" spans="2:23" x14ac:dyDescent="0.6">
      <c r="B48" s="2">
        <v>640.44000000000005</v>
      </c>
      <c r="C48" s="1">
        <v>1319.25</v>
      </c>
      <c r="D48" s="2"/>
      <c r="E48" s="1"/>
      <c r="F48" s="2">
        <v>663.00699999999995</v>
      </c>
      <c r="G48" s="1">
        <v>-179.76400000000001</v>
      </c>
      <c r="H48" s="2">
        <v>728.69200000000001</v>
      </c>
      <c r="I48" s="1">
        <v>2.49485</v>
      </c>
      <c r="J48" s="2">
        <v>650.822</v>
      </c>
      <c r="K48" s="1">
        <v>1.17093</v>
      </c>
      <c r="N48" s="3">
        <f t="shared" si="8"/>
        <v>640.44000000000005</v>
      </c>
      <c r="O48" s="21">
        <f t="shared" si="9"/>
        <v>131925</v>
      </c>
      <c r="P48" s="3">
        <f t="shared" si="10"/>
        <v>663.00699999999995</v>
      </c>
      <c r="Q48" s="17">
        <f t="shared" si="11"/>
        <v>-1.7976400000000001E-4</v>
      </c>
      <c r="R48" s="3">
        <f t="shared" si="12"/>
        <v>728.69200000000001</v>
      </c>
      <c r="S48" s="24">
        <f t="shared" si="13"/>
        <v>2.49485</v>
      </c>
      <c r="T48" s="3">
        <f t="shared" si="14"/>
        <v>650.822</v>
      </c>
      <c r="U48" s="24">
        <f t="shared" si="15"/>
        <v>1.17093</v>
      </c>
      <c r="V48" s="22">
        <f>((O48*(Q48)^2)/AVERAGE(S46,S47)*T48)</f>
        <v>1.1260772162729997</v>
      </c>
      <c r="W48" s="49">
        <f t="shared" si="17"/>
        <v>3.8305264812585123E-2</v>
      </c>
    </row>
    <row r="49" spans="2:23" x14ac:dyDescent="0.6">
      <c r="B49" s="2">
        <v>696.346</v>
      </c>
      <c r="C49" s="1">
        <v>1276.77</v>
      </c>
      <c r="D49" s="2"/>
      <c r="E49" s="1"/>
      <c r="F49" s="2">
        <v>722.14</v>
      </c>
      <c r="G49" s="1">
        <v>-186.72499999999999</v>
      </c>
      <c r="H49" s="2">
        <v>799.57799999999997</v>
      </c>
      <c r="I49" s="1">
        <v>2.4329900000000002</v>
      </c>
      <c r="J49" s="2">
        <v>703.24199999999996</v>
      </c>
      <c r="K49" s="1">
        <v>1.21248</v>
      </c>
      <c r="N49" s="3">
        <f t="shared" si="8"/>
        <v>696.346</v>
      </c>
      <c r="O49" s="21">
        <f t="shared" si="9"/>
        <v>127677</v>
      </c>
      <c r="P49" s="3">
        <f t="shared" si="10"/>
        <v>722.14</v>
      </c>
      <c r="Q49" s="17">
        <f t="shared" si="11"/>
        <v>-1.86725E-4</v>
      </c>
      <c r="R49" s="3">
        <f t="shared" si="12"/>
        <v>799.57799999999997</v>
      </c>
      <c r="S49" s="24">
        <f t="shared" si="13"/>
        <v>2.4329900000000002</v>
      </c>
      <c r="T49" s="3">
        <f t="shared" si="14"/>
        <v>703.24199999999996</v>
      </c>
      <c r="U49" s="24">
        <f t="shared" si="15"/>
        <v>1.21248</v>
      </c>
      <c r="V49" s="22">
        <f>((O49*(AVERAGE(Q48,Q49))^2)/AVERAGE(S47,S48)*T49)</f>
        <v>1.2084673670960373</v>
      </c>
      <c r="W49" s="49">
        <f t="shared" si="17"/>
        <v>3.3094425507741972E-3</v>
      </c>
    </row>
    <row r="50" spans="2:23" x14ac:dyDescent="0.6">
      <c r="B50" s="2">
        <v>752.25199999999995</v>
      </c>
      <c r="C50" s="1">
        <v>1234.29</v>
      </c>
      <c r="D50" s="2"/>
      <c r="E50" s="1"/>
      <c r="F50" s="2">
        <v>763.51400000000001</v>
      </c>
      <c r="G50" s="1">
        <v>-189.47300000000001</v>
      </c>
      <c r="H50" s="2"/>
      <c r="I50" s="1"/>
      <c r="J50" s="2">
        <v>753.375</v>
      </c>
      <c r="K50" s="1">
        <v>1.2675099999999999</v>
      </c>
      <c r="N50" s="3">
        <f t="shared" si="8"/>
        <v>752.25199999999995</v>
      </c>
      <c r="O50" s="21">
        <f t="shared" si="9"/>
        <v>123429</v>
      </c>
      <c r="P50" s="3">
        <f t="shared" si="10"/>
        <v>763.51400000000001</v>
      </c>
      <c r="Q50" s="17">
        <f t="shared" si="11"/>
        <v>-1.8947300000000001E-4</v>
      </c>
      <c r="R50" s="3"/>
      <c r="S50" s="24"/>
      <c r="T50" s="3">
        <f t="shared" si="14"/>
        <v>753.375</v>
      </c>
      <c r="U50" s="24">
        <f t="shared" si="15"/>
        <v>1.2675099999999999</v>
      </c>
      <c r="V50" s="22">
        <f>((O50*(Q50)^2)/AVERAGE(S48,S49)*T50)</f>
        <v>1.3548664079200934</v>
      </c>
      <c r="W50" s="49">
        <f t="shared" si="17"/>
        <v>-6.8919699189823727E-2</v>
      </c>
    </row>
    <row r="51" spans="2:23" x14ac:dyDescent="0.6">
      <c r="B51" s="28">
        <v>799.35900000000004</v>
      </c>
      <c r="C51" s="29">
        <v>1147.28</v>
      </c>
      <c r="D51" s="28"/>
      <c r="E51" s="29"/>
      <c r="F51" s="28">
        <v>801.93499999999995</v>
      </c>
      <c r="G51" s="29">
        <v>-192.227</v>
      </c>
      <c r="H51" s="28"/>
      <c r="I51" s="29"/>
      <c r="J51" s="28">
        <v>798.95500000000004</v>
      </c>
      <c r="K51" s="29">
        <v>1.3089299999999999</v>
      </c>
      <c r="N51" s="32">
        <f t="shared" si="8"/>
        <v>799.35900000000004</v>
      </c>
      <c r="O51" s="33">
        <f t="shared" si="9"/>
        <v>114728</v>
      </c>
      <c r="P51" s="32">
        <f t="shared" si="10"/>
        <v>801.93499999999995</v>
      </c>
      <c r="Q51" s="34">
        <f t="shared" si="11"/>
        <v>-1.92227E-4</v>
      </c>
      <c r="R51" s="32"/>
      <c r="S51" s="35"/>
      <c r="T51" s="32">
        <f t="shared" si="14"/>
        <v>798.95500000000004</v>
      </c>
      <c r="U51" s="35">
        <f t="shared" si="15"/>
        <v>1.3089299999999999</v>
      </c>
      <c r="V51" s="22">
        <f>((O51*(Q51)^2)/S49)*T51</f>
        <v>1.3921312876362957</v>
      </c>
      <c r="W51" s="49">
        <f t="shared" si="17"/>
        <v>-6.3564352284916498E-2</v>
      </c>
    </row>
    <row r="52" spans="2:23" x14ac:dyDescent="0.6">
      <c r="O52"/>
      <c r="Q52"/>
      <c r="S52"/>
      <c r="U52"/>
      <c r="V52"/>
    </row>
    <row r="53" spans="2:23" x14ac:dyDescent="0.6">
      <c r="O53"/>
      <c r="Q53"/>
      <c r="S53"/>
      <c r="U53"/>
      <c r="V53"/>
    </row>
    <row r="54" spans="2:23" x14ac:dyDescent="0.6">
      <c r="O54"/>
      <c r="Q54"/>
      <c r="S54"/>
      <c r="U54"/>
      <c r="V54"/>
    </row>
    <row r="55" spans="2:23" x14ac:dyDescent="0.6">
      <c r="O55"/>
      <c r="Q55"/>
      <c r="S55"/>
      <c r="U55"/>
      <c r="V55"/>
    </row>
    <row r="56" spans="2:23" x14ac:dyDescent="0.6">
      <c r="O56"/>
      <c r="Q56"/>
      <c r="S56"/>
      <c r="U56"/>
      <c r="V56"/>
    </row>
    <row r="57" spans="2:23" x14ac:dyDescent="0.6">
      <c r="O57"/>
      <c r="Q57"/>
      <c r="S57"/>
      <c r="U57"/>
      <c r="V57"/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W4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39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3.0596807772380199</v>
      </c>
      <c r="D9" s="3"/>
      <c r="E9" s="4"/>
      <c r="F9" s="3">
        <v>300.34270047977998</v>
      </c>
      <c r="G9" s="4">
        <v>-105.958291956305</v>
      </c>
      <c r="H9" s="3">
        <v>300</v>
      </c>
      <c r="I9" s="4">
        <v>3.9385542168674599</v>
      </c>
      <c r="J9" s="3">
        <v>300</v>
      </c>
      <c r="K9" s="4">
        <v>0.26967615309126902</v>
      </c>
      <c r="N9" s="3">
        <f>B9</f>
        <v>300</v>
      </c>
      <c r="O9" s="21">
        <f>C9*(10^(5))</f>
        <v>305968.07772380201</v>
      </c>
      <c r="P9" s="3">
        <f>F9</f>
        <v>300.34270047977998</v>
      </c>
      <c r="Q9" s="17">
        <f>G9*(10^(-6))</f>
        <v>-1.05958291956305E-4</v>
      </c>
      <c r="R9" s="3">
        <f>H9</f>
        <v>300</v>
      </c>
      <c r="S9" s="24">
        <f>I9</f>
        <v>3.9385542168674599</v>
      </c>
      <c r="T9" s="3">
        <f>J9</f>
        <v>300</v>
      </c>
      <c r="U9" s="51">
        <f>K9</f>
        <v>0.26967615309126902</v>
      </c>
      <c r="V9" s="42">
        <f>((O9*(Q9)^2)/S9)*T9</f>
        <v>0.261655845961906</v>
      </c>
      <c r="W9" s="49">
        <f>(U9-V9)/U9</f>
        <v>2.9740512972419319E-2</v>
      </c>
    </row>
    <row r="10" spans="1:23" x14ac:dyDescent="0.6">
      <c r="B10" s="3">
        <v>349.81773997569798</v>
      </c>
      <c r="C10" s="4">
        <v>2.8209576682859101</v>
      </c>
      <c r="D10" s="3"/>
      <c r="E10" s="4"/>
      <c r="F10" s="3">
        <v>350.71967100753898</v>
      </c>
      <c r="G10" s="4">
        <v>-114.697120158887</v>
      </c>
      <c r="H10" s="3">
        <v>350.02977963073198</v>
      </c>
      <c r="I10" s="4">
        <v>3.8457831325301202</v>
      </c>
      <c r="J10" s="3">
        <v>349.89532449406801</v>
      </c>
      <c r="K10" s="4">
        <v>0.35132482826300498</v>
      </c>
      <c r="N10" s="3">
        <f t="shared" ref="N10:N20" si="0">B10</f>
        <v>349.81773997569798</v>
      </c>
      <c r="O10" s="21">
        <f t="shared" ref="O10:O20" si="1">C10*(10^(5))</f>
        <v>282095.766828591</v>
      </c>
      <c r="P10" s="3">
        <f t="shared" ref="P10:P20" si="2">F10</f>
        <v>350.71967100753898</v>
      </c>
      <c r="Q10" s="17">
        <f t="shared" ref="Q10:Q20" si="3">G10*(10^(-6))</f>
        <v>-1.1469712015888699E-4</v>
      </c>
      <c r="R10" s="3">
        <f t="shared" ref="R10:R20" si="4">H10</f>
        <v>350.02977963073198</v>
      </c>
      <c r="S10" s="24">
        <f t="shared" ref="S10:S20" si="5">I10</f>
        <v>3.8457831325301202</v>
      </c>
      <c r="T10" s="3">
        <f t="shared" ref="T10:T20" si="6">J10</f>
        <v>349.89532449406801</v>
      </c>
      <c r="U10" s="51">
        <f t="shared" ref="U10:U20" si="7">K10</f>
        <v>0.35132482826300498</v>
      </c>
      <c r="V10" s="42">
        <f t="shared" ref="V10:V20" si="8">((O10*(Q10)^2)/S10)*T10</f>
        <v>0.33764081926440476</v>
      </c>
      <c r="W10" s="49">
        <f t="shared" ref="W10:W20" si="9">(U10-V10)/U10</f>
        <v>3.8949735110540645E-2</v>
      </c>
    </row>
    <row r="11" spans="1:23" x14ac:dyDescent="0.6">
      <c r="B11" s="2">
        <v>399.93924665856599</v>
      </c>
      <c r="C11" s="1">
        <v>2.6072172102706399</v>
      </c>
      <c r="D11" s="2"/>
      <c r="E11" s="1"/>
      <c r="F11" s="2">
        <v>400.41124057573597</v>
      </c>
      <c r="G11" s="1">
        <v>-123.435948361469</v>
      </c>
      <c r="H11" s="2">
        <v>400.05955926146498</v>
      </c>
      <c r="I11" s="1">
        <v>3.7602409638554199</v>
      </c>
      <c r="J11" s="2">
        <v>399.79064898813601</v>
      </c>
      <c r="K11" s="1">
        <v>0.44082433758587097</v>
      </c>
      <c r="N11" s="3">
        <f t="shared" si="0"/>
        <v>399.93924665856599</v>
      </c>
      <c r="O11" s="21">
        <f t="shared" si="1"/>
        <v>260721.72102706399</v>
      </c>
      <c r="P11" s="3">
        <f t="shared" si="2"/>
        <v>400.41124057573597</v>
      </c>
      <c r="Q11" s="17">
        <f t="shared" si="3"/>
        <v>-1.23435948361469E-4</v>
      </c>
      <c r="R11" s="3">
        <f t="shared" si="4"/>
        <v>400.05955926146498</v>
      </c>
      <c r="S11" s="24">
        <f t="shared" si="5"/>
        <v>3.7602409638554199</v>
      </c>
      <c r="T11" s="3">
        <f t="shared" si="6"/>
        <v>399.79064898813601</v>
      </c>
      <c r="U11" s="51">
        <f t="shared" si="7"/>
        <v>0.44082433758587097</v>
      </c>
      <c r="V11" s="42">
        <f t="shared" si="8"/>
        <v>0.42235485032632941</v>
      </c>
      <c r="W11" s="49">
        <f t="shared" si="9"/>
        <v>4.1897612460981178E-2</v>
      </c>
    </row>
    <row r="12" spans="1:23" x14ac:dyDescent="0.6">
      <c r="B12" s="2">
        <v>449.75698663426402</v>
      </c>
      <c r="C12" s="1">
        <v>2.4351145038167901</v>
      </c>
      <c r="D12" s="2"/>
      <c r="E12" s="1"/>
      <c r="F12" s="2">
        <v>450.44551062371397</v>
      </c>
      <c r="G12" s="1">
        <v>-131.18172790466701</v>
      </c>
      <c r="H12" s="2">
        <v>450.08933889219702</v>
      </c>
      <c r="I12" s="1">
        <v>3.6975903614457799</v>
      </c>
      <c r="J12" s="2">
        <v>449.68597348220499</v>
      </c>
      <c r="K12" s="1">
        <v>0.53503434739941302</v>
      </c>
      <c r="N12" s="3">
        <f t="shared" si="0"/>
        <v>449.75698663426402</v>
      </c>
      <c r="O12" s="21">
        <f t="shared" si="1"/>
        <v>243511.45038167899</v>
      </c>
      <c r="P12" s="3">
        <f t="shared" si="2"/>
        <v>450.44551062371397</v>
      </c>
      <c r="Q12" s="17">
        <f t="shared" si="3"/>
        <v>-1.3118172790466701E-4</v>
      </c>
      <c r="R12" s="3">
        <f t="shared" si="4"/>
        <v>450.08933889219702</v>
      </c>
      <c r="S12" s="24">
        <f t="shared" si="5"/>
        <v>3.6975903614457799</v>
      </c>
      <c r="T12" s="3">
        <f t="shared" si="6"/>
        <v>449.68597348220499</v>
      </c>
      <c r="U12" s="51">
        <f t="shared" si="7"/>
        <v>0.53503434739941302</v>
      </c>
      <c r="V12" s="42">
        <f t="shared" si="8"/>
        <v>0.50963192619709952</v>
      </c>
      <c r="W12" s="49">
        <f t="shared" si="9"/>
        <v>4.7478112995519767E-2</v>
      </c>
    </row>
    <row r="13" spans="1:23" x14ac:dyDescent="0.6">
      <c r="B13" s="2">
        <v>499.87849331713198</v>
      </c>
      <c r="C13" s="1">
        <v>2.28799444829979</v>
      </c>
      <c r="D13" s="2"/>
      <c r="E13" s="1"/>
      <c r="F13" s="2">
        <v>500.47978067169299</v>
      </c>
      <c r="G13" s="1">
        <v>-137.735849056603</v>
      </c>
      <c r="H13" s="2">
        <v>500.11911852293002</v>
      </c>
      <c r="I13" s="1">
        <v>3.6542168674698701</v>
      </c>
      <c r="J13" s="2">
        <v>499.93021632937899</v>
      </c>
      <c r="K13" s="1">
        <v>0.62688910696761702</v>
      </c>
      <c r="N13" s="3">
        <f t="shared" si="0"/>
        <v>499.87849331713198</v>
      </c>
      <c r="O13" s="21">
        <f t="shared" si="1"/>
        <v>228799.44482997901</v>
      </c>
      <c r="P13" s="3">
        <f t="shared" si="2"/>
        <v>500.47978067169299</v>
      </c>
      <c r="Q13" s="17">
        <f t="shared" si="3"/>
        <v>-1.3773584905660299E-4</v>
      </c>
      <c r="R13" s="3">
        <f t="shared" si="4"/>
        <v>500.11911852293002</v>
      </c>
      <c r="S13" s="24">
        <f t="shared" si="5"/>
        <v>3.6542168674698701</v>
      </c>
      <c r="T13" s="3">
        <f t="shared" si="6"/>
        <v>499.93021632937899</v>
      </c>
      <c r="U13" s="51">
        <f t="shared" si="7"/>
        <v>0.62688910696761702</v>
      </c>
      <c r="V13" s="42">
        <f t="shared" si="8"/>
        <v>0.59383257342284568</v>
      </c>
      <c r="W13" s="49">
        <f t="shared" si="9"/>
        <v>5.2731070260053074E-2</v>
      </c>
    </row>
    <row r="14" spans="1:23" x14ac:dyDescent="0.6">
      <c r="B14" s="2">
        <v>550</v>
      </c>
      <c r="C14" s="1">
        <v>2.1658570437196301</v>
      </c>
      <c r="D14" s="2"/>
      <c r="E14" s="1"/>
      <c r="F14" s="2">
        <v>550.51405071967099</v>
      </c>
      <c r="G14" s="1">
        <v>-144.488579940417</v>
      </c>
      <c r="H14" s="2">
        <v>550.148898153662</v>
      </c>
      <c r="I14" s="1">
        <v>3.62048192771084</v>
      </c>
      <c r="J14" s="2">
        <v>550.17445917655198</v>
      </c>
      <c r="K14" s="1">
        <v>0.72737978410206205</v>
      </c>
      <c r="N14" s="3">
        <f t="shared" si="0"/>
        <v>550</v>
      </c>
      <c r="O14" s="21">
        <f t="shared" si="1"/>
        <v>216585.70437196302</v>
      </c>
      <c r="P14" s="3">
        <f t="shared" si="2"/>
        <v>550.51405071967099</v>
      </c>
      <c r="Q14" s="17">
        <f t="shared" si="3"/>
        <v>-1.4448857994041699E-4</v>
      </c>
      <c r="R14" s="3">
        <f t="shared" si="4"/>
        <v>550.148898153662</v>
      </c>
      <c r="S14" s="24">
        <f t="shared" si="5"/>
        <v>3.62048192771084</v>
      </c>
      <c r="T14" s="3">
        <f t="shared" si="6"/>
        <v>550.17445917655198</v>
      </c>
      <c r="U14" s="51">
        <f t="shared" si="7"/>
        <v>0.72737978410206205</v>
      </c>
      <c r="V14" s="42">
        <f t="shared" si="8"/>
        <v>0.68711728645937009</v>
      </c>
      <c r="W14" s="49">
        <f t="shared" si="9"/>
        <v>5.5352786154753163E-2</v>
      </c>
    </row>
    <row r="15" spans="1:23" x14ac:dyDescent="0.6">
      <c r="B15" s="2">
        <v>600.12150668286699</v>
      </c>
      <c r="C15" s="1">
        <v>2.0548230395558602</v>
      </c>
      <c r="D15" s="2"/>
      <c r="E15" s="1"/>
      <c r="F15" s="2">
        <v>600.20562028786799</v>
      </c>
      <c r="G15" s="1">
        <v>-151.638530287984</v>
      </c>
      <c r="H15" s="2">
        <v>599.88088147706901</v>
      </c>
      <c r="I15" s="1">
        <v>3.6084337349397502</v>
      </c>
      <c r="J15" s="2">
        <v>599.72086531751495</v>
      </c>
      <c r="K15" s="1">
        <v>0.83493621197252299</v>
      </c>
      <c r="N15" s="3">
        <f t="shared" si="0"/>
        <v>600.12150668286699</v>
      </c>
      <c r="O15" s="21">
        <f t="shared" si="1"/>
        <v>205482.30395558602</v>
      </c>
      <c r="P15" s="3">
        <f t="shared" si="2"/>
        <v>600.20562028786799</v>
      </c>
      <c r="Q15" s="17">
        <f t="shared" si="3"/>
        <v>-1.5163853028798399E-4</v>
      </c>
      <c r="R15" s="3">
        <f t="shared" si="4"/>
        <v>599.88088147706901</v>
      </c>
      <c r="S15" s="24">
        <f t="shared" si="5"/>
        <v>3.6084337349397502</v>
      </c>
      <c r="T15" s="3">
        <f t="shared" si="6"/>
        <v>599.72086531751495</v>
      </c>
      <c r="U15" s="51">
        <f t="shared" si="7"/>
        <v>0.83493621197252299</v>
      </c>
      <c r="V15" s="42">
        <f t="shared" si="8"/>
        <v>0.78527900093260727</v>
      </c>
      <c r="W15" s="49">
        <f t="shared" si="9"/>
        <v>5.9474257228107737E-2</v>
      </c>
    </row>
    <row r="16" spans="1:23" x14ac:dyDescent="0.6">
      <c r="B16" s="2">
        <v>649.93924665856605</v>
      </c>
      <c r="C16" s="1">
        <v>1.96044413601665</v>
      </c>
      <c r="D16" s="2"/>
      <c r="E16" s="1"/>
      <c r="F16" s="2">
        <v>650.23989033584598</v>
      </c>
      <c r="G16" s="1">
        <v>-158.291956305859</v>
      </c>
      <c r="H16" s="2">
        <v>650.20845741512801</v>
      </c>
      <c r="I16" s="1">
        <v>3.6216867469879501</v>
      </c>
      <c r="J16" s="2">
        <v>649.96510816468901</v>
      </c>
      <c r="K16" s="1">
        <v>0.943277723258097</v>
      </c>
      <c r="N16" s="3">
        <f t="shared" si="0"/>
        <v>649.93924665856605</v>
      </c>
      <c r="O16" s="21">
        <f t="shared" si="1"/>
        <v>196044.413601665</v>
      </c>
      <c r="P16" s="3">
        <f t="shared" si="2"/>
        <v>650.23989033584598</v>
      </c>
      <c r="Q16" s="17">
        <f t="shared" si="3"/>
        <v>-1.5829195630585898E-4</v>
      </c>
      <c r="R16" s="3">
        <f t="shared" si="4"/>
        <v>650.20845741512801</v>
      </c>
      <c r="S16" s="24">
        <f t="shared" si="5"/>
        <v>3.6216867469879501</v>
      </c>
      <c r="T16" s="3">
        <f t="shared" si="6"/>
        <v>649.96510816468901</v>
      </c>
      <c r="U16" s="51">
        <f t="shared" si="7"/>
        <v>0.943277723258097</v>
      </c>
      <c r="V16" s="42">
        <f t="shared" si="8"/>
        <v>0.88155887839693947</v>
      </c>
      <c r="W16" s="49">
        <f t="shared" si="9"/>
        <v>6.5430194458509644E-2</v>
      </c>
    </row>
    <row r="17" spans="2:23" x14ac:dyDescent="0.6">
      <c r="B17" s="2">
        <v>700.06075334143304</v>
      </c>
      <c r="C17" s="1">
        <v>1.8827203331020099</v>
      </c>
      <c r="D17" s="2"/>
      <c r="E17" s="1"/>
      <c r="F17" s="2">
        <v>700.27416038382398</v>
      </c>
      <c r="G17" s="1">
        <v>-163.75372393247201</v>
      </c>
      <c r="H17" s="2">
        <v>699.94044073853399</v>
      </c>
      <c r="I17" s="1">
        <v>3.64578313253012</v>
      </c>
      <c r="J17" s="2">
        <v>699.86043265875696</v>
      </c>
      <c r="K17" s="1">
        <v>1.0382728164867501</v>
      </c>
      <c r="N17" s="3">
        <f t="shared" si="0"/>
        <v>700.06075334143304</v>
      </c>
      <c r="O17" s="21">
        <f t="shared" si="1"/>
        <v>188272.03331020099</v>
      </c>
      <c r="P17" s="3">
        <f t="shared" si="2"/>
        <v>700.27416038382398</v>
      </c>
      <c r="Q17" s="17">
        <f t="shared" si="3"/>
        <v>-1.6375372393247201E-4</v>
      </c>
      <c r="R17" s="3">
        <f t="shared" si="4"/>
        <v>699.94044073853399</v>
      </c>
      <c r="S17" s="24">
        <f t="shared" si="5"/>
        <v>3.64578313253012</v>
      </c>
      <c r="T17" s="3">
        <f t="shared" si="6"/>
        <v>699.86043265875696</v>
      </c>
      <c r="U17" s="51">
        <f t="shared" si="7"/>
        <v>1.0382728164867501</v>
      </c>
      <c r="V17" s="42">
        <f t="shared" si="8"/>
        <v>0.96914507417163076</v>
      </c>
      <c r="W17" s="49">
        <f t="shared" si="9"/>
        <v>6.657955521654696E-2</v>
      </c>
    </row>
    <row r="18" spans="2:23" x14ac:dyDescent="0.6">
      <c r="B18" s="2">
        <v>749.87849331713198</v>
      </c>
      <c r="C18" s="1">
        <v>1.80777238029146</v>
      </c>
      <c r="D18" s="2"/>
      <c r="E18" s="1"/>
      <c r="F18" s="2">
        <v>750.30843043180198</v>
      </c>
      <c r="G18" s="1">
        <v>-167.924528301886</v>
      </c>
      <c r="H18" s="2">
        <v>749.97022036926705</v>
      </c>
      <c r="I18" s="1">
        <v>3.6710843373493902</v>
      </c>
      <c r="J18" s="2">
        <v>749.75575715282605</v>
      </c>
      <c r="K18" s="1">
        <v>1.12227674190382</v>
      </c>
      <c r="N18" s="3">
        <f t="shared" si="0"/>
        <v>749.87849331713198</v>
      </c>
      <c r="O18" s="21">
        <f t="shared" si="1"/>
        <v>180777.23802914601</v>
      </c>
      <c r="P18" s="3">
        <f t="shared" si="2"/>
        <v>750.30843043180198</v>
      </c>
      <c r="Q18" s="17">
        <f t="shared" si="3"/>
        <v>-1.67924528301886E-4</v>
      </c>
      <c r="R18" s="3">
        <f t="shared" si="4"/>
        <v>749.97022036926705</v>
      </c>
      <c r="S18" s="24">
        <f t="shared" si="5"/>
        <v>3.6710843373493902</v>
      </c>
      <c r="T18" s="3">
        <f t="shared" si="6"/>
        <v>749.75575715282605</v>
      </c>
      <c r="U18" s="51">
        <f t="shared" si="7"/>
        <v>1.12227674190382</v>
      </c>
      <c r="V18" s="42">
        <f t="shared" si="8"/>
        <v>1.0411120385537602</v>
      </c>
      <c r="W18" s="49">
        <f t="shared" si="9"/>
        <v>7.2321469669212518E-2</v>
      </c>
    </row>
    <row r="19" spans="2:23" x14ac:dyDescent="0.6">
      <c r="B19" s="2">
        <v>800</v>
      </c>
      <c r="C19" s="1">
        <v>1.7383761276891001</v>
      </c>
      <c r="D19" s="2"/>
      <c r="E19" s="1"/>
      <c r="F19" s="2">
        <v>800</v>
      </c>
      <c r="G19" s="1">
        <v>-172.591857000993</v>
      </c>
      <c r="H19" s="2">
        <v>800.29779630732503</v>
      </c>
      <c r="I19" s="1">
        <v>3.7301204819277101</v>
      </c>
      <c r="J19" s="2">
        <v>800</v>
      </c>
      <c r="K19" s="1">
        <v>1.2023552502453301</v>
      </c>
      <c r="N19" s="3">
        <f t="shared" si="0"/>
        <v>800</v>
      </c>
      <c r="O19" s="21">
        <f t="shared" si="1"/>
        <v>173837.61276891001</v>
      </c>
      <c r="P19" s="3">
        <f t="shared" si="2"/>
        <v>800</v>
      </c>
      <c r="Q19" s="17">
        <f t="shared" si="3"/>
        <v>-1.72591857000993E-4</v>
      </c>
      <c r="R19" s="3">
        <f t="shared" si="4"/>
        <v>800.29779630732503</v>
      </c>
      <c r="S19" s="24">
        <f t="shared" si="5"/>
        <v>3.7301204819277101</v>
      </c>
      <c r="T19" s="3">
        <f t="shared" si="6"/>
        <v>800</v>
      </c>
      <c r="U19" s="51">
        <f t="shared" si="7"/>
        <v>1.2023552502453301</v>
      </c>
      <c r="V19" s="42">
        <f t="shared" si="8"/>
        <v>1.11058417259061</v>
      </c>
      <c r="W19" s="49">
        <f t="shared" si="9"/>
        <v>7.6326092172837395E-2</v>
      </c>
    </row>
    <row r="20" spans="2:23" x14ac:dyDescent="0.6">
      <c r="B20" s="28">
        <v>849.81773997569803</v>
      </c>
      <c r="C20" s="29">
        <v>1.6773074253990199</v>
      </c>
      <c r="D20" s="28"/>
      <c r="E20" s="29"/>
      <c r="F20" s="28">
        <v>850.034270047978</v>
      </c>
      <c r="G20" s="29">
        <v>-176.76266137040699</v>
      </c>
      <c r="H20" s="28">
        <v>850.02977963073204</v>
      </c>
      <c r="I20" s="29">
        <v>3.84457831325301</v>
      </c>
      <c r="J20" s="28">
        <v>849.89532449406795</v>
      </c>
      <c r="K20" s="29">
        <v>1.2604514229636901</v>
      </c>
      <c r="N20" s="32">
        <f t="shared" si="0"/>
        <v>849.81773997569803</v>
      </c>
      <c r="O20" s="21">
        <f t="shared" si="1"/>
        <v>167730.74253990198</v>
      </c>
      <c r="P20" s="32">
        <f t="shared" si="2"/>
        <v>850.034270047978</v>
      </c>
      <c r="Q20" s="17">
        <f t="shared" si="3"/>
        <v>-1.7676266137040699E-4</v>
      </c>
      <c r="R20" s="32">
        <f t="shared" si="4"/>
        <v>850.02977963073204</v>
      </c>
      <c r="S20" s="35">
        <f t="shared" si="5"/>
        <v>3.84457831325301</v>
      </c>
      <c r="T20" s="32">
        <f t="shared" si="6"/>
        <v>849.89532449406795</v>
      </c>
      <c r="U20" s="52">
        <f t="shared" si="7"/>
        <v>1.2604514229636901</v>
      </c>
      <c r="V20" s="42">
        <f t="shared" si="8"/>
        <v>1.1585384752650676</v>
      </c>
      <c r="W20" s="49">
        <f t="shared" si="9"/>
        <v>8.0854323968309161E-2</v>
      </c>
    </row>
    <row r="21" spans="2:23" x14ac:dyDescent="0.6">
      <c r="B21" s="30"/>
      <c r="C21" s="30"/>
      <c r="D21" s="30"/>
      <c r="E21" s="30"/>
      <c r="F21" s="30"/>
      <c r="G21" s="30"/>
      <c r="H21" s="30"/>
      <c r="I21" s="30"/>
      <c r="J21" s="30"/>
      <c r="K21" s="30"/>
      <c r="N21" s="30"/>
      <c r="O21" s="39"/>
      <c r="P21" s="30"/>
      <c r="Q21" s="40"/>
      <c r="R21" s="30"/>
      <c r="S21" s="41"/>
      <c r="T21" s="30"/>
      <c r="U21" s="41"/>
    </row>
    <row r="22" spans="2:23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39</v>
      </c>
      <c r="D26" s="11" t="s">
        <v>4</v>
      </c>
      <c r="E26" s="10" t="s">
        <v>11</v>
      </c>
      <c r="F26" s="11" t="s">
        <v>4</v>
      </c>
      <c r="G26" s="27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299.3</v>
      </c>
      <c r="C27" s="4">
        <v>3.0793699999999999</v>
      </c>
      <c r="D27" s="3"/>
      <c r="E27" s="4"/>
      <c r="F27" s="3">
        <v>297.863</v>
      </c>
      <c r="G27" s="4">
        <v>-105</v>
      </c>
      <c r="H27" s="3">
        <v>301.17899999999997</v>
      </c>
      <c r="I27" s="4">
        <v>3.9672499999999999</v>
      </c>
      <c r="J27" s="3">
        <v>300.39499999999998</v>
      </c>
      <c r="K27" s="4">
        <v>0.273289</v>
      </c>
      <c r="N27" s="3">
        <f>B27</f>
        <v>299.3</v>
      </c>
      <c r="O27" s="21">
        <f>C27*100000</f>
        <v>307937</v>
      </c>
      <c r="P27" s="3">
        <f>F27</f>
        <v>297.863</v>
      </c>
      <c r="Q27" s="17">
        <f>G27*0.000001</f>
        <v>-1.0499999999999999E-4</v>
      </c>
      <c r="R27" s="3">
        <f>H27</f>
        <v>301.17899999999997</v>
      </c>
      <c r="S27" s="24">
        <f>I27</f>
        <v>3.9672499999999999</v>
      </c>
      <c r="T27" s="3">
        <f>J27</f>
        <v>300.39499999999998</v>
      </c>
      <c r="U27" s="24">
        <f>K27</f>
        <v>0.273289</v>
      </c>
      <c r="V27" s="22">
        <f>((O27*(Q27)^2)/S27)*T27</f>
        <v>0.25706538651279215</v>
      </c>
      <c r="W27" s="49">
        <f>(U27-V27)/U27</f>
        <v>5.9364312091624086E-2</v>
      </c>
    </row>
    <row r="28" spans="2:23" x14ac:dyDescent="0.6">
      <c r="B28" s="3">
        <v>346.99400000000003</v>
      </c>
      <c r="C28" s="4">
        <v>2.8597999999999999</v>
      </c>
      <c r="D28" s="3"/>
      <c r="E28" s="4"/>
      <c r="F28" s="3">
        <v>347.00900000000001</v>
      </c>
      <c r="G28" s="4">
        <v>-114.375</v>
      </c>
      <c r="H28" s="3">
        <v>351.84</v>
      </c>
      <c r="I28" s="4">
        <v>3.8777300000000001</v>
      </c>
      <c r="J28" s="3">
        <v>350.51499999999999</v>
      </c>
      <c r="K28" s="4">
        <v>0.35677999999999999</v>
      </c>
      <c r="N28" s="3">
        <f t="shared" ref="N28:N38" si="10">B28</f>
        <v>346.99400000000003</v>
      </c>
      <c r="O28" s="21">
        <f t="shared" ref="O28:O38" si="11">C28*100000</f>
        <v>285980</v>
      </c>
      <c r="P28" s="3">
        <f t="shared" ref="P28:P38" si="12">F28</f>
        <v>347.00900000000001</v>
      </c>
      <c r="Q28" s="17">
        <f t="shared" ref="Q28:Q38" si="13">G28*0.000001</f>
        <v>-1.1437499999999999E-4</v>
      </c>
      <c r="R28" s="3">
        <f t="shared" ref="R28:R38" si="14">H28</f>
        <v>351.84</v>
      </c>
      <c r="S28" s="24">
        <f t="shared" ref="S28:S38" si="15">I28</f>
        <v>3.8777300000000001</v>
      </c>
      <c r="T28" s="3">
        <f t="shared" ref="T28:T38" si="16">J28</f>
        <v>350.51499999999999</v>
      </c>
      <c r="U28" s="24">
        <f t="shared" ref="U28:U38" si="17">K28</f>
        <v>0.35677999999999999</v>
      </c>
      <c r="V28" s="22">
        <f t="shared" ref="V28:V38" si="18">((O28*(Q28)^2)/S28)*T28</f>
        <v>0.33816364604675481</v>
      </c>
      <c r="W28" s="49">
        <f t="shared" ref="W28:W38" si="19">(U28-V28)/U28</f>
        <v>5.2178804734696958E-2</v>
      </c>
    </row>
    <row r="29" spans="2:23" x14ac:dyDescent="0.6">
      <c r="B29" s="2">
        <v>402.64499999999998</v>
      </c>
      <c r="C29" s="1">
        <v>2.6254599999999999</v>
      </c>
      <c r="D29" s="2"/>
      <c r="E29" s="1"/>
      <c r="F29" s="2">
        <v>402.56400000000002</v>
      </c>
      <c r="G29" s="1">
        <v>-123.125</v>
      </c>
      <c r="H29" s="2">
        <v>402.48</v>
      </c>
      <c r="I29" s="1">
        <v>3.7746599999999999</v>
      </c>
      <c r="J29" s="2">
        <v>399.02600000000001</v>
      </c>
      <c r="K29" s="1">
        <v>0.44392900000000002</v>
      </c>
      <c r="N29" s="3">
        <f t="shared" si="10"/>
        <v>402.64499999999998</v>
      </c>
      <c r="O29" s="21">
        <f t="shared" si="11"/>
        <v>262546</v>
      </c>
      <c r="P29" s="3">
        <f t="shared" si="12"/>
        <v>402.56400000000002</v>
      </c>
      <c r="Q29" s="17">
        <f t="shared" si="13"/>
        <v>-1.23125E-4</v>
      </c>
      <c r="R29" s="3">
        <f t="shared" si="14"/>
        <v>402.48</v>
      </c>
      <c r="S29" s="24">
        <f t="shared" si="15"/>
        <v>3.7746599999999999</v>
      </c>
      <c r="T29" s="3">
        <f t="shared" si="16"/>
        <v>399.02600000000001</v>
      </c>
      <c r="U29" s="24">
        <f t="shared" si="17"/>
        <v>0.44392900000000002</v>
      </c>
      <c r="V29" s="22">
        <f t="shared" si="18"/>
        <v>0.4207472137936103</v>
      </c>
      <c r="W29" s="49">
        <f t="shared" si="19"/>
        <v>5.22195806230044E-2</v>
      </c>
    </row>
    <row r="30" spans="2:23" x14ac:dyDescent="0.6">
      <c r="B30" s="2">
        <v>450.35399999999998</v>
      </c>
      <c r="C30" s="1">
        <v>2.4495300000000002</v>
      </c>
      <c r="D30" s="2"/>
      <c r="E30" s="1"/>
      <c r="F30" s="2">
        <v>451.709</v>
      </c>
      <c r="G30" s="1">
        <v>-130.625</v>
      </c>
      <c r="H30" s="2">
        <v>446.83199999999999</v>
      </c>
      <c r="I30" s="1">
        <v>3.7124299999999999</v>
      </c>
      <c r="J30" s="2">
        <v>452.387</v>
      </c>
      <c r="K30" s="1">
        <v>0.53833399999999998</v>
      </c>
      <c r="N30" s="3">
        <f t="shared" si="10"/>
        <v>450.35399999999998</v>
      </c>
      <c r="O30" s="21">
        <f t="shared" si="11"/>
        <v>244953.00000000003</v>
      </c>
      <c r="P30" s="3">
        <f t="shared" si="12"/>
        <v>451.709</v>
      </c>
      <c r="Q30" s="17">
        <f t="shared" si="13"/>
        <v>-1.3062499999999999E-4</v>
      </c>
      <c r="R30" s="3">
        <f t="shared" si="14"/>
        <v>446.83199999999999</v>
      </c>
      <c r="S30" s="24">
        <f t="shared" si="15"/>
        <v>3.7124299999999999</v>
      </c>
      <c r="T30" s="3">
        <f t="shared" si="16"/>
        <v>452.387</v>
      </c>
      <c r="U30" s="24">
        <f t="shared" si="17"/>
        <v>0.53833399999999998</v>
      </c>
      <c r="V30" s="22">
        <f t="shared" si="18"/>
        <v>0.50931587434153769</v>
      </c>
      <c r="W30" s="49">
        <f t="shared" si="19"/>
        <v>5.3903572240397768E-2</v>
      </c>
    </row>
    <row r="31" spans="2:23" x14ac:dyDescent="0.6">
      <c r="B31" s="2">
        <v>501.25900000000001</v>
      </c>
      <c r="C31" s="1">
        <v>2.3025899999999999</v>
      </c>
      <c r="D31" s="2"/>
      <c r="E31" s="1"/>
      <c r="F31" s="2">
        <v>498.71800000000002</v>
      </c>
      <c r="G31" s="1">
        <v>-137.5</v>
      </c>
      <c r="H31" s="2">
        <v>500.738</v>
      </c>
      <c r="I31" s="1">
        <v>3.6702900000000001</v>
      </c>
      <c r="J31" s="2">
        <v>500.90800000000002</v>
      </c>
      <c r="K31" s="1">
        <v>0.63277399999999995</v>
      </c>
      <c r="N31" s="3">
        <f t="shared" si="10"/>
        <v>501.25900000000001</v>
      </c>
      <c r="O31" s="21">
        <f t="shared" si="11"/>
        <v>230259</v>
      </c>
      <c r="P31" s="3">
        <f t="shared" si="12"/>
        <v>498.71800000000002</v>
      </c>
      <c r="Q31" s="17">
        <f t="shared" si="13"/>
        <v>-1.3749999999999998E-4</v>
      </c>
      <c r="R31" s="3">
        <f t="shared" si="14"/>
        <v>500.738</v>
      </c>
      <c r="S31" s="24">
        <f t="shared" si="15"/>
        <v>3.6702900000000001</v>
      </c>
      <c r="T31" s="3">
        <f t="shared" si="16"/>
        <v>500.90800000000002</v>
      </c>
      <c r="U31" s="24">
        <f t="shared" si="17"/>
        <v>0.63277399999999995</v>
      </c>
      <c r="V31" s="22">
        <f t="shared" si="18"/>
        <v>0.59412742231421067</v>
      </c>
      <c r="W31" s="49">
        <f t="shared" si="19"/>
        <v>6.1074850872174388E-2</v>
      </c>
    </row>
    <row r="32" spans="2:23" x14ac:dyDescent="0.6">
      <c r="B32" s="2">
        <v>550.57600000000002</v>
      </c>
      <c r="C32" s="1">
        <v>2.1702499999999998</v>
      </c>
      <c r="D32" s="2"/>
      <c r="E32" s="1"/>
      <c r="F32" s="2">
        <v>552.13699999999994</v>
      </c>
      <c r="G32" s="1">
        <v>-145</v>
      </c>
      <c r="H32" s="2">
        <v>553.05600000000004</v>
      </c>
      <c r="I32" s="1">
        <v>3.62819</v>
      </c>
      <c r="J32" s="2">
        <v>552.65599999999995</v>
      </c>
      <c r="K32" s="1">
        <v>0.72719100000000003</v>
      </c>
      <c r="N32" s="3">
        <f t="shared" si="10"/>
        <v>550.57600000000002</v>
      </c>
      <c r="O32" s="21">
        <f t="shared" si="11"/>
        <v>217024.99999999997</v>
      </c>
      <c r="P32" s="3">
        <f t="shared" si="12"/>
        <v>552.13699999999994</v>
      </c>
      <c r="Q32" s="17">
        <f t="shared" si="13"/>
        <v>-1.45E-4</v>
      </c>
      <c r="R32" s="3">
        <f t="shared" si="14"/>
        <v>553.05600000000004</v>
      </c>
      <c r="S32" s="24">
        <f t="shared" si="15"/>
        <v>3.62819</v>
      </c>
      <c r="T32" s="3">
        <f t="shared" si="16"/>
        <v>552.65599999999995</v>
      </c>
      <c r="U32" s="24">
        <f t="shared" si="17"/>
        <v>0.72719100000000003</v>
      </c>
      <c r="V32" s="22">
        <f t="shared" si="18"/>
        <v>0.69504134034050014</v>
      </c>
      <c r="W32" s="49">
        <f t="shared" si="19"/>
        <v>4.4210750214867749E-2</v>
      </c>
    </row>
    <row r="33" spans="2:23" x14ac:dyDescent="0.6">
      <c r="B33" s="2">
        <v>599.90800000000002</v>
      </c>
      <c r="C33" s="1">
        <v>2.0815399999999999</v>
      </c>
      <c r="D33" s="2"/>
      <c r="E33" s="1"/>
      <c r="F33" s="2">
        <v>601.28200000000004</v>
      </c>
      <c r="G33" s="1">
        <v>-151.25</v>
      </c>
      <c r="H33" s="2">
        <v>599.07600000000002</v>
      </c>
      <c r="I33" s="1">
        <v>3.6201599999999998</v>
      </c>
      <c r="J33" s="2">
        <v>599.58600000000001</v>
      </c>
      <c r="K33" s="1">
        <v>0.83622700000000005</v>
      </c>
      <c r="N33" s="3">
        <f t="shared" si="10"/>
        <v>599.90800000000002</v>
      </c>
      <c r="O33" s="21">
        <f t="shared" si="11"/>
        <v>208154</v>
      </c>
      <c r="P33" s="3">
        <f t="shared" si="12"/>
        <v>601.28200000000004</v>
      </c>
      <c r="Q33" s="17">
        <f t="shared" si="13"/>
        <v>-1.5124999999999999E-4</v>
      </c>
      <c r="R33" s="3">
        <f t="shared" si="14"/>
        <v>599.07600000000002</v>
      </c>
      <c r="S33" s="24">
        <f t="shared" si="15"/>
        <v>3.6201599999999998</v>
      </c>
      <c r="T33" s="3">
        <f t="shared" si="16"/>
        <v>599.58600000000001</v>
      </c>
      <c r="U33" s="24">
        <f t="shared" si="17"/>
        <v>0.83622700000000005</v>
      </c>
      <c r="V33" s="22">
        <f t="shared" si="18"/>
        <v>0.78867712733881412</v>
      </c>
      <c r="W33" s="49">
        <f t="shared" si="19"/>
        <v>5.6862398201906812E-2</v>
      </c>
    </row>
    <row r="34" spans="2:23" x14ac:dyDescent="0.6">
      <c r="B34" s="2">
        <v>654.01700000000005</v>
      </c>
      <c r="C34" s="1">
        <v>1.9926900000000001</v>
      </c>
      <c r="D34" s="2"/>
      <c r="E34" s="1"/>
      <c r="F34" s="2">
        <v>648.29100000000005</v>
      </c>
      <c r="G34" s="1">
        <v>-158.125</v>
      </c>
      <c r="H34" s="2">
        <v>654.62900000000002</v>
      </c>
      <c r="I34" s="1">
        <v>3.6186600000000002</v>
      </c>
      <c r="J34" s="2">
        <v>656.19799999999998</v>
      </c>
      <c r="K34" s="1">
        <v>0.94883799999999996</v>
      </c>
      <c r="N34" s="3">
        <f t="shared" si="10"/>
        <v>654.01700000000005</v>
      </c>
      <c r="O34" s="21">
        <f t="shared" si="11"/>
        <v>199269</v>
      </c>
      <c r="P34" s="3">
        <f t="shared" si="12"/>
        <v>648.29100000000005</v>
      </c>
      <c r="Q34" s="17">
        <f t="shared" si="13"/>
        <v>-1.5812499999999998E-4</v>
      </c>
      <c r="R34" s="3">
        <f t="shared" si="14"/>
        <v>654.62900000000002</v>
      </c>
      <c r="S34" s="24">
        <f t="shared" si="15"/>
        <v>3.6186600000000002</v>
      </c>
      <c r="T34" s="3">
        <f t="shared" si="16"/>
        <v>656.19799999999998</v>
      </c>
      <c r="U34" s="24">
        <f t="shared" si="17"/>
        <v>0.94883799999999996</v>
      </c>
      <c r="V34" s="22">
        <f t="shared" si="18"/>
        <v>0.90349955077049349</v>
      </c>
      <c r="W34" s="49">
        <f t="shared" si="19"/>
        <v>4.7783129711822747E-2</v>
      </c>
    </row>
    <row r="35" spans="2:23" x14ac:dyDescent="0.6">
      <c r="B35" s="2">
        <v>703.34900000000005</v>
      </c>
      <c r="C35" s="1">
        <v>1.90398</v>
      </c>
      <c r="D35" s="2"/>
      <c r="E35" s="1"/>
      <c r="F35" s="2">
        <v>699.57299999999998</v>
      </c>
      <c r="G35" s="1">
        <v>-163.125</v>
      </c>
      <c r="H35" s="2">
        <v>703.89400000000001</v>
      </c>
      <c r="I35" s="1">
        <v>3.6579999999999999</v>
      </c>
      <c r="J35" s="2">
        <v>703.10699999999997</v>
      </c>
      <c r="K35" s="1">
        <v>1.0432900000000001</v>
      </c>
      <c r="N35" s="3">
        <f t="shared" si="10"/>
        <v>703.34900000000005</v>
      </c>
      <c r="O35" s="21">
        <f t="shared" si="11"/>
        <v>190398</v>
      </c>
      <c r="P35" s="3">
        <f t="shared" si="12"/>
        <v>699.57299999999998</v>
      </c>
      <c r="Q35" s="17">
        <f t="shared" si="13"/>
        <v>-1.6312499999999999E-4</v>
      </c>
      <c r="R35" s="3">
        <f t="shared" si="14"/>
        <v>703.89400000000001</v>
      </c>
      <c r="S35" s="24">
        <f t="shared" si="15"/>
        <v>3.6579999999999999</v>
      </c>
      <c r="T35" s="3">
        <f t="shared" si="16"/>
        <v>703.10699999999997</v>
      </c>
      <c r="U35" s="24">
        <f t="shared" si="17"/>
        <v>1.0432900000000001</v>
      </c>
      <c r="V35" s="22">
        <f t="shared" si="18"/>
        <v>0.97382552133219402</v>
      </c>
      <c r="W35" s="49">
        <f t="shared" si="19"/>
        <v>6.6582137917363365E-2</v>
      </c>
    </row>
    <row r="36" spans="2:23" x14ac:dyDescent="0.6">
      <c r="B36" s="2">
        <v>752.67600000000004</v>
      </c>
      <c r="C36" s="1">
        <v>1.8007299999999999</v>
      </c>
      <c r="D36" s="2"/>
      <c r="E36" s="1"/>
      <c r="F36" s="2">
        <v>748.71799999999996</v>
      </c>
      <c r="G36" s="1">
        <v>-167.5</v>
      </c>
      <c r="H36" s="2">
        <v>749.97400000000005</v>
      </c>
      <c r="I36" s="1">
        <v>3.6906500000000002</v>
      </c>
      <c r="J36" s="2">
        <v>753.221</v>
      </c>
      <c r="K36" s="1">
        <v>1.12314</v>
      </c>
      <c r="N36" s="3">
        <f t="shared" si="10"/>
        <v>752.67600000000004</v>
      </c>
      <c r="O36" s="21">
        <f t="shared" si="11"/>
        <v>180073</v>
      </c>
      <c r="P36" s="3">
        <f t="shared" si="12"/>
        <v>748.71799999999996</v>
      </c>
      <c r="Q36" s="17">
        <f t="shared" si="13"/>
        <v>-1.6750000000000001E-4</v>
      </c>
      <c r="R36" s="3">
        <f t="shared" si="14"/>
        <v>749.97400000000005</v>
      </c>
      <c r="S36" s="24">
        <f t="shared" si="15"/>
        <v>3.6906500000000002</v>
      </c>
      <c r="T36" s="3">
        <f t="shared" si="16"/>
        <v>753.221</v>
      </c>
      <c r="U36" s="24">
        <f t="shared" si="17"/>
        <v>1.12314</v>
      </c>
      <c r="V36" s="22">
        <f t="shared" si="18"/>
        <v>1.031092864200813</v>
      </c>
      <c r="W36" s="49">
        <f t="shared" si="19"/>
        <v>8.1955175489419829E-2</v>
      </c>
    </row>
    <row r="37" spans="2:23" x14ac:dyDescent="0.6">
      <c r="B37" s="2">
        <v>800.43100000000004</v>
      </c>
      <c r="C37" s="1">
        <v>1.7557100000000001</v>
      </c>
      <c r="D37" s="2"/>
      <c r="E37" s="1"/>
      <c r="F37" s="2">
        <v>797.86300000000006</v>
      </c>
      <c r="G37" s="1">
        <v>-172.5</v>
      </c>
      <c r="H37" s="2">
        <v>805.57799999999997</v>
      </c>
      <c r="I37" s="1">
        <v>3.7230400000000001</v>
      </c>
      <c r="J37" s="2">
        <v>804.95299999999997</v>
      </c>
      <c r="K37" s="1">
        <v>1.20661</v>
      </c>
      <c r="N37" s="3">
        <f t="shared" si="10"/>
        <v>800.43100000000004</v>
      </c>
      <c r="O37" s="21">
        <f t="shared" si="11"/>
        <v>175571</v>
      </c>
      <c r="P37" s="3">
        <f t="shared" si="12"/>
        <v>797.86300000000006</v>
      </c>
      <c r="Q37" s="17">
        <f t="shared" si="13"/>
        <v>-1.7249999999999999E-4</v>
      </c>
      <c r="R37" s="3">
        <f t="shared" si="14"/>
        <v>805.57799999999997</v>
      </c>
      <c r="S37" s="24">
        <f t="shared" si="15"/>
        <v>3.7230400000000001</v>
      </c>
      <c r="T37" s="3">
        <f t="shared" si="16"/>
        <v>804.95299999999997</v>
      </c>
      <c r="U37" s="24">
        <f t="shared" si="17"/>
        <v>1.20661</v>
      </c>
      <c r="V37" s="22">
        <f t="shared" si="18"/>
        <v>1.1295456895759963</v>
      </c>
      <c r="W37" s="49">
        <f t="shared" si="19"/>
        <v>6.3868449974725586E-2</v>
      </c>
    </row>
    <row r="38" spans="2:23" x14ac:dyDescent="0.6">
      <c r="B38" s="28">
        <v>852.94799999999998</v>
      </c>
      <c r="C38" s="29">
        <v>1.6669099999999999</v>
      </c>
      <c r="D38" s="28"/>
      <c r="E38" s="29"/>
      <c r="F38" s="28">
        <v>847.00900000000001</v>
      </c>
      <c r="G38" s="29">
        <v>-176.875</v>
      </c>
      <c r="H38" s="28">
        <v>850.22199999999998</v>
      </c>
      <c r="I38" s="29">
        <v>3.85744</v>
      </c>
      <c r="J38" s="28">
        <v>853.41800000000001</v>
      </c>
      <c r="K38" s="29">
        <v>1.26095</v>
      </c>
      <c r="N38" s="32">
        <f t="shared" si="10"/>
        <v>852.94799999999998</v>
      </c>
      <c r="O38" s="33">
        <f t="shared" si="11"/>
        <v>166691</v>
      </c>
      <c r="P38" s="32">
        <f t="shared" si="12"/>
        <v>847.00900000000001</v>
      </c>
      <c r="Q38" s="34">
        <f t="shared" si="13"/>
        <v>-1.76875E-4</v>
      </c>
      <c r="R38" s="32">
        <f t="shared" si="14"/>
        <v>850.22199999999998</v>
      </c>
      <c r="S38" s="35">
        <f t="shared" si="15"/>
        <v>3.85744</v>
      </c>
      <c r="T38" s="32">
        <f t="shared" si="16"/>
        <v>853.41800000000001</v>
      </c>
      <c r="U38" s="35">
        <f t="shared" si="17"/>
        <v>1.26095</v>
      </c>
      <c r="V38" s="22">
        <f t="shared" si="18"/>
        <v>1.1537392744732404</v>
      </c>
      <c r="W38" s="49">
        <f t="shared" si="19"/>
        <v>8.5023772177135956E-2</v>
      </c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370.02600000000001</v>
      </c>
      <c r="E9" s="4">
        <v>14.868499999999999</v>
      </c>
      <c r="F9" s="3">
        <v>368.56700000000001</v>
      </c>
      <c r="G9" s="4">
        <v>80.207700000000003</v>
      </c>
      <c r="H9" s="3">
        <v>371.55200000000002</v>
      </c>
      <c r="I9" s="4">
        <v>2.8393299999999999</v>
      </c>
      <c r="J9" s="3">
        <v>368.36700000000002</v>
      </c>
      <c r="K9" s="4">
        <v>5.8235299999999997E-2</v>
      </c>
      <c r="N9" s="3">
        <f>D9</f>
        <v>370.02600000000001</v>
      </c>
      <c r="O9" s="21">
        <f>1/(E9*(10^(-6)))</f>
        <v>67256.280055150157</v>
      </c>
      <c r="P9" s="3">
        <f>F9</f>
        <v>368.56700000000001</v>
      </c>
      <c r="Q9" s="17">
        <f>G9*(10^(-6))</f>
        <v>8.0207699999999994E-5</v>
      </c>
      <c r="R9" s="3">
        <f>H9</f>
        <v>371.55200000000002</v>
      </c>
      <c r="S9" s="24">
        <f>I9</f>
        <v>2.8393299999999999</v>
      </c>
      <c r="T9" s="3">
        <f>J9</f>
        <v>368.36700000000002</v>
      </c>
      <c r="U9" s="51">
        <f>K9</f>
        <v>5.8235299999999997E-2</v>
      </c>
      <c r="V9" s="42">
        <f>((O9*(Q9)^2)/S9)*T9</f>
        <v>5.6134494305547872E-2</v>
      </c>
      <c r="W9" s="49">
        <f>(U9-V9)/U9</f>
        <v>3.6074437573982189E-2</v>
      </c>
    </row>
    <row r="10" spans="1:23" x14ac:dyDescent="0.6">
      <c r="B10" s="3"/>
      <c r="C10" s="4"/>
      <c r="D10" s="3">
        <v>453.58300000000003</v>
      </c>
      <c r="E10" s="4">
        <v>15.2287</v>
      </c>
      <c r="F10" s="3">
        <v>450.899</v>
      </c>
      <c r="G10" s="4">
        <v>95.811199999999999</v>
      </c>
      <c r="H10" s="3">
        <v>450.39800000000002</v>
      </c>
      <c r="I10" s="4">
        <v>2.6716000000000002</v>
      </c>
      <c r="J10" s="3">
        <v>452.33199999999999</v>
      </c>
      <c r="K10" s="4">
        <v>0.100588</v>
      </c>
      <c r="N10" s="3">
        <f t="shared" ref="N10:N14" si="0">D10</f>
        <v>453.58300000000003</v>
      </c>
      <c r="O10" s="21">
        <f t="shared" ref="O10:O14" si="1">1/(E10*(10^(-6)))</f>
        <v>65665.48687675246</v>
      </c>
      <c r="P10" s="3">
        <f t="shared" ref="P10:P14" si="2">F10</f>
        <v>450.899</v>
      </c>
      <c r="Q10" s="17">
        <f t="shared" ref="Q10:Q14" si="3">G10*(10^(-6))</f>
        <v>9.5811199999999995E-5</v>
      </c>
      <c r="R10" s="3">
        <f t="shared" ref="R10:U14" si="4">H10</f>
        <v>450.39800000000002</v>
      </c>
      <c r="S10" s="24">
        <f t="shared" si="4"/>
        <v>2.6716000000000002</v>
      </c>
      <c r="T10" s="3">
        <f t="shared" si="4"/>
        <v>452.33199999999999</v>
      </c>
      <c r="U10" s="51">
        <f t="shared" si="4"/>
        <v>0.100588</v>
      </c>
      <c r="V10" s="42">
        <f t="shared" ref="V10:V14" si="5">((O10*(Q10)^2)/S10)*T10</f>
        <v>0.10206000983091597</v>
      </c>
      <c r="W10" s="49">
        <f t="shared" ref="W10:W14" si="6">(U10-V10)/U10</f>
        <v>-1.4634050094603444E-2</v>
      </c>
    </row>
    <row r="11" spans="1:23" x14ac:dyDescent="0.6">
      <c r="B11" s="2"/>
      <c r="C11" s="1"/>
      <c r="D11" s="2">
        <v>534.57299999999998</v>
      </c>
      <c r="E11" s="1">
        <v>15.779500000000001</v>
      </c>
      <c r="F11" s="2">
        <v>531.86599999999999</v>
      </c>
      <c r="G11" s="1">
        <v>105.446</v>
      </c>
      <c r="H11" s="2">
        <v>532.21600000000001</v>
      </c>
      <c r="I11" s="1">
        <v>2.4711599999999998</v>
      </c>
      <c r="J11" s="2">
        <v>531.04999999999995</v>
      </c>
      <c r="K11" s="1">
        <v>0.14647099999999999</v>
      </c>
      <c r="N11" s="3">
        <f t="shared" si="0"/>
        <v>534.57299999999998</v>
      </c>
      <c r="O11" s="21">
        <f t="shared" si="1"/>
        <v>63373.364175037234</v>
      </c>
      <c r="P11" s="3">
        <f t="shared" si="2"/>
        <v>531.86599999999999</v>
      </c>
      <c r="Q11" s="17">
        <f t="shared" si="3"/>
        <v>1.0544599999999999E-4</v>
      </c>
      <c r="R11" s="3">
        <f t="shared" si="4"/>
        <v>532.21600000000001</v>
      </c>
      <c r="S11" s="24">
        <f t="shared" si="4"/>
        <v>2.4711599999999998</v>
      </c>
      <c r="T11" s="3">
        <f t="shared" si="4"/>
        <v>531.04999999999995</v>
      </c>
      <c r="U11" s="51">
        <f t="shared" si="4"/>
        <v>0.14647099999999999</v>
      </c>
      <c r="V11" s="42">
        <f t="shared" si="5"/>
        <v>0.15142637626708061</v>
      </c>
      <c r="W11" s="49">
        <f t="shared" si="6"/>
        <v>-3.3831791051338621E-2</v>
      </c>
    </row>
    <row r="12" spans="1:23" x14ac:dyDescent="0.6">
      <c r="B12" s="2"/>
      <c r="C12" s="1"/>
      <c r="D12" s="2">
        <v>597.30600000000004</v>
      </c>
      <c r="E12" s="1">
        <v>16.348199999999999</v>
      </c>
      <c r="F12" s="2">
        <v>594.64400000000001</v>
      </c>
      <c r="G12" s="1">
        <v>122.185</v>
      </c>
      <c r="H12" s="2">
        <v>594.70699999999999</v>
      </c>
      <c r="I12" s="1">
        <v>2.40205</v>
      </c>
      <c r="J12" s="2">
        <v>591.399</v>
      </c>
      <c r="K12" s="1">
        <v>0.22411800000000001</v>
      </c>
      <c r="N12" s="3">
        <f t="shared" si="0"/>
        <v>597.30600000000004</v>
      </c>
      <c r="O12" s="21">
        <f t="shared" si="1"/>
        <v>61168.813692027266</v>
      </c>
      <c r="P12" s="3">
        <f t="shared" si="2"/>
        <v>594.64400000000001</v>
      </c>
      <c r="Q12" s="17">
        <f t="shared" si="3"/>
        <v>1.22185E-4</v>
      </c>
      <c r="R12" s="3">
        <f t="shared" si="4"/>
        <v>594.70699999999999</v>
      </c>
      <c r="S12" s="24">
        <f t="shared" si="4"/>
        <v>2.40205</v>
      </c>
      <c r="T12" s="3">
        <f t="shared" si="4"/>
        <v>591.399</v>
      </c>
      <c r="U12" s="51">
        <f t="shared" si="4"/>
        <v>0.22411800000000001</v>
      </c>
      <c r="V12" s="42">
        <f t="shared" si="5"/>
        <v>0.22483524235841135</v>
      </c>
      <c r="W12" s="49">
        <f t="shared" si="6"/>
        <v>-3.2002889478370106E-3</v>
      </c>
    </row>
    <row r="13" spans="1:23" x14ac:dyDescent="0.6">
      <c r="B13" s="2"/>
      <c r="C13" s="1"/>
      <c r="D13" s="2">
        <v>675.649</v>
      </c>
      <c r="E13" s="1">
        <v>16.725899999999999</v>
      </c>
      <c r="F13" s="2">
        <v>674.29200000000003</v>
      </c>
      <c r="G13" s="1">
        <v>130.328</v>
      </c>
      <c r="H13" s="2">
        <v>673.57100000000003</v>
      </c>
      <c r="I13" s="1">
        <v>2.3643999999999998</v>
      </c>
      <c r="J13" s="2">
        <v>670.11699999999996</v>
      </c>
      <c r="K13" s="1">
        <v>0.289412</v>
      </c>
      <c r="N13" s="3">
        <f t="shared" si="0"/>
        <v>675.649</v>
      </c>
      <c r="O13" s="21">
        <f t="shared" si="1"/>
        <v>59787.515171081977</v>
      </c>
      <c r="P13" s="3">
        <f t="shared" si="2"/>
        <v>674.29200000000003</v>
      </c>
      <c r="Q13" s="17">
        <f t="shared" si="3"/>
        <v>1.30328E-4</v>
      </c>
      <c r="R13" s="3">
        <f t="shared" si="4"/>
        <v>673.57100000000003</v>
      </c>
      <c r="S13" s="24">
        <f t="shared" si="4"/>
        <v>2.3643999999999998</v>
      </c>
      <c r="T13" s="3">
        <f t="shared" si="4"/>
        <v>670.11699999999996</v>
      </c>
      <c r="U13" s="51">
        <f t="shared" si="4"/>
        <v>0.289412</v>
      </c>
      <c r="V13" s="42">
        <f t="shared" si="5"/>
        <v>0.28781647526704968</v>
      </c>
      <c r="W13" s="49">
        <f t="shared" si="6"/>
        <v>5.512987481342606E-3</v>
      </c>
    </row>
    <row r="14" spans="1:23" x14ac:dyDescent="0.6">
      <c r="B14" s="28"/>
      <c r="C14" s="29"/>
      <c r="D14" s="28">
        <v>744.82799999999997</v>
      </c>
      <c r="E14" s="29">
        <v>16.9483</v>
      </c>
      <c r="F14" s="28">
        <v>742.29200000000003</v>
      </c>
      <c r="G14" s="29">
        <v>147.43600000000001</v>
      </c>
      <c r="H14" s="28">
        <v>743.524</v>
      </c>
      <c r="I14" s="29">
        <v>2.4574099999999999</v>
      </c>
      <c r="J14" s="28">
        <v>742.274</v>
      </c>
      <c r="K14" s="29">
        <v>0.388235</v>
      </c>
      <c r="N14" s="32">
        <f t="shared" si="0"/>
        <v>744.82799999999997</v>
      </c>
      <c r="O14" s="21">
        <f t="shared" si="1"/>
        <v>59002.967849282824</v>
      </c>
      <c r="P14" s="32">
        <f t="shared" si="2"/>
        <v>742.29200000000003</v>
      </c>
      <c r="Q14" s="17">
        <f t="shared" si="3"/>
        <v>1.47436E-4</v>
      </c>
      <c r="R14" s="32">
        <f t="shared" si="4"/>
        <v>743.524</v>
      </c>
      <c r="S14" s="35">
        <f t="shared" si="4"/>
        <v>2.4574099999999999</v>
      </c>
      <c r="T14" s="32">
        <f t="shared" si="4"/>
        <v>742.274</v>
      </c>
      <c r="U14" s="52">
        <f t="shared" si="4"/>
        <v>0.388235</v>
      </c>
      <c r="V14" s="42">
        <f t="shared" si="5"/>
        <v>0.38740708960757236</v>
      </c>
      <c r="W14" s="49">
        <f t="shared" si="6"/>
        <v>2.132498080872753E-3</v>
      </c>
    </row>
    <row r="15" spans="1:23" x14ac:dyDescent="0.6">
      <c r="B15" s="30"/>
      <c r="C15" s="30"/>
      <c r="D15" s="30"/>
      <c r="E15" s="30"/>
      <c r="F15" s="30"/>
      <c r="G15" s="30"/>
      <c r="H15" s="30"/>
      <c r="I15" s="30"/>
      <c r="J15" s="30"/>
      <c r="K15" s="30"/>
      <c r="N15" s="30"/>
      <c r="O15" s="39"/>
      <c r="P15" s="30"/>
      <c r="Q15" s="40"/>
      <c r="R15" s="30"/>
      <c r="S15" s="41"/>
      <c r="T15" s="30"/>
      <c r="U15" s="41"/>
    </row>
    <row r="16" spans="1:23" x14ac:dyDescent="0.6">
      <c r="B16" s="31"/>
      <c r="C16" s="31"/>
      <c r="D16" s="31"/>
      <c r="E16" s="31"/>
      <c r="F16" s="31"/>
      <c r="G16" s="31"/>
      <c r="H16" s="31"/>
      <c r="I16" s="31"/>
      <c r="J16" s="31"/>
      <c r="K16" s="31"/>
      <c r="N16" s="31"/>
      <c r="O16" s="36"/>
      <c r="P16" s="31"/>
      <c r="Q16" s="37"/>
      <c r="R16" s="31"/>
      <c r="S16" s="38"/>
      <c r="T16" s="31"/>
      <c r="U16" s="38"/>
    </row>
    <row r="17" spans="2:21" customFormat="1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6"/>
      <c r="P17" s="31"/>
      <c r="Q17" s="37"/>
      <c r="R17" s="31"/>
      <c r="S17" s="38"/>
      <c r="T17" s="31"/>
      <c r="U17" s="38"/>
    </row>
    <row r="18" spans="2:21" customFormat="1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6"/>
      <c r="P18" s="31"/>
      <c r="Q18" s="37"/>
      <c r="R18" s="31"/>
      <c r="S18" s="38"/>
      <c r="T18" s="31"/>
      <c r="U18" s="38"/>
    </row>
    <row r="19" spans="2:21" customFormat="1" x14ac:dyDescent="0.6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31"/>
      <c r="O19" s="36"/>
      <c r="P19" s="31"/>
      <c r="Q19" s="37"/>
      <c r="R19" s="31"/>
      <c r="S19" s="38"/>
      <c r="T19" s="31"/>
      <c r="U19" s="38"/>
    </row>
    <row r="20" spans="2:21" customFormat="1" x14ac:dyDescent="0.6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31"/>
      <c r="O20" s="36"/>
      <c r="P20" s="31"/>
      <c r="Q20" s="37"/>
      <c r="R20" s="31"/>
      <c r="S20" s="38"/>
      <c r="T20" s="31"/>
      <c r="U20" s="38"/>
    </row>
    <row r="21" spans="2:21" customFormat="1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6"/>
      <c r="P21" s="31"/>
      <c r="Q21" s="37"/>
      <c r="R21" s="31"/>
      <c r="S21" s="38"/>
      <c r="T21" s="31"/>
      <c r="U21" s="38"/>
    </row>
    <row r="22" spans="2:21" customFormat="1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6"/>
      <c r="P22" s="31"/>
      <c r="Q22" s="37"/>
      <c r="R22" s="31"/>
      <c r="S22" s="38"/>
      <c r="T22" s="31"/>
      <c r="U22" s="38"/>
    </row>
    <row r="23" spans="2:21" customFormat="1" x14ac:dyDescent="0.6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s="31"/>
      <c r="O23" s="36"/>
      <c r="P23" s="31"/>
      <c r="Q23" s="37"/>
      <c r="R23" s="31"/>
      <c r="S23" s="38"/>
      <c r="T23" s="31"/>
      <c r="U23" s="38"/>
    </row>
    <row r="24" spans="2:21" customFormat="1" x14ac:dyDescent="0.6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31"/>
      <c r="O24" s="36"/>
      <c r="P24" s="31"/>
      <c r="Q24" s="37"/>
      <c r="R24" s="31"/>
      <c r="S24" s="38"/>
      <c r="T24" s="31"/>
      <c r="U24" s="38"/>
    </row>
    <row r="25" spans="2:21" customFormat="1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6"/>
      <c r="P25" s="31"/>
      <c r="Q25" s="37"/>
      <c r="R25" s="31"/>
      <c r="S25" s="38"/>
      <c r="T25" s="31"/>
      <c r="U25" s="38"/>
    </row>
    <row r="26" spans="2:21" customFormat="1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6"/>
      <c r="P26" s="31"/>
      <c r="Q26" s="37"/>
      <c r="R26" s="31"/>
      <c r="S26" s="38"/>
      <c r="T26" s="31"/>
      <c r="U26" s="38"/>
    </row>
    <row r="27" spans="2:21" customFormat="1" x14ac:dyDescent="0.6">
      <c r="B27" s="31"/>
      <c r="C27" s="31"/>
      <c r="D27" s="31"/>
      <c r="E27" s="31"/>
      <c r="F27" s="31"/>
      <c r="G27" s="31"/>
      <c r="H27" s="31"/>
      <c r="I27" s="31"/>
      <c r="J27" s="31"/>
      <c r="K27" s="31"/>
      <c r="N27" s="31"/>
      <c r="O27" s="36"/>
      <c r="P27" s="31"/>
      <c r="Q27" s="37"/>
      <c r="R27" s="31"/>
      <c r="S27" s="38"/>
      <c r="T27" s="31"/>
      <c r="U27" s="38"/>
    </row>
    <row r="28" spans="2:21" customFormat="1" x14ac:dyDescent="0.6">
      <c r="B28" s="31"/>
      <c r="C28" s="31"/>
      <c r="D28" s="31"/>
      <c r="E28" s="31"/>
      <c r="F28" s="31"/>
      <c r="G28" s="31"/>
      <c r="H28" s="31"/>
      <c r="I28" s="31"/>
      <c r="J28" s="31"/>
      <c r="K28" s="31"/>
      <c r="N28" s="31"/>
      <c r="O28" s="36"/>
      <c r="P28" s="31"/>
      <c r="Q28" s="37"/>
      <c r="R28" s="31"/>
      <c r="S28" s="38"/>
      <c r="T28" s="31"/>
      <c r="U28" s="38"/>
    </row>
    <row r="29" spans="2:21" customFormat="1" x14ac:dyDescent="0.6">
      <c r="B29" s="31"/>
      <c r="C29" s="31"/>
      <c r="D29" s="31"/>
      <c r="E29" s="31"/>
      <c r="F29" s="31"/>
      <c r="G29" s="31"/>
      <c r="H29" s="31"/>
      <c r="I29" s="31"/>
      <c r="J29" s="31"/>
      <c r="K29" s="31"/>
      <c r="N29" s="31"/>
      <c r="O29" s="36"/>
      <c r="P29" s="31"/>
      <c r="Q29" s="37"/>
      <c r="R29" s="31"/>
      <c r="S29" s="38"/>
      <c r="T29" s="31"/>
      <c r="U29" s="38"/>
    </row>
    <row r="30" spans="2:21" customFormat="1" x14ac:dyDescent="0.6">
      <c r="B30" s="31"/>
      <c r="C30" s="31"/>
      <c r="D30" s="31"/>
      <c r="E30" s="31"/>
      <c r="F30" s="31"/>
      <c r="G30" s="31"/>
      <c r="H30" s="31"/>
      <c r="I30" s="31"/>
      <c r="J30" s="31"/>
      <c r="K30" s="31"/>
      <c r="N30" s="31"/>
      <c r="O30" s="36"/>
      <c r="P30" s="31"/>
      <c r="Q30" s="37"/>
      <c r="R30" s="31"/>
      <c r="S30" s="38"/>
      <c r="T30" s="31"/>
      <c r="U30" s="38"/>
    </row>
    <row r="31" spans="2:21" customFormat="1" x14ac:dyDescent="0.6">
      <c r="O31" s="18"/>
      <c r="Q31" s="14"/>
      <c r="S31" s="22"/>
      <c r="U31" s="22"/>
    </row>
    <row r="32" spans="2:21" customFormat="1" x14ac:dyDescent="0.6">
      <c r="O32" s="18"/>
      <c r="Q32" s="14"/>
      <c r="S32" s="22"/>
      <c r="U32" s="2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#00201</vt:lpstr>
      <vt:lpstr>#00202</vt:lpstr>
      <vt:lpstr>#00203</vt:lpstr>
      <vt:lpstr>#00204</vt:lpstr>
      <vt:lpstr>#00205</vt:lpstr>
      <vt:lpstr>#00206</vt:lpstr>
      <vt:lpstr>#00207</vt:lpstr>
      <vt:lpstr>#00208</vt:lpstr>
      <vt:lpstr>#00209</vt:lpstr>
      <vt:lpstr>#00210</vt:lpstr>
      <vt:lpstr>#00211</vt:lpstr>
      <vt:lpstr>#00212</vt:lpstr>
      <vt:lpstr>#00213</vt:lpstr>
      <vt:lpstr>#00214</vt:lpstr>
      <vt:lpstr>#00215</vt:lpstr>
      <vt:lpstr>#00216</vt:lpstr>
      <vt:lpstr>#00217</vt:lpstr>
      <vt:lpstr>#00218</vt:lpstr>
      <vt:lpstr>#00219</vt:lpstr>
      <vt:lpstr>#00220</vt:lpstr>
      <vt:lpstr>#00221</vt:lpstr>
      <vt:lpstr>#00222</vt:lpstr>
      <vt:lpstr>#00223</vt:lpstr>
      <vt:lpstr>#00224</vt:lpstr>
      <vt:lpstr>#00225</vt:lpstr>
      <vt:lpstr>#00226</vt:lpstr>
      <vt:lpstr>#00227</vt:lpstr>
      <vt:lpstr>#00228</vt:lpstr>
      <vt:lpstr>#00229</vt:lpstr>
      <vt:lpstr>#00230</vt:lpstr>
      <vt:lpstr>#00231</vt:lpstr>
      <vt:lpstr>#00232</vt:lpstr>
      <vt:lpstr>#00233</vt:lpstr>
      <vt:lpstr>#00234</vt:lpstr>
      <vt:lpstr>#00235</vt:lpstr>
      <vt:lpstr>#00236</vt:lpstr>
      <vt:lpstr>#00237</vt:lpstr>
      <vt:lpstr>#00238</vt:lpstr>
      <vt:lpstr>#00239</vt:lpstr>
      <vt:lpstr>#00240</vt:lpstr>
      <vt:lpstr>#00241</vt:lpstr>
      <vt:lpstr>#00242</vt:lpstr>
      <vt:lpstr>#00243</vt:lpstr>
      <vt:lpstr>#00244</vt:lpstr>
      <vt:lpstr>#00245</vt:lpstr>
      <vt:lpstr>#00246</vt:lpstr>
      <vt:lpstr>#00247</vt:lpstr>
      <vt:lpstr>#00248</vt:lpstr>
      <vt:lpstr>#00249</vt:lpstr>
      <vt:lpstr>#00250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2022-06-06T14:49:58Z</dcterms:modified>
</cp:coreProperties>
</file>