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Google Drive\Extracurriculars\Control Flu\"/>
    </mc:Choice>
  </mc:AlternateContent>
  <bookViews>
    <workbookView xWindow="0" yWindow="0" windowWidth="15345" windowHeight="2325"/>
  </bookViews>
  <sheets>
    <sheet name="2014 FLUMIST DATA " sheetId="1" r:id="rId1"/>
    <sheet name="CFRR" sheetId="4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J62" i="1" l="1"/>
  <c r="I62" i="1"/>
  <c r="J57" i="1"/>
  <c r="I57" i="1"/>
  <c r="J46" i="1"/>
  <c r="I46" i="1"/>
  <c r="J35" i="1"/>
  <c r="I35" i="1"/>
  <c r="H32" i="1" l="1"/>
  <c r="H33" i="1"/>
  <c r="E32" i="1"/>
  <c r="G32" i="1" s="1"/>
  <c r="E33" i="1"/>
  <c r="G33" i="1" s="1"/>
  <c r="D63" i="5" l="1"/>
  <c r="B63" i="5"/>
  <c r="A63" i="5"/>
  <c r="C62" i="5"/>
  <c r="C61" i="5"/>
  <c r="C63" i="5" s="1"/>
  <c r="D58" i="5"/>
  <c r="B58" i="5"/>
  <c r="A58" i="5"/>
  <c r="C57" i="5"/>
  <c r="C56" i="5"/>
  <c r="C55" i="5"/>
  <c r="C53" i="5"/>
  <c r="C52" i="5"/>
  <c r="C51" i="5"/>
  <c r="C58" i="5" s="1"/>
  <c r="D47" i="5"/>
  <c r="B47" i="5"/>
  <c r="A47" i="5"/>
  <c r="C46" i="5"/>
  <c r="C45" i="5"/>
  <c r="C44" i="5"/>
  <c r="C43" i="5"/>
  <c r="C42" i="5"/>
  <c r="C41" i="5"/>
  <c r="C40" i="5"/>
  <c r="D36" i="5"/>
  <c r="B36" i="5"/>
  <c r="A36" i="5"/>
  <c r="C35" i="5"/>
  <c r="C34" i="5"/>
  <c r="C36" i="5" s="1"/>
  <c r="D28" i="5"/>
  <c r="D65" i="5" s="1"/>
  <c r="B27" i="5"/>
  <c r="A27" i="5"/>
  <c r="C27" i="5" s="1"/>
  <c r="C26" i="5"/>
  <c r="B25" i="5"/>
  <c r="A25" i="5"/>
  <c r="B24" i="5"/>
  <c r="A24" i="5"/>
  <c r="C24" i="5" s="1"/>
  <c r="B23" i="5"/>
  <c r="A23" i="5"/>
  <c r="C22" i="5"/>
  <c r="B21" i="5"/>
  <c r="C21" i="5" s="1"/>
  <c r="B20" i="5"/>
  <c r="A20" i="5"/>
  <c r="B19" i="5"/>
  <c r="A19" i="5"/>
  <c r="C19" i="5" s="1"/>
  <c r="B18" i="5"/>
  <c r="A18" i="5"/>
  <c r="B17" i="5"/>
  <c r="A17" i="5"/>
  <c r="C17" i="5" s="1"/>
  <c r="B16" i="5"/>
  <c r="A16" i="5"/>
  <c r="C15" i="5"/>
  <c r="B14" i="5"/>
  <c r="A14" i="5"/>
  <c r="C14" i="5" s="1"/>
  <c r="C13" i="5"/>
  <c r="B12" i="5"/>
  <c r="A12" i="5"/>
  <c r="C12" i="5" s="1"/>
  <c r="B11" i="5"/>
  <c r="A11" i="5"/>
  <c r="B10" i="5"/>
  <c r="A10" i="5"/>
  <c r="C10" i="5" s="1"/>
  <c r="B9" i="5"/>
  <c r="A9" i="5"/>
  <c r="B8" i="5"/>
  <c r="A8" i="5"/>
  <c r="C8" i="5" s="1"/>
  <c r="B7" i="5"/>
  <c r="A7" i="5"/>
  <c r="B6" i="5"/>
  <c r="A6" i="5"/>
  <c r="C6" i="5" s="1"/>
  <c r="B5" i="5"/>
  <c r="A5" i="5"/>
  <c r="B4" i="5"/>
  <c r="A4" i="5"/>
  <c r="A28" i="5" l="1"/>
  <c r="B28" i="5"/>
  <c r="C47" i="5"/>
  <c r="C5" i="5"/>
  <c r="C7" i="5"/>
  <c r="C9" i="5"/>
  <c r="C11" i="5"/>
  <c r="C16" i="5"/>
  <c r="C18" i="5"/>
  <c r="C20" i="5"/>
  <c r="C23" i="5"/>
  <c r="C25" i="5"/>
  <c r="C4" i="5"/>
  <c r="C28" i="5" l="1"/>
  <c r="C65" i="5" s="1"/>
  <c r="C27" i="1"/>
  <c r="E51" i="4" l="1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D11" i="1"/>
  <c r="C11" i="1"/>
  <c r="D5" i="1"/>
  <c r="C5" i="1"/>
  <c r="D16" i="1"/>
  <c r="C16" i="1"/>
  <c r="D9" i="1"/>
  <c r="C9" i="1"/>
  <c r="D19" i="1"/>
  <c r="C19" i="1"/>
  <c r="D23" i="1"/>
  <c r="C23" i="1"/>
  <c r="D14" i="1"/>
  <c r="C14" i="1"/>
  <c r="D7" i="1"/>
  <c r="C7" i="1"/>
  <c r="D4" i="1"/>
  <c r="C4" i="1"/>
  <c r="D8" i="1"/>
  <c r="C8" i="1"/>
  <c r="D21" i="1"/>
  <c r="D27" i="1"/>
  <c r="D18" i="1"/>
  <c r="C18" i="1"/>
  <c r="D12" i="1"/>
  <c r="C12" i="1"/>
  <c r="D17" i="1"/>
  <c r="C17" i="1"/>
  <c r="D6" i="1"/>
  <c r="C6" i="1"/>
  <c r="D25" i="1"/>
  <c r="C25" i="1"/>
  <c r="D24" i="1"/>
  <c r="C24" i="1"/>
  <c r="D20" i="1"/>
  <c r="C20" i="1"/>
  <c r="D10" i="1"/>
  <c r="C10" i="1"/>
  <c r="D28" i="1" l="1"/>
  <c r="C28" i="1"/>
  <c r="E15" i="1"/>
  <c r="G15" i="1" s="1"/>
  <c r="K15" i="1" s="1"/>
  <c r="B28" i="1" l="1"/>
  <c r="H15" i="1" l="1"/>
  <c r="L15" i="1" s="1"/>
  <c r="F62" i="1" l="1"/>
  <c r="C62" i="1"/>
  <c r="D62" i="1"/>
  <c r="B62" i="1"/>
  <c r="H27" i="1"/>
  <c r="L27" i="1" s="1"/>
  <c r="E27" i="1"/>
  <c r="G27" i="1" s="1"/>
  <c r="K27" i="1" s="1"/>
  <c r="H34" i="1"/>
  <c r="L34" i="1" s="1"/>
  <c r="H26" i="1"/>
  <c r="L26" i="1" s="1"/>
  <c r="E26" i="1"/>
  <c r="G26" i="1" s="1"/>
  <c r="K26" i="1" s="1"/>
  <c r="H45" i="1"/>
  <c r="L45" i="1" s="1"/>
  <c r="E45" i="1"/>
  <c r="G45" i="1" s="1"/>
  <c r="K45" i="1" s="1"/>
  <c r="H25" i="1"/>
  <c r="L25" i="1" s="1"/>
  <c r="E25" i="1"/>
  <c r="G25" i="1" s="1"/>
  <c r="K25" i="1" s="1"/>
  <c r="H24" i="1"/>
  <c r="L24" i="1" s="1"/>
  <c r="E24" i="1"/>
  <c r="G24" i="1" s="1"/>
  <c r="K24" i="1" s="1"/>
  <c r="H23" i="1"/>
  <c r="L23" i="1" s="1"/>
  <c r="E23" i="1"/>
  <c r="G23" i="1" s="1"/>
  <c r="K23" i="1" s="1"/>
  <c r="H22" i="1"/>
  <c r="L22" i="1" s="1"/>
  <c r="E22" i="1"/>
  <c r="G22" i="1" s="1"/>
  <c r="K22" i="1" s="1"/>
  <c r="H56" i="1"/>
  <c r="L56" i="1" s="1"/>
  <c r="E56" i="1"/>
  <c r="G56" i="1" s="1"/>
  <c r="K56" i="1" s="1"/>
  <c r="E34" i="1"/>
  <c r="G34" i="1" s="1"/>
  <c r="K34" i="1" s="1"/>
  <c r="H21" i="1"/>
  <c r="L21" i="1" s="1"/>
  <c r="E21" i="1"/>
  <c r="G21" i="1" s="1"/>
  <c r="K21" i="1" s="1"/>
  <c r="H44" i="1"/>
  <c r="L44" i="1" s="1"/>
  <c r="E44" i="1"/>
  <c r="G44" i="1" s="1"/>
  <c r="K44" i="1" s="1"/>
  <c r="H20" i="1"/>
  <c r="L20" i="1" s="1"/>
  <c r="E20" i="1"/>
  <c r="G20" i="1" s="1"/>
  <c r="K20" i="1" s="1"/>
  <c r="H19" i="1"/>
  <c r="L19" i="1" s="1"/>
  <c r="E19" i="1"/>
  <c r="G19" i="1" s="1"/>
  <c r="K19" i="1" s="1"/>
  <c r="H55" i="1"/>
  <c r="L55" i="1" s="1"/>
  <c r="E55" i="1"/>
  <c r="G55" i="1" s="1"/>
  <c r="K55" i="1" s="1"/>
  <c r="H18" i="1"/>
  <c r="L18" i="1" s="1"/>
  <c r="E18" i="1"/>
  <c r="G18" i="1" s="1"/>
  <c r="K18" i="1" s="1"/>
  <c r="H43" i="1"/>
  <c r="L43" i="1" s="1"/>
  <c r="E43" i="1"/>
  <c r="G43" i="1" s="1"/>
  <c r="K43" i="1" s="1"/>
  <c r="H41" i="1"/>
  <c r="L41" i="1" s="1"/>
  <c r="E41" i="1"/>
  <c r="G41" i="1" s="1"/>
  <c r="K41" i="1" s="1"/>
  <c r="E61" i="1"/>
  <c r="G61" i="1" s="1"/>
  <c r="K61" i="1" s="1"/>
  <c r="H61" i="1"/>
  <c r="L61" i="1" s="1"/>
  <c r="L32" i="1"/>
  <c r="K32" i="1"/>
  <c r="H60" i="1"/>
  <c r="L60" i="1" s="1"/>
  <c r="E60" i="1"/>
  <c r="G60" i="1" s="1"/>
  <c r="K60" i="1" s="1"/>
  <c r="L62" i="1" l="1"/>
  <c r="L35" i="1"/>
  <c r="K62" i="1"/>
  <c r="K35" i="1"/>
  <c r="H62" i="1"/>
  <c r="E62" i="1"/>
  <c r="G62" i="1" s="1"/>
  <c r="D46" i="1"/>
  <c r="F46" i="1"/>
  <c r="C46" i="1"/>
  <c r="B46" i="1"/>
  <c r="F28" i="1"/>
  <c r="D35" i="1"/>
  <c r="F35" i="1"/>
  <c r="C35" i="1"/>
  <c r="B35" i="1"/>
  <c r="E51" i="1"/>
  <c r="G51" i="1" s="1"/>
  <c r="K51" i="1" s="1"/>
  <c r="E52" i="1"/>
  <c r="G52" i="1" s="1"/>
  <c r="K52" i="1" s="1"/>
  <c r="G53" i="1"/>
  <c r="K53" i="1" s="1"/>
  <c r="E54" i="1"/>
  <c r="G54" i="1" s="1"/>
  <c r="K54" i="1" s="1"/>
  <c r="F57" i="1"/>
  <c r="D57" i="1"/>
  <c r="C57" i="1"/>
  <c r="B57" i="1"/>
  <c r="E4" i="1"/>
  <c r="G4" i="1" s="1"/>
  <c r="K4" i="1" s="1"/>
  <c r="E5" i="1"/>
  <c r="G5" i="1" s="1"/>
  <c r="K5" i="1" s="1"/>
  <c r="E6" i="1"/>
  <c r="G6" i="1" s="1"/>
  <c r="K6" i="1" s="1"/>
  <c r="E7" i="1"/>
  <c r="G7" i="1" s="1"/>
  <c r="K7" i="1" s="1"/>
  <c r="E8" i="1"/>
  <c r="G8" i="1" s="1"/>
  <c r="K8" i="1" s="1"/>
  <c r="E9" i="1"/>
  <c r="G9" i="1" s="1"/>
  <c r="K9" i="1" s="1"/>
  <c r="E10" i="1"/>
  <c r="G10" i="1" s="1"/>
  <c r="K10" i="1" s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16" i="1"/>
  <c r="G16" i="1" s="1"/>
  <c r="K16" i="1" s="1"/>
  <c r="E17" i="1"/>
  <c r="G17" i="1" s="1"/>
  <c r="K17" i="1" s="1"/>
  <c r="E50" i="1"/>
  <c r="G50" i="1" s="1"/>
  <c r="K50" i="1" s="1"/>
  <c r="E39" i="1"/>
  <c r="G39" i="1" s="1"/>
  <c r="K39" i="1" s="1"/>
  <c r="E42" i="1"/>
  <c r="G42" i="1" s="1"/>
  <c r="K42" i="1" s="1"/>
  <c r="E40" i="1"/>
  <c r="G40" i="1" s="1"/>
  <c r="K40" i="1" s="1"/>
  <c r="H50" i="1"/>
  <c r="L50" i="1" s="1"/>
  <c r="H51" i="1"/>
  <c r="L51" i="1" s="1"/>
  <c r="H52" i="1"/>
  <c r="L52" i="1" s="1"/>
  <c r="H54" i="1"/>
  <c r="L54" i="1" s="1"/>
  <c r="H53" i="1"/>
  <c r="L53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6" i="1"/>
  <c r="L16" i="1" s="1"/>
  <c r="H17" i="1"/>
  <c r="L17" i="1" s="1"/>
  <c r="H4" i="1"/>
  <c r="L4" i="1" s="1"/>
  <c r="H39" i="1"/>
  <c r="L39" i="1" s="1"/>
  <c r="H40" i="1"/>
  <c r="L40" i="1" s="1"/>
  <c r="H42" i="1"/>
  <c r="L42" i="1" s="1"/>
  <c r="K57" i="1" l="1"/>
  <c r="L28" i="1"/>
  <c r="K28" i="1"/>
  <c r="L57" i="1"/>
  <c r="K46" i="1"/>
  <c r="L46" i="1"/>
  <c r="H35" i="1"/>
  <c r="H46" i="1"/>
  <c r="H28" i="1"/>
  <c r="E46" i="1"/>
  <c r="G46" i="1" s="1"/>
  <c r="E28" i="1"/>
  <c r="G28" i="1" s="1"/>
  <c r="E35" i="1"/>
  <c r="G35" i="1" s="1"/>
  <c r="H57" i="1"/>
  <c r="E57" i="1"/>
  <c r="G57" i="1" s="1"/>
</calcChain>
</file>

<file path=xl/sharedStrings.xml><?xml version="1.0" encoding="utf-8"?>
<sst xmlns="http://schemas.openxmlformats.org/spreadsheetml/2006/main" count="196" uniqueCount="83">
  <si>
    <t xml:space="preserve">Alachua </t>
  </si>
  <si>
    <t>Chiles</t>
  </si>
  <si>
    <t>Duval</t>
  </si>
  <si>
    <t>Finley</t>
  </si>
  <si>
    <t>Foster</t>
  </si>
  <si>
    <t>Hidden Oak</t>
  </si>
  <si>
    <t>Idylwild</t>
  </si>
  <si>
    <t>Lake Forest</t>
  </si>
  <si>
    <t>Littlewood</t>
  </si>
  <si>
    <t>Norton</t>
  </si>
  <si>
    <t>Rawlings</t>
  </si>
  <si>
    <t>Shell</t>
  </si>
  <si>
    <t>Talbot</t>
  </si>
  <si>
    <t>Terwilliger</t>
  </si>
  <si>
    <t>Waldo</t>
  </si>
  <si>
    <t>Wiles</t>
  </si>
  <si>
    <t>Williams</t>
  </si>
  <si>
    <t>Bishop</t>
  </si>
  <si>
    <t>Ft. Clarke</t>
  </si>
  <si>
    <t>Lincoln</t>
  </si>
  <si>
    <t>Mebane</t>
  </si>
  <si>
    <t>Oak View</t>
  </si>
  <si>
    <t>Buchholz</t>
  </si>
  <si>
    <t>Eastside</t>
  </si>
  <si>
    <t>Gainesville</t>
  </si>
  <si>
    <t>Hawthorne</t>
  </si>
  <si>
    <t>Newberry</t>
  </si>
  <si>
    <t>Santa Fe</t>
  </si>
  <si>
    <t>Horizon</t>
  </si>
  <si>
    <t>Kanapaha</t>
  </si>
  <si>
    <t>Irby</t>
  </si>
  <si>
    <t>Westwood</t>
  </si>
  <si>
    <t xml:space="preserve">High Spr. Comm. </t>
  </si>
  <si>
    <t>Total Population</t>
  </si>
  <si>
    <t>IMZ Rate</t>
  </si>
  <si>
    <t>Elementary  Schools</t>
  </si>
  <si>
    <t>Middle  Schools</t>
  </si>
  <si>
    <t>High  Schools</t>
  </si>
  <si>
    <t>CFRR</t>
  </si>
  <si>
    <t xml:space="preserve">Head Start </t>
  </si>
  <si>
    <t>Meadowbrook</t>
  </si>
  <si>
    <t>Totals</t>
  </si>
  <si>
    <t xml:space="preserve">Totals </t>
  </si>
  <si>
    <t>Total</t>
  </si>
  <si>
    <t>Total 
Consent Forms</t>
  </si>
  <si>
    <t>Total
Doses Given</t>
  </si>
  <si>
    <t xml:space="preserve">VFC 
Doses Given </t>
  </si>
  <si>
    <t>Glen Springs</t>
  </si>
  <si>
    <t xml:space="preserve">Archer </t>
  </si>
  <si>
    <t xml:space="preserve">A Quinn </t>
  </si>
  <si>
    <t>Centers</t>
  </si>
  <si>
    <t>Private 
Doses Given</t>
  </si>
  <si>
    <t>Private
Doses Given</t>
  </si>
  <si>
    <t>Fernside</t>
  </si>
  <si>
    <t xml:space="preserve">Metcalfe </t>
  </si>
  <si>
    <t xml:space="preserve">Rawlings </t>
  </si>
  <si>
    <t xml:space="preserve">Terwilliger </t>
  </si>
  <si>
    <t>2014 IMZ Rate</t>
  </si>
  <si>
    <t>2014 CFRR</t>
  </si>
  <si>
    <t>2013 IMZ Rate</t>
  </si>
  <si>
    <t>2013 CFRR</t>
  </si>
  <si>
    <t>Total Pop.</t>
  </si>
  <si>
    <t>YES</t>
  </si>
  <si>
    <t>NO</t>
  </si>
  <si>
    <t>Alachua</t>
  </si>
  <si>
    <t>Archer</t>
  </si>
  <si>
    <t>High Spr. Comm.</t>
  </si>
  <si>
    <t>Irby HeadStart</t>
  </si>
  <si>
    <t>Metcalfe</t>
  </si>
  <si>
    <t>Rawlings HdSt.</t>
  </si>
  <si>
    <t>Fernside HdSt.</t>
  </si>
  <si>
    <t>Waldo (inc. HdSt)</t>
  </si>
  <si>
    <t>Middle Schools</t>
  </si>
  <si>
    <t>High Schools</t>
  </si>
  <si>
    <t>Loften</t>
  </si>
  <si>
    <t>A. Quinn</t>
  </si>
  <si>
    <t>PK Yonge (K-12)</t>
  </si>
  <si>
    <t>IMZ RATE CHANGE</t>
  </si>
  <si>
    <t>CFRR RATE CHANGE</t>
  </si>
  <si>
    <t xml:space="preserve">2014 FLUMIST DATA </t>
  </si>
  <si>
    <t>Total Forms</t>
  </si>
  <si>
    <t>Wiles (inc. HdSt)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</si>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</sst>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10" fontId="0" fillId="0" borderId="0" xfId="0" applyNumberFormat="1" applyBorder="1"/>
    <xf numFmtId="0" fontId="0" fillId="0" borderId="0" xfId="0" applyFill="1"/>
    <xf numFmtId="0" fontId="2" fillId="0" borderId="0" xfId="0" applyFont="1" applyFill="1" applyBorder="1"/>
    <xf numFmtId="9" fontId="3" fillId="0" borderId="0" xfId="0" applyNumberFormat="1" applyFont="1" applyFill="1" applyBorder="1"/>
    <xf numFmtId="10" fontId="6" fillId="0" borderId="0" xfId="0" applyNumberFormat="1" applyFont="1" applyFill="1" applyBorder="1"/>
    <xf numFmtId="10" fontId="7" fillId="0" borderId="0" xfId="0" applyNumberFormat="1" applyFont="1" applyFill="1" applyBorder="1"/>
    <xf numFmtId="9" fontId="4" fillId="0" borderId="0" xfId="1" applyNumberFormat="1" applyFont="1" applyFill="1" applyBorder="1"/>
    <xf numFmtId="10" fontId="3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9" fontId="6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0" fontId="0" fillId="0" borderId="0" xfId="2" applyNumberFormat="1" applyFont="1"/>
    <xf numFmtId="0" fontId="5" fillId="0" borderId="2" xfId="0" applyFont="1" applyBorder="1"/>
    <xf numFmtId="0" fontId="0" fillId="0" borderId="0" xfId="0" applyFont="1" applyBorder="1"/>
    <xf numFmtId="0" fontId="0" fillId="0" borderId="0" xfId="0" applyNumberFormat="1" applyFont="1" applyBorder="1"/>
    <xf numFmtId="1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5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5" fillId="0" borderId="1" xfId="0" applyFont="1" applyBorder="1"/>
    <xf numFmtId="0" fontId="0" fillId="0" borderId="6" xfId="0" applyFont="1" applyBorder="1"/>
    <xf numFmtId="0" fontId="0" fillId="0" borderId="6" xfId="0" applyNumberFormat="1" applyFont="1" applyBorder="1"/>
    <xf numFmtId="0" fontId="5" fillId="0" borderId="0" xfId="0" applyFont="1" applyBorder="1"/>
    <xf numFmtId="0" fontId="0" fillId="0" borderId="0" xfId="0" applyFont="1"/>
    <xf numFmtId="0" fontId="5" fillId="0" borderId="2" xfId="0" applyFont="1" applyFill="1" applyBorder="1"/>
    <xf numFmtId="0" fontId="5" fillId="0" borderId="1" xfId="0" applyFont="1" applyFill="1" applyBorder="1"/>
    <xf numFmtId="0" fontId="0" fillId="0" borderId="1" xfId="0" applyFont="1" applyBorder="1"/>
    <xf numFmtId="0" fontId="0" fillId="0" borderId="6" xfId="0" applyBorder="1"/>
    <xf numFmtId="10" fontId="0" fillId="0" borderId="8" xfId="0" applyNumberFormat="1" applyBorder="1"/>
    <xf numFmtId="0" fontId="3" fillId="0" borderId="10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10" fontId="0" fillId="0" borderId="1" xfId="0" applyNumberFormat="1" applyFont="1" applyBorder="1"/>
    <xf numFmtId="10" fontId="0" fillId="0" borderId="2" xfId="0" applyNumberFormat="1" applyFont="1" applyBorder="1"/>
    <xf numFmtId="10" fontId="0" fillId="0" borderId="4" xfId="0" applyNumberFormat="1" applyFont="1" applyBorder="1"/>
    <xf numFmtId="0" fontId="0" fillId="0" borderId="5" xfId="0" applyBorder="1"/>
    <xf numFmtId="10" fontId="1" fillId="0" borderId="0" xfId="0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1" fillId="0" borderId="3" xfId="0" applyNumberFormat="1" applyFont="1" applyBorder="1"/>
    <xf numFmtId="10" fontId="13" fillId="0" borderId="0" xfId="0" applyNumberFormat="1" applyFont="1" applyBorder="1"/>
    <xf numFmtId="10" fontId="13" fillId="0" borderId="5" xfId="0" applyNumberFormat="1" applyFont="1" applyBorder="1"/>
    <xf numFmtId="10" fontId="14" fillId="0" borderId="0" xfId="0" applyNumberFormat="1" applyFont="1" applyBorder="1"/>
    <xf numFmtId="10" fontId="14" fillId="0" borderId="5" xfId="0" applyNumberFormat="1" applyFont="1" applyBorder="1"/>
    <xf numFmtId="10" fontId="13" fillId="0" borderId="7" xfId="0" applyNumberFormat="1" applyFont="1" applyBorder="1"/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5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" fontId="0" fillId="0" borderId="0" xfId="0" applyNumberFormat="1" applyBorder="1"/>
    <xf numFmtId="0" fontId="5" fillId="0" borderId="4" xfId="0" applyFont="1" applyFill="1" applyBorder="1"/>
    <xf numFmtId="0" fontId="0" fillId="0" borderId="5" xfId="0" applyNumberFormat="1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0" fontId="13" fillId="0" borderId="0" xfId="2" applyNumberFormat="1" applyFont="1" applyBorder="1"/>
    <xf numFmtId="10" fontId="13" fillId="0" borderId="6" xfId="2" applyNumberFormat="1" applyFont="1" applyBorder="1"/>
    <xf numFmtId="10" fontId="13" fillId="0" borderId="0" xfId="2" applyNumberFormat="1" applyFont="1" applyFill="1" applyBorder="1"/>
    <xf numFmtId="10" fontId="13" fillId="0" borderId="5" xfId="2" applyNumberFormat="1" applyFont="1" applyFill="1" applyBorder="1"/>
    <xf numFmtId="10" fontId="13" fillId="0" borderId="6" xfId="2" applyNumberFormat="1" applyFont="1" applyFill="1" applyBorder="1"/>
    <xf numFmtId="10" fontId="13" fillId="0" borderId="6" xfId="0" applyNumberFormat="1" applyFont="1" applyBorder="1"/>
    <xf numFmtId="10" fontId="13" fillId="0" borderId="8" xfId="0" applyNumberFormat="1" applyFon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1" xfId="0" applyNumberForma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10" fontId="1" fillId="0" borderId="5" xfId="0" applyNumberFormat="1" applyFont="1" applyBorder="1"/>
    <xf numFmtId="0" fontId="5" fillId="3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0" fontId="14" fillId="0" borderId="3" xfId="0" applyNumberFormat="1" applyFont="1" applyBorder="1"/>
    <xf numFmtId="10" fontId="14" fillId="0" borderId="6" xfId="0" applyNumberFormat="1" applyFont="1" applyBorder="1"/>
    <xf numFmtId="10" fontId="14" fillId="0" borderId="7" xfId="0" applyNumberFormat="1" applyFont="1" applyBorder="1"/>
    <xf numFmtId="10" fontId="14" fillId="0" borderId="8" xfId="0" applyNumberFormat="1" applyFont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0" applyNumberFormat="1" applyBorder="1"/>
    <xf numFmtId="10" fontId="0" fillId="0" borderId="17" xfId="0" applyNumberFormat="1" applyBorder="1"/>
    <xf numFmtId="10" fontId="0" fillId="0" borderId="10" xfId="0" applyNumberFormat="1" applyBorder="1"/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1" fillId="0" borderId="2" xfId="0" applyNumberFormat="1" applyFont="1" applyBorder="1"/>
    <xf numFmtId="10" fontId="1" fillId="0" borderId="1" xfId="0" applyNumberFormat="1" applyFont="1" applyBorder="1"/>
    <xf numFmtId="0" fontId="9" fillId="0" borderId="0" xfId="0" applyFont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3">
    <cellStyle name="Normal" xfId="0" builtinId="0"/>
    <cellStyle name="Percent" xfId="2" builtinId="5"/>
    <cellStyle name="Warning Text" xfId="1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Normal="100" workbookViewId="0">
      <selection activeCell="F47" sqref="F47"/>
    </sheetView>
  </sheetViews>
  <sheetFormatPr defaultRowHeight="15" x14ac:dyDescent="0.25"/>
  <cols>
    <col min="1" max="1" width="19" customWidth="1"/>
    <col min="2" max="2" width="14.28515625" customWidth="1"/>
    <col min="3" max="5" width="12" customWidth="1"/>
    <col min="6" max="6" width="15.7109375" customWidth="1"/>
    <col min="7" max="7" width="13.42578125" customWidth="1"/>
    <col min="8" max="8" width="9.85546875" customWidth="1"/>
    <col min="9" max="9" width="13.42578125" bestFit="1" customWidth="1"/>
    <col min="10" max="10" width="9.85546875" customWidth="1"/>
    <col min="11" max="11" width="17.5703125" customWidth="1"/>
    <col min="12" max="12" width="18.5703125" customWidth="1"/>
    <col min="13" max="15" width="15.5703125" customWidth="1"/>
    <col min="17" max="17" width="13.42578125" customWidth="1"/>
    <col min="18" max="22" width="18.140625" customWidth="1"/>
  </cols>
  <sheetData>
    <row r="1" spans="1:22" ht="15.75" x14ac:dyDescent="0.25">
      <c r="A1" s="110" t="s">
        <v>79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22" ht="15.75" thickBot="1" x14ac:dyDescent="0.3"/>
    <row r="3" spans="1:22" ht="31.5" customHeight="1" x14ac:dyDescent="0.25">
      <c r="A3" s="50" t="s">
        <v>35</v>
      </c>
      <c r="B3" s="51" t="s">
        <v>44</v>
      </c>
      <c r="C3" s="51" t="s">
        <v>51</v>
      </c>
      <c r="D3" s="51" t="s">
        <v>46</v>
      </c>
      <c r="E3" s="51" t="s">
        <v>45</v>
      </c>
      <c r="F3" s="52" t="s">
        <v>33</v>
      </c>
      <c r="G3" s="52" t="s">
        <v>57</v>
      </c>
      <c r="H3" s="74" t="s">
        <v>58</v>
      </c>
      <c r="I3" s="50" t="s">
        <v>59</v>
      </c>
      <c r="J3" s="53" t="s">
        <v>60</v>
      </c>
      <c r="K3" s="93" t="s">
        <v>77</v>
      </c>
      <c r="L3" s="53" t="s">
        <v>78</v>
      </c>
      <c r="P3" s="1"/>
    </row>
    <row r="4" spans="1:22" x14ac:dyDescent="0.25">
      <c r="A4" s="14" t="s">
        <v>0</v>
      </c>
      <c r="B4" s="15">
        <v>306</v>
      </c>
      <c r="C4" s="15">
        <f>82+0</f>
        <v>82</v>
      </c>
      <c r="D4" s="15">
        <f>92+3</f>
        <v>95</v>
      </c>
      <c r="E4" s="15">
        <f t="shared" ref="E4:E15" si="0">C4+D4</f>
        <v>177</v>
      </c>
      <c r="F4" s="16">
        <v>349</v>
      </c>
      <c r="G4" s="45">
        <f>E4/F4</f>
        <v>0.50716332378223494</v>
      </c>
      <c r="H4" s="45">
        <f>B4/F4</f>
        <v>0.87679083094555876</v>
      </c>
      <c r="I4" s="38">
        <v>0.44290000000000002</v>
      </c>
      <c r="J4" s="42">
        <v>0.8478</v>
      </c>
      <c r="K4" s="47">
        <f t="shared" ref="K4:K27" si="1">G4-I4</f>
        <v>6.4263323782234927E-2</v>
      </c>
      <c r="L4" s="97">
        <f t="shared" ref="L4:L27" si="2">H4-J4</f>
        <v>2.8990830945558765E-2</v>
      </c>
      <c r="P4" s="1"/>
    </row>
    <row r="5" spans="1:22" x14ac:dyDescent="0.25">
      <c r="A5" s="14" t="s">
        <v>48</v>
      </c>
      <c r="B5" s="15">
        <v>496</v>
      </c>
      <c r="C5" s="15">
        <f>149+14</f>
        <v>163</v>
      </c>
      <c r="D5" s="15">
        <f>156+18</f>
        <v>174</v>
      </c>
      <c r="E5" s="15">
        <f t="shared" si="0"/>
        <v>337</v>
      </c>
      <c r="F5" s="16">
        <v>496</v>
      </c>
      <c r="G5" s="45">
        <f t="shared" ref="G5:G28" si="3">E5/F5</f>
        <v>0.67943548387096775</v>
      </c>
      <c r="H5" s="45">
        <f t="shared" ref="H5:H28" si="4">B5/F5</f>
        <v>1</v>
      </c>
      <c r="I5" s="38">
        <v>0.56669999999999998</v>
      </c>
      <c r="J5" s="42">
        <v>0.99560000000000004</v>
      </c>
      <c r="K5" s="47">
        <f t="shared" si="1"/>
        <v>0.11273548387096777</v>
      </c>
      <c r="L5" s="97">
        <f t="shared" si="2"/>
        <v>4.3999999999999595E-3</v>
      </c>
      <c r="P5" s="1"/>
    </row>
    <row r="6" spans="1:22" x14ac:dyDescent="0.25">
      <c r="A6" s="14" t="s">
        <v>1</v>
      </c>
      <c r="B6" s="15">
        <v>441</v>
      </c>
      <c r="C6" s="15">
        <f>253+15</f>
        <v>268</v>
      </c>
      <c r="D6" s="15">
        <f>71+13</f>
        <v>84</v>
      </c>
      <c r="E6" s="15">
        <f t="shared" si="0"/>
        <v>352</v>
      </c>
      <c r="F6" s="16">
        <v>719</v>
      </c>
      <c r="G6" s="45">
        <f t="shared" si="3"/>
        <v>0.48956884561891517</v>
      </c>
      <c r="H6" s="45">
        <f t="shared" si="4"/>
        <v>0.61335187760778864</v>
      </c>
      <c r="I6" s="38">
        <v>0.50219999999999998</v>
      </c>
      <c r="J6" s="42">
        <v>0.70660000000000001</v>
      </c>
      <c r="K6" s="41">
        <f t="shared" si="1"/>
        <v>-1.2631154381084808E-2</v>
      </c>
      <c r="L6" s="44">
        <f t="shared" si="2"/>
        <v>-9.3248122392211363E-2</v>
      </c>
      <c r="P6" s="1"/>
    </row>
    <row r="7" spans="1:22" x14ac:dyDescent="0.25">
      <c r="A7" s="14" t="s">
        <v>2</v>
      </c>
      <c r="B7" s="18">
        <v>177</v>
      </c>
      <c r="C7" s="18">
        <f>10+1</f>
        <v>11</v>
      </c>
      <c r="D7" s="18">
        <f>101+6</f>
        <v>107</v>
      </c>
      <c r="E7" s="15">
        <f t="shared" si="0"/>
        <v>118</v>
      </c>
      <c r="F7" s="19">
        <v>215</v>
      </c>
      <c r="G7" s="45">
        <f>E7/F7</f>
        <v>0.5488372093023256</v>
      </c>
      <c r="H7" s="45">
        <f t="shared" si="4"/>
        <v>0.82325581395348835</v>
      </c>
      <c r="I7" s="38">
        <v>0.42520000000000002</v>
      </c>
      <c r="J7" s="42">
        <v>0.74419999999999997</v>
      </c>
      <c r="K7" s="47">
        <f t="shared" si="1"/>
        <v>0.12363720930232558</v>
      </c>
      <c r="L7" s="97">
        <f t="shared" si="2"/>
        <v>7.9055813953488374E-2</v>
      </c>
      <c r="P7" s="1"/>
    </row>
    <row r="8" spans="1:22" x14ac:dyDescent="0.25">
      <c r="A8" s="14" t="s">
        <v>3</v>
      </c>
      <c r="B8" s="18">
        <v>525</v>
      </c>
      <c r="C8" s="18">
        <f>211+18</f>
        <v>229</v>
      </c>
      <c r="D8" s="18">
        <f>161+23</f>
        <v>184</v>
      </c>
      <c r="E8" s="15">
        <f t="shared" si="0"/>
        <v>413</v>
      </c>
      <c r="F8" s="19">
        <v>572</v>
      </c>
      <c r="G8" s="45">
        <f t="shared" si="3"/>
        <v>0.72202797202797198</v>
      </c>
      <c r="H8" s="45">
        <f t="shared" si="4"/>
        <v>0.91783216783216781</v>
      </c>
      <c r="I8" s="38">
        <v>0.60660000000000003</v>
      </c>
      <c r="J8" s="42">
        <v>0.95489999999999997</v>
      </c>
      <c r="K8" s="47">
        <f t="shared" si="1"/>
        <v>0.11542797202797195</v>
      </c>
      <c r="L8" s="44">
        <f t="shared" si="2"/>
        <v>-3.706783216783216E-2</v>
      </c>
      <c r="P8" s="1"/>
    </row>
    <row r="9" spans="1:22" x14ac:dyDescent="0.25">
      <c r="A9" s="14" t="s">
        <v>4</v>
      </c>
      <c r="B9" s="18">
        <v>416</v>
      </c>
      <c r="C9" s="18">
        <f>125+7</f>
        <v>132</v>
      </c>
      <c r="D9" s="18">
        <f>138+11</f>
        <v>149</v>
      </c>
      <c r="E9" s="15">
        <f t="shared" si="0"/>
        <v>281</v>
      </c>
      <c r="F9" s="19">
        <v>477</v>
      </c>
      <c r="G9" s="45">
        <f t="shared" si="3"/>
        <v>0.58909853249475896</v>
      </c>
      <c r="H9" s="45">
        <f t="shared" si="4"/>
        <v>0.8721174004192872</v>
      </c>
      <c r="I9" s="38">
        <v>0.48499999999999999</v>
      </c>
      <c r="J9" s="42">
        <v>0.84189999999999998</v>
      </c>
      <c r="K9" s="47">
        <f t="shared" si="1"/>
        <v>0.10409853249475898</v>
      </c>
      <c r="L9" s="97">
        <f t="shared" si="2"/>
        <v>3.0217400419287221E-2</v>
      </c>
      <c r="P9" s="1"/>
    </row>
    <row r="10" spans="1:22" x14ac:dyDescent="0.25">
      <c r="A10" s="14" t="s">
        <v>47</v>
      </c>
      <c r="B10" s="18">
        <v>474</v>
      </c>
      <c r="C10" s="18">
        <f>189+16</f>
        <v>205</v>
      </c>
      <c r="D10" s="18">
        <f>120+21</f>
        <v>141</v>
      </c>
      <c r="E10" s="15">
        <f t="shared" si="0"/>
        <v>346</v>
      </c>
      <c r="F10" s="19">
        <v>474</v>
      </c>
      <c r="G10" s="45">
        <f t="shared" si="3"/>
        <v>0.72995780590717296</v>
      </c>
      <c r="H10" s="45">
        <f t="shared" si="4"/>
        <v>1</v>
      </c>
      <c r="I10" s="38">
        <v>0.62260000000000004</v>
      </c>
      <c r="J10" s="42">
        <v>1</v>
      </c>
      <c r="K10" s="47">
        <f t="shared" si="1"/>
        <v>0.10735780590717292</v>
      </c>
      <c r="L10" s="97">
        <f t="shared" si="2"/>
        <v>0</v>
      </c>
      <c r="P10" s="1"/>
    </row>
    <row r="11" spans="1:22" x14ac:dyDescent="0.25">
      <c r="A11" s="14" t="s">
        <v>5</v>
      </c>
      <c r="B11" s="18">
        <v>644</v>
      </c>
      <c r="C11" s="18">
        <f>319+16</f>
        <v>335</v>
      </c>
      <c r="D11" s="18">
        <f>106+17</f>
        <v>123</v>
      </c>
      <c r="E11" s="15">
        <f t="shared" si="0"/>
        <v>458</v>
      </c>
      <c r="F11" s="19">
        <v>725</v>
      </c>
      <c r="G11" s="45">
        <f t="shared" si="3"/>
        <v>0.63172413793103444</v>
      </c>
      <c r="H11" s="45">
        <f t="shared" si="4"/>
        <v>0.88827586206896547</v>
      </c>
      <c r="I11" s="38">
        <v>0.56730000000000003</v>
      </c>
      <c r="J11" s="42">
        <v>0.84330000000000005</v>
      </c>
      <c r="K11" s="47">
        <f t="shared" si="1"/>
        <v>6.4424137931034409E-2</v>
      </c>
      <c r="L11" s="97">
        <f t="shared" si="2"/>
        <v>4.4975862068965422E-2</v>
      </c>
      <c r="P11" s="1"/>
    </row>
    <row r="12" spans="1:22" x14ac:dyDescent="0.25">
      <c r="A12" s="14" t="s">
        <v>32</v>
      </c>
      <c r="B12" s="18">
        <v>719</v>
      </c>
      <c r="C12" s="18">
        <f>278+7</f>
        <v>285</v>
      </c>
      <c r="D12" s="18">
        <f>161+15</f>
        <v>176</v>
      </c>
      <c r="E12" s="15">
        <f t="shared" si="0"/>
        <v>461</v>
      </c>
      <c r="F12" s="19">
        <v>847</v>
      </c>
      <c r="G12" s="45">
        <f t="shared" si="3"/>
        <v>0.54427390791027153</v>
      </c>
      <c r="H12" s="45">
        <f t="shared" si="4"/>
        <v>0.84887839433293977</v>
      </c>
      <c r="I12" s="38">
        <v>0.47</v>
      </c>
      <c r="J12" s="42">
        <v>0.72099999999999997</v>
      </c>
      <c r="K12" s="47">
        <f t="shared" si="1"/>
        <v>7.4273907910271553E-2</v>
      </c>
      <c r="L12" s="97">
        <f t="shared" si="2"/>
        <v>0.12787839433293979</v>
      </c>
      <c r="P12" s="1"/>
    </row>
    <row r="13" spans="1:22" x14ac:dyDescent="0.25">
      <c r="A13" s="14" t="s">
        <v>6</v>
      </c>
      <c r="B13" s="18">
        <v>599</v>
      </c>
      <c r="C13" s="18">
        <v>81</v>
      </c>
      <c r="D13" s="18">
        <v>229</v>
      </c>
      <c r="E13" s="15">
        <f t="shared" si="0"/>
        <v>310</v>
      </c>
      <c r="F13" s="19">
        <v>705</v>
      </c>
      <c r="G13" s="45">
        <f t="shared" si="3"/>
        <v>0.43971631205673761</v>
      </c>
      <c r="H13" s="45">
        <f t="shared" si="4"/>
        <v>0.84964539007092199</v>
      </c>
      <c r="I13" s="38">
        <v>0.4244</v>
      </c>
      <c r="J13" s="42">
        <v>0.74160000000000004</v>
      </c>
      <c r="K13" s="47">
        <f t="shared" si="1"/>
        <v>1.5316312056737613E-2</v>
      </c>
      <c r="L13" s="97">
        <f t="shared" si="2"/>
        <v>0.10804539007092195</v>
      </c>
      <c r="P13" s="1"/>
      <c r="Q13" s="4"/>
      <c r="R13" s="5"/>
      <c r="S13" s="6"/>
      <c r="T13" s="3"/>
      <c r="U13" s="3"/>
      <c r="V13" s="3"/>
    </row>
    <row r="14" spans="1:22" x14ac:dyDescent="0.25">
      <c r="A14" s="14" t="s">
        <v>30</v>
      </c>
      <c r="B14" s="18">
        <v>431</v>
      </c>
      <c r="C14" s="18">
        <f>107+14</f>
        <v>121</v>
      </c>
      <c r="D14" s="18">
        <f>148+22</f>
        <v>170</v>
      </c>
      <c r="E14" s="15">
        <f t="shared" si="0"/>
        <v>291</v>
      </c>
      <c r="F14" s="16">
        <v>457</v>
      </c>
      <c r="G14" s="45">
        <f t="shared" si="3"/>
        <v>0.6367614879649891</v>
      </c>
      <c r="H14" s="45">
        <f t="shared" si="4"/>
        <v>0.94310722100656452</v>
      </c>
      <c r="I14" s="38">
        <v>0.4773</v>
      </c>
      <c r="J14" s="42">
        <v>0.9546</v>
      </c>
      <c r="K14" s="47">
        <f t="shared" si="1"/>
        <v>0.1594614879649891</v>
      </c>
      <c r="L14" s="44">
        <f t="shared" si="2"/>
        <v>-1.1492778993435482E-2</v>
      </c>
      <c r="P14" s="1"/>
      <c r="Q14" s="4"/>
      <c r="R14" s="5"/>
      <c r="S14" s="7"/>
      <c r="T14" s="3"/>
      <c r="U14" s="3"/>
      <c r="V14" s="3"/>
    </row>
    <row r="15" spans="1:22" x14ac:dyDescent="0.25">
      <c r="A15" s="14" t="s">
        <v>7</v>
      </c>
      <c r="B15" s="18">
        <v>227</v>
      </c>
      <c r="C15" s="18">
        <v>14</v>
      </c>
      <c r="D15" s="18">
        <v>120</v>
      </c>
      <c r="E15" s="18">
        <f t="shared" si="0"/>
        <v>134</v>
      </c>
      <c r="F15" s="19">
        <v>280</v>
      </c>
      <c r="G15" s="45">
        <f t="shared" si="3"/>
        <v>0.47857142857142859</v>
      </c>
      <c r="H15" s="45">
        <f t="shared" si="4"/>
        <v>0.81071428571428572</v>
      </c>
      <c r="I15" s="38">
        <v>0.43619999999999998</v>
      </c>
      <c r="J15" s="42">
        <v>0.73829999999999996</v>
      </c>
      <c r="K15" s="47">
        <f t="shared" si="1"/>
        <v>4.2371428571428615E-2</v>
      </c>
      <c r="L15" s="97">
        <f t="shared" si="2"/>
        <v>7.2414285714285764E-2</v>
      </c>
      <c r="P15" s="1"/>
      <c r="Q15" s="4"/>
      <c r="R15" s="5"/>
      <c r="S15" s="6"/>
      <c r="T15" s="3"/>
      <c r="U15" s="3"/>
      <c r="V15" s="3"/>
    </row>
    <row r="16" spans="1:22" x14ac:dyDescent="0.25">
      <c r="A16" s="14" t="s">
        <v>8</v>
      </c>
      <c r="B16" s="18">
        <v>558</v>
      </c>
      <c r="C16" s="18">
        <f>178+11</f>
        <v>189</v>
      </c>
      <c r="D16" s="18">
        <f>168+15</f>
        <v>183</v>
      </c>
      <c r="E16" s="15">
        <f t="shared" ref="E16:E27" si="5">C16+D16</f>
        <v>372</v>
      </c>
      <c r="F16" s="19">
        <v>620</v>
      </c>
      <c r="G16" s="45">
        <f t="shared" si="3"/>
        <v>0.6</v>
      </c>
      <c r="H16" s="45">
        <f t="shared" si="4"/>
        <v>0.9</v>
      </c>
      <c r="I16" s="38">
        <v>0.44779999999999998</v>
      </c>
      <c r="J16" s="42">
        <v>0.77370000000000005</v>
      </c>
      <c r="K16" s="47">
        <f t="shared" si="1"/>
        <v>0.1522</v>
      </c>
      <c r="L16" s="97">
        <f t="shared" si="2"/>
        <v>0.12629999999999997</v>
      </c>
      <c r="O16" s="13"/>
      <c r="P16" s="1"/>
      <c r="Q16" s="4"/>
      <c r="R16" s="5"/>
      <c r="S16" s="6"/>
      <c r="T16" s="3"/>
      <c r="U16" s="3"/>
      <c r="V16" s="3"/>
    </row>
    <row r="17" spans="1:22" x14ac:dyDescent="0.25">
      <c r="A17" s="14" t="s">
        <v>40</v>
      </c>
      <c r="B17" s="18">
        <v>672</v>
      </c>
      <c r="C17" s="18">
        <f>309+20</f>
        <v>329</v>
      </c>
      <c r="D17" s="18">
        <f>136+27</f>
        <v>163</v>
      </c>
      <c r="E17" s="15">
        <f t="shared" si="5"/>
        <v>492</v>
      </c>
      <c r="F17" s="19">
        <v>728</v>
      </c>
      <c r="G17" s="45">
        <f t="shared" ref="G17:G27" si="6">E17/F17</f>
        <v>0.67582417582417587</v>
      </c>
      <c r="H17" s="45">
        <f t="shared" si="4"/>
        <v>0.92307692307692313</v>
      </c>
      <c r="I17" s="38">
        <v>0.56040000000000001</v>
      </c>
      <c r="J17" s="42">
        <v>0.92979999999999996</v>
      </c>
      <c r="K17" s="47">
        <f t="shared" si="1"/>
        <v>0.11542417582417586</v>
      </c>
      <c r="L17" s="44">
        <f t="shared" si="2"/>
        <v>-6.7230769230768317E-3</v>
      </c>
      <c r="P17" s="1"/>
      <c r="Q17" s="4"/>
      <c r="R17" s="5"/>
      <c r="S17" s="6"/>
      <c r="T17" s="3"/>
      <c r="U17" s="3"/>
      <c r="V17" s="3"/>
    </row>
    <row r="18" spans="1:22" x14ac:dyDescent="0.25">
      <c r="A18" s="14" t="s">
        <v>54</v>
      </c>
      <c r="B18" s="18">
        <v>216</v>
      </c>
      <c r="C18" s="18">
        <f>18+0</f>
        <v>18</v>
      </c>
      <c r="D18" s="18">
        <f>117+10</f>
        <v>127</v>
      </c>
      <c r="E18" s="18">
        <f t="shared" si="5"/>
        <v>145</v>
      </c>
      <c r="F18" s="19">
        <v>489</v>
      </c>
      <c r="G18" s="45">
        <f t="shared" si="6"/>
        <v>0.29652351738241312</v>
      </c>
      <c r="H18" s="45">
        <f t="shared" si="4"/>
        <v>0.44171779141104295</v>
      </c>
      <c r="I18" s="38">
        <v>0.26250000000000001</v>
      </c>
      <c r="J18" s="42">
        <v>0.54379999999999995</v>
      </c>
      <c r="K18" s="47">
        <f t="shared" si="1"/>
        <v>3.4023517382413104E-2</v>
      </c>
      <c r="L18" s="44">
        <f t="shared" si="2"/>
        <v>-0.102082208588957</v>
      </c>
      <c r="P18" s="1"/>
      <c r="Q18" s="4"/>
      <c r="R18" s="5"/>
      <c r="S18" s="7"/>
      <c r="T18" s="3"/>
      <c r="U18" s="3"/>
      <c r="V18" s="3"/>
    </row>
    <row r="19" spans="1:22" x14ac:dyDescent="0.25">
      <c r="A19" s="14" t="s">
        <v>26</v>
      </c>
      <c r="B19" s="18">
        <v>501</v>
      </c>
      <c r="C19" s="18">
        <f>174+17</f>
        <v>191</v>
      </c>
      <c r="D19" s="18">
        <f>180+20</f>
        <v>200</v>
      </c>
      <c r="E19" s="18">
        <f t="shared" si="5"/>
        <v>391</v>
      </c>
      <c r="F19" s="19">
        <v>518</v>
      </c>
      <c r="G19" s="45">
        <f t="shared" si="6"/>
        <v>0.75482625482625487</v>
      </c>
      <c r="H19" s="45">
        <f t="shared" si="4"/>
        <v>0.96718146718146714</v>
      </c>
      <c r="I19" s="38">
        <v>0.622</v>
      </c>
      <c r="J19" s="42">
        <v>0.99199999999999999</v>
      </c>
      <c r="K19" s="47">
        <f t="shared" si="1"/>
        <v>0.13282625482625487</v>
      </c>
      <c r="L19" s="44">
        <f t="shared" si="2"/>
        <v>-2.4818532818532857E-2</v>
      </c>
      <c r="P19" s="1"/>
      <c r="Q19" s="4"/>
      <c r="R19" s="5"/>
      <c r="S19" s="6"/>
      <c r="T19" s="3"/>
      <c r="U19" s="3"/>
      <c r="V19" s="3"/>
    </row>
    <row r="20" spans="1:22" x14ac:dyDescent="0.25">
      <c r="A20" s="14" t="s">
        <v>9</v>
      </c>
      <c r="B20" s="18">
        <v>630</v>
      </c>
      <c r="C20" s="18">
        <f>199+9</f>
        <v>208</v>
      </c>
      <c r="D20" s="18">
        <f>162+14</f>
        <v>176</v>
      </c>
      <c r="E20" s="18">
        <f t="shared" si="5"/>
        <v>384</v>
      </c>
      <c r="F20" s="19">
        <v>652</v>
      </c>
      <c r="G20" s="45">
        <f t="shared" si="6"/>
        <v>0.58895705521472397</v>
      </c>
      <c r="H20" s="45">
        <f t="shared" si="4"/>
        <v>0.96625766871165641</v>
      </c>
      <c r="I20" s="38">
        <v>0.50370000000000004</v>
      </c>
      <c r="J20" s="42">
        <v>0.99250000000000005</v>
      </c>
      <c r="K20" s="47">
        <f t="shared" si="1"/>
        <v>8.5257055214723931E-2</v>
      </c>
      <c r="L20" s="44">
        <f t="shared" si="2"/>
        <v>-2.6242331288343634E-2</v>
      </c>
      <c r="P20" s="1"/>
      <c r="Q20" s="4"/>
      <c r="R20" s="5"/>
      <c r="S20" s="7"/>
      <c r="T20" s="3"/>
      <c r="U20" s="3"/>
      <c r="V20" s="3"/>
    </row>
    <row r="21" spans="1:22" x14ac:dyDescent="0.25">
      <c r="A21" s="14" t="s">
        <v>55</v>
      </c>
      <c r="B21" s="18">
        <v>222</v>
      </c>
      <c r="C21" s="18">
        <v>7</v>
      </c>
      <c r="D21" s="18">
        <f>170+36</f>
        <v>206</v>
      </c>
      <c r="E21" s="18">
        <f t="shared" si="5"/>
        <v>213</v>
      </c>
      <c r="F21" s="19">
        <v>222</v>
      </c>
      <c r="G21" s="45">
        <f t="shared" si="6"/>
        <v>0.95945945945945943</v>
      </c>
      <c r="H21" s="45">
        <f t="shared" si="4"/>
        <v>1</v>
      </c>
      <c r="I21" s="38">
        <v>0.30719999999999997</v>
      </c>
      <c r="J21" s="42">
        <v>0.59389999999999998</v>
      </c>
      <c r="K21" s="47">
        <f t="shared" si="1"/>
        <v>0.65225945945945951</v>
      </c>
      <c r="L21" s="97">
        <f t="shared" si="2"/>
        <v>0.40610000000000002</v>
      </c>
      <c r="P21" s="1"/>
      <c r="Q21" s="4"/>
      <c r="R21" s="5"/>
      <c r="S21" s="7"/>
      <c r="T21" s="3"/>
      <c r="U21" s="3"/>
      <c r="V21" s="3"/>
    </row>
    <row r="22" spans="1:22" x14ac:dyDescent="0.25">
      <c r="A22" s="14" t="s">
        <v>11</v>
      </c>
      <c r="B22" s="18">
        <v>181</v>
      </c>
      <c r="C22" s="18">
        <v>28</v>
      </c>
      <c r="D22" s="18">
        <v>76</v>
      </c>
      <c r="E22" s="18">
        <f t="shared" si="5"/>
        <v>104</v>
      </c>
      <c r="F22" s="19">
        <v>181</v>
      </c>
      <c r="G22" s="45">
        <f t="shared" si="6"/>
        <v>0.574585635359116</v>
      </c>
      <c r="H22" s="45">
        <f t="shared" si="4"/>
        <v>1</v>
      </c>
      <c r="I22" s="38">
        <v>0.51300000000000001</v>
      </c>
      <c r="J22" s="42">
        <v>0.90159999999999996</v>
      </c>
      <c r="K22" s="47">
        <f t="shared" si="1"/>
        <v>6.1585635359115987E-2</v>
      </c>
      <c r="L22" s="97">
        <f t="shared" si="2"/>
        <v>9.8400000000000043E-2</v>
      </c>
      <c r="P22" s="1"/>
      <c r="Q22" s="4"/>
      <c r="R22" s="5"/>
      <c r="S22" s="7"/>
      <c r="T22" s="3"/>
      <c r="U22" s="3"/>
      <c r="V22" s="3"/>
    </row>
    <row r="23" spans="1:22" x14ac:dyDescent="0.25">
      <c r="A23" s="14" t="s">
        <v>12</v>
      </c>
      <c r="B23" s="18">
        <v>626</v>
      </c>
      <c r="C23" s="18">
        <f>274+16</f>
        <v>290</v>
      </c>
      <c r="D23" s="18">
        <f>109+12</f>
        <v>121</v>
      </c>
      <c r="E23" s="18">
        <f t="shared" si="5"/>
        <v>411</v>
      </c>
      <c r="F23" s="19">
        <v>685</v>
      </c>
      <c r="G23" s="45">
        <f t="shared" si="6"/>
        <v>0.6</v>
      </c>
      <c r="H23" s="45">
        <f t="shared" si="4"/>
        <v>0.91386861313868617</v>
      </c>
      <c r="I23" s="38">
        <v>0.4662</v>
      </c>
      <c r="J23" s="42">
        <v>0.93940000000000001</v>
      </c>
      <c r="K23" s="47">
        <f t="shared" si="1"/>
        <v>0.13379999999999997</v>
      </c>
      <c r="L23" s="44">
        <f t="shared" si="2"/>
        <v>-2.5531386861313843E-2</v>
      </c>
      <c r="M23" s="2"/>
      <c r="N23" s="1"/>
      <c r="O23" s="1"/>
      <c r="P23" s="1"/>
      <c r="Q23" s="4"/>
      <c r="R23" s="5"/>
      <c r="S23" s="6"/>
      <c r="T23" s="3"/>
      <c r="U23" s="3"/>
      <c r="V23" s="3"/>
    </row>
    <row r="24" spans="1:22" x14ac:dyDescent="0.25">
      <c r="A24" s="14" t="s">
        <v>56</v>
      </c>
      <c r="B24" s="18">
        <v>538</v>
      </c>
      <c r="C24" s="18">
        <f>79+14</f>
        <v>93</v>
      </c>
      <c r="D24" s="18">
        <f>235+36</f>
        <v>271</v>
      </c>
      <c r="E24" s="18">
        <f t="shared" si="5"/>
        <v>364</v>
      </c>
      <c r="F24" s="19">
        <v>676</v>
      </c>
      <c r="G24" s="45">
        <f t="shared" si="6"/>
        <v>0.53846153846153844</v>
      </c>
      <c r="H24" s="45">
        <f t="shared" si="4"/>
        <v>0.79585798816568043</v>
      </c>
      <c r="I24" s="38">
        <v>0.42030000000000001</v>
      </c>
      <c r="J24" s="42">
        <v>0.62</v>
      </c>
      <c r="K24" s="47">
        <f t="shared" si="1"/>
        <v>0.11816153846153843</v>
      </c>
      <c r="L24" s="97">
        <f t="shared" si="2"/>
        <v>0.17585798816568043</v>
      </c>
      <c r="M24" s="2"/>
      <c r="N24" s="1"/>
      <c r="O24" s="1"/>
      <c r="P24" s="1"/>
      <c r="Q24" s="4"/>
      <c r="R24" s="5"/>
      <c r="S24" s="9"/>
      <c r="T24" s="3"/>
      <c r="U24" s="3"/>
      <c r="V24" s="3"/>
    </row>
    <row r="25" spans="1:22" x14ac:dyDescent="0.25">
      <c r="A25" s="14" t="s">
        <v>14</v>
      </c>
      <c r="B25" s="18">
        <v>173</v>
      </c>
      <c r="C25" s="18">
        <f>12+0</f>
        <v>12</v>
      </c>
      <c r="D25" s="18">
        <f>67+8</f>
        <v>75</v>
      </c>
      <c r="E25" s="18">
        <f t="shared" si="5"/>
        <v>87</v>
      </c>
      <c r="F25" s="19">
        <v>190</v>
      </c>
      <c r="G25" s="45">
        <f t="shared" si="6"/>
        <v>0.45789473684210524</v>
      </c>
      <c r="H25" s="45">
        <f t="shared" si="4"/>
        <v>0.91052631578947374</v>
      </c>
      <c r="I25" s="38">
        <v>0.43809999999999999</v>
      </c>
      <c r="J25" s="42">
        <v>0.73009999999999997</v>
      </c>
      <c r="K25" s="47">
        <f t="shared" si="1"/>
        <v>1.9794736842105254E-2</v>
      </c>
      <c r="L25" s="97">
        <f t="shared" si="2"/>
        <v>0.18042631578947377</v>
      </c>
      <c r="M25" s="2"/>
      <c r="N25" s="1"/>
      <c r="O25" s="1"/>
      <c r="P25" s="1"/>
      <c r="Q25" s="4"/>
      <c r="R25" s="5"/>
      <c r="S25" s="6"/>
      <c r="T25" s="3"/>
      <c r="U25" s="3"/>
      <c r="V25" s="3"/>
    </row>
    <row r="26" spans="1:22" x14ac:dyDescent="0.25">
      <c r="A26" s="14" t="s">
        <v>81</v>
      </c>
      <c r="B26" s="18">
        <v>709</v>
      </c>
      <c r="C26" s="18">
        <v>342</v>
      </c>
      <c r="D26" s="18">
        <v>252</v>
      </c>
      <c r="E26" s="18">
        <f t="shared" si="5"/>
        <v>594</v>
      </c>
      <c r="F26" s="19">
        <v>804</v>
      </c>
      <c r="G26" s="45">
        <f t="shared" si="6"/>
        <v>0.73880597014925375</v>
      </c>
      <c r="H26" s="45">
        <f t="shared" si="4"/>
        <v>0.88184079601990051</v>
      </c>
      <c r="I26" s="38">
        <v>0.59279999999999999</v>
      </c>
      <c r="J26" s="42">
        <v>0.88419999999999999</v>
      </c>
      <c r="K26" s="47">
        <f t="shared" si="1"/>
        <v>0.14600597014925376</v>
      </c>
      <c r="L26" s="44">
        <f t="shared" si="2"/>
        <v>-2.359203980099478E-3</v>
      </c>
      <c r="M26" s="2"/>
      <c r="N26" s="1"/>
      <c r="O26" s="1"/>
      <c r="P26" s="1"/>
      <c r="Q26" s="4"/>
      <c r="R26" s="8"/>
      <c r="S26" s="7"/>
      <c r="T26" s="3"/>
      <c r="U26" s="3"/>
      <c r="V26" s="3"/>
    </row>
    <row r="27" spans="1:22" ht="15.75" thickBot="1" x14ac:dyDescent="0.3">
      <c r="A27" s="20" t="s">
        <v>16</v>
      </c>
      <c r="B27" s="21">
        <v>385</v>
      </c>
      <c r="C27" s="21">
        <f>97+2</f>
        <v>99</v>
      </c>
      <c r="D27" s="21">
        <f>116+4</f>
        <v>120</v>
      </c>
      <c r="E27" s="54">
        <f t="shared" si="5"/>
        <v>219</v>
      </c>
      <c r="F27" s="22">
        <v>566</v>
      </c>
      <c r="G27" s="46">
        <f t="shared" si="6"/>
        <v>0.38692579505300351</v>
      </c>
      <c r="H27" s="46">
        <f t="shared" si="4"/>
        <v>0.68021201413427557</v>
      </c>
      <c r="I27" s="39">
        <v>0.36770000000000003</v>
      </c>
      <c r="J27" s="43">
        <v>0.66790000000000005</v>
      </c>
      <c r="K27" s="48">
        <f t="shared" si="1"/>
        <v>1.922579505300348E-2</v>
      </c>
      <c r="L27" s="99">
        <f t="shared" si="2"/>
        <v>1.2312014134275517E-2</v>
      </c>
      <c r="M27" s="2"/>
      <c r="N27" s="1"/>
      <c r="O27" s="1"/>
      <c r="P27" s="1"/>
      <c r="Q27" s="4"/>
      <c r="R27" s="5"/>
      <c r="S27" s="6"/>
      <c r="T27" s="3"/>
      <c r="U27" s="3"/>
      <c r="V27" s="3"/>
    </row>
    <row r="28" spans="1:22" ht="15.75" thickBot="1" x14ac:dyDescent="0.3">
      <c r="A28" s="23" t="s">
        <v>41</v>
      </c>
      <c r="B28" s="24">
        <f>SUM(B4:B27)</f>
        <v>10866</v>
      </c>
      <c r="C28" s="24">
        <f>SUM(C4:C27)</f>
        <v>3732</v>
      </c>
      <c r="D28" s="24">
        <f>SUM(D4:D27)</f>
        <v>3722</v>
      </c>
      <c r="E28" s="24">
        <f t="shared" ref="E28:F28" si="7">SUM(E4:E27)</f>
        <v>7454</v>
      </c>
      <c r="F28" s="24">
        <f t="shared" si="7"/>
        <v>12647</v>
      </c>
      <c r="G28" s="46">
        <f t="shared" si="3"/>
        <v>0.58938878785482718</v>
      </c>
      <c r="H28" s="49">
        <f t="shared" si="4"/>
        <v>0.85917608919111255</v>
      </c>
      <c r="I28" s="37">
        <v>0.49220000000000003</v>
      </c>
      <c r="J28" s="32">
        <v>0.83009999999999995</v>
      </c>
      <c r="K28" s="98">
        <f>AVERAGE(K4:K27)</f>
        <v>0.11005419108378552</v>
      </c>
      <c r="L28" s="100">
        <f>AVERAGE(L4:L27)</f>
        <v>4.8575367565878103E-2</v>
      </c>
      <c r="M28" s="2"/>
      <c r="N28" s="1"/>
      <c r="O28" s="1"/>
      <c r="P28" s="1"/>
      <c r="Q28" s="4"/>
      <c r="R28" s="5"/>
      <c r="S28" s="6"/>
      <c r="T28" s="3"/>
      <c r="U28" s="3"/>
      <c r="V28" s="3"/>
    </row>
    <row r="29" spans="1:22" x14ac:dyDescent="0.25">
      <c r="A29" s="26"/>
      <c r="B29" s="15"/>
      <c r="C29" s="15"/>
      <c r="D29" s="15"/>
      <c r="E29" s="15"/>
      <c r="F29" s="17"/>
      <c r="G29" s="17"/>
      <c r="H29" s="17"/>
      <c r="J29" s="1"/>
      <c r="K29" s="1"/>
      <c r="L29" s="1"/>
      <c r="M29" s="2"/>
      <c r="N29" s="1"/>
      <c r="O29" s="1"/>
      <c r="P29" s="1"/>
      <c r="Q29" s="4"/>
      <c r="R29" s="5"/>
      <c r="S29" s="6"/>
      <c r="T29" s="3"/>
      <c r="U29" s="3"/>
      <c r="V29" s="3"/>
    </row>
    <row r="30" spans="1:22" ht="15.75" thickBot="1" x14ac:dyDescent="0.3">
      <c r="A30" s="27"/>
      <c r="B30" s="27"/>
      <c r="C30" s="27"/>
      <c r="D30" s="27"/>
      <c r="E30" s="27"/>
      <c r="F30" s="27"/>
      <c r="G30" s="27"/>
      <c r="H30" s="27"/>
      <c r="J30" s="1"/>
      <c r="K30" s="1"/>
      <c r="L30" s="1"/>
      <c r="M30" s="2"/>
      <c r="N30" s="1"/>
      <c r="O30" s="1"/>
      <c r="P30" s="1"/>
      <c r="Q30" s="4"/>
      <c r="R30" s="5"/>
      <c r="S30" s="10"/>
      <c r="T30" s="3"/>
      <c r="U30" s="3"/>
      <c r="V30" s="3"/>
    </row>
    <row r="31" spans="1:22" ht="30" customHeight="1" x14ac:dyDescent="0.25">
      <c r="A31" s="55" t="s">
        <v>39</v>
      </c>
      <c r="B31" s="56" t="s">
        <v>44</v>
      </c>
      <c r="C31" s="56" t="s">
        <v>51</v>
      </c>
      <c r="D31" s="56" t="s">
        <v>46</v>
      </c>
      <c r="E31" s="56" t="s">
        <v>45</v>
      </c>
      <c r="F31" s="57" t="s">
        <v>33</v>
      </c>
      <c r="G31" s="57" t="s">
        <v>34</v>
      </c>
      <c r="H31" s="75" t="s">
        <v>38</v>
      </c>
      <c r="I31" s="55" t="s">
        <v>59</v>
      </c>
      <c r="J31" s="58" t="s">
        <v>60</v>
      </c>
      <c r="K31" s="55" t="s">
        <v>77</v>
      </c>
      <c r="L31" s="58" t="s">
        <v>78</v>
      </c>
      <c r="M31" s="2"/>
      <c r="N31" s="1"/>
      <c r="O31" s="1"/>
      <c r="P31" s="1"/>
      <c r="Q31" s="4"/>
      <c r="R31" s="5"/>
      <c r="S31" s="7"/>
      <c r="T31" s="3"/>
      <c r="U31" s="3"/>
      <c r="V31" s="3"/>
    </row>
    <row r="32" spans="1:22" x14ac:dyDescent="0.25">
      <c r="A32" s="28" t="s">
        <v>53</v>
      </c>
      <c r="B32" s="15">
        <v>24</v>
      </c>
      <c r="C32" s="15">
        <v>0</v>
      </c>
      <c r="D32" s="15">
        <v>21</v>
      </c>
      <c r="E32" s="15">
        <f t="shared" ref="E32:E34" si="8">C32+D32</f>
        <v>21</v>
      </c>
      <c r="F32" s="15">
        <v>63</v>
      </c>
      <c r="G32" s="79">
        <f t="shared" ref="G32:G33" si="9">E32/F32</f>
        <v>0.33333333333333331</v>
      </c>
      <c r="H32" s="79">
        <f t="shared" ref="H32:H33" si="10">B32/F32</f>
        <v>0.38095238095238093</v>
      </c>
      <c r="I32" s="86">
        <v>0.2097</v>
      </c>
      <c r="J32" s="42">
        <v>1</v>
      </c>
      <c r="K32" s="108">
        <f t="shared" ref="K32:L34" si="11">G32-I32</f>
        <v>0.12363333333333332</v>
      </c>
      <c r="L32" s="44">
        <f t="shared" si="11"/>
        <v>-0.61904761904761907</v>
      </c>
      <c r="M32" s="2"/>
      <c r="N32" s="1"/>
      <c r="O32" s="1"/>
      <c r="P32" s="1"/>
      <c r="Q32" s="4"/>
      <c r="R32" s="5"/>
      <c r="S32" s="6"/>
      <c r="T32" s="3"/>
      <c r="U32" s="3"/>
      <c r="V32" s="3"/>
    </row>
    <row r="33" spans="1:22" x14ac:dyDescent="0.25">
      <c r="A33" s="28" t="s">
        <v>30</v>
      </c>
      <c r="B33" s="15">
        <v>12</v>
      </c>
      <c r="C33" s="15">
        <v>2</v>
      </c>
      <c r="D33" s="15">
        <v>9</v>
      </c>
      <c r="E33" s="15">
        <f t="shared" si="8"/>
        <v>11</v>
      </c>
      <c r="F33" s="15">
        <v>34</v>
      </c>
      <c r="G33" s="79">
        <f t="shared" si="9"/>
        <v>0.3235294117647059</v>
      </c>
      <c r="H33" s="79">
        <f t="shared" si="10"/>
        <v>0.35294117647058826</v>
      </c>
      <c r="I33" s="106" t="s">
        <v>82</v>
      </c>
      <c r="J33" s="107" t="s">
        <v>82</v>
      </c>
      <c r="K33" s="106" t="s">
        <v>82</v>
      </c>
      <c r="L33" s="107" t="s">
        <v>82</v>
      </c>
      <c r="M33" s="2"/>
      <c r="N33" s="1"/>
      <c r="O33" s="1"/>
      <c r="P33" s="1"/>
      <c r="Q33" s="4"/>
      <c r="R33" s="5"/>
      <c r="S33" s="6"/>
      <c r="T33" s="3"/>
      <c r="U33" s="3"/>
      <c r="V33" s="3"/>
    </row>
    <row r="34" spans="1:22" ht="15.75" thickBot="1" x14ac:dyDescent="0.3">
      <c r="A34" s="28" t="s">
        <v>10</v>
      </c>
      <c r="B34" s="15">
        <v>57</v>
      </c>
      <c r="C34" s="15">
        <v>0</v>
      </c>
      <c r="D34" s="15">
        <v>55</v>
      </c>
      <c r="E34" s="15">
        <f t="shared" si="8"/>
        <v>55</v>
      </c>
      <c r="F34" s="18">
        <v>99</v>
      </c>
      <c r="G34" s="79">
        <f>E34/F34</f>
        <v>0.55555555555555558</v>
      </c>
      <c r="H34" s="79">
        <f>B34/F34</f>
        <v>0.5757575757575758</v>
      </c>
      <c r="I34" s="86">
        <v>0.3478</v>
      </c>
      <c r="J34" s="42">
        <v>1</v>
      </c>
      <c r="K34" s="108">
        <f t="shared" si="11"/>
        <v>0.20775555555555558</v>
      </c>
      <c r="L34" s="44">
        <f t="shared" si="11"/>
        <v>-0.4242424242424242</v>
      </c>
      <c r="M34" s="2"/>
      <c r="N34" s="1"/>
      <c r="O34" s="1"/>
      <c r="P34" s="1"/>
      <c r="Q34" s="4"/>
      <c r="R34" s="5"/>
      <c r="S34" s="7"/>
      <c r="T34" s="3"/>
      <c r="U34" s="3"/>
      <c r="V34" s="3"/>
    </row>
    <row r="35" spans="1:22" ht="15.75" thickBot="1" x14ac:dyDescent="0.3">
      <c r="A35" s="29" t="s">
        <v>42</v>
      </c>
      <c r="B35" s="24">
        <f>SUM(B32:B34)</f>
        <v>93</v>
      </c>
      <c r="C35" s="24">
        <f>SUM(C32:C34)</f>
        <v>2</v>
      </c>
      <c r="D35" s="24">
        <f>SUM(D32:D34)</f>
        <v>85</v>
      </c>
      <c r="E35" s="24">
        <f>SUM(E32:E34)</f>
        <v>87</v>
      </c>
      <c r="F35" s="24">
        <f>SUM(F32:F34)</f>
        <v>196</v>
      </c>
      <c r="G35" s="80">
        <f>E35/F35</f>
        <v>0.44387755102040816</v>
      </c>
      <c r="H35" s="80">
        <f>B35/F35</f>
        <v>0.47448979591836737</v>
      </c>
      <c r="I35" s="88">
        <f>AVERAGE(I32:I34)</f>
        <v>0.27875</v>
      </c>
      <c r="J35" s="32">
        <f>AVERAGE(J32:J34)</f>
        <v>1</v>
      </c>
      <c r="K35" s="109">
        <f>AVERAGE(K32:K34)</f>
        <v>0.16569444444444445</v>
      </c>
      <c r="L35" s="91">
        <f>AVERAGE(L32:L34)</f>
        <v>-0.52164502164502169</v>
      </c>
      <c r="M35" s="2"/>
      <c r="N35" s="1"/>
      <c r="O35" s="1"/>
      <c r="P35" s="1"/>
      <c r="Q35" s="4"/>
      <c r="R35" s="5"/>
      <c r="S35" s="7"/>
      <c r="T35" s="3"/>
      <c r="U35" s="3"/>
      <c r="V35" s="3"/>
    </row>
    <row r="36" spans="1:22" x14ac:dyDescent="0.25">
      <c r="A36" s="27"/>
      <c r="B36" s="27"/>
      <c r="C36" s="27"/>
      <c r="D36" s="27"/>
      <c r="E36" s="27"/>
      <c r="F36" s="27"/>
      <c r="G36" s="27"/>
      <c r="H36" s="27"/>
      <c r="J36" s="1"/>
      <c r="K36" s="1"/>
      <c r="L36" s="1"/>
      <c r="M36" s="2"/>
      <c r="N36" s="1"/>
      <c r="O36" s="1"/>
      <c r="P36" s="1"/>
      <c r="Q36" s="4"/>
      <c r="R36" s="5"/>
      <c r="S36" s="9"/>
      <c r="T36" s="3"/>
      <c r="U36" s="3"/>
      <c r="V36" s="3"/>
    </row>
    <row r="37" spans="1:22" ht="15.75" thickBot="1" x14ac:dyDescent="0.3">
      <c r="A37" s="27"/>
      <c r="B37" s="27"/>
      <c r="C37" s="27"/>
      <c r="D37" s="27"/>
      <c r="E37" s="27"/>
      <c r="F37" s="27"/>
      <c r="G37" s="27"/>
      <c r="H37" s="27"/>
      <c r="J37" s="1"/>
      <c r="K37" s="1"/>
      <c r="L37" s="1"/>
      <c r="M37" s="2"/>
      <c r="N37" s="1"/>
      <c r="O37" s="1"/>
      <c r="P37" s="1"/>
      <c r="Q37" s="4"/>
      <c r="R37" s="5"/>
      <c r="S37" s="9"/>
      <c r="T37" s="3"/>
      <c r="U37" s="3"/>
      <c r="V37" s="3"/>
    </row>
    <row r="38" spans="1:22" ht="39" customHeight="1" x14ac:dyDescent="0.25">
      <c r="A38" s="59" t="s">
        <v>36</v>
      </c>
      <c r="B38" s="60" t="s">
        <v>44</v>
      </c>
      <c r="C38" s="60" t="s">
        <v>52</v>
      </c>
      <c r="D38" s="60" t="s">
        <v>46</v>
      </c>
      <c r="E38" s="60" t="s">
        <v>45</v>
      </c>
      <c r="F38" s="61" t="s">
        <v>33</v>
      </c>
      <c r="G38" s="61" t="s">
        <v>34</v>
      </c>
      <c r="H38" s="76" t="s">
        <v>38</v>
      </c>
      <c r="I38" s="59" t="s">
        <v>59</v>
      </c>
      <c r="J38" s="62" t="s">
        <v>60</v>
      </c>
      <c r="K38" s="94" t="s">
        <v>77</v>
      </c>
      <c r="L38" s="62" t="s">
        <v>78</v>
      </c>
      <c r="M38" s="2"/>
      <c r="N38" s="1"/>
      <c r="O38" s="1"/>
      <c r="P38" s="1"/>
      <c r="Q38" s="4"/>
      <c r="R38" s="5"/>
      <c r="S38" s="6"/>
      <c r="T38" s="3"/>
      <c r="U38" s="3"/>
      <c r="V38" s="3"/>
    </row>
    <row r="39" spans="1:22" x14ac:dyDescent="0.25">
      <c r="A39" s="28" t="s">
        <v>17</v>
      </c>
      <c r="B39" s="18">
        <v>472</v>
      </c>
      <c r="C39" s="15">
        <v>177</v>
      </c>
      <c r="D39" s="15">
        <v>113</v>
      </c>
      <c r="E39" s="15">
        <f>C39+D39</f>
        <v>290</v>
      </c>
      <c r="F39" s="1">
        <v>749</v>
      </c>
      <c r="G39" s="45">
        <f t="shared" ref="G39:G40" si="12">E39/F39</f>
        <v>0.38718291054739651</v>
      </c>
      <c r="H39" s="45">
        <f t="shared" ref="H39:H40" si="13">B39/F39</f>
        <v>0.63017356475300401</v>
      </c>
      <c r="I39" s="86">
        <v>0.3488</v>
      </c>
      <c r="J39" s="42">
        <v>0.68600000000000005</v>
      </c>
      <c r="K39" s="47">
        <f t="shared" ref="K39:L45" si="14">G39-I39</f>
        <v>3.8382910547396509E-2</v>
      </c>
      <c r="L39" s="44">
        <f t="shared" si="14"/>
        <v>-5.5826435246996042E-2</v>
      </c>
      <c r="M39" s="2"/>
      <c r="N39" s="1"/>
      <c r="O39" s="1"/>
      <c r="P39" s="1"/>
      <c r="Q39" s="4"/>
      <c r="R39" s="5"/>
      <c r="S39" s="11"/>
      <c r="T39" s="3"/>
      <c r="U39" s="3"/>
      <c r="V39" s="3"/>
    </row>
    <row r="40" spans="1:22" x14ac:dyDescent="0.25">
      <c r="A40" s="28" t="s">
        <v>18</v>
      </c>
      <c r="B40" s="18">
        <v>764</v>
      </c>
      <c r="C40" s="15">
        <v>262</v>
      </c>
      <c r="D40" s="15">
        <v>142</v>
      </c>
      <c r="E40" s="15">
        <f>C40+D40</f>
        <v>404</v>
      </c>
      <c r="F40" s="18">
        <v>806</v>
      </c>
      <c r="G40" s="45">
        <f t="shared" si="12"/>
        <v>0.50124069478908184</v>
      </c>
      <c r="H40" s="45">
        <f t="shared" si="13"/>
        <v>0.94789081885856075</v>
      </c>
      <c r="I40" s="86">
        <v>0.49049999999999999</v>
      </c>
      <c r="J40" s="42">
        <v>0.49049999999999999</v>
      </c>
      <c r="K40" s="47">
        <f t="shared" si="14"/>
        <v>1.074069478908185E-2</v>
      </c>
      <c r="L40" s="97">
        <f t="shared" si="14"/>
        <v>0.45739081885856075</v>
      </c>
      <c r="M40" s="2"/>
      <c r="N40" s="1"/>
      <c r="O40" s="1"/>
      <c r="P40" s="1"/>
      <c r="Q40" s="4"/>
      <c r="R40" s="5"/>
      <c r="S40" s="9"/>
      <c r="T40" s="3"/>
      <c r="U40" s="3"/>
      <c r="V40" s="3"/>
    </row>
    <row r="41" spans="1:22" x14ac:dyDescent="0.25">
      <c r="A41" s="14" t="s">
        <v>29</v>
      </c>
      <c r="B41" s="18">
        <v>635</v>
      </c>
      <c r="C41" s="18">
        <v>307</v>
      </c>
      <c r="D41" s="18">
        <v>166</v>
      </c>
      <c r="E41" s="18">
        <f t="shared" ref="E41" si="15">C41+D41</f>
        <v>473</v>
      </c>
      <c r="F41" s="19">
        <v>958</v>
      </c>
      <c r="G41" s="45">
        <f t="shared" ref="G41" si="16">E41/F41</f>
        <v>0.49373695198329853</v>
      </c>
      <c r="H41" s="45">
        <f t="shared" ref="H41" si="17">B41/F41</f>
        <v>0.66283924843423803</v>
      </c>
      <c r="I41" s="86">
        <v>0.42459999999999998</v>
      </c>
      <c r="J41" s="42">
        <v>0.64670000000000005</v>
      </c>
      <c r="K41" s="47">
        <f t="shared" si="14"/>
        <v>6.9136951983298556E-2</v>
      </c>
      <c r="L41" s="97">
        <f t="shared" si="14"/>
        <v>1.6139248434237974E-2</v>
      </c>
      <c r="P41" s="1"/>
    </row>
    <row r="42" spans="1:22" x14ac:dyDescent="0.25">
      <c r="A42" s="28" t="s">
        <v>19</v>
      </c>
      <c r="B42" s="18">
        <v>431</v>
      </c>
      <c r="C42" s="18">
        <v>223</v>
      </c>
      <c r="D42" s="18">
        <v>96</v>
      </c>
      <c r="E42" s="15">
        <f t="shared" ref="E42:E45" si="18">C42+D42</f>
        <v>319</v>
      </c>
      <c r="F42" s="18">
        <v>730</v>
      </c>
      <c r="G42" s="45">
        <f t="shared" ref="G42:G46" si="19">E42/F42</f>
        <v>0.43698630136986299</v>
      </c>
      <c r="H42" s="45">
        <f t="shared" ref="H42:H46" si="20">B42/F42</f>
        <v>0.59041095890410955</v>
      </c>
      <c r="I42" s="86">
        <v>0.4229</v>
      </c>
      <c r="J42" s="42">
        <v>0.61819999999999997</v>
      </c>
      <c r="K42" s="47">
        <f t="shared" si="14"/>
        <v>1.4086301369862997E-2</v>
      </c>
      <c r="L42" s="44">
        <f t="shared" si="14"/>
        <v>-2.7789041095890421E-2</v>
      </c>
      <c r="M42" s="2"/>
      <c r="N42" s="1"/>
      <c r="O42" s="1"/>
      <c r="P42" s="1"/>
      <c r="Q42" s="4"/>
      <c r="R42" s="12"/>
      <c r="S42" s="9"/>
      <c r="T42" s="3"/>
      <c r="U42" s="3"/>
      <c r="V42" s="3"/>
    </row>
    <row r="43" spans="1:22" x14ac:dyDescent="0.25">
      <c r="A43" s="28" t="s">
        <v>20</v>
      </c>
      <c r="B43" s="18">
        <v>223</v>
      </c>
      <c r="C43" s="18">
        <v>72</v>
      </c>
      <c r="D43" s="18">
        <v>72</v>
      </c>
      <c r="E43" s="18">
        <f t="shared" si="18"/>
        <v>144</v>
      </c>
      <c r="F43" s="18">
        <v>387</v>
      </c>
      <c r="G43" s="45">
        <f t="shared" si="19"/>
        <v>0.37209302325581395</v>
      </c>
      <c r="H43" s="45">
        <f t="shared" si="20"/>
        <v>0.57622739018087854</v>
      </c>
      <c r="I43" s="86">
        <v>0.39500000000000002</v>
      </c>
      <c r="J43" s="42">
        <v>0.75349999999999995</v>
      </c>
      <c r="K43" s="41">
        <f t="shared" si="14"/>
        <v>-2.2906976744186069E-2</v>
      </c>
      <c r="L43" s="44">
        <f t="shared" si="14"/>
        <v>-0.17727260981912141</v>
      </c>
      <c r="M43" s="2"/>
      <c r="N43" s="1"/>
      <c r="O43" s="1"/>
      <c r="P43" s="1"/>
      <c r="Q43" s="4"/>
      <c r="R43" s="12"/>
      <c r="S43" s="9"/>
      <c r="T43" s="3"/>
      <c r="U43" s="3"/>
      <c r="V43" s="3"/>
    </row>
    <row r="44" spans="1:22" x14ac:dyDescent="0.25">
      <c r="A44" s="28" t="s">
        <v>21</v>
      </c>
      <c r="B44" s="18">
        <v>679</v>
      </c>
      <c r="C44" s="18">
        <v>242</v>
      </c>
      <c r="D44" s="18">
        <v>143</v>
      </c>
      <c r="E44" s="18">
        <f t="shared" si="18"/>
        <v>385</v>
      </c>
      <c r="F44" s="18">
        <v>694</v>
      </c>
      <c r="G44" s="45">
        <f t="shared" si="19"/>
        <v>0.55475504322766567</v>
      </c>
      <c r="H44" s="45">
        <f t="shared" si="20"/>
        <v>0.97838616714697402</v>
      </c>
      <c r="I44" s="86">
        <v>0.4864</v>
      </c>
      <c r="J44" s="42">
        <v>0.83399999999999996</v>
      </c>
      <c r="K44" s="47">
        <f t="shared" si="14"/>
        <v>6.8355043227665668E-2</v>
      </c>
      <c r="L44" s="97">
        <f t="shared" si="14"/>
        <v>0.14438616714697405</v>
      </c>
      <c r="M44" s="2"/>
      <c r="N44" s="1"/>
      <c r="O44" s="1"/>
      <c r="Q44" s="3"/>
      <c r="R44" s="3"/>
      <c r="S44" s="3"/>
      <c r="T44" s="3"/>
      <c r="U44" s="3"/>
      <c r="V44" s="3"/>
    </row>
    <row r="45" spans="1:22" ht="15.75" thickBot="1" x14ac:dyDescent="0.3">
      <c r="A45" s="28" t="s">
        <v>31</v>
      </c>
      <c r="B45" s="18">
        <v>726</v>
      </c>
      <c r="C45" s="18">
        <v>238</v>
      </c>
      <c r="D45" s="18">
        <v>190</v>
      </c>
      <c r="E45" s="18">
        <f t="shared" si="18"/>
        <v>428</v>
      </c>
      <c r="F45" s="18">
        <v>931</v>
      </c>
      <c r="G45" s="46">
        <f t="shared" si="19"/>
        <v>0.45972073039742212</v>
      </c>
      <c r="H45" s="46">
        <f t="shared" si="20"/>
        <v>0.77980665950590766</v>
      </c>
      <c r="I45" s="87">
        <v>0.45050000000000001</v>
      </c>
      <c r="J45" s="43">
        <v>0.81289999999999996</v>
      </c>
      <c r="K45" s="48">
        <f t="shared" si="14"/>
        <v>9.2207303974221055E-3</v>
      </c>
      <c r="L45" s="90">
        <f t="shared" si="14"/>
        <v>-3.3093340494092294E-2</v>
      </c>
    </row>
    <row r="46" spans="1:22" ht="15.75" thickBot="1" x14ac:dyDescent="0.3">
      <c r="A46" s="29" t="s">
        <v>43</v>
      </c>
      <c r="B46" s="24">
        <f>SUM(B39:B45)</f>
        <v>3930</v>
      </c>
      <c r="C46" s="24">
        <f>SUM(C39:C45)</f>
        <v>1521</v>
      </c>
      <c r="D46" s="24">
        <f>SUM(D39:D45)</f>
        <v>922</v>
      </c>
      <c r="E46" s="24">
        <f>SUM(E39:E45)</f>
        <v>2443</v>
      </c>
      <c r="F46" s="24">
        <f>SUM(F39:F45)</f>
        <v>5255</v>
      </c>
      <c r="G46" s="46">
        <f t="shared" si="19"/>
        <v>0.46489058039961939</v>
      </c>
      <c r="H46" s="49">
        <f t="shared" si="20"/>
        <v>0.74785918173168409</v>
      </c>
      <c r="I46" s="88">
        <f>AVERAGE(I39:I45)</f>
        <v>0.43124285714285721</v>
      </c>
      <c r="J46" s="32">
        <f>AVERAGE(J39:J45)</f>
        <v>0.69168571428571435</v>
      </c>
      <c r="K46" s="98">
        <f>AVERAGE(K39:K45)</f>
        <v>2.6716522224363087E-2</v>
      </c>
      <c r="L46" s="100">
        <f>AVERAGE(L39:L45)</f>
        <v>4.6276401111953233E-2</v>
      </c>
    </row>
    <row r="47" spans="1:22" x14ac:dyDescent="0.25">
      <c r="A47" s="27"/>
      <c r="B47" s="27"/>
      <c r="C47" s="27"/>
      <c r="D47" s="27"/>
      <c r="E47" s="27"/>
      <c r="F47" s="27"/>
      <c r="G47" s="27"/>
      <c r="H47" s="27"/>
    </row>
    <row r="48" spans="1:22" ht="15.75" thickBot="1" x14ac:dyDescent="0.3">
      <c r="A48" s="27"/>
      <c r="B48" s="27"/>
      <c r="C48" s="27"/>
      <c r="D48" s="27"/>
      <c r="E48" s="27"/>
      <c r="F48" s="27"/>
      <c r="G48" s="27"/>
      <c r="H48" s="27"/>
    </row>
    <row r="49" spans="1:12" ht="33" customHeight="1" x14ac:dyDescent="0.25">
      <c r="A49" s="63" t="s">
        <v>37</v>
      </c>
      <c r="B49" s="64" t="s">
        <v>44</v>
      </c>
      <c r="C49" s="64" t="s">
        <v>51</v>
      </c>
      <c r="D49" s="64" t="s">
        <v>46</v>
      </c>
      <c r="E49" s="64" t="s">
        <v>45</v>
      </c>
      <c r="F49" s="65" t="s">
        <v>33</v>
      </c>
      <c r="G49" s="65" t="s">
        <v>34</v>
      </c>
      <c r="H49" s="77" t="s">
        <v>38</v>
      </c>
      <c r="I49" s="63" t="s">
        <v>59</v>
      </c>
      <c r="J49" s="66" t="s">
        <v>60</v>
      </c>
      <c r="K49" s="95" t="s">
        <v>77</v>
      </c>
      <c r="L49" s="66" t="s">
        <v>78</v>
      </c>
    </row>
    <row r="50" spans="1:12" x14ac:dyDescent="0.25">
      <c r="A50" s="28" t="s">
        <v>22</v>
      </c>
      <c r="B50" s="15">
        <v>1370</v>
      </c>
      <c r="C50" s="15">
        <v>595</v>
      </c>
      <c r="D50" s="15">
        <v>208</v>
      </c>
      <c r="E50" s="15">
        <f>C50+D50</f>
        <v>803</v>
      </c>
      <c r="F50" s="19">
        <v>2209</v>
      </c>
      <c r="G50" s="81">
        <f t="shared" ref="G50:G52" si="21">E50/F50</f>
        <v>0.36351290176550477</v>
      </c>
      <c r="H50" s="81">
        <f t="shared" ref="H50:H52" si="22">B50/F50</f>
        <v>0.62019013128112266</v>
      </c>
      <c r="I50" s="86">
        <v>0.28860000000000002</v>
      </c>
      <c r="J50" s="42">
        <v>0.51039999999999996</v>
      </c>
      <c r="K50" s="47">
        <f t="shared" ref="K50:L56" si="23">G50-I50</f>
        <v>7.4912901765504747E-2</v>
      </c>
      <c r="L50" s="97">
        <f t="shared" si="23"/>
        <v>0.10979013128112269</v>
      </c>
    </row>
    <row r="51" spans="1:12" x14ac:dyDescent="0.25">
      <c r="A51" s="28" t="s">
        <v>23</v>
      </c>
      <c r="B51" s="15">
        <v>623</v>
      </c>
      <c r="C51" s="15">
        <v>276</v>
      </c>
      <c r="D51" s="15">
        <v>126</v>
      </c>
      <c r="E51" s="15">
        <f t="shared" ref="E51:E56" si="24">C51+D51</f>
        <v>402</v>
      </c>
      <c r="F51" s="67">
        <v>1461</v>
      </c>
      <c r="G51" s="81">
        <f t="shared" si="21"/>
        <v>0.27515400410677621</v>
      </c>
      <c r="H51" s="81">
        <f t="shared" si="22"/>
        <v>0.42642026009582479</v>
      </c>
      <c r="I51" s="86">
        <v>0.26440000000000002</v>
      </c>
      <c r="J51" s="42">
        <v>0.39090000000000003</v>
      </c>
      <c r="K51" s="47">
        <f t="shared" si="23"/>
        <v>1.0754004106776183E-2</v>
      </c>
      <c r="L51" s="97">
        <f t="shared" si="23"/>
        <v>3.5520260095824763E-2</v>
      </c>
    </row>
    <row r="52" spans="1:12" x14ac:dyDescent="0.25">
      <c r="A52" s="28" t="s">
        <v>24</v>
      </c>
      <c r="B52" s="15">
        <v>950</v>
      </c>
      <c r="C52" s="15">
        <v>338</v>
      </c>
      <c r="D52" s="15">
        <v>175</v>
      </c>
      <c r="E52" s="15">
        <f t="shared" si="24"/>
        <v>513</v>
      </c>
      <c r="F52" s="1">
        <v>1761</v>
      </c>
      <c r="G52" s="81">
        <f t="shared" si="21"/>
        <v>0.29131175468483816</v>
      </c>
      <c r="H52" s="81">
        <f t="shared" si="22"/>
        <v>0.5394662123793299</v>
      </c>
      <c r="I52" s="86">
        <v>0.23400000000000001</v>
      </c>
      <c r="J52" s="42">
        <v>0.41149999999999998</v>
      </c>
      <c r="K52" s="47">
        <f t="shared" si="23"/>
        <v>5.7311754684838151E-2</v>
      </c>
      <c r="L52" s="97">
        <f t="shared" si="23"/>
        <v>0.12796621237932992</v>
      </c>
    </row>
    <row r="53" spans="1:12" x14ac:dyDescent="0.25">
      <c r="A53" s="28" t="s">
        <v>25</v>
      </c>
      <c r="B53" s="18">
        <v>133</v>
      </c>
      <c r="C53" s="15">
        <v>18</v>
      </c>
      <c r="D53" s="15">
        <v>39</v>
      </c>
      <c r="E53" s="15">
        <v>18</v>
      </c>
      <c r="F53" s="19">
        <v>222</v>
      </c>
      <c r="G53" s="81">
        <f>E53/F53</f>
        <v>8.1081081081081086E-2</v>
      </c>
      <c r="H53" s="81">
        <f>B53/F53</f>
        <v>0.59909909909909909</v>
      </c>
      <c r="I53" s="86">
        <v>0.1268</v>
      </c>
      <c r="J53" s="42">
        <v>0.32390000000000002</v>
      </c>
      <c r="K53" s="41">
        <f t="shared" si="23"/>
        <v>-4.571891891891891E-2</v>
      </c>
      <c r="L53" s="97">
        <f t="shared" si="23"/>
        <v>0.27519909909909906</v>
      </c>
    </row>
    <row r="54" spans="1:12" x14ac:dyDescent="0.25">
      <c r="A54" s="28" t="s">
        <v>74</v>
      </c>
      <c r="B54" s="15">
        <v>116</v>
      </c>
      <c r="C54" s="15">
        <v>1</v>
      </c>
      <c r="D54" s="15">
        <v>41</v>
      </c>
      <c r="E54" s="15">
        <f t="shared" si="24"/>
        <v>42</v>
      </c>
      <c r="F54" s="16">
        <v>205</v>
      </c>
      <c r="G54" s="81">
        <f t="shared" ref="G54:G57" si="25">E54/F54</f>
        <v>0.20487804878048779</v>
      </c>
      <c r="H54" s="81">
        <f t="shared" ref="H54:H57" si="26">B54/F54</f>
        <v>0.56585365853658531</v>
      </c>
      <c r="I54" s="86">
        <v>0.29380000000000001</v>
      </c>
      <c r="J54" s="42">
        <v>0.57220000000000004</v>
      </c>
      <c r="K54" s="41">
        <f t="shared" si="23"/>
        <v>-8.8921951219512213E-2</v>
      </c>
      <c r="L54" s="44">
        <f t="shared" si="23"/>
        <v>-6.3463414634147286E-3</v>
      </c>
    </row>
    <row r="55" spans="1:12" x14ac:dyDescent="0.25">
      <c r="A55" s="28" t="s">
        <v>26</v>
      </c>
      <c r="B55" s="18">
        <v>403</v>
      </c>
      <c r="C55" s="18">
        <v>112</v>
      </c>
      <c r="D55" s="18">
        <v>72</v>
      </c>
      <c r="E55" s="18">
        <f t="shared" si="24"/>
        <v>184</v>
      </c>
      <c r="F55" s="19">
        <v>610</v>
      </c>
      <c r="G55" s="81">
        <f t="shared" si="25"/>
        <v>0.30163934426229511</v>
      </c>
      <c r="H55" s="81">
        <f t="shared" si="26"/>
        <v>0.66065573770491803</v>
      </c>
      <c r="I55" s="86">
        <v>0.36120000000000002</v>
      </c>
      <c r="J55" s="42">
        <v>0.64610000000000001</v>
      </c>
      <c r="K55" s="41">
        <f t="shared" si="23"/>
        <v>-5.9560655737704915E-2</v>
      </c>
      <c r="L55" s="97">
        <f t="shared" si="23"/>
        <v>1.4555737704918026E-2</v>
      </c>
    </row>
    <row r="56" spans="1:12" ht="15.75" thickBot="1" x14ac:dyDescent="0.3">
      <c r="A56" s="68" t="s">
        <v>27</v>
      </c>
      <c r="B56" s="54">
        <v>590</v>
      </c>
      <c r="C56" s="54">
        <v>208</v>
      </c>
      <c r="D56" s="54">
        <v>106</v>
      </c>
      <c r="E56" s="54">
        <f t="shared" si="24"/>
        <v>314</v>
      </c>
      <c r="F56" s="69">
        <v>1168</v>
      </c>
      <c r="G56" s="82">
        <f t="shared" si="25"/>
        <v>0.26883561643835618</v>
      </c>
      <c r="H56" s="82">
        <f t="shared" si="26"/>
        <v>0.50513698630136983</v>
      </c>
      <c r="I56" s="87">
        <v>0.2757</v>
      </c>
      <c r="J56" s="43">
        <v>0.71550000000000002</v>
      </c>
      <c r="K56" s="92">
        <f t="shared" si="23"/>
        <v>-6.8643835616438165E-3</v>
      </c>
      <c r="L56" s="90">
        <f t="shared" si="23"/>
        <v>-0.2103630136986302</v>
      </c>
    </row>
    <row r="57" spans="1:12" ht="15.75" thickBot="1" x14ac:dyDescent="0.3">
      <c r="A57" s="30" t="s">
        <v>43</v>
      </c>
      <c r="B57" s="24">
        <f>SUM(B50:B56)</f>
        <v>4185</v>
      </c>
      <c r="C57" s="24">
        <f>SUM(C50:C56)</f>
        <v>1548</v>
      </c>
      <c r="D57" s="24">
        <f>SUM(D50:D56)</f>
        <v>767</v>
      </c>
      <c r="E57" s="24">
        <f>SUM(E50:E56)</f>
        <v>2276</v>
      </c>
      <c r="F57" s="25">
        <f>SUM(F50:F56)</f>
        <v>7636</v>
      </c>
      <c r="G57" s="83">
        <f t="shared" si="25"/>
        <v>0.29806181246726032</v>
      </c>
      <c r="H57" s="83">
        <f t="shared" si="26"/>
        <v>0.54806181246726038</v>
      </c>
      <c r="I57" s="88">
        <f>AVERAGE(I50:I56)</f>
        <v>0.26350000000000001</v>
      </c>
      <c r="J57" s="32">
        <f>AVERAGE(J50:J56)</f>
        <v>0.51007142857142862</v>
      </c>
      <c r="K57" s="89">
        <f>AVERAGE(K50:K56)</f>
        <v>-8.2981784115229683E-3</v>
      </c>
      <c r="L57" s="32">
        <f>AVERAGE(L50:L56)</f>
        <v>4.9474583628321356E-2</v>
      </c>
    </row>
    <row r="58" spans="1:12" ht="15.75" thickBot="1" x14ac:dyDescent="0.3">
      <c r="A58" s="27"/>
      <c r="B58" s="27"/>
      <c r="C58" s="27"/>
      <c r="D58" s="27"/>
      <c r="E58" s="27"/>
      <c r="F58" s="27"/>
      <c r="G58" s="27"/>
      <c r="H58" s="27"/>
    </row>
    <row r="59" spans="1:12" ht="30" x14ac:dyDescent="0.25">
      <c r="A59" s="70" t="s">
        <v>50</v>
      </c>
      <c r="B59" s="71" t="s">
        <v>44</v>
      </c>
      <c r="C59" s="71" t="s">
        <v>52</v>
      </c>
      <c r="D59" s="71" t="s">
        <v>46</v>
      </c>
      <c r="E59" s="71" t="s">
        <v>45</v>
      </c>
      <c r="F59" s="72" t="s">
        <v>33</v>
      </c>
      <c r="G59" s="72" t="s">
        <v>34</v>
      </c>
      <c r="H59" s="78" t="s">
        <v>38</v>
      </c>
      <c r="I59" s="70" t="s">
        <v>59</v>
      </c>
      <c r="J59" s="73" t="s">
        <v>60</v>
      </c>
      <c r="K59" s="96" t="s">
        <v>77</v>
      </c>
      <c r="L59" s="73" t="s">
        <v>78</v>
      </c>
    </row>
    <row r="60" spans="1:12" x14ac:dyDescent="0.25">
      <c r="A60" s="14" t="s">
        <v>49</v>
      </c>
      <c r="B60" s="15">
        <v>46</v>
      </c>
      <c r="C60" s="15">
        <v>2</v>
      </c>
      <c r="D60" s="15">
        <v>21</v>
      </c>
      <c r="E60" s="15">
        <f t="shared" ref="E60:E61" si="27">C60+D60</f>
        <v>23</v>
      </c>
      <c r="F60" s="16">
        <v>98</v>
      </c>
      <c r="G60" s="45">
        <f>E60/F60</f>
        <v>0.23469387755102042</v>
      </c>
      <c r="H60" s="45">
        <f>B60/F60</f>
        <v>0.46938775510204084</v>
      </c>
      <c r="I60" s="86">
        <v>0.23</v>
      </c>
      <c r="J60" s="42">
        <v>0.42</v>
      </c>
      <c r="K60" s="47">
        <f>G60-I60</f>
        <v>4.6938775510204089E-3</v>
      </c>
      <c r="L60" s="97">
        <f>H60-J60</f>
        <v>4.9387755102040853E-2</v>
      </c>
    </row>
    <row r="61" spans="1:12" ht="15.75" thickBot="1" x14ac:dyDescent="0.3">
      <c r="A61" s="20" t="s">
        <v>28</v>
      </c>
      <c r="B61" s="40">
        <v>22</v>
      </c>
      <c r="C61" s="40"/>
      <c r="D61" s="40"/>
      <c r="E61" s="21">
        <f t="shared" si="27"/>
        <v>0</v>
      </c>
      <c r="F61" s="40">
        <v>69</v>
      </c>
      <c r="G61" s="46">
        <f>E61/F61</f>
        <v>0</v>
      </c>
      <c r="H61" s="46">
        <f>B61/F61</f>
        <v>0.3188405797101449</v>
      </c>
      <c r="I61" s="87">
        <v>4.3499999999999997E-2</v>
      </c>
      <c r="J61" s="43">
        <v>0.1522</v>
      </c>
      <c r="K61" s="92">
        <f>G61-I61</f>
        <v>-4.3499999999999997E-2</v>
      </c>
      <c r="L61" s="99">
        <f>H61-J61</f>
        <v>0.1666405797101449</v>
      </c>
    </row>
    <row r="62" spans="1:12" ht="15.75" thickBot="1" x14ac:dyDescent="0.3">
      <c r="A62" s="23" t="s">
        <v>43</v>
      </c>
      <c r="B62" s="31">
        <f>SUM(B60:B61)</f>
        <v>68</v>
      </c>
      <c r="C62" s="31">
        <f>SUM(C60:C61)</f>
        <v>2</v>
      </c>
      <c r="D62" s="31">
        <f>SUM(D60:D61)</f>
        <v>21</v>
      </c>
      <c r="E62" s="31">
        <f>SUM(E60:E61)</f>
        <v>23</v>
      </c>
      <c r="F62" s="31">
        <f>SUM(F60:F61)</f>
        <v>167</v>
      </c>
      <c r="G62" s="84">
        <f>E62/F62</f>
        <v>0.1377245508982036</v>
      </c>
      <c r="H62" s="85">
        <f>B62/F62</f>
        <v>0.40718562874251496</v>
      </c>
      <c r="I62" s="88">
        <f>AVERAGE(I60:I61)</f>
        <v>0.13675000000000001</v>
      </c>
      <c r="J62" s="32">
        <f>AVERAGE(J60:J61)</f>
        <v>0.28610000000000002</v>
      </c>
      <c r="K62" s="89">
        <f>AVERAGE(K60:K61)</f>
        <v>-1.9403061224489794E-2</v>
      </c>
      <c r="L62" s="100">
        <f>AVERAGE(L60:L61)</f>
        <v>0.10801416740609288</v>
      </c>
    </row>
  </sheetData>
  <mergeCells count="1">
    <mergeCell ref="A1:L1"/>
  </mergeCells>
  <pageMargins left="0.25" right="0.25" top="0.75" bottom="0.75" header="0.3" footer="0.3"/>
  <pageSetup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9" workbookViewId="0">
      <selection activeCell="J15" sqref="J15"/>
    </sheetView>
  </sheetViews>
  <sheetFormatPr defaultRowHeight="15" x14ac:dyDescent="0.25"/>
  <cols>
    <col min="1" max="1" width="18.28515625" customWidth="1"/>
  </cols>
  <sheetData>
    <row r="1" spans="1:6" x14ac:dyDescent="0.25">
      <c r="A1" s="129" t="s">
        <v>35</v>
      </c>
      <c r="B1" s="131" t="s">
        <v>61</v>
      </c>
      <c r="C1" s="131" t="s">
        <v>62</v>
      </c>
      <c r="D1" s="131" t="s">
        <v>63</v>
      </c>
      <c r="E1" s="133" t="s">
        <v>80</v>
      </c>
      <c r="F1" s="127" t="s">
        <v>38</v>
      </c>
    </row>
    <row r="2" spans="1:6" ht="15.75" thickBot="1" x14ac:dyDescent="0.3">
      <c r="A2" s="130"/>
      <c r="B2" s="132"/>
      <c r="C2" s="132"/>
      <c r="D2" s="132"/>
      <c r="E2" s="134"/>
      <c r="F2" s="128"/>
    </row>
    <row r="3" spans="1:6" ht="15.75" thickBot="1" x14ac:dyDescent="0.3">
      <c r="A3" s="33" t="s">
        <v>64</v>
      </c>
      <c r="B3" s="34">
        <v>349</v>
      </c>
      <c r="C3" s="35">
        <v>184</v>
      </c>
      <c r="D3" s="35">
        <v>122</v>
      </c>
      <c r="E3" s="101">
        <f>SUM(C3:D3)</f>
        <v>306</v>
      </c>
      <c r="F3" s="42">
        <f>E3/B3</f>
        <v>0.87679083094555876</v>
      </c>
    </row>
    <row r="4" spans="1:6" ht="15.75" thickBot="1" x14ac:dyDescent="0.3">
      <c r="A4" s="36" t="s">
        <v>65</v>
      </c>
      <c r="B4" s="34">
        <v>496</v>
      </c>
      <c r="C4" s="35">
        <v>317</v>
      </c>
      <c r="D4" s="35">
        <v>179</v>
      </c>
      <c r="E4" s="101">
        <f t="shared" ref="E4:E30" si="0">SUM(C4:D4)</f>
        <v>496</v>
      </c>
      <c r="F4" s="42">
        <f t="shared" ref="F4:F51" si="1">E4/B4</f>
        <v>1</v>
      </c>
    </row>
    <row r="5" spans="1:6" ht="15.75" thickBot="1" x14ac:dyDescent="0.3">
      <c r="A5" s="33" t="s">
        <v>1</v>
      </c>
      <c r="B5" s="34">
        <v>719</v>
      </c>
      <c r="C5" s="35">
        <v>354</v>
      </c>
      <c r="D5" s="35">
        <v>87</v>
      </c>
      <c r="E5" s="101">
        <f t="shared" si="0"/>
        <v>441</v>
      </c>
      <c r="F5" s="42">
        <f t="shared" si="1"/>
        <v>0.61335187760778864</v>
      </c>
    </row>
    <row r="6" spans="1:6" ht="15.75" thickBot="1" x14ac:dyDescent="0.3">
      <c r="A6" s="33" t="s">
        <v>2</v>
      </c>
      <c r="B6" s="34">
        <v>215</v>
      </c>
      <c r="C6" s="35">
        <v>116</v>
      </c>
      <c r="D6" s="35">
        <v>61</v>
      </c>
      <c r="E6" s="101">
        <f t="shared" si="0"/>
        <v>177</v>
      </c>
      <c r="F6" s="42">
        <f t="shared" si="1"/>
        <v>0.82325581395348835</v>
      </c>
    </row>
    <row r="7" spans="1:6" ht="15.75" thickBot="1" x14ac:dyDescent="0.3">
      <c r="A7" s="36" t="s">
        <v>3</v>
      </c>
      <c r="B7" s="34">
        <v>572</v>
      </c>
      <c r="C7" s="35">
        <v>374</v>
      </c>
      <c r="D7" s="35">
        <v>151</v>
      </c>
      <c r="E7" s="101">
        <f t="shared" si="0"/>
        <v>525</v>
      </c>
      <c r="F7" s="42">
        <f t="shared" si="1"/>
        <v>0.91783216783216781</v>
      </c>
    </row>
    <row r="8" spans="1:6" ht="15.75" thickBot="1" x14ac:dyDescent="0.3">
      <c r="A8" s="36" t="s">
        <v>4</v>
      </c>
      <c r="B8" s="34">
        <v>477</v>
      </c>
      <c r="C8" s="35">
        <v>269</v>
      </c>
      <c r="D8" s="35">
        <v>147</v>
      </c>
      <c r="E8" s="101">
        <f t="shared" si="0"/>
        <v>416</v>
      </c>
      <c r="F8" s="42">
        <f t="shared" si="1"/>
        <v>0.8721174004192872</v>
      </c>
    </row>
    <row r="9" spans="1:6" ht="15.75" thickBot="1" x14ac:dyDescent="0.3">
      <c r="A9" s="36" t="s">
        <v>47</v>
      </c>
      <c r="B9" s="34">
        <v>474</v>
      </c>
      <c r="C9" s="35">
        <v>323</v>
      </c>
      <c r="D9" s="35">
        <v>151</v>
      </c>
      <c r="E9" s="101">
        <f t="shared" si="0"/>
        <v>474</v>
      </c>
      <c r="F9" s="42">
        <f t="shared" si="1"/>
        <v>1</v>
      </c>
    </row>
    <row r="10" spans="1:6" ht="15.75" thickBot="1" x14ac:dyDescent="0.3">
      <c r="A10" s="33" t="s">
        <v>5</v>
      </c>
      <c r="B10" s="34">
        <v>725</v>
      </c>
      <c r="C10" s="35">
        <v>432</v>
      </c>
      <c r="D10" s="35">
        <v>212</v>
      </c>
      <c r="E10" s="101">
        <f t="shared" si="0"/>
        <v>644</v>
      </c>
      <c r="F10" s="42">
        <f t="shared" si="1"/>
        <v>0.88827586206896547</v>
      </c>
    </row>
    <row r="11" spans="1:6" ht="15.75" thickBot="1" x14ac:dyDescent="0.3">
      <c r="A11" s="33" t="s">
        <v>66</v>
      </c>
      <c r="B11" s="34">
        <v>847</v>
      </c>
      <c r="C11" s="35">
        <v>354</v>
      </c>
      <c r="D11" s="35">
        <v>365</v>
      </c>
      <c r="E11" s="101">
        <f t="shared" si="0"/>
        <v>719</v>
      </c>
      <c r="F11" s="42">
        <f t="shared" si="1"/>
        <v>0.84887839433293977</v>
      </c>
    </row>
    <row r="12" spans="1:6" ht="15.75" thickBot="1" x14ac:dyDescent="0.3">
      <c r="A12" s="33" t="s">
        <v>6</v>
      </c>
      <c r="B12" s="34">
        <v>705</v>
      </c>
      <c r="C12" s="35">
        <v>269</v>
      </c>
      <c r="D12" s="35">
        <v>330</v>
      </c>
      <c r="E12" s="101">
        <f t="shared" si="0"/>
        <v>599</v>
      </c>
      <c r="F12" s="42">
        <f t="shared" si="1"/>
        <v>0.84964539007092199</v>
      </c>
    </row>
    <row r="13" spans="1:6" ht="15.75" thickBot="1" x14ac:dyDescent="0.3">
      <c r="A13" s="36" t="s">
        <v>30</v>
      </c>
      <c r="B13" s="34">
        <v>457</v>
      </c>
      <c r="C13" s="35">
        <v>247</v>
      </c>
      <c r="D13" s="35">
        <v>184</v>
      </c>
      <c r="E13" s="101">
        <f t="shared" si="0"/>
        <v>431</v>
      </c>
      <c r="F13" s="42">
        <f t="shared" si="1"/>
        <v>0.94310722100656452</v>
      </c>
    </row>
    <row r="14" spans="1:6" ht="15.75" thickBot="1" x14ac:dyDescent="0.3">
      <c r="A14" s="36" t="s">
        <v>67</v>
      </c>
      <c r="B14" s="34">
        <v>34</v>
      </c>
      <c r="C14" s="35">
        <v>12</v>
      </c>
      <c r="D14" s="35">
        <v>0</v>
      </c>
      <c r="E14" s="101">
        <f t="shared" si="0"/>
        <v>12</v>
      </c>
      <c r="F14" s="42">
        <f t="shared" si="1"/>
        <v>0.35294117647058826</v>
      </c>
    </row>
    <row r="15" spans="1:6" ht="15.75" thickBot="1" x14ac:dyDescent="0.3">
      <c r="A15" s="33" t="s">
        <v>7</v>
      </c>
      <c r="B15" s="34">
        <v>280</v>
      </c>
      <c r="C15" s="35">
        <v>135</v>
      </c>
      <c r="D15" s="35">
        <v>92</v>
      </c>
      <c r="E15" s="101">
        <f t="shared" si="0"/>
        <v>227</v>
      </c>
      <c r="F15" s="42">
        <f t="shared" si="1"/>
        <v>0.81071428571428572</v>
      </c>
    </row>
    <row r="16" spans="1:6" ht="15.75" thickBot="1" x14ac:dyDescent="0.3">
      <c r="A16" s="36" t="s">
        <v>8</v>
      </c>
      <c r="B16" s="34">
        <v>620</v>
      </c>
      <c r="C16" s="35">
        <v>318</v>
      </c>
      <c r="D16" s="35">
        <v>240</v>
      </c>
      <c r="E16" s="101">
        <f t="shared" si="0"/>
        <v>558</v>
      </c>
      <c r="F16" s="42">
        <f t="shared" si="1"/>
        <v>0.9</v>
      </c>
    </row>
    <row r="17" spans="1:6" ht="15.75" thickBot="1" x14ac:dyDescent="0.3">
      <c r="A17" s="36" t="s">
        <v>40</v>
      </c>
      <c r="B17" s="34">
        <v>728</v>
      </c>
      <c r="C17" s="35">
        <v>456</v>
      </c>
      <c r="D17" s="35">
        <v>216</v>
      </c>
      <c r="E17" s="101">
        <f t="shared" si="0"/>
        <v>672</v>
      </c>
      <c r="F17" s="42">
        <f t="shared" si="1"/>
        <v>0.92307692307692313</v>
      </c>
    </row>
    <row r="18" spans="1:6" ht="15.75" thickBot="1" x14ac:dyDescent="0.3">
      <c r="A18" s="33" t="s">
        <v>68</v>
      </c>
      <c r="B18" s="34">
        <v>489</v>
      </c>
      <c r="C18" s="35">
        <v>147</v>
      </c>
      <c r="D18" s="35">
        <v>69</v>
      </c>
      <c r="E18" s="101">
        <f t="shared" si="0"/>
        <v>216</v>
      </c>
      <c r="F18" s="42">
        <f t="shared" si="1"/>
        <v>0.44171779141104295</v>
      </c>
    </row>
    <row r="19" spans="1:6" ht="15.75" thickBot="1" x14ac:dyDescent="0.3">
      <c r="A19" s="33" t="s">
        <v>26</v>
      </c>
      <c r="B19" s="34">
        <v>518</v>
      </c>
      <c r="C19" s="35">
        <v>313</v>
      </c>
      <c r="D19" s="35">
        <v>188</v>
      </c>
      <c r="E19" s="101">
        <f t="shared" si="0"/>
        <v>501</v>
      </c>
      <c r="F19" s="42">
        <f t="shared" si="1"/>
        <v>0.96718146718146714</v>
      </c>
    </row>
    <row r="20" spans="1:6" ht="15.75" thickBot="1" x14ac:dyDescent="0.3">
      <c r="A20" s="33" t="s">
        <v>9</v>
      </c>
      <c r="B20" s="34">
        <v>652</v>
      </c>
      <c r="C20" s="35">
        <v>378</v>
      </c>
      <c r="D20" s="35">
        <v>252</v>
      </c>
      <c r="E20" s="101">
        <f t="shared" si="0"/>
        <v>630</v>
      </c>
      <c r="F20" s="42">
        <f t="shared" si="1"/>
        <v>0.96625766871165641</v>
      </c>
    </row>
    <row r="21" spans="1:6" ht="15.75" thickBot="1" x14ac:dyDescent="0.3">
      <c r="A21" s="33" t="s">
        <v>10</v>
      </c>
      <c r="B21" s="34">
        <v>222</v>
      </c>
      <c r="C21" s="35">
        <v>105</v>
      </c>
      <c r="D21" s="35">
        <v>117</v>
      </c>
      <c r="E21" s="101">
        <f t="shared" si="0"/>
        <v>222</v>
      </c>
      <c r="F21" s="42">
        <f t="shared" si="1"/>
        <v>1</v>
      </c>
    </row>
    <row r="22" spans="1:6" ht="15.75" thickBot="1" x14ac:dyDescent="0.3">
      <c r="A22" s="33" t="s">
        <v>69</v>
      </c>
      <c r="B22" s="34">
        <v>99</v>
      </c>
      <c r="C22" s="35">
        <v>56</v>
      </c>
      <c r="D22" s="35">
        <v>1</v>
      </c>
      <c r="E22" s="101">
        <f t="shared" si="0"/>
        <v>57</v>
      </c>
      <c r="F22" s="42">
        <f t="shared" si="1"/>
        <v>0.5757575757575758</v>
      </c>
    </row>
    <row r="23" spans="1:6" ht="15.75" thickBot="1" x14ac:dyDescent="0.3">
      <c r="A23" s="33" t="s">
        <v>70</v>
      </c>
      <c r="B23" s="34">
        <v>63</v>
      </c>
      <c r="C23" s="35">
        <v>24</v>
      </c>
      <c r="D23" s="35">
        <v>0</v>
      </c>
      <c r="E23" s="101">
        <f t="shared" si="0"/>
        <v>24</v>
      </c>
      <c r="F23" s="42">
        <f t="shared" si="1"/>
        <v>0.38095238095238093</v>
      </c>
    </row>
    <row r="24" spans="1:6" ht="15.75" thickBot="1" x14ac:dyDescent="0.3">
      <c r="A24" s="33" t="s">
        <v>10</v>
      </c>
      <c r="B24" s="34">
        <v>226</v>
      </c>
      <c r="C24" s="35">
        <v>109</v>
      </c>
      <c r="D24" s="35">
        <v>117</v>
      </c>
      <c r="E24" s="101">
        <f t="shared" si="0"/>
        <v>226</v>
      </c>
      <c r="F24" s="42">
        <f t="shared" si="1"/>
        <v>1</v>
      </c>
    </row>
    <row r="25" spans="1:6" ht="15.75" thickBot="1" x14ac:dyDescent="0.3">
      <c r="A25" s="33" t="s">
        <v>11</v>
      </c>
      <c r="B25" s="34">
        <v>181</v>
      </c>
      <c r="C25" s="35">
        <v>101</v>
      </c>
      <c r="D25" s="35">
        <v>80</v>
      </c>
      <c r="E25" s="101">
        <f t="shared" si="0"/>
        <v>181</v>
      </c>
      <c r="F25" s="42">
        <f t="shared" si="1"/>
        <v>1</v>
      </c>
    </row>
    <row r="26" spans="1:6" ht="15.75" thickBot="1" x14ac:dyDescent="0.3">
      <c r="A26" s="33" t="s">
        <v>12</v>
      </c>
      <c r="B26" s="34">
        <v>685</v>
      </c>
      <c r="C26" s="35">
        <v>401</v>
      </c>
      <c r="D26" s="35">
        <v>225</v>
      </c>
      <c r="E26" s="101">
        <f t="shared" si="0"/>
        <v>626</v>
      </c>
      <c r="F26" s="42">
        <f t="shared" si="1"/>
        <v>0.91386861313868617</v>
      </c>
    </row>
    <row r="27" spans="1:6" ht="15.75" thickBot="1" x14ac:dyDescent="0.3">
      <c r="A27" s="33" t="s">
        <v>13</v>
      </c>
      <c r="B27" s="34">
        <v>676</v>
      </c>
      <c r="C27" s="35">
        <v>360</v>
      </c>
      <c r="D27" s="35">
        <v>178</v>
      </c>
      <c r="E27" s="101">
        <f t="shared" si="0"/>
        <v>538</v>
      </c>
      <c r="F27" s="42">
        <f t="shared" si="1"/>
        <v>0.79585798816568043</v>
      </c>
    </row>
    <row r="28" spans="1:6" ht="15.75" thickBot="1" x14ac:dyDescent="0.3">
      <c r="A28" s="33" t="s">
        <v>71</v>
      </c>
      <c r="B28" s="34">
        <v>190</v>
      </c>
      <c r="C28" s="35">
        <v>81</v>
      </c>
      <c r="D28" s="35">
        <v>92</v>
      </c>
      <c r="E28" s="101">
        <f t="shared" si="0"/>
        <v>173</v>
      </c>
      <c r="F28" s="42">
        <f t="shared" si="1"/>
        <v>0.91052631578947374</v>
      </c>
    </row>
    <row r="29" spans="1:6" ht="15.75" thickBot="1" x14ac:dyDescent="0.3">
      <c r="A29" s="33" t="s">
        <v>15</v>
      </c>
      <c r="B29" s="34">
        <v>804</v>
      </c>
      <c r="C29" s="35">
        <v>508</v>
      </c>
      <c r="D29" s="35">
        <v>201</v>
      </c>
      <c r="E29" s="101">
        <f t="shared" si="0"/>
        <v>709</v>
      </c>
      <c r="F29" s="42">
        <f t="shared" si="1"/>
        <v>0.88184079601990051</v>
      </c>
    </row>
    <row r="30" spans="1:6" ht="15.75" thickBot="1" x14ac:dyDescent="0.3">
      <c r="A30" s="33" t="s">
        <v>16</v>
      </c>
      <c r="B30" s="34">
        <v>566</v>
      </c>
      <c r="C30" s="35">
        <v>226</v>
      </c>
      <c r="D30" s="35">
        <v>159</v>
      </c>
      <c r="E30" s="101">
        <f t="shared" si="0"/>
        <v>385</v>
      </c>
      <c r="F30" s="42">
        <f t="shared" si="1"/>
        <v>0.68021201413427557</v>
      </c>
    </row>
    <row r="31" spans="1:6" x14ac:dyDescent="0.25">
      <c r="A31" s="119" t="s">
        <v>72</v>
      </c>
      <c r="B31" s="121" t="s">
        <v>61</v>
      </c>
      <c r="C31" s="121" t="s">
        <v>62</v>
      </c>
      <c r="D31" s="121" t="s">
        <v>63</v>
      </c>
      <c r="E31" s="111" t="s">
        <v>80</v>
      </c>
      <c r="F31" s="115" t="s">
        <v>38</v>
      </c>
    </row>
    <row r="32" spans="1:6" ht="15.75" thickBot="1" x14ac:dyDescent="0.3">
      <c r="A32" s="120"/>
      <c r="B32" s="122"/>
      <c r="C32" s="122"/>
      <c r="D32" s="122"/>
      <c r="E32" s="112"/>
      <c r="F32" s="116"/>
    </row>
    <row r="33" spans="1:6" ht="15.75" thickBot="1" x14ac:dyDescent="0.3">
      <c r="A33" s="33" t="s">
        <v>17</v>
      </c>
      <c r="B33" s="34">
        <v>749</v>
      </c>
      <c r="C33" s="35">
        <v>300</v>
      </c>
      <c r="D33" s="35">
        <v>172</v>
      </c>
      <c r="E33" s="101">
        <f>SUM(C33:D33)</f>
        <v>472</v>
      </c>
      <c r="F33" s="42">
        <f t="shared" si="1"/>
        <v>0.63017356475300401</v>
      </c>
    </row>
    <row r="34" spans="1:6" ht="15.75" thickBot="1" x14ac:dyDescent="0.3">
      <c r="A34" s="33" t="s">
        <v>18</v>
      </c>
      <c r="B34" s="34">
        <v>806</v>
      </c>
      <c r="C34" s="35">
        <v>383</v>
      </c>
      <c r="D34" s="35">
        <v>381</v>
      </c>
      <c r="E34" s="101">
        <f t="shared" ref="E34:E39" si="2">SUM(C34:D34)</f>
        <v>764</v>
      </c>
      <c r="F34" s="42">
        <f t="shared" si="1"/>
        <v>0.94789081885856075</v>
      </c>
    </row>
    <row r="35" spans="1:6" ht="15.75" thickBot="1" x14ac:dyDescent="0.3">
      <c r="A35" s="33" t="s">
        <v>29</v>
      </c>
      <c r="B35" s="34">
        <v>958</v>
      </c>
      <c r="C35" s="35">
        <v>477</v>
      </c>
      <c r="D35" s="35">
        <v>158</v>
      </c>
      <c r="E35" s="101">
        <f t="shared" si="2"/>
        <v>635</v>
      </c>
      <c r="F35" s="42">
        <f t="shared" si="1"/>
        <v>0.66283924843423803</v>
      </c>
    </row>
    <row r="36" spans="1:6" ht="15.75" thickBot="1" x14ac:dyDescent="0.3">
      <c r="A36" s="33" t="s">
        <v>19</v>
      </c>
      <c r="B36" s="34">
        <v>730</v>
      </c>
      <c r="C36" s="35">
        <v>290</v>
      </c>
      <c r="D36" s="35">
        <v>141</v>
      </c>
      <c r="E36" s="101">
        <f t="shared" si="2"/>
        <v>431</v>
      </c>
      <c r="F36" s="42">
        <f t="shared" si="1"/>
        <v>0.59041095890410955</v>
      </c>
    </row>
    <row r="37" spans="1:6" ht="15.75" thickBot="1" x14ac:dyDescent="0.3">
      <c r="A37" s="33" t="s">
        <v>20</v>
      </c>
      <c r="B37" s="34">
        <v>387</v>
      </c>
      <c r="C37" s="35">
        <v>139</v>
      </c>
      <c r="D37" s="35">
        <v>84</v>
      </c>
      <c r="E37" s="101">
        <f t="shared" si="2"/>
        <v>223</v>
      </c>
      <c r="F37" s="42">
        <f t="shared" si="1"/>
        <v>0.57622739018087854</v>
      </c>
    </row>
    <row r="38" spans="1:6" ht="15.75" thickBot="1" x14ac:dyDescent="0.3">
      <c r="A38" s="33" t="s">
        <v>21</v>
      </c>
      <c r="B38" s="34">
        <v>694</v>
      </c>
      <c r="C38" s="35">
        <v>408</v>
      </c>
      <c r="D38" s="35">
        <v>271</v>
      </c>
      <c r="E38" s="101">
        <f t="shared" si="2"/>
        <v>679</v>
      </c>
      <c r="F38" s="42">
        <f t="shared" si="1"/>
        <v>0.97838616714697402</v>
      </c>
    </row>
    <row r="39" spans="1:6" ht="15.75" thickBot="1" x14ac:dyDescent="0.3">
      <c r="A39" s="33" t="s">
        <v>31</v>
      </c>
      <c r="B39" s="34">
        <v>931</v>
      </c>
      <c r="C39" s="35">
        <v>448</v>
      </c>
      <c r="D39" s="35">
        <v>278</v>
      </c>
      <c r="E39" s="101">
        <f t="shared" si="2"/>
        <v>726</v>
      </c>
      <c r="F39" s="42">
        <f t="shared" si="1"/>
        <v>0.77980665950590766</v>
      </c>
    </row>
    <row r="40" spans="1:6" x14ac:dyDescent="0.25">
      <c r="A40" s="123" t="s">
        <v>73</v>
      </c>
      <c r="B40" s="125" t="s">
        <v>61</v>
      </c>
      <c r="C40" s="125" t="s">
        <v>62</v>
      </c>
      <c r="D40" s="125" t="s">
        <v>63</v>
      </c>
      <c r="E40" s="113" t="s">
        <v>80</v>
      </c>
      <c r="F40" s="117" t="s">
        <v>38</v>
      </c>
    </row>
    <row r="41" spans="1:6" ht="15.75" thickBot="1" x14ac:dyDescent="0.3">
      <c r="A41" s="124"/>
      <c r="B41" s="126"/>
      <c r="C41" s="126"/>
      <c r="D41" s="126"/>
      <c r="E41" s="114"/>
      <c r="F41" s="118"/>
    </row>
    <row r="42" spans="1:6" ht="15.75" thickBot="1" x14ac:dyDescent="0.3">
      <c r="A42" s="33" t="s">
        <v>22</v>
      </c>
      <c r="B42" s="34">
        <v>2209</v>
      </c>
      <c r="C42" s="35">
        <v>859</v>
      </c>
      <c r="D42" s="35">
        <v>511</v>
      </c>
      <c r="E42" s="101">
        <f>SUM(C42:D42)</f>
        <v>1370</v>
      </c>
      <c r="F42" s="103">
        <f t="shared" si="1"/>
        <v>0.62019013128112266</v>
      </c>
    </row>
    <row r="43" spans="1:6" ht="15.75" thickBot="1" x14ac:dyDescent="0.3">
      <c r="A43" s="33" t="s">
        <v>23</v>
      </c>
      <c r="B43" s="34">
        <v>1461</v>
      </c>
      <c r="C43" s="35">
        <v>412</v>
      </c>
      <c r="D43" s="35">
        <v>211</v>
      </c>
      <c r="E43" s="101">
        <f t="shared" ref="E43:E51" si="3">SUM(C43:D43)</f>
        <v>623</v>
      </c>
      <c r="F43" s="104">
        <f t="shared" si="1"/>
        <v>0.42642026009582479</v>
      </c>
    </row>
    <row r="44" spans="1:6" ht="15.75" thickBot="1" x14ac:dyDescent="0.3">
      <c r="A44" s="33" t="s">
        <v>24</v>
      </c>
      <c r="B44" s="34">
        <v>1761</v>
      </c>
      <c r="C44" s="35">
        <v>347</v>
      </c>
      <c r="D44" s="35">
        <v>603</v>
      </c>
      <c r="E44" s="101">
        <f t="shared" si="3"/>
        <v>950</v>
      </c>
      <c r="F44" s="104">
        <f t="shared" si="1"/>
        <v>0.5394662123793299</v>
      </c>
    </row>
    <row r="45" spans="1:6" ht="15.75" thickBot="1" x14ac:dyDescent="0.3">
      <c r="A45" s="33" t="s">
        <v>25</v>
      </c>
      <c r="B45" s="34">
        <v>222</v>
      </c>
      <c r="C45" s="35">
        <v>44</v>
      </c>
      <c r="D45" s="35">
        <v>89</v>
      </c>
      <c r="E45" s="101">
        <f t="shared" si="3"/>
        <v>133</v>
      </c>
      <c r="F45" s="104">
        <f t="shared" si="1"/>
        <v>0.59909909909909909</v>
      </c>
    </row>
    <row r="46" spans="1:6" ht="15.75" thickBot="1" x14ac:dyDescent="0.3">
      <c r="A46" s="33" t="s">
        <v>74</v>
      </c>
      <c r="B46" s="34">
        <v>205</v>
      </c>
      <c r="C46" s="35">
        <v>71</v>
      </c>
      <c r="D46" s="35">
        <v>45</v>
      </c>
      <c r="E46" s="101">
        <f t="shared" si="3"/>
        <v>116</v>
      </c>
      <c r="F46" s="104">
        <f t="shared" si="1"/>
        <v>0.56585365853658531</v>
      </c>
    </row>
    <row r="47" spans="1:6" ht="15.75" thickBot="1" x14ac:dyDescent="0.3">
      <c r="A47" s="33" t="s">
        <v>26</v>
      </c>
      <c r="B47" s="34">
        <v>610</v>
      </c>
      <c r="C47" s="35">
        <v>120</v>
      </c>
      <c r="D47" s="35">
        <v>283</v>
      </c>
      <c r="E47" s="101">
        <f t="shared" si="3"/>
        <v>403</v>
      </c>
      <c r="F47" s="104">
        <f t="shared" si="1"/>
        <v>0.66065573770491803</v>
      </c>
    </row>
    <row r="48" spans="1:6" ht="15.75" thickBot="1" x14ac:dyDescent="0.3">
      <c r="A48" s="33" t="s">
        <v>27</v>
      </c>
      <c r="B48" s="34">
        <v>1168</v>
      </c>
      <c r="C48" s="35">
        <v>339</v>
      </c>
      <c r="D48" s="35">
        <v>251</v>
      </c>
      <c r="E48" s="101">
        <f t="shared" si="3"/>
        <v>590</v>
      </c>
      <c r="F48" s="104">
        <f t="shared" si="1"/>
        <v>0.50513698630136983</v>
      </c>
    </row>
    <row r="49" spans="1:6" ht="15.75" thickBot="1" x14ac:dyDescent="0.3">
      <c r="A49" s="33" t="s">
        <v>28</v>
      </c>
      <c r="B49" s="34">
        <v>69</v>
      </c>
      <c r="C49" s="35">
        <v>14</v>
      </c>
      <c r="D49" s="35">
        <v>8</v>
      </c>
      <c r="E49" s="101">
        <f t="shared" si="3"/>
        <v>22</v>
      </c>
      <c r="F49" s="104">
        <f t="shared" si="1"/>
        <v>0.3188405797101449</v>
      </c>
    </row>
    <row r="50" spans="1:6" ht="15.75" thickBot="1" x14ac:dyDescent="0.3">
      <c r="A50" s="33" t="s">
        <v>75</v>
      </c>
      <c r="B50" s="34">
        <v>98</v>
      </c>
      <c r="C50" s="35">
        <v>24</v>
      </c>
      <c r="D50" s="35">
        <v>22</v>
      </c>
      <c r="E50" s="101">
        <f t="shared" si="3"/>
        <v>46</v>
      </c>
      <c r="F50" s="104">
        <f t="shared" si="1"/>
        <v>0.46938775510204084</v>
      </c>
    </row>
    <row r="51" spans="1:6" ht="15.75" thickBot="1" x14ac:dyDescent="0.3">
      <c r="A51" s="33" t="s">
        <v>76</v>
      </c>
      <c r="B51" s="34">
        <v>1155</v>
      </c>
      <c r="C51" s="35">
        <v>300</v>
      </c>
      <c r="D51" s="35">
        <v>56</v>
      </c>
      <c r="E51" s="102">
        <f t="shared" si="3"/>
        <v>356</v>
      </c>
      <c r="F51" s="105">
        <f t="shared" si="1"/>
        <v>0.30822510822510824</v>
      </c>
    </row>
  </sheetData>
  <mergeCells count="18">
    <mergeCell ref="F1:F2"/>
    <mergeCell ref="A1:A2"/>
    <mergeCell ref="B1:B2"/>
    <mergeCell ref="C1:C2"/>
    <mergeCell ref="D1:D2"/>
    <mergeCell ref="E1:E2"/>
    <mergeCell ref="E31:E32"/>
    <mergeCell ref="E40:E41"/>
    <mergeCell ref="F31:F32"/>
    <mergeCell ref="F40:F41"/>
    <mergeCell ref="A31:A32"/>
    <mergeCell ref="B31:B32"/>
    <mergeCell ref="C31:C32"/>
    <mergeCell ref="D31:D32"/>
    <mergeCell ref="A40:A41"/>
    <mergeCell ref="B40:B41"/>
    <mergeCell ref="C40:C41"/>
    <mergeCell ref="D40:D41"/>
  </mergeCells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workbookViewId="0">
      <selection activeCell="D66" sqref="D66"/>
    </sheetView>
  </sheetViews>
  <sheetFormatPr defaultRowHeight="15" x14ac:dyDescent="0.25"/>
  <cols>
    <col min="1" max="3" width="12" customWidth="1"/>
    <col min="4" max="4" width="15.7109375" customWidth="1"/>
  </cols>
  <sheetData>
    <row r="2" spans="1:4" ht="15.75" thickBot="1" x14ac:dyDescent="0.3"/>
    <row r="3" spans="1:4" ht="30" x14ac:dyDescent="0.25">
      <c r="A3" s="51" t="s">
        <v>51</v>
      </c>
      <c r="B3" s="51" t="s">
        <v>46</v>
      </c>
      <c r="C3" s="51" t="s">
        <v>45</v>
      </c>
      <c r="D3" s="52" t="s">
        <v>33</v>
      </c>
    </row>
    <row r="4" spans="1:4" x14ac:dyDescent="0.25">
      <c r="A4" s="15">
        <f>82+0</f>
        <v>82</v>
      </c>
      <c r="B4" s="15">
        <f>92+3</f>
        <v>95</v>
      </c>
      <c r="C4" s="15">
        <f t="shared" ref="C4:C27" si="0">A4+B4</f>
        <v>177</v>
      </c>
      <c r="D4" s="16">
        <v>349</v>
      </c>
    </row>
    <row r="5" spans="1:4" x14ac:dyDescent="0.25">
      <c r="A5" s="15">
        <f>149+14</f>
        <v>163</v>
      </c>
      <c r="B5" s="15">
        <f>156+18</f>
        <v>174</v>
      </c>
      <c r="C5" s="15">
        <f t="shared" si="0"/>
        <v>337</v>
      </c>
      <c r="D5" s="16">
        <v>496</v>
      </c>
    </row>
    <row r="6" spans="1:4" x14ac:dyDescent="0.25">
      <c r="A6" s="15">
        <f>253+15</f>
        <v>268</v>
      </c>
      <c r="B6" s="15">
        <f>71+13</f>
        <v>84</v>
      </c>
      <c r="C6" s="15">
        <f t="shared" si="0"/>
        <v>352</v>
      </c>
      <c r="D6" s="16">
        <v>719</v>
      </c>
    </row>
    <row r="7" spans="1:4" x14ac:dyDescent="0.25">
      <c r="A7" s="18">
        <f>10+1</f>
        <v>11</v>
      </c>
      <c r="B7" s="18">
        <f>101+6</f>
        <v>107</v>
      </c>
      <c r="C7" s="15">
        <f t="shared" si="0"/>
        <v>118</v>
      </c>
      <c r="D7" s="19">
        <v>215</v>
      </c>
    </row>
    <row r="8" spans="1:4" x14ac:dyDescent="0.25">
      <c r="A8" s="18">
        <f>211+18</f>
        <v>229</v>
      </c>
      <c r="B8" s="18">
        <f>161+23</f>
        <v>184</v>
      </c>
      <c r="C8" s="15">
        <f t="shared" si="0"/>
        <v>413</v>
      </c>
      <c r="D8" s="19">
        <v>572</v>
      </c>
    </row>
    <row r="9" spans="1:4" x14ac:dyDescent="0.25">
      <c r="A9" s="18">
        <f>125+7</f>
        <v>132</v>
      </c>
      <c r="B9" s="18">
        <f>138+11</f>
        <v>149</v>
      </c>
      <c r="C9" s="15">
        <f t="shared" si="0"/>
        <v>281</v>
      </c>
      <c r="D9" s="19">
        <v>477</v>
      </c>
    </row>
    <row r="10" spans="1:4" x14ac:dyDescent="0.25">
      <c r="A10" s="18">
        <f>189+16</f>
        <v>205</v>
      </c>
      <c r="B10" s="18">
        <f>120+21</f>
        <v>141</v>
      </c>
      <c r="C10" s="15">
        <f t="shared" si="0"/>
        <v>346</v>
      </c>
      <c r="D10" s="19">
        <v>474</v>
      </c>
    </row>
    <row r="11" spans="1:4" x14ac:dyDescent="0.25">
      <c r="A11" s="18">
        <f>319+16</f>
        <v>335</v>
      </c>
      <c r="B11" s="18">
        <f>106+17</f>
        <v>123</v>
      </c>
      <c r="C11" s="15">
        <f t="shared" si="0"/>
        <v>458</v>
      </c>
      <c r="D11" s="19">
        <v>725</v>
      </c>
    </row>
    <row r="12" spans="1:4" x14ac:dyDescent="0.25">
      <c r="A12" s="18">
        <f>278+7</f>
        <v>285</v>
      </c>
      <c r="B12" s="18">
        <f>161+15</f>
        <v>176</v>
      </c>
      <c r="C12" s="15">
        <f t="shared" si="0"/>
        <v>461</v>
      </c>
      <c r="D12" s="19">
        <v>847</v>
      </c>
    </row>
    <row r="13" spans="1:4" x14ac:dyDescent="0.25">
      <c r="A13" s="18">
        <v>81</v>
      </c>
      <c r="B13" s="18">
        <v>229</v>
      </c>
      <c r="C13" s="15">
        <f t="shared" si="0"/>
        <v>310</v>
      </c>
      <c r="D13" s="19">
        <v>705</v>
      </c>
    </row>
    <row r="14" spans="1:4" x14ac:dyDescent="0.25">
      <c r="A14" s="18">
        <f>107+14</f>
        <v>121</v>
      </c>
      <c r="B14" s="18">
        <f>148+22</f>
        <v>170</v>
      </c>
      <c r="C14" s="15">
        <f t="shared" si="0"/>
        <v>291</v>
      </c>
      <c r="D14" s="16">
        <v>457</v>
      </c>
    </row>
    <row r="15" spans="1:4" x14ac:dyDescent="0.25">
      <c r="A15" s="18">
        <v>14</v>
      </c>
      <c r="B15" s="18">
        <v>120</v>
      </c>
      <c r="C15" s="18">
        <f t="shared" si="0"/>
        <v>134</v>
      </c>
      <c r="D15" s="19">
        <v>280</v>
      </c>
    </row>
    <row r="16" spans="1:4" x14ac:dyDescent="0.25">
      <c r="A16" s="18">
        <f>178+11</f>
        <v>189</v>
      </c>
      <c r="B16" s="18">
        <f>168+15</f>
        <v>183</v>
      </c>
      <c r="C16" s="15">
        <f t="shared" si="0"/>
        <v>372</v>
      </c>
      <c r="D16" s="19">
        <v>620</v>
      </c>
    </row>
    <row r="17" spans="1:4" x14ac:dyDescent="0.25">
      <c r="A17" s="18">
        <f>309+20</f>
        <v>329</v>
      </c>
      <c r="B17" s="18">
        <f>136+27</f>
        <v>163</v>
      </c>
      <c r="C17" s="15">
        <f t="shared" si="0"/>
        <v>492</v>
      </c>
      <c r="D17" s="19">
        <v>728</v>
      </c>
    </row>
    <row r="18" spans="1:4" x14ac:dyDescent="0.25">
      <c r="A18" s="18">
        <f>18+0</f>
        <v>18</v>
      </c>
      <c r="B18" s="18">
        <f>117+10</f>
        <v>127</v>
      </c>
      <c r="C18" s="18">
        <f t="shared" si="0"/>
        <v>145</v>
      </c>
      <c r="D18" s="19">
        <v>489</v>
      </c>
    </row>
    <row r="19" spans="1:4" x14ac:dyDescent="0.25">
      <c r="A19" s="18">
        <f>174+17</f>
        <v>191</v>
      </c>
      <c r="B19" s="18">
        <f>180+20</f>
        <v>200</v>
      </c>
      <c r="C19" s="18">
        <f t="shared" si="0"/>
        <v>391</v>
      </c>
      <c r="D19" s="19">
        <v>518</v>
      </c>
    </row>
    <row r="20" spans="1:4" x14ac:dyDescent="0.25">
      <c r="A20" s="18">
        <f>199+9</f>
        <v>208</v>
      </c>
      <c r="B20" s="18">
        <f>162+14</f>
        <v>176</v>
      </c>
      <c r="C20" s="18">
        <f t="shared" si="0"/>
        <v>384</v>
      </c>
      <c r="D20" s="19">
        <v>652</v>
      </c>
    </row>
    <row r="21" spans="1:4" x14ac:dyDescent="0.25">
      <c r="A21" s="18">
        <v>7</v>
      </c>
      <c r="B21" s="18">
        <f>170+36</f>
        <v>206</v>
      </c>
      <c r="C21" s="18">
        <f t="shared" si="0"/>
        <v>213</v>
      </c>
      <c r="D21" s="19">
        <v>222</v>
      </c>
    </row>
    <row r="22" spans="1:4" x14ac:dyDescent="0.25">
      <c r="A22" s="18">
        <v>28</v>
      </c>
      <c r="B22" s="18">
        <v>76</v>
      </c>
      <c r="C22" s="18">
        <f t="shared" si="0"/>
        <v>104</v>
      </c>
      <c r="D22" s="19">
        <v>181</v>
      </c>
    </row>
    <row r="23" spans="1:4" x14ac:dyDescent="0.25">
      <c r="A23" s="18">
        <f>274+16</f>
        <v>290</v>
      </c>
      <c r="B23" s="18">
        <f>109+12</f>
        <v>121</v>
      </c>
      <c r="C23" s="18">
        <f t="shared" si="0"/>
        <v>411</v>
      </c>
      <c r="D23" s="19">
        <v>685</v>
      </c>
    </row>
    <row r="24" spans="1:4" x14ac:dyDescent="0.25">
      <c r="A24" s="18">
        <f>79+14</f>
        <v>93</v>
      </c>
      <c r="B24" s="18">
        <f>235+36</f>
        <v>271</v>
      </c>
      <c r="C24" s="18">
        <f t="shared" si="0"/>
        <v>364</v>
      </c>
      <c r="D24" s="19">
        <v>676</v>
      </c>
    </row>
    <row r="25" spans="1:4" x14ac:dyDescent="0.25">
      <c r="A25" s="18">
        <f>12+0</f>
        <v>12</v>
      </c>
      <c r="B25" s="18">
        <f>67+8</f>
        <v>75</v>
      </c>
      <c r="C25" s="18">
        <f t="shared" si="0"/>
        <v>87</v>
      </c>
      <c r="D25" s="19">
        <v>190</v>
      </c>
    </row>
    <row r="26" spans="1:4" x14ac:dyDescent="0.25">
      <c r="A26" s="18">
        <v>342</v>
      </c>
      <c r="B26" s="18">
        <v>252</v>
      </c>
      <c r="C26" s="18">
        <f t="shared" si="0"/>
        <v>594</v>
      </c>
      <c r="D26" s="19">
        <v>804</v>
      </c>
    </row>
    <row r="27" spans="1:4" ht="15.75" thickBot="1" x14ac:dyDescent="0.3">
      <c r="A27" s="21">
        <f>97+2</f>
        <v>99</v>
      </c>
      <c r="B27" s="21">
        <f>116+4</f>
        <v>120</v>
      </c>
      <c r="C27" s="54">
        <f t="shared" si="0"/>
        <v>219</v>
      </c>
      <c r="D27" s="22">
        <v>566</v>
      </c>
    </row>
    <row r="28" spans="1:4" ht="15.75" thickBot="1" x14ac:dyDescent="0.3">
      <c r="A28" s="24">
        <f>SUM(A4:A27)</f>
        <v>3732</v>
      </c>
      <c r="B28" s="24">
        <f>SUM(B4:B27)</f>
        <v>3722</v>
      </c>
      <c r="C28" s="24">
        <f t="shared" ref="C28:D28" si="1">SUM(C4:C27)</f>
        <v>7454</v>
      </c>
      <c r="D28" s="24">
        <f t="shared" si="1"/>
        <v>12647</v>
      </c>
    </row>
    <row r="29" spans="1:4" x14ac:dyDescent="0.25">
      <c r="A29" s="15"/>
      <c r="B29" s="15"/>
      <c r="C29" s="15"/>
      <c r="D29" s="17"/>
    </row>
    <row r="30" spans="1:4" ht="15.75" thickBot="1" x14ac:dyDescent="0.3">
      <c r="A30" s="27"/>
      <c r="B30" s="27"/>
      <c r="C30" s="27"/>
      <c r="D30" s="27"/>
    </row>
    <row r="31" spans="1:4" ht="30" x14ac:dyDescent="0.25">
      <c r="A31" s="56" t="s">
        <v>51</v>
      </c>
      <c r="B31" s="56" t="s">
        <v>46</v>
      </c>
      <c r="C31" s="56" t="s">
        <v>45</v>
      </c>
      <c r="D31" s="57" t="s">
        <v>33</v>
      </c>
    </row>
    <row r="32" spans="1:4" x14ac:dyDescent="0.25">
      <c r="A32" s="15"/>
      <c r="B32" s="15"/>
      <c r="C32" s="15"/>
      <c r="D32" s="15">
        <v>63</v>
      </c>
    </row>
    <row r="33" spans="1:4" x14ac:dyDescent="0.25">
      <c r="A33" s="15"/>
      <c r="B33" s="15"/>
      <c r="C33" s="15"/>
      <c r="D33" s="15">
        <v>34</v>
      </c>
    </row>
    <row r="34" spans="1:4" x14ac:dyDescent="0.25">
      <c r="A34" s="15"/>
      <c r="B34" s="15"/>
      <c r="C34" s="15">
        <f t="shared" ref="C34:C35" si="2">A34+B34</f>
        <v>0</v>
      </c>
      <c r="D34" s="18">
        <v>0</v>
      </c>
    </row>
    <row r="35" spans="1:4" ht="15.75" thickBot="1" x14ac:dyDescent="0.3">
      <c r="A35" s="15"/>
      <c r="B35" s="15"/>
      <c r="C35" s="15">
        <f t="shared" si="2"/>
        <v>0</v>
      </c>
      <c r="D35" s="18">
        <v>99</v>
      </c>
    </row>
    <row r="36" spans="1:4" ht="15.75" thickBot="1" x14ac:dyDescent="0.3">
      <c r="A36" s="24">
        <f>SUM(A32:A35)</f>
        <v>0</v>
      </c>
      <c r="B36" s="24">
        <f>SUM(B32:B35)</f>
        <v>0</v>
      </c>
      <c r="C36" s="24">
        <f>SUM(C32:C35)</f>
        <v>0</v>
      </c>
      <c r="D36" s="24">
        <f>SUM(D32:D35)</f>
        <v>196</v>
      </c>
    </row>
    <row r="37" spans="1:4" x14ac:dyDescent="0.25">
      <c r="A37" s="27"/>
      <c r="B37" s="27"/>
      <c r="C37" s="27"/>
      <c r="D37" s="27"/>
    </row>
    <row r="38" spans="1:4" ht="15.75" thickBot="1" x14ac:dyDescent="0.3">
      <c r="A38" s="27"/>
      <c r="B38" s="27"/>
      <c r="C38" s="27"/>
      <c r="D38" s="27"/>
    </row>
    <row r="39" spans="1:4" ht="30" x14ac:dyDescent="0.25">
      <c r="A39" s="60" t="s">
        <v>52</v>
      </c>
      <c r="B39" s="60" t="s">
        <v>46</v>
      </c>
      <c r="C39" s="60" t="s">
        <v>45</v>
      </c>
      <c r="D39" s="61" t="s">
        <v>33</v>
      </c>
    </row>
    <row r="40" spans="1:4" x14ac:dyDescent="0.25">
      <c r="A40" s="15">
        <v>177</v>
      </c>
      <c r="B40" s="15">
        <v>113</v>
      </c>
      <c r="C40" s="15">
        <f>A40+B40</f>
        <v>290</v>
      </c>
      <c r="D40" s="1">
        <v>749</v>
      </c>
    </row>
    <row r="41" spans="1:4" x14ac:dyDescent="0.25">
      <c r="A41" s="15">
        <v>262</v>
      </c>
      <c r="B41" s="15">
        <v>142</v>
      </c>
      <c r="C41" s="15">
        <f>A41+B41</f>
        <v>404</v>
      </c>
      <c r="D41" s="18">
        <v>806</v>
      </c>
    </row>
    <row r="42" spans="1:4" x14ac:dyDescent="0.25">
      <c r="A42" s="18">
        <v>307</v>
      </c>
      <c r="B42" s="18">
        <v>166</v>
      </c>
      <c r="C42" s="18">
        <f t="shared" ref="C42:C46" si="3">A42+B42</f>
        <v>473</v>
      </c>
      <c r="D42" s="19">
        <v>958</v>
      </c>
    </row>
    <row r="43" spans="1:4" x14ac:dyDescent="0.25">
      <c r="A43" s="18">
        <v>223</v>
      </c>
      <c r="B43" s="18">
        <v>96</v>
      </c>
      <c r="C43" s="15">
        <f t="shared" si="3"/>
        <v>319</v>
      </c>
      <c r="D43" s="18">
        <v>730</v>
      </c>
    </row>
    <row r="44" spans="1:4" x14ac:dyDescent="0.25">
      <c r="A44" s="18">
        <v>72</v>
      </c>
      <c r="B44" s="18">
        <v>72</v>
      </c>
      <c r="C44" s="18">
        <f t="shared" si="3"/>
        <v>144</v>
      </c>
      <c r="D44" s="18">
        <v>387</v>
      </c>
    </row>
    <row r="45" spans="1:4" x14ac:dyDescent="0.25">
      <c r="A45" s="18">
        <v>242</v>
      </c>
      <c r="B45" s="18">
        <v>143</v>
      </c>
      <c r="C45" s="18">
        <f t="shared" si="3"/>
        <v>385</v>
      </c>
      <c r="D45" s="18">
        <v>694</v>
      </c>
    </row>
    <row r="46" spans="1:4" ht="15.75" thickBot="1" x14ac:dyDescent="0.3">
      <c r="A46" s="18">
        <v>238</v>
      </c>
      <c r="B46" s="18">
        <v>190</v>
      </c>
      <c r="C46" s="18">
        <f t="shared" si="3"/>
        <v>428</v>
      </c>
      <c r="D46" s="18">
        <v>931</v>
      </c>
    </row>
    <row r="47" spans="1:4" ht="15.75" thickBot="1" x14ac:dyDescent="0.3">
      <c r="A47" s="24">
        <f>SUM(A40:A46)</f>
        <v>1521</v>
      </c>
      <c r="B47" s="24">
        <f>SUM(B40:B46)</f>
        <v>922</v>
      </c>
      <c r="C47" s="24">
        <f>SUM(C40:C46)</f>
        <v>2443</v>
      </c>
      <c r="D47" s="24">
        <f>SUM(D40:D46)</f>
        <v>5255</v>
      </c>
    </row>
    <row r="48" spans="1:4" x14ac:dyDescent="0.25">
      <c r="A48" s="27"/>
      <c r="B48" s="27"/>
      <c r="C48" s="27"/>
      <c r="D48" s="27"/>
    </row>
    <row r="49" spans="1:4" ht="15.75" thickBot="1" x14ac:dyDescent="0.3">
      <c r="A49" s="27"/>
      <c r="B49" s="27"/>
      <c r="C49" s="27"/>
      <c r="D49" s="27"/>
    </row>
    <row r="50" spans="1:4" ht="30" x14ac:dyDescent="0.25">
      <c r="A50" s="64" t="s">
        <v>51</v>
      </c>
      <c r="B50" s="64" t="s">
        <v>46</v>
      </c>
      <c r="C50" s="64" t="s">
        <v>45</v>
      </c>
      <c r="D50" s="65" t="s">
        <v>33</v>
      </c>
    </row>
    <row r="51" spans="1:4" x14ac:dyDescent="0.25">
      <c r="A51" s="15">
        <v>595</v>
      </c>
      <c r="B51" s="15">
        <v>208</v>
      </c>
      <c r="C51" s="15">
        <f>A51+B51</f>
        <v>803</v>
      </c>
      <c r="D51" s="19">
        <v>2209</v>
      </c>
    </row>
    <row r="52" spans="1:4" x14ac:dyDescent="0.25">
      <c r="A52" s="15">
        <v>276</v>
      </c>
      <c r="B52" s="15">
        <v>126</v>
      </c>
      <c r="C52" s="15">
        <f t="shared" ref="C52:C57" si="4">A52+B52</f>
        <v>402</v>
      </c>
      <c r="D52" s="67">
        <v>1461</v>
      </c>
    </row>
    <row r="53" spans="1:4" x14ac:dyDescent="0.25">
      <c r="A53" s="15">
        <v>338</v>
      </c>
      <c r="B53" s="15">
        <v>175</v>
      </c>
      <c r="C53" s="15">
        <f t="shared" si="4"/>
        <v>513</v>
      </c>
      <c r="D53" s="1">
        <v>1761</v>
      </c>
    </row>
    <row r="54" spans="1:4" x14ac:dyDescent="0.25">
      <c r="A54" s="15">
        <v>18</v>
      </c>
      <c r="B54" s="15">
        <v>39</v>
      </c>
      <c r="C54" s="15">
        <v>18</v>
      </c>
      <c r="D54" s="19">
        <v>222</v>
      </c>
    </row>
    <row r="55" spans="1:4" x14ac:dyDescent="0.25">
      <c r="A55" s="15">
        <v>1</v>
      </c>
      <c r="B55" s="15">
        <v>41</v>
      </c>
      <c r="C55" s="15">
        <f t="shared" si="4"/>
        <v>42</v>
      </c>
      <c r="D55" s="16">
        <v>205</v>
      </c>
    </row>
    <row r="56" spans="1:4" x14ac:dyDescent="0.25">
      <c r="A56" s="18">
        <v>112</v>
      </c>
      <c r="B56" s="18">
        <v>72</v>
      </c>
      <c r="C56" s="18">
        <f t="shared" si="4"/>
        <v>184</v>
      </c>
      <c r="D56" s="19">
        <v>610</v>
      </c>
    </row>
    <row r="57" spans="1:4" ht="15.75" thickBot="1" x14ac:dyDescent="0.3">
      <c r="A57" s="54">
        <v>208</v>
      </c>
      <c r="B57" s="54">
        <v>106</v>
      </c>
      <c r="C57" s="54">
        <f t="shared" si="4"/>
        <v>314</v>
      </c>
      <c r="D57" s="69">
        <v>1168</v>
      </c>
    </row>
    <row r="58" spans="1:4" ht="15.75" thickBot="1" x14ac:dyDescent="0.3">
      <c r="A58" s="24">
        <f>SUM(A51:A57)</f>
        <v>1548</v>
      </c>
      <c r="B58" s="24">
        <f>SUM(B51:B57)</f>
        <v>767</v>
      </c>
      <c r="C58" s="24">
        <f>SUM(C51:C57)</f>
        <v>2276</v>
      </c>
      <c r="D58" s="25">
        <f>SUM(D51:D57)</f>
        <v>7636</v>
      </c>
    </row>
    <row r="59" spans="1:4" ht="15.75" thickBot="1" x14ac:dyDescent="0.3">
      <c r="A59" s="27"/>
      <c r="B59" s="27"/>
      <c r="C59" s="27"/>
      <c r="D59" s="27"/>
    </row>
    <row r="60" spans="1:4" ht="30" x14ac:dyDescent="0.25">
      <c r="A60" s="71" t="s">
        <v>52</v>
      </c>
      <c r="B60" s="71" t="s">
        <v>46</v>
      </c>
      <c r="C60" s="71" t="s">
        <v>45</v>
      </c>
      <c r="D60" s="72" t="s">
        <v>33</v>
      </c>
    </row>
    <row r="61" spans="1:4" x14ac:dyDescent="0.25">
      <c r="A61" s="15">
        <v>2</v>
      </c>
      <c r="B61" s="15">
        <v>21</v>
      </c>
      <c r="C61" s="15">
        <f t="shared" ref="C61:C62" si="5">A61+B61</f>
        <v>23</v>
      </c>
      <c r="D61" s="16">
        <v>98</v>
      </c>
    </row>
    <row r="62" spans="1:4" ht="15.75" thickBot="1" x14ac:dyDescent="0.3">
      <c r="A62" s="40"/>
      <c r="B62" s="40"/>
      <c r="C62" s="21">
        <f t="shared" si="5"/>
        <v>0</v>
      </c>
      <c r="D62" s="40">
        <v>69</v>
      </c>
    </row>
    <row r="63" spans="1:4" ht="15.75" thickBot="1" x14ac:dyDescent="0.3">
      <c r="A63" s="31">
        <f>SUM(A61:A62)</f>
        <v>2</v>
      </c>
      <c r="B63" s="31">
        <f>SUM(B61:B62)</f>
        <v>21</v>
      </c>
      <c r="C63" s="31">
        <f>SUM(C61:C62)</f>
        <v>23</v>
      </c>
      <c r="D63" s="31">
        <f>SUM(D61:D62)</f>
        <v>167</v>
      </c>
    </row>
    <row r="65" spans="3:4" x14ac:dyDescent="0.25">
      <c r="C65">
        <f>C28+C47+C58+C63</f>
        <v>12196</v>
      </c>
      <c r="D65">
        <f>D28+D47+D58+D63</f>
        <v>25705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FLUMIST DATA </vt:lpstr>
      <vt:lpstr>CFRR</vt:lpstr>
      <vt:lpstr>Sheet1</vt:lpstr>
    </vt:vector>
  </TitlesOfParts>
  <Company>uf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lcheung</dc:creator>
  <cp:lastModifiedBy>Andrew Lampert</cp:lastModifiedBy>
  <cp:lastPrinted>2015-01-06T19:57:38Z</cp:lastPrinted>
  <dcterms:created xsi:type="dcterms:W3CDTF">2012-01-18T16:45:35Z</dcterms:created>
  <dcterms:modified xsi:type="dcterms:W3CDTF">2015-05-16T16:24:35Z</dcterms:modified>
</cp:coreProperties>
</file>