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omments1.xml" ContentType="application/vnd.openxmlformats-officedocument.spreadsheetml.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https://uob.sharepoint.com/teams/grp-Renewableenergygroup224/Shared Documents/General/GitHub/BartonHouse/Thermodynamics/"/>
    </mc:Choice>
  </mc:AlternateContent>
  <xr:revisionPtr revIDLastSave="823" documentId="8_{790A4BAB-897B-6046-B228-A03EA73334B7}" xr6:coauthVersionLast="47" xr6:coauthVersionMax="47" xr10:uidLastSave="{9C4B5998-2B88-4DA4-9FCB-222CD80BC22D}"/>
  <bookViews>
    <workbookView xWindow="-110" yWindow="-110" windowWidth="25180" windowHeight="16140" xr2:uid="{00000000-000D-0000-FFFF-FFFF00000000}"/>
  </bookViews>
  <sheets>
    <sheet name="Params and Assumptions" sheetId="1" r:id="rId1"/>
    <sheet name="Costings" sheetId="2" r:id="rId2"/>
    <sheet name="Optim" sheetId="3" r:id="rId3"/>
    <sheet name="Financial Stats" sheetId="4" r:id="rId4"/>
  </sheets>
  <externalReferences>
    <externalReference r:id="rId5"/>
  </externalReferences>
  <definedNames>
    <definedName name="CPI">'[1]Simple Payback'!$K$3</definedName>
    <definedName name="EnInflation">'[1]Simple Payback'!$K$4</definedName>
    <definedName name="WACC">'[1]Simple Payback'!$K$5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7" i="4" l="1"/>
  <c r="B64" i="4"/>
  <c r="R104" i="4"/>
  <c r="B38" i="4"/>
  <c r="Q94" i="4"/>
  <c r="B142" i="4"/>
  <c r="B11" i="4"/>
  <c r="G5" i="4"/>
  <c r="B150" i="4"/>
  <c r="B154" i="4"/>
  <c r="B169" i="4"/>
  <c r="B138" i="4"/>
  <c r="B139" i="4" s="1"/>
  <c r="B140" i="4" s="1"/>
  <c r="B161" i="4"/>
  <c r="B133" i="4"/>
  <c r="B134" i="4" s="1"/>
  <c r="Q88" i="4"/>
  <c r="R96" i="4" s="1"/>
  <c r="B19" i="4"/>
  <c r="B20" i="4" s="1"/>
  <c r="B8" i="4"/>
  <c r="B31" i="4"/>
  <c r="B35" i="4"/>
  <c r="R84" i="4" s="1"/>
  <c r="B60" i="4"/>
  <c r="Q85" i="4"/>
  <c r="B145" i="4" l="1"/>
  <c r="B156" i="4" s="1"/>
  <c r="B13" i="4"/>
  <c r="B21" i="4" s="1"/>
  <c r="B22" i="4" s="1"/>
  <c r="R95" i="4" s="1"/>
  <c r="B172" i="4"/>
  <c r="B164" i="4"/>
  <c r="R90" i="4"/>
  <c r="R97" i="4"/>
  <c r="S84" i="4"/>
  <c r="B83" i="4" a="1"/>
  <c r="B83" i="4" s="1"/>
  <c r="B89" i="4" l="1"/>
  <c r="B90" i="4"/>
  <c r="R85" i="4"/>
  <c r="T84" i="4" l="1"/>
  <c r="U84" i="4" l="1"/>
  <c r="B53" i="4"/>
  <c r="V84" i="4" l="1"/>
  <c r="W84" i="4" s="1"/>
  <c r="Q99" i="4"/>
  <c r="Q121" i="4"/>
  <c r="S95" i="4"/>
  <c r="T95" i="4" s="1"/>
  <c r="U95" i="4" s="1"/>
  <c r="J44" i="4" a="1"/>
  <c r="J44" i="4" s="1"/>
  <c r="Q110" i="4"/>
  <c r="AL82" i="4"/>
  <c r="V95" i="4" l="1"/>
  <c r="X84" i="4" l="1"/>
  <c r="W97" i="4"/>
  <c r="AE97" i="4"/>
  <c r="AM97" i="4"/>
  <c r="X97" i="4"/>
  <c r="AF97" i="4"/>
  <c r="AN97" i="4"/>
  <c r="Y97" i="4"/>
  <c r="AG97" i="4"/>
  <c r="AO97" i="4"/>
  <c r="Z97" i="4"/>
  <c r="AH97" i="4"/>
  <c r="AP97" i="4"/>
  <c r="S97" i="4"/>
  <c r="AA97" i="4"/>
  <c r="AI97" i="4"/>
  <c r="T97" i="4"/>
  <c r="AB97" i="4"/>
  <c r="AJ97" i="4"/>
  <c r="U97" i="4"/>
  <c r="AC97" i="4"/>
  <c r="AK97" i="4"/>
  <c r="V97" i="4"/>
  <c r="AD97" i="4"/>
  <c r="AL97" i="4"/>
  <c r="W95" i="4"/>
  <c r="Y84" i="4" l="1"/>
  <c r="X95" i="4"/>
  <c r="Z84" i="4" l="1"/>
  <c r="Y95" i="4"/>
  <c r="AA84" i="4" l="1"/>
  <c r="Z95" i="4"/>
  <c r="AB84" i="4" l="1"/>
  <c r="AA95" i="4"/>
  <c r="AC84" i="4" l="1"/>
  <c r="AB95" i="4"/>
  <c r="AD84" i="4" l="1"/>
  <c r="AC95" i="4"/>
  <c r="AE84" i="4" l="1"/>
  <c r="AD95" i="4"/>
  <c r="AF84" i="4" l="1"/>
  <c r="AE95" i="4"/>
  <c r="AG84" i="4" l="1"/>
  <c r="AF95" i="4"/>
  <c r="AH84" i="4" l="1"/>
  <c r="AG95" i="4"/>
  <c r="AI84" i="4" l="1"/>
  <c r="AH95" i="4"/>
  <c r="AJ84" i="4" l="1"/>
  <c r="AI95" i="4"/>
  <c r="AK84" i="4" l="1"/>
  <c r="AJ95" i="4"/>
  <c r="AL84" i="4" l="1"/>
  <c r="AK95" i="4"/>
  <c r="AM84" i="4" l="1"/>
  <c r="AL95" i="4"/>
  <c r="AN84" i="4" l="1"/>
  <c r="AM95" i="4"/>
  <c r="AO84" i="4" l="1"/>
  <c r="AN95" i="4"/>
  <c r="AP84" i="4" l="1"/>
  <c r="P84" i="4" s="1"/>
  <c r="AO95" i="4"/>
  <c r="AP95" i="4" l="1"/>
  <c r="B111" i="4" l="1"/>
  <c r="B113" i="4" s="1" a="1"/>
  <c r="R121" i="4"/>
  <c r="B44" i="4"/>
  <c r="B113" i="4" l="1"/>
  <c r="B175" i="4"/>
  <c r="B176" i="4" s="1"/>
  <c r="R106" i="4" s="1"/>
  <c r="S104" i="4"/>
  <c r="T104" i="4" s="1"/>
  <c r="U104" i="4" s="1"/>
  <c r="V104" i="4" s="1"/>
  <c r="W104" i="4" s="1"/>
  <c r="X104" i="4" s="1"/>
  <c r="Y104" i="4" s="1"/>
  <c r="Z104" i="4" s="1"/>
  <c r="AA104" i="4" s="1"/>
  <c r="AB104" i="4" s="1"/>
  <c r="AC104" i="4" s="1"/>
  <c r="AD104" i="4" s="1"/>
  <c r="AE104" i="4" s="1"/>
  <c r="AF104" i="4" s="1"/>
  <c r="AG104" i="4" s="1"/>
  <c r="AH104" i="4" s="1"/>
  <c r="AI104" i="4" s="1"/>
  <c r="AJ104" i="4" s="1"/>
  <c r="AK104" i="4" s="1"/>
  <c r="AL104" i="4" s="1"/>
  <c r="AM104" i="4" s="1"/>
  <c r="AN104" i="4" s="1"/>
  <c r="AO104" i="4" s="1"/>
  <c r="AP104" i="4" s="1"/>
  <c r="S106" i="4"/>
  <c r="T106" i="4" s="1"/>
  <c r="U106" i="4" s="1"/>
  <c r="V106" i="4" s="1"/>
  <c r="W106" i="4" s="1"/>
  <c r="X106" i="4" s="1"/>
  <c r="Y106" i="4" s="1"/>
  <c r="Z106" i="4" s="1"/>
  <c r="AA106" i="4" s="1"/>
  <c r="AB106" i="4" s="1"/>
  <c r="AC106" i="4" s="1"/>
  <c r="AD106" i="4" s="1"/>
  <c r="AE106" i="4" s="1"/>
  <c r="AF106" i="4" s="1"/>
  <c r="AG106" i="4" s="1"/>
  <c r="AH106" i="4" s="1"/>
  <c r="AI106" i="4" s="1"/>
  <c r="AJ106" i="4" s="1"/>
  <c r="AK106" i="4" s="1"/>
  <c r="AL106" i="4" s="1"/>
  <c r="AM106" i="4" s="1"/>
  <c r="AN106" i="4" s="1"/>
  <c r="AO106" i="4" s="1"/>
  <c r="AP106" i="4" s="1"/>
  <c r="B62" i="4"/>
  <c r="S90" i="4"/>
  <c r="B98" i="4" a="1"/>
  <c r="B98" i="4" s="1"/>
  <c r="B102" i="4" s="1"/>
  <c r="R91" i="4" s="1"/>
  <c r="Z147" i="3"/>
  <c r="Z143" i="3"/>
  <c r="Z135" i="3"/>
  <c r="Z136" i="3"/>
  <c r="Z139" i="3"/>
  <c r="Z133" i="3"/>
  <c r="Z123" i="3"/>
  <c r="Z124" i="3"/>
  <c r="Z119" i="3"/>
  <c r="Z113" i="3"/>
  <c r="Z115" i="3"/>
  <c r="Z148" i="3"/>
  <c r="Z145" i="3"/>
  <c r="Z146" i="3"/>
  <c r="Z131" i="3"/>
  <c r="Z109" i="3"/>
  <c r="Z140" i="3"/>
  <c r="Z137" i="3"/>
  <c r="Z138" i="3"/>
  <c r="Z144" i="3"/>
  <c r="Z141" i="3"/>
  <c r="Z142" i="3"/>
  <c r="Z116" i="3"/>
  <c r="Z111" i="3"/>
  <c r="Z112" i="3"/>
  <c r="Z114" i="3"/>
  <c r="Z117" i="3"/>
  <c r="Z118" i="3"/>
  <c r="Z134" i="3"/>
  <c r="Z125" i="3"/>
  <c r="Z126" i="3"/>
  <c r="Z120" i="3"/>
  <c r="Z129" i="3"/>
  <c r="Z130" i="3"/>
  <c r="Z132" i="3"/>
  <c r="Z121" i="3"/>
  <c r="Z122" i="3"/>
  <c r="Z110" i="3"/>
  <c r="Z127" i="3"/>
  <c r="Z128" i="3"/>
  <c r="AP121" i="4"/>
  <c r="AO121" i="4"/>
  <c r="AN121" i="4"/>
  <c r="AM121" i="4"/>
  <c r="AL121" i="4"/>
  <c r="AK121" i="4"/>
  <c r="AJ121" i="4"/>
  <c r="AI121" i="4"/>
  <c r="AH121" i="4"/>
  <c r="AG121" i="4"/>
  <c r="AF121" i="4"/>
  <c r="AE121" i="4"/>
  <c r="AD121" i="4"/>
  <c r="AC121" i="4"/>
  <c r="AB121" i="4"/>
  <c r="AA121" i="4"/>
  <c r="Z121" i="4"/>
  <c r="Y121" i="4"/>
  <c r="X121" i="4"/>
  <c r="W121" i="4"/>
  <c r="V121" i="4"/>
  <c r="U121" i="4"/>
  <c r="T121" i="4"/>
  <c r="S121" i="4"/>
  <c r="AP83" i="4"/>
  <c r="AO83" i="4"/>
  <c r="AN83" i="4"/>
  <c r="AM83" i="4"/>
  <c r="AL83" i="4"/>
  <c r="AL85" i="4" s="1"/>
  <c r="AP82" i="4"/>
  <c r="AO82" i="4"/>
  <c r="AN82" i="4"/>
  <c r="AM82" i="4"/>
  <c r="AN147" i="3"/>
  <c r="R17" i="3"/>
  <c r="R16" i="3"/>
  <c r="I52" i="3"/>
  <c r="I47" i="3"/>
  <c r="I44" i="3"/>
  <c r="AN123" i="3"/>
  <c r="AN124" i="3"/>
  <c r="AN135" i="3"/>
  <c r="AN139" i="3"/>
  <c r="AN136" i="3"/>
  <c r="AN116" i="3"/>
  <c r="AN111" i="3"/>
  <c r="AN112" i="3"/>
  <c r="AN115" i="3"/>
  <c r="AN114" i="3"/>
  <c r="AN117" i="3"/>
  <c r="AN118" i="3"/>
  <c r="AN140" i="3"/>
  <c r="AN137" i="3"/>
  <c r="AN138" i="3"/>
  <c r="AN120" i="3"/>
  <c r="AN129" i="3"/>
  <c r="AN130" i="3"/>
  <c r="AN113" i="3"/>
  <c r="AN110" i="3"/>
  <c r="AN127" i="3"/>
  <c r="AN128" i="3"/>
  <c r="AN143" i="3"/>
  <c r="AN133" i="3"/>
  <c r="AN132" i="3"/>
  <c r="AN121" i="3"/>
  <c r="AN122" i="3"/>
  <c r="AN119" i="3"/>
  <c r="AN134" i="3"/>
  <c r="AN125" i="3"/>
  <c r="AN126" i="3"/>
  <c r="AN131" i="3"/>
  <c r="AN148" i="3"/>
  <c r="AN145" i="3"/>
  <c r="AN146" i="3"/>
  <c r="AN109" i="3"/>
  <c r="AN144" i="3"/>
  <c r="AN141" i="3"/>
  <c r="AN142" i="3"/>
  <c r="F49" i="3"/>
  <c r="F52" i="3" s="1"/>
  <c r="I32" i="3"/>
  <c r="I31" i="3"/>
  <c r="I29" i="3"/>
  <c r="F28" i="3"/>
  <c r="F30" i="3" s="1"/>
  <c r="I30" i="3" s="1"/>
  <c r="I27" i="3"/>
  <c r="F28" i="2"/>
  <c r="I28" i="2" s="1"/>
  <c r="L28" i="2" s="1"/>
  <c r="AG135" i="3"/>
  <c r="AH135" i="3" s="1"/>
  <c r="AG116" i="3"/>
  <c r="AH116" i="3" s="1"/>
  <c r="AG114" i="3"/>
  <c r="AH114" i="3" s="1"/>
  <c r="AG117" i="3"/>
  <c r="AH117" i="3" s="1"/>
  <c r="AG120" i="3"/>
  <c r="AH120" i="3" s="1"/>
  <c r="AG110" i="3"/>
  <c r="AH110" i="3" s="1"/>
  <c r="AG134" i="3"/>
  <c r="AH134" i="3" s="1"/>
  <c r="AG126" i="3"/>
  <c r="AH126" i="3" s="1"/>
  <c r="AG144" i="3"/>
  <c r="AH144" i="3" s="1"/>
  <c r="AG111" i="3"/>
  <c r="AH111" i="3" s="1"/>
  <c r="AG127" i="3"/>
  <c r="AH127" i="3" s="1"/>
  <c r="AG125" i="3"/>
  <c r="AH125" i="3" s="1"/>
  <c r="AG141" i="3"/>
  <c r="AH141" i="3" s="1"/>
  <c r="AG123" i="3"/>
  <c r="AH123" i="3" s="1"/>
  <c r="AG118" i="3"/>
  <c r="AH118" i="3" s="1"/>
  <c r="AG113" i="3"/>
  <c r="AH113" i="3" s="1"/>
  <c r="AG129" i="3"/>
  <c r="AH129" i="3" s="1"/>
  <c r="AG133" i="3"/>
  <c r="AH133" i="3" s="1"/>
  <c r="AG136" i="3"/>
  <c r="AH136" i="3" s="1"/>
  <c r="AG112" i="3"/>
  <c r="AH112" i="3" s="1"/>
  <c r="AG140" i="3"/>
  <c r="AH140" i="3" s="1"/>
  <c r="AG137" i="3"/>
  <c r="AH137" i="3" s="1"/>
  <c r="AG130" i="3"/>
  <c r="AH130" i="3" s="1"/>
  <c r="AG128" i="3"/>
  <c r="AH128" i="3" s="1"/>
  <c r="AG132" i="3"/>
  <c r="AH132" i="3" s="1"/>
  <c r="AG121" i="3"/>
  <c r="AH121" i="3" s="1"/>
  <c r="AG148" i="3"/>
  <c r="AH148" i="3" s="1"/>
  <c r="AG145" i="3"/>
  <c r="AH145" i="3" s="1"/>
  <c r="AG142" i="3"/>
  <c r="AH142" i="3" s="1"/>
  <c r="AG115" i="3"/>
  <c r="AH115" i="3" s="1"/>
  <c r="AG109" i="3"/>
  <c r="AH109" i="3" s="1"/>
  <c r="AG122" i="3"/>
  <c r="AH122" i="3" s="1"/>
  <c r="AG146" i="3"/>
  <c r="AH146" i="3" s="1"/>
  <c r="AG143" i="3"/>
  <c r="AH143" i="3" s="1"/>
  <c r="AG124" i="3"/>
  <c r="AH124" i="3" s="1"/>
  <c r="AG138" i="3"/>
  <c r="AH138" i="3" s="1"/>
  <c r="AG139" i="3"/>
  <c r="AH139" i="3" s="1"/>
  <c r="AG119" i="3"/>
  <c r="AH119" i="3" s="1"/>
  <c r="AG131" i="3"/>
  <c r="AH131" i="3" s="1"/>
  <c r="AG147" i="3"/>
  <c r="AH147" i="3" s="1"/>
  <c r="AD135" i="3"/>
  <c r="AE135" i="3" s="1"/>
  <c r="AF135" i="3" s="1"/>
  <c r="AD116" i="3"/>
  <c r="AE116" i="3" s="1"/>
  <c r="AF116" i="3" s="1"/>
  <c r="AD114" i="3"/>
  <c r="AE114" i="3" s="1"/>
  <c r="AF114" i="3" s="1"/>
  <c r="AD117" i="3"/>
  <c r="AE117" i="3" s="1"/>
  <c r="AF117" i="3" s="1"/>
  <c r="AD120" i="3"/>
  <c r="AE120" i="3" s="1"/>
  <c r="AF120" i="3" s="1"/>
  <c r="AD110" i="3"/>
  <c r="AE110" i="3" s="1"/>
  <c r="AF110" i="3" s="1"/>
  <c r="AD134" i="3"/>
  <c r="AE134" i="3" s="1"/>
  <c r="AF134" i="3" s="1"/>
  <c r="AD126" i="3"/>
  <c r="AE126" i="3" s="1"/>
  <c r="AF126" i="3" s="1"/>
  <c r="AD144" i="3"/>
  <c r="AE144" i="3" s="1"/>
  <c r="AF144" i="3" s="1"/>
  <c r="AD111" i="3"/>
  <c r="AE111" i="3" s="1"/>
  <c r="AF111" i="3" s="1"/>
  <c r="AD127" i="3"/>
  <c r="AE127" i="3" s="1"/>
  <c r="AF127" i="3" s="1"/>
  <c r="AD125" i="3"/>
  <c r="AE125" i="3" s="1"/>
  <c r="AF125" i="3" s="1"/>
  <c r="AD141" i="3"/>
  <c r="AE141" i="3" s="1"/>
  <c r="AF141" i="3" s="1"/>
  <c r="AD123" i="3"/>
  <c r="AE123" i="3" s="1"/>
  <c r="AF123" i="3" s="1"/>
  <c r="AD118" i="3"/>
  <c r="AE118" i="3" s="1"/>
  <c r="AF118" i="3" s="1"/>
  <c r="AD113" i="3"/>
  <c r="AE113" i="3" s="1"/>
  <c r="AF113" i="3" s="1"/>
  <c r="AD129" i="3"/>
  <c r="AE129" i="3" s="1"/>
  <c r="AF129" i="3" s="1"/>
  <c r="AD133" i="3"/>
  <c r="AE133" i="3" s="1"/>
  <c r="AF133" i="3" s="1"/>
  <c r="AD136" i="3"/>
  <c r="AE136" i="3" s="1"/>
  <c r="AF136" i="3" s="1"/>
  <c r="AD112" i="3"/>
  <c r="AE112" i="3" s="1"/>
  <c r="AF112" i="3" s="1"/>
  <c r="AD140" i="3"/>
  <c r="AE140" i="3" s="1"/>
  <c r="AF140" i="3" s="1"/>
  <c r="AD137" i="3"/>
  <c r="AE137" i="3" s="1"/>
  <c r="AF137" i="3" s="1"/>
  <c r="AD130" i="3"/>
  <c r="AE130" i="3" s="1"/>
  <c r="AF130" i="3" s="1"/>
  <c r="AD128" i="3"/>
  <c r="AE128" i="3" s="1"/>
  <c r="AF128" i="3" s="1"/>
  <c r="AD132" i="3"/>
  <c r="AE132" i="3" s="1"/>
  <c r="AF132" i="3" s="1"/>
  <c r="AD121" i="3"/>
  <c r="AE121" i="3" s="1"/>
  <c r="AF121" i="3" s="1"/>
  <c r="AD148" i="3"/>
  <c r="AE148" i="3" s="1"/>
  <c r="AF148" i="3" s="1"/>
  <c r="AD145" i="3"/>
  <c r="AE145" i="3" s="1"/>
  <c r="AF145" i="3" s="1"/>
  <c r="AD142" i="3"/>
  <c r="AE142" i="3" s="1"/>
  <c r="AF142" i="3" s="1"/>
  <c r="AD115" i="3"/>
  <c r="AE115" i="3" s="1"/>
  <c r="AF115" i="3" s="1"/>
  <c r="AD109" i="3"/>
  <c r="AE109" i="3" s="1"/>
  <c r="AF109" i="3" s="1"/>
  <c r="AD122" i="3"/>
  <c r="AE122" i="3" s="1"/>
  <c r="AF122" i="3" s="1"/>
  <c r="AD146" i="3"/>
  <c r="AE146" i="3" s="1"/>
  <c r="AF146" i="3" s="1"/>
  <c r="AD143" i="3"/>
  <c r="AE143" i="3" s="1"/>
  <c r="AF143" i="3" s="1"/>
  <c r="AD124" i="3"/>
  <c r="AE124" i="3" s="1"/>
  <c r="AF124" i="3" s="1"/>
  <c r="AD138" i="3"/>
  <c r="AE138" i="3" s="1"/>
  <c r="AF138" i="3" s="1"/>
  <c r="AD139" i="3"/>
  <c r="AE139" i="3" s="1"/>
  <c r="AF139" i="3" s="1"/>
  <c r="AD119" i="3"/>
  <c r="AE119" i="3" s="1"/>
  <c r="AF119" i="3" s="1"/>
  <c r="AD131" i="3"/>
  <c r="AE131" i="3" s="1"/>
  <c r="AF131" i="3" s="1"/>
  <c r="AD147" i="3"/>
  <c r="AE147" i="3" s="1"/>
  <c r="AF147" i="3" s="1"/>
  <c r="V1" i="1"/>
  <c r="AO85" i="4" l="1"/>
  <c r="AN85" i="4"/>
  <c r="AM85" i="4"/>
  <c r="AP85" i="4"/>
  <c r="Q132" i="4"/>
  <c r="R110" i="4"/>
  <c r="R19" i="3"/>
  <c r="F34" i="3"/>
  <c r="I46" i="3" s="1"/>
  <c r="L46" i="3" s="1"/>
  <c r="L47" i="3" s="1"/>
  <c r="I28" i="3"/>
  <c r="AJ132" i="3" s="1"/>
  <c r="W1" i="1"/>
  <c r="F30" i="2"/>
  <c r="I30" i="2" s="1"/>
  <c r="F47" i="2"/>
  <c r="F50" i="2" s="1"/>
  <c r="F45" i="2"/>
  <c r="B12" i="1"/>
  <c r="V2" i="1" s="1"/>
  <c r="I44" i="2"/>
  <c r="I50" i="2"/>
  <c r="I32" i="2"/>
  <c r="I31" i="2"/>
  <c r="I29" i="2"/>
  <c r="I27" i="2"/>
  <c r="R98" i="4" l="1"/>
  <c r="Q134" i="4"/>
  <c r="Q135" i="4" s="1"/>
  <c r="Q133" i="4"/>
  <c r="T110" i="4"/>
  <c r="S110" i="4"/>
  <c r="U110" i="4"/>
  <c r="S91" i="4"/>
  <c r="AJ115" i="3"/>
  <c r="AJ117" i="3"/>
  <c r="AJ135" i="3"/>
  <c r="AJ121" i="3"/>
  <c r="AJ124" i="3"/>
  <c r="AJ139" i="3"/>
  <c r="AJ140" i="3"/>
  <c r="AJ122" i="3"/>
  <c r="AJ136" i="3"/>
  <c r="AJ134" i="3"/>
  <c r="AJ118" i="3"/>
  <c r="AJ142" i="3"/>
  <c r="AJ114" i="3"/>
  <c r="AJ137" i="3"/>
  <c r="AJ143" i="3"/>
  <c r="AJ129" i="3"/>
  <c r="AJ148" i="3"/>
  <c r="AJ126" i="3"/>
  <c r="AJ119" i="3"/>
  <c r="AJ127" i="3"/>
  <c r="AJ125" i="3"/>
  <c r="AJ145" i="3"/>
  <c r="AJ146" i="3"/>
  <c r="AJ144" i="3"/>
  <c r="AJ120" i="3"/>
  <c r="AJ128" i="3"/>
  <c r="AJ141" i="3"/>
  <c r="AJ113" i="3"/>
  <c r="AJ109" i="3"/>
  <c r="AJ138" i="3"/>
  <c r="AJ110" i="3"/>
  <c r="AJ131" i="3"/>
  <c r="AJ133" i="3"/>
  <c r="AJ123" i="3"/>
  <c r="AJ130" i="3"/>
  <c r="AJ111" i="3"/>
  <c r="AJ116" i="3"/>
  <c r="AJ112" i="3"/>
  <c r="AJ147" i="3"/>
  <c r="AI147" i="3"/>
  <c r="AI135" i="3"/>
  <c r="AI142" i="3"/>
  <c r="AI114" i="3"/>
  <c r="AI130" i="3"/>
  <c r="AI116" i="3"/>
  <c r="AI132" i="3"/>
  <c r="AI124" i="3"/>
  <c r="AI139" i="3"/>
  <c r="AI133" i="3"/>
  <c r="AI121" i="3"/>
  <c r="AI140" i="3"/>
  <c r="AI134" i="3"/>
  <c r="AI122" i="3"/>
  <c r="AI137" i="3"/>
  <c r="AI125" i="3"/>
  <c r="AI148" i="3"/>
  <c r="AI110" i="3"/>
  <c r="AI143" i="3"/>
  <c r="AI119" i="3"/>
  <c r="AI127" i="3"/>
  <c r="AI136" i="3"/>
  <c r="AI115" i="3"/>
  <c r="AI117" i="3"/>
  <c r="AI131" i="3"/>
  <c r="AI123" i="3"/>
  <c r="AI118" i="3"/>
  <c r="AI111" i="3"/>
  <c r="AI112" i="3"/>
  <c r="AI109" i="3"/>
  <c r="AI138" i="3"/>
  <c r="AI126" i="3"/>
  <c r="AI145" i="3"/>
  <c r="AI146" i="3"/>
  <c r="AI144" i="3"/>
  <c r="AI120" i="3"/>
  <c r="AI128" i="3"/>
  <c r="AI141" i="3"/>
  <c r="AI113" i="3"/>
  <c r="AI129" i="3"/>
  <c r="I54" i="3"/>
  <c r="I58" i="3" s="1"/>
  <c r="I34" i="3"/>
  <c r="L28" i="3"/>
  <c r="I52" i="2"/>
  <c r="I34" i="2"/>
  <c r="V4" i="1"/>
  <c r="V6" i="1"/>
  <c r="V7" i="1" s="1"/>
  <c r="V3" i="1"/>
  <c r="V5" i="1"/>
  <c r="F52" i="2"/>
  <c r="F56" i="2" s="1"/>
  <c r="H2" i="1"/>
  <c r="G2" i="1"/>
  <c r="G3" i="1" s="1"/>
  <c r="X1" i="1"/>
  <c r="W2" i="1"/>
  <c r="F34" i="2"/>
  <c r="Q2" i="1"/>
  <c r="Q6" i="1" s="1"/>
  <c r="Q7" i="1" s="1"/>
  <c r="P2" i="1"/>
  <c r="N2" i="1"/>
  <c r="N5" i="1" s="1"/>
  <c r="L2" i="1"/>
  <c r="L5" i="1" s="1"/>
  <c r="S2" i="1"/>
  <c r="R2" i="1"/>
  <c r="O2" i="1"/>
  <c r="O4" i="1" s="1"/>
  <c r="M2" i="1"/>
  <c r="J2" i="1"/>
  <c r="J5" i="1" s="1"/>
  <c r="K2" i="1"/>
  <c r="U2" i="1"/>
  <c r="I2" i="1"/>
  <c r="T2" i="1"/>
  <c r="AK147" i="3" l="1"/>
  <c r="AL147" i="3" s="1"/>
  <c r="AM147" i="3" s="1"/>
  <c r="S98" i="4"/>
  <c r="T91" i="4"/>
  <c r="U91" i="4" s="1"/>
  <c r="V91" i="4" s="1"/>
  <c r="W91" i="4" s="1"/>
  <c r="X91" i="4" s="1"/>
  <c r="Y91" i="4" s="1"/>
  <c r="Z91" i="4" s="1"/>
  <c r="AA91" i="4" s="1"/>
  <c r="AB91" i="4" s="1"/>
  <c r="AC91" i="4" s="1"/>
  <c r="AD91" i="4" s="1"/>
  <c r="AE91" i="4" s="1"/>
  <c r="AF91" i="4" s="1"/>
  <c r="AG91" i="4" s="1"/>
  <c r="AH91" i="4" s="1"/>
  <c r="AI91" i="4" s="1"/>
  <c r="AJ91" i="4" s="1"/>
  <c r="AK91" i="4" s="1"/>
  <c r="V110" i="4"/>
  <c r="AK142" i="3"/>
  <c r="AL142" i="3" s="1"/>
  <c r="AK138" i="3"/>
  <c r="AK109" i="3"/>
  <c r="AL109" i="3" s="1"/>
  <c r="AK136" i="3"/>
  <c r="AL136" i="3" s="1"/>
  <c r="AK121" i="3"/>
  <c r="AL121" i="3" s="1"/>
  <c r="AK135" i="3"/>
  <c r="AL135" i="3" s="1"/>
  <c r="AK126" i="3"/>
  <c r="AL126" i="3" s="1"/>
  <c r="AK134" i="3"/>
  <c r="AL134" i="3" s="1"/>
  <c r="AK139" i="3"/>
  <c r="AL139" i="3" s="1"/>
  <c r="AK140" i="3"/>
  <c r="AL140" i="3" s="1"/>
  <c r="AK143" i="3"/>
  <c r="AL143" i="3" s="1"/>
  <c r="AK119" i="3"/>
  <c r="AL119" i="3" s="1"/>
  <c r="AK125" i="3"/>
  <c r="AL125" i="3" s="1"/>
  <c r="AK144" i="3"/>
  <c r="AL144" i="3" s="1"/>
  <c r="AK145" i="3"/>
  <c r="AL145" i="3" s="1"/>
  <c r="AK128" i="3"/>
  <c r="AL128" i="3" s="1"/>
  <c r="AK141" i="3"/>
  <c r="AL141" i="3" s="1"/>
  <c r="AK137" i="3"/>
  <c r="AL137" i="3" s="1"/>
  <c r="AK127" i="3"/>
  <c r="AL127" i="3" s="1"/>
  <c r="AM142" i="3"/>
  <c r="AK148" i="3"/>
  <c r="AL148" i="3" s="1"/>
  <c r="AK117" i="3"/>
  <c r="AL117" i="3" s="1"/>
  <c r="AK146" i="3"/>
  <c r="AL146" i="3" s="1"/>
  <c r="AK131" i="3"/>
  <c r="AL131" i="3" s="1"/>
  <c r="AK112" i="3"/>
  <c r="AL112" i="3" s="1"/>
  <c r="AK111" i="3"/>
  <c r="AL111" i="3" s="1"/>
  <c r="AK115" i="3"/>
  <c r="AL115" i="3" s="1"/>
  <c r="AK113" i="3"/>
  <c r="AL113" i="3" s="1"/>
  <c r="AK129" i="3"/>
  <c r="AL129" i="3" s="1"/>
  <c r="AK130" i="3"/>
  <c r="AL130" i="3" s="1"/>
  <c r="AK122" i="3"/>
  <c r="AL122" i="3" s="1"/>
  <c r="AK124" i="3"/>
  <c r="AL124" i="3" s="1"/>
  <c r="AK118" i="3"/>
  <c r="AL118" i="3" s="1"/>
  <c r="AK120" i="3"/>
  <c r="AL120" i="3" s="1"/>
  <c r="AK123" i="3"/>
  <c r="AL123" i="3" s="1"/>
  <c r="AK116" i="3"/>
  <c r="AL116" i="3" s="1"/>
  <c r="AK132" i="3"/>
  <c r="AL132" i="3" s="1"/>
  <c r="AK110" i="3"/>
  <c r="AL110" i="3" s="1"/>
  <c r="AK114" i="3"/>
  <c r="AL114" i="3" s="1"/>
  <c r="AK133" i="3"/>
  <c r="AL133" i="3" s="1"/>
  <c r="I64" i="3"/>
  <c r="I70" i="3" s="1"/>
  <c r="I78" i="3" s="1"/>
  <c r="I17" i="3" s="1"/>
  <c r="F54" i="3"/>
  <c r="F58" i="3" s="1"/>
  <c r="I56" i="2"/>
  <c r="I65" i="2" s="1"/>
  <c r="I73" i="2" s="1"/>
  <c r="I17" i="2" s="1"/>
  <c r="T4" i="1"/>
  <c r="T3" i="1"/>
  <c r="G6" i="1"/>
  <c r="G7" i="1" s="1"/>
  <c r="P6" i="1"/>
  <c r="P7" i="1" s="1"/>
  <c r="P3" i="1"/>
  <c r="I6" i="1"/>
  <c r="I7" i="1" s="1"/>
  <c r="I3" i="1"/>
  <c r="Q4" i="1"/>
  <c r="Q3" i="1"/>
  <c r="H6" i="1"/>
  <c r="H7" i="1" s="1"/>
  <c r="H3" i="1"/>
  <c r="K6" i="1"/>
  <c r="K7" i="1" s="1"/>
  <c r="K3" i="1"/>
  <c r="H4" i="1"/>
  <c r="M4" i="1"/>
  <c r="M3" i="1"/>
  <c r="R4" i="1"/>
  <c r="R3" i="1"/>
  <c r="S4" i="1"/>
  <c r="S3" i="1"/>
  <c r="U6" i="1"/>
  <c r="U7" i="1" s="1"/>
  <c r="U3" i="1"/>
  <c r="H5" i="1"/>
  <c r="L4" i="1"/>
  <c r="L3" i="1"/>
  <c r="J6" i="1"/>
  <c r="J7" i="1" s="1"/>
  <c r="J3" i="1"/>
  <c r="N4" i="1"/>
  <c r="N3" i="1"/>
  <c r="P4" i="1"/>
  <c r="O6" i="1"/>
  <c r="O7" i="1" s="1"/>
  <c r="O3" i="1"/>
  <c r="P5" i="1"/>
  <c r="W3" i="1"/>
  <c r="W6" i="1"/>
  <c r="W7" i="1" s="1"/>
  <c r="W4" i="1"/>
  <c r="W5" i="1"/>
  <c r="X2" i="1"/>
  <c r="Y1" i="1"/>
  <c r="I72" i="2"/>
  <c r="I16" i="2" s="1"/>
  <c r="R5" i="1"/>
  <c r="S6" i="1"/>
  <c r="S7" i="1" s="1"/>
  <c r="T6" i="1"/>
  <c r="T7" i="1" s="1"/>
  <c r="Q5" i="1"/>
  <c r="S5" i="1"/>
  <c r="J4" i="1"/>
  <c r="U5" i="1"/>
  <c r="G5" i="1"/>
  <c r="K5" i="1"/>
  <c r="K4" i="1"/>
  <c r="L6" i="1"/>
  <c r="L7" i="1" s="1"/>
  <c r="M5" i="1"/>
  <c r="M6" i="1"/>
  <c r="M7" i="1" s="1"/>
  <c r="O5" i="1"/>
  <c r="N6" i="1"/>
  <c r="N7" i="1" s="1"/>
  <c r="T5" i="1"/>
  <c r="R6" i="1"/>
  <c r="R7" i="1" s="1"/>
  <c r="I5" i="1"/>
  <c r="U4" i="1"/>
  <c r="G4" i="1"/>
  <c r="I4" i="1"/>
  <c r="AL138" i="3" l="1"/>
  <c r="AM138" i="3" s="1"/>
  <c r="AL91" i="4"/>
  <c r="AM91" i="4" s="1"/>
  <c r="AN91" i="4" s="1"/>
  <c r="AO91" i="4" s="1"/>
  <c r="AP91" i="4" s="1"/>
  <c r="W110" i="4"/>
  <c r="AM126" i="3"/>
  <c r="AM134" i="3"/>
  <c r="AM136" i="3"/>
  <c r="AM109" i="3"/>
  <c r="AM140" i="3"/>
  <c r="AM121" i="3"/>
  <c r="AM119" i="3"/>
  <c r="AM144" i="3"/>
  <c r="AM135" i="3"/>
  <c r="AM139" i="3"/>
  <c r="AM145" i="3"/>
  <c r="AM125" i="3"/>
  <c r="AM128" i="3"/>
  <c r="AM133" i="3"/>
  <c r="AM130" i="3"/>
  <c r="AM112" i="3"/>
  <c r="AM148" i="3"/>
  <c r="AM114" i="3"/>
  <c r="AM141" i="3"/>
  <c r="AM110" i="3"/>
  <c r="AM123" i="3"/>
  <c r="AM132" i="3"/>
  <c r="AM116" i="3"/>
  <c r="AM113" i="3"/>
  <c r="AM115" i="3"/>
  <c r="AM124" i="3"/>
  <c r="AM146" i="3"/>
  <c r="AM127" i="3"/>
  <c r="AM137" i="3"/>
  <c r="AM129" i="3"/>
  <c r="AM120" i="3"/>
  <c r="AM118" i="3"/>
  <c r="AM131" i="3"/>
  <c r="AM122" i="3"/>
  <c r="AM111" i="3"/>
  <c r="AM117" i="3"/>
  <c r="I77" i="3"/>
  <c r="I16" i="3" s="1"/>
  <c r="X4" i="1"/>
  <c r="X6" i="1"/>
  <c r="X7" i="1" s="1"/>
  <c r="X3" i="1"/>
  <c r="X5" i="1"/>
  <c r="Z1" i="1"/>
  <c r="Y2" i="1"/>
  <c r="X110" i="4" l="1"/>
  <c r="AO144" i="3"/>
  <c r="AP144" i="3" s="1"/>
  <c r="AO111" i="3"/>
  <c r="AP111" i="3" s="1"/>
  <c r="AO113" i="3"/>
  <c r="AP113" i="3" s="1"/>
  <c r="AO125" i="3"/>
  <c r="AP125" i="3" s="1"/>
  <c r="AO122" i="3"/>
  <c r="AP122" i="3" s="1"/>
  <c r="AO130" i="3"/>
  <c r="AP130" i="3" s="1"/>
  <c r="AO126" i="3"/>
  <c r="AP126" i="3" s="1"/>
  <c r="AO134" i="3"/>
  <c r="AP134" i="3" s="1"/>
  <c r="AO141" i="3"/>
  <c r="AP141" i="3" s="1"/>
  <c r="AO136" i="3"/>
  <c r="AP136" i="3" s="1"/>
  <c r="AO121" i="3"/>
  <c r="AP121" i="3" s="1"/>
  <c r="AO120" i="3"/>
  <c r="AP120" i="3" s="1"/>
  <c r="AO142" i="3"/>
  <c r="AP142" i="3" s="1"/>
  <c r="AO109" i="3"/>
  <c r="AP109" i="3" s="1"/>
  <c r="AO132" i="3"/>
  <c r="AP132" i="3" s="1"/>
  <c r="AO118" i="3"/>
  <c r="AP118" i="3" s="1"/>
  <c r="AO145" i="3"/>
  <c r="AP145" i="3" s="1"/>
  <c r="AO138" i="3"/>
  <c r="AP138" i="3" s="1"/>
  <c r="AO137" i="3"/>
  <c r="AP137" i="3" s="1"/>
  <c r="AO135" i="3"/>
  <c r="AP135" i="3" s="1"/>
  <c r="AO112" i="3"/>
  <c r="AP112" i="3" s="1"/>
  <c r="AO129" i="3"/>
  <c r="AP129" i="3" s="1"/>
  <c r="AO116" i="3"/>
  <c r="AP116" i="3" s="1"/>
  <c r="AO119" i="3"/>
  <c r="AP119" i="3" s="1"/>
  <c r="AO131" i="3"/>
  <c r="AP131" i="3" s="1"/>
  <c r="AO115" i="3"/>
  <c r="AP115" i="3" s="1"/>
  <c r="AO110" i="3"/>
  <c r="AP110" i="3" s="1"/>
  <c r="AO140" i="3"/>
  <c r="AP140" i="3" s="1"/>
  <c r="AO148" i="3"/>
  <c r="AP148" i="3" s="1"/>
  <c r="AO124" i="3"/>
  <c r="AP124" i="3" s="1"/>
  <c r="AO147" i="3"/>
  <c r="AP147" i="3" s="1"/>
  <c r="AO128" i="3"/>
  <c r="AP128" i="3" s="1"/>
  <c r="AO146" i="3"/>
  <c r="AP146" i="3" s="1"/>
  <c r="AO139" i="3"/>
  <c r="AP139" i="3" s="1"/>
  <c r="AM143" i="3"/>
  <c r="AO133" i="3"/>
  <c r="AP133" i="3" s="1"/>
  <c r="AO117" i="3"/>
  <c r="AP117" i="3" s="1"/>
  <c r="AO127" i="3"/>
  <c r="AP127" i="3" s="1"/>
  <c r="AO143" i="3"/>
  <c r="AP143" i="3" s="1"/>
  <c r="AO123" i="3"/>
  <c r="AP123" i="3" s="1"/>
  <c r="AO114" i="3"/>
  <c r="AP114" i="3" s="1"/>
  <c r="Z2" i="1"/>
  <c r="AA1" i="1"/>
  <c r="Y5" i="1"/>
  <c r="Y6" i="1"/>
  <c r="Y7" i="1" s="1"/>
  <c r="Y4" i="1"/>
  <c r="Y3" i="1"/>
  <c r="Y110" i="4" l="1"/>
  <c r="K44" i="4" a="1"/>
  <c r="AA2" i="1"/>
  <c r="AB1" i="1"/>
  <c r="AB2" i="1" s="1"/>
  <c r="Z6" i="1"/>
  <c r="Z7" i="1" s="1"/>
  <c r="Z5" i="1"/>
  <c r="Z4" i="1"/>
  <c r="Z3" i="1"/>
  <c r="Z110" i="4" l="1"/>
  <c r="K44" i="4"/>
  <c r="AB6" i="1"/>
  <c r="AB7" i="1" s="1"/>
  <c r="AB5" i="1"/>
  <c r="AB4" i="1"/>
  <c r="AB3" i="1"/>
  <c r="AA6" i="1"/>
  <c r="AA7" i="1" s="1"/>
  <c r="AA5" i="1"/>
  <c r="AA4" i="1"/>
  <c r="AA3" i="1"/>
  <c r="W96" i="4" l="1"/>
  <c r="AI96" i="4"/>
  <c r="AM96" i="4"/>
  <c r="S96" i="4"/>
  <c r="S99" i="4" s="1"/>
  <c r="AP96" i="4"/>
  <c r="V96" i="4"/>
  <c r="U96" i="4"/>
  <c r="AK96" i="4"/>
  <c r="AC96" i="4"/>
  <c r="Y96" i="4"/>
  <c r="AF96" i="4"/>
  <c r="AA96" i="4"/>
  <c r="AE96" i="4"/>
  <c r="AO96" i="4"/>
  <c r="AJ96" i="4"/>
  <c r="T96" i="4"/>
  <c r="R99" i="4"/>
  <c r="AL96" i="4"/>
  <c r="AH96" i="4"/>
  <c r="Z96" i="4"/>
  <c r="AG96" i="4"/>
  <c r="AB96" i="4"/>
  <c r="X96" i="4"/>
  <c r="AD96" i="4"/>
  <c r="AN96" i="4"/>
  <c r="Q98" i="4"/>
  <c r="AA110" i="4"/>
  <c r="Q127" i="4" l="1"/>
  <c r="Q114" i="4"/>
  <c r="Q129" i="4" l="1"/>
  <c r="Q130" i="4" s="1"/>
  <c r="Q128" i="4"/>
  <c r="AC110" i="4"/>
  <c r="AB110" i="4"/>
  <c r="AD110" i="4"/>
  <c r="AE110" i="4" l="1"/>
  <c r="AF110" i="4" l="1"/>
  <c r="AG110" i="4" l="1"/>
  <c r="AH110" i="4" l="1"/>
  <c r="AI110" i="4" l="1"/>
  <c r="AJ110" i="4" l="1"/>
  <c r="AK110" i="4" l="1"/>
  <c r="AL110" i="4" l="1"/>
  <c r="AM110" i="4" l="1"/>
  <c r="AN110" i="4" l="1"/>
  <c r="T90" i="4"/>
  <c r="T99" i="4" l="1"/>
  <c r="T98" i="4"/>
  <c r="U90" i="4"/>
  <c r="AO110" i="4"/>
  <c r="S83" i="4"/>
  <c r="S82" i="4"/>
  <c r="T82" i="4" l="1"/>
  <c r="S85" i="4"/>
  <c r="T83" i="4"/>
  <c r="U83" i="4" s="1"/>
  <c r="V83" i="4" s="1"/>
  <c r="W83" i="4" s="1"/>
  <c r="X83" i="4" s="1"/>
  <c r="Y83" i="4" s="1"/>
  <c r="Z83" i="4" s="1"/>
  <c r="AA83" i="4" s="1"/>
  <c r="AB83" i="4" s="1"/>
  <c r="AC83" i="4" s="1"/>
  <c r="AD83" i="4" s="1"/>
  <c r="AE83" i="4" s="1"/>
  <c r="AF83" i="4" s="1"/>
  <c r="AG83" i="4" s="1"/>
  <c r="AH83" i="4" s="1"/>
  <c r="AI83" i="4" s="1"/>
  <c r="AJ83" i="4" s="1"/>
  <c r="AK83" i="4" s="1"/>
  <c r="U99" i="4"/>
  <c r="U98" i="4"/>
  <c r="AP110" i="4"/>
  <c r="V90" i="4"/>
  <c r="P83" i="4" l="1"/>
  <c r="T85" i="4"/>
  <c r="R132" i="4"/>
  <c r="R134" i="4" s="1"/>
  <c r="R135" i="4" s="1"/>
  <c r="R127" i="4"/>
  <c r="R128" i="4" s="1"/>
  <c r="V99" i="4"/>
  <c r="V98" i="4"/>
  <c r="R114" i="4"/>
  <c r="W90" i="4"/>
  <c r="S132" i="4"/>
  <c r="S134" i="4" s="1"/>
  <c r="R133" i="4" l="1"/>
  <c r="S133" i="4" s="1"/>
  <c r="S135" i="4"/>
  <c r="S127" i="4"/>
  <c r="W99" i="4"/>
  <c r="W98" i="4"/>
  <c r="R129" i="4"/>
  <c r="S114" i="4"/>
  <c r="X90" i="4"/>
  <c r="U82" i="4"/>
  <c r="T132" i="4"/>
  <c r="T134" i="4" s="1"/>
  <c r="U85" i="4" l="1"/>
  <c r="T133" i="4"/>
  <c r="T135" i="4"/>
  <c r="X99" i="4"/>
  <c r="X98" i="4"/>
  <c r="T114" i="4"/>
  <c r="T127" i="4"/>
  <c r="T129" i="4" s="1"/>
  <c r="S129" i="4"/>
  <c r="Y90" i="4"/>
  <c r="V82" i="4"/>
  <c r="V85" i="4" s="1"/>
  <c r="U132" i="4"/>
  <c r="U134" i="4" s="1"/>
  <c r="U135" i="4" l="1"/>
  <c r="U133" i="4"/>
  <c r="Y99" i="4"/>
  <c r="Y98" i="4"/>
  <c r="U114" i="4"/>
  <c r="U127" i="4"/>
  <c r="Q141" i="4"/>
  <c r="Z90" i="4"/>
  <c r="R130" i="4"/>
  <c r="Q142" i="4"/>
  <c r="W82" i="4"/>
  <c r="V132" i="4"/>
  <c r="V134" i="4" s="1"/>
  <c r="W85" i="4" l="1"/>
  <c r="W132" i="4" s="1"/>
  <c r="W134" i="4" s="1"/>
  <c r="V133" i="4"/>
  <c r="V135" i="4"/>
  <c r="Z99" i="4"/>
  <c r="Z98" i="4"/>
  <c r="V114" i="4"/>
  <c r="V127" i="4"/>
  <c r="U129" i="4"/>
  <c r="AA90" i="4"/>
  <c r="R141" i="4"/>
  <c r="S128" i="4"/>
  <c r="X82" i="4"/>
  <c r="X85" i="4" s="1"/>
  <c r="S130" i="4"/>
  <c r="R142" i="4"/>
  <c r="W133" i="4" l="1"/>
  <c r="AA99" i="4"/>
  <c r="W135" i="4"/>
  <c r="AA98" i="4"/>
  <c r="W114" i="4"/>
  <c r="W127" i="4"/>
  <c r="V129" i="4"/>
  <c r="AB90" i="4"/>
  <c r="S141" i="4"/>
  <c r="T128" i="4"/>
  <c r="U128" i="4" s="1"/>
  <c r="S142" i="4"/>
  <c r="T130" i="4"/>
  <c r="U130" i="4" s="1"/>
  <c r="Y82" i="4"/>
  <c r="Y85" i="4" s="1"/>
  <c r="X132" i="4"/>
  <c r="X134" i="4" s="1"/>
  <c r="X133" i="4" l="1"/>
  <c r="X135" i="4"/>
  <c r="AB99" i="4"/>
  <c r="AB98" i="4"/>
  <c r="X114" i="4"/>
  <c r="X127" i="4"/>
  <c r="W129" i="4"/>
  <c r="AC90" i="4"/>
  <c r="T142" i="4"/>
  <c r="U141" i="4"/>
  <c r="T141" i="4"/>
  <c r="Z82" i="4"/>
  <c r="Z85" i="4" s="1"/>
  <c r="Y132" i="4"/>
  <c r="Y134" i="4" s="1"/>
  <c r="Y133" i="4" l="1"/>
  <c r="Y135" i="4"/>
  <c r="AC98" i="4"/>
  <c r="AC99" i="4"/>
  <c r="X129" i="4"/>
  <c r="Y114" i="4"/>
  <c r="Y127" i="4"/>
  <c r="Y129" i="4" s="1"/>
  <c r="AD90" i="4"/>
  <c r="V128" i="4"/>
  <c r="U142" i="4"/>
  <c r="V130" i="4"/>
  <c r="AA82" i="4"/>
  <c r="AA85" i="4" s="1"/>
  <c r="Z132" i="4"/>
  <c r="Z134" i="4" s="1"/>
  <c r="Z133" i="4" l="1"/>
  <c r="Z135" i="4"/>
  <c r="AD99" i="4"/>
  <c r="AD98" i="4"/>
  <c r="Z114" i="4"/>
  <c r="Z127" i="4"/>
  <c r="AE90" i="4"/>
  <c r="AB82" i="4"/>
  <c r="AB85" i="4" s="1"/>
  <c r="AA132" i="4"/>
  <c r="AA134" i="4" s="1"/>
  <c r="W130" i="4"/>
  <c r="W142" i="4" s="1"/>
  <c r="V142" i="4"/>
  <c r="V141" i="4"/>
  <c r="W128" i="4"/>
  <c r="W141" i="4" s="1"/>
  <c r="AA133" i="4" l="1"/>
  <c r="AE99" i="4"/>
  <c r="AA135" i="4"/>
  <c r="AE98" i="4"/>
  <c r="AA114" i="4"/>
  <c r="AA127" i="4"/>
  <c r="AA129" i="4" s="1"/>
  <c r="Z129" i="4"/>
  <c r="AF90" i="4"/>
  <c r="X130" i="4"/>
  <c r="X128" i="4"/>
  <c r="AC82" i="4"/>
  <c r="AC85" i="4" s="1"/>
  <c r="AB132" i="4"/>
  <c r="AB134" i="4" s="1"/>
  <c r="AB133" i="4" l="1"/>
  <c r="AB135" i="4"/>
  <c r="AF99" i="4"/>
  <c r="AF98" i="4"/>
  <c r="AB114" i="4"/>
  <c r="AB127" i="4"/>
  <c r="AG90" i="4"/>
  <c r="Y128" i="4"/>
  <c r="X141" i="4"/>
  <c r="AD82" i="4"/>
  <c r="AD85" i="4" s="1"/>
  <c r="Y130" i="4"/>
  <c r="X142" i="4"/>
  <c r="AC132" i="4" l="1"/>
  <c r="AC134" i="4" s="1"/>
  <c r="AC135" i="4" s="1"/>
  <c r="AG99" i="4"/>
  <c r="AG98" i="4"/>
  <c r="AC114" i="4"/>
  <c r="AC127" i="4"/>
  <c r="AC129" i="4" s="1"/>
  <c r="AB129" i="4"/>
  <c r="AH90" i="4"/>
  <c r="Z130" i="4"/>
  <c r="Y142" i="4"/>
  <c r="Z128" i="4"/>
  <c r="Y141" i="4"/>
  <c r="AE82" i="4"/>
  <c r="AE85" i="4" s="1"/>
  <c r="AC133" i="4" l="1"/>
  <c r="AD132" i="4"/>
  <c r="AD134" i="4" s="1"/>
  <c r="AD135" i="4" s="1"/>
  <c r="AH99" i="4"/>
  <c r="AH98" i="4"/>
  <c r="AD114" i="4"/>
  <c r="AD127" i="4"/>
  <c r="AD129" i="4" s="1"/>
  <c r="AI90" i="4"/>
  <c r="AA128" i="4"/>
  <c r="Z141" i="4"/>
  <c r="AA130" i="4"/>
  <c r="Z142" i="4"/>
  <c r="AF82" i="4"/>
  <c r="AF85" i="4" s="1"/>
  <c r="AD133" i="4" l="1"/>
  <c r="AE132" i="4"/>
  <c r="AE134" i="4" s="1"/>
  <c r="AE135" i="4" s="1"/>
  <c r="AI99" i="4"/>
  <c r="AI98" i="4"/>
  <c r="AE114" i="4"/>
  <c r="AE127" i="4"/>
  <c r="AE129" i="4" s="1"/>
  <c r="AJ90" i="4"/>
  <c r="AG82" i="4"/>
  <c r="AG85" i="4" s="1"/>
  <c r="AA142" i="4"/>
  <c r="AB130" i="4"/>
  <c r="AA141" i="4"/>
  <c r="AB128" i="4"/>
  <c r="AE133" i="4" l="1"/>
  <c r="AF132" i="4"/>
  <c r="AF134" i="4" s="1"/>
  <c r="AF135" i="4" s="1"/>
  <c r="AJ99" i="4"/>
  <c r="AJ98" i="4"/>
  <c r="AF114" i="4"/>
  <c r="AF127" i="4"/>
  <c r="AF129" i="4" s="1"/>
  <c r="AK90" i="4"/>
  <c r="AB142" i="4"/>
  <c r="AC130" i="4"/>
  <c r="AC128" i="4"/>
  <c r="AB141" i="4"/>
  <c r="AH82" i="4"/>
  <c r="AH85" i="4" s="1"/>
  <c r="AF133" i="4" l="1"/>
  <c r="AG132" i="4"/>
  <c r="AG134" i="4" s="1"/>
  <c r="AG135" i="4" s="1"/>
  <c r="AK99" i="4"/>
  <c r="AK98" i="4"/>
  <c r="AG114" i="4"/>
  <c r="AG127" i="4"/>
  <c r="AG129" i="4" s="1"/>
  <c r="AL90" i="4"/>
  <c r="AC142" i="4"/>
  <c r="AD130" i="4"/>
  <c r="AD128" i="4"/>
  <c r="AC141" i="4"/>
  <c r="AI82" i="4"/>
  <c r="AI85" i="4" s="1"/>
  <c r="AG133" i="4" l="1"/>
  <c r="AH132" i="4"/>
  <c r="AH134" i="4" s="1"/>
  <c r="AH135" i="4" s="1"/>
  <c r="AL99" i="4"/>
  <c r="AL98" i="4"/>
  <c r="AH114" i="4"/>
  <c r="AH127" i="4"/>
  <c r="AH129" i="4" s="1"/>
  <c r="AM90" i="4"/>
  <c r="AJ82" i="4"/>
  <c r="AJ85" i="4" s="1"/>
  <c r="AD141" i="4"/>
  <c r="AE128" i="4"/>
  <c r="AD142" i="4"/>
  <c r="AE130" i="4"/>
  <c r="AH133" i="4" l="1"/>
  <c r="AI132" i="4"/>
  <c r="AI134" i="4" s="1"/>
  <c r="AI135" i="4" s="1"/>
  <c r="AM99" i="4"/>
  <c r="AM98" i="4"/>
  <c r="AI114" i="4"/>
  <c r="AI127" i="4"/>
  <c r="AI129" i="4" s="1"/>
  <c r="AN90" i="4"/>
  <c r="AE142" i="4"/>
  <c r="AF130" i="4"/>
  <c r="AL127" i="4"/>
  <c r="AE141" i="4"/>
  <c r="AF128" i="4"/>
  <c r="AK82" i="4"/>
  <c r="AK85" i="4" l="1"/>
  <c r="AK132" i="4" s="1"/>
  <c r="AK134" i="4" s="1"/>
  <c r="P82" i="4"/>
  <c r="AI133" i="4"/>
  <c r="AJ132" i="4"/>
  <c r="AJ134" i="4" s="1"/>
  <c r="AJ135" i="4" s="1"/>
  <c r="AL132" i="4"/>
  <c r="AL134" i="4" s="1"/>
  <c r="AN99" i="4"/>
  <c r="AN98" i="4"/>
  <c r="AJ114" i="4"/>
  <c r="AJ127" i="4"/>
  <c r="AJ129" i="4" s="1"/>
  <c r="AO90" i="4"/>
  <c r="AM127" i="4"/>
  <c r="AF141" i="4"/>
  <c r="AG128" i="4"/>
  <c r="AG130" i="4"/>
  <c r="AF142" i="4"/>
  <c r="AK114" i="4"/>
  <c r="AK127" i="4" l="1"/>
  <c r="AK135" i="4"/>
  <c r="AL135" i="4" s="1"/>
  <c r="AJ133" i="4"/>
  <c r="AK133" i="4" s="1"/>
  <c r="AL133" i="4" s="1"/>
  <c r="AM132" i="4"/>
  <c r="AM134" i="4" s="1"/>
  <c r="AO99" i="4"/>
  <c r="AO98" i="4"/>
  <c r="AP90" i="4"/>
  <c r="AG141" i="4"/>
  <c r="AH128" i="4"/>
  <c r="AL114" i="4"/>
  <c r="AN127" i="4"/>
  <c r="AH130" i="4"/>
  <c r="AG142" i="4"/>
  <c r="AM135" i="4" l="1"/>
  <c r="AN132" i="4"/>
  <c r="AN134" i="4" s="1"/>
  <c r="AM133" i="4"/>
  <c r="AP99" i="4"/>
  <c r="AP98" i="4"/>
  <c r="AK129" i="4"/>
  <c r="AL129" i="4"/>
  <c r="AM114" i="4"/>
  <c r="AH142" i="4"/>
  <c r="AI130" i="4"/>
  <c r="AO127" i="4"/>
  <c r="AI128" i="4"/>
  <c r="AH141" i="4"/>
  <c r="AN135" i="4" l="1"/>
  <c r="AN133" i="4"/>
  <c r="AP132" i="4"/>
  <c r="AP134" i="4" s="1"/>
  <c r="AO132" i="4"/>
  <c r="AP127" i="4"/>
  <c r="AM129" i="4"/>
  <c r="AJ128" i="4"/>
  <c r="AI141" i="4"/>
  <c r="AN114" i="4"/>
  <c r="AI142" i="4"/>
  <c r="AJ130" i="4"/>
  <c r="AO134" i="4" l="1"/>
  <c r="AO135" i="4" s="1"/>
  <c r="AP135" i="4" s="1"/>
  <c r="AO133" i="4"/>
  <c r="AP133" i="4" s="1"/>
  <c r="AN129" i="4"/>
  <c r="AO114" i="4"/>
  <c r="AP114" i="4"/>
  <c r="AJ142" i="4"/>
  <c r="AK130" i="4"/>
  <c r="AK128" i="4"/>
  <c r="AJ141" i="4"/>
  <c r="AO129" i="4" l="1"/>
  <c r="AL128" i="4"/>
  <c r="AK141" i="4"/>
  <c r="AK142" i="4"/>
  <c r="AL130" i="4"/>
  <c r="P139" i="4" l="1"/>
  <c r="AP129" i="4"/>
  <c r="AL142" i="4"/>
  <c r="AM130" i="4"/>
  <c r="AL141" i="4"/>
  <c r="AM128" i="4"/>
  <c r="AM141" i="4" l="1"/>
  <c r="AN128" i="4"/>
  <c r="AM142" i="4"/>
  <c r="AN130" i="4"/>
  <c r="AO130" i="4" l="1"/>
  <c r="AN142" i="4"/>
  <c r="AN141" i="4"/>
  <c r="AO128" i="4"/>
  <c r="AO141" i="4" l="1"/>
  <c r="AP128" i="4"/>
  <c r="AP141" i="4" s="1"/>
  <c r="AP130" i="4"/>
  <c r="P140" i="4" s="1"/>
  <c r="AO142" i="4"/>
  <c r="Q145" i="4" l="1" a="1"/>
  <c r="Q145" i="4" s="1"/>
  <c r="S145" i="4" s="1"/>
  <c r="AP142"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O92" authorId="0" shapeId="0" xr:uid="{738082BD-5015-224F-83E4-2AEC4009B021}">
      <text>
        <r>
          <rPr>
            <sz val="10"/>
            <color rgb="FF000000"/>
            <rFont val="Tahoma"/>
            <family val="2"/>
          </rPr>
          <t xml:space="preserve">this will always be £0 as whether the solar panels can cover the energy demands or not, the heating is electric and therefore the deficit the heat pumps cannot cover will be in the Electiricty Costs. This is because the heatpumps alone can heat the building, so regardless of solar power, additional heating is not required. However, solar does impact how much electricity is used to power the heat pumps. </t>
        </r>
      </text>
    </comment>
    <comment ref="O107" authorId="0" shapeId="0" xr:uid="{C5F7180A-8CBD-F143-8F4A-01804B9BAA92}">
      <text>
        <r>
          <rPr>
            <sz val="10"/>
            <color rgb="FF000000"/>
            <rFont val="Tahoma"/>
            <family val="2"/>
          </rPr>
          <t xml:space="preserve">this will always be £0 as whether the solar panels can cover the energy demands or not, the heating is electric and therefore the deficit the heat pumps cannot cover will be in the Electiricty Costs. This is because the heatpumps alone can heat the building, so regardless of solar power, additional heating is not required. However, solar does impact how much electricity is used to power the heat pumps. </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<sst xmlns="http://schemas.openxmlformats.org/spreadsheetml/2006/main" count="481" uniqueCount="290">
  <si>
    <t>Assumptions/constraints</t>
  </si>
  <si>
    <t>Depth (m)</t>
  </si>
  <si>
    <t>Thermal properties as stated in Python model.</t>
  </si>
  <si>
    <t>Number of boreholes required</t>
  </si>
  <si>
    <t>All boreholes of equal depth.</t>
  </si>
  <si>
    <t>Available area per BH (m2)</t>
  </si>
  <si>
    <t>Properties</t>
  </si>
  <si>
    <t>Available spacing radius per BH (m)</t>
  </si>
  <si>
    <t>*</t>
  </si>
  <si>
    <t>Heat pump COP</t>
  </si>
  <si>
    <t>Available area (m2)</t>
  </si>
  <si>
    <t>Drilling cost (£/m)</t>
  </si>
  <si>
    <t>*Source: https://www.kensaheatpumps.com/wp-content/uploads/2014/03/Factsheet-Closed-loop-boreholes-V4.pdf</t>
  </si>
  <si>
    <t>Assume ground absorbs zero solar energy for 24 hours.</t>
  </si>
  <si>
    <t>FD mesh size (m)</t>
  </si>
  <si>
    <t>Simple drilling cost (£)</t>
  </si>
  <si>
    <t>Epsilon (K)</t>
  </si>
  <si>
    <t>Heating all year round (i.e. never negative demand).</t>
  </si>
  <si>
    <t>Peak ground load (kW)</t>
  </si>
  <si>
    <t>Peak building demand (kW)</t>
  </si>
  <si>
    <t>Undisturbed ground temp (K)</t>
  </si>
  <si>
    <t>Max heat drawn per BH (W/m)</t>
  </si>
  <si>
    <t>Maximum heat output (W/m)</t>
  </si>
  <si>
    <t>Installed capacity (kW)</t>
  </si>
  <si>
    <t>source</t>
  </si>
  <si>
    <t>https://www.diva-portal.org/smash/get/diva2:1269108/FULLTEXT01.pdf</t>
  </si>
  <si>
    <t>SEK</t>
  </si>
  <si>
    <t xml:space="preserve">1 SEK = </t>
  </si>
  <si>
    <t>at time of writing: 7th December 2018</t>
  </si>
  <si>
    <t>£</t>
  </si>
  <si>
    <t>C_1</t>
  </si>
  <si>
    <t>C_2</t>
  </si>
  <si>
    <t>C_3</t>
  </si>
  <si>
    <t>C_0</t>
  </si>
  <si>
    <t>H</t>
  </si>
  <si>
    <t>N_b</t>
  </si>
  <si>
    <t>P</t>
  </si>
  <si>
    <t>SEK/m</t>
  </si>
  <si>
    <t>SEK/m3</t>
  </si>
  <si>
    <t>m</t>
  </si>
  <si>
    <t>In SEK:</t>
  </si>
  <si>
    <t>£/m</t>
  </si>
  <si>
    <t>£/m3</t>
  </si>
  <si>
    <t>In £:</t>
  </si>
  <si>
    <t>Total BHE Price</t>
  </si>
  <si>
    <t>Doesn’t include cost of operation or cost of conection to the flats, this is just all the BHE drilling and installation costs</t>
  </si>
  <si>
    <t>Price for whole GSHP Intallation</t>
  </si>
  <si>
    <t>P_W</t>
  </si>
  <si>
    <t>B_HP</t>
  </si>
  <si>
    <t>SEK/W</t>
  </si>
  <si>
    <t>q'_av</t>
  </si>
  <si>
    <t>P'_HP</t>
  </si>
  <si>
    <t>W/m</t>
  </si>
  <si>
    <t>COP</t>
  </si>
  <si>
    <t>𝜉</t>
  </si>
  <si>
    <t>Total cost:</t>
  </si>
  <si>
    <t>SEK/m drilling</t>
  </si>
  <si>
    <t>£/W</t>
  </si>
  <si>
    <t>£/m drilling</t>
  </si>
  <si>
    <t>VAT, if all considered commercial construction:</t>
  </si>
  <si>
    <t>£, after 20% tax, equal to cost in Dec 2018</t>
  </si>
  <si>
    <t>range of inflation from Dec 2018 to now for ONS</t>
  </si>
  <si>
    <t>£, total post-tax, now</t>
  </si>
  <si>
    <t>£, pre-tax Dec 2018</t>
  </si>
  <si>
    <t>cumulative inflation of a modest 3% for the next 5 years (inflation is expected to reduce a little)</t>
  </si>
  <si>
    <t>should give a good estimate of cost at likely time of when this project would go underway</t>
  </si>
  <si>
    <t>Maybe includes getting equipment to site but not preparation of site, relocating cars, digging and relaying car park</t>
  </si>
  <si>
    <t>Initial prices in this section exclude VAT or inflation</t>
  </si>
  <si>
    <t>Including VAT and Inflation</t>
  </si>
  <si>
    <t>Final Cost at Start (in 5 years)</t>
  </si>
  <si>
    <t>£, total post-tax, in 5 years</t>
  </si>
  <si>
    <t>fixed price related to the establishment of the drilling rig on site</t>
  </si>
  <si>
    <t>y intercept on drilling prices per meter from drilling companies</t>
  </si>
  <si>
    <t>gradient of plot</t>
  </si>
  <si>
    <t>is lumped price that relates to other drilling costs such as casing etc, approx 2/3 of drilling per meter costs</t>
  </si>
  <si>
    <t>taken from other sheet</t>
  </si>
  <si>
    <t>price of BHE</t>
  </si>
  <si>
    <t>cost of actual heatpumps per kW of nominal heat capacity, rule of thumb value</t>
  </si>
  <si>
    <t>from other sheet</t>
  </si>
  <si>
    <t>compressor heat loss %, from swede paper, makes B_HP</t>
  </si>
  <si>
    <t>ratio of heat delivered by the heat pump and heat extracted from the ground</t>
  </si>
  <si>
    <t>heat pump price per meter drilling including installation</t>
  </si>
  <si>
    <t>cost per meter x the drilling distance completed</t>
  </si>
  <si>
    <t>need geology assessment and related costs</t>
  </si>
  <si>
    <t>**</t>
  </si>
  <si>
    <t>**Difference between undisturbed ground temp and temp at critical radius is less than epsilon.</t>
  </si>
  <si>
    <t>Peak ground load safety factor</t>
  </si>
  <si>
    <t>Thermal conductivity constant along BH length.</t>
  </si>
  <si>
    <t>L</t>
  </si>
  <si>
    <t>n</t>
  </si>
  <si>
    <t>k_s</t>
  </si>
  <si>
    <t>alpha_s</t>
  </si>
  <si>
    <t>capacity</t>
  </si>
  <si>
    <t>fd</t>
  </si>
  <si>
    <t>r_crit</t>
  </si>
  <si>
    <t>A_bh</t>
  </si>
  <si>
    <t>A_tot</t>
  </si>
  <si>
    <t>A_kensa</t>
  </si>
  <si>
    <t>want to reduce price and number of bh because you want to construct as far away from the building as possible due to potential demolition. Building too close might inhibit reconstruction of a new building</t>
  </si>
  <si>
    <t xml:space="preserve"> </t>
  </si>
  <si>
    <t>Index</t>
  </si>
  <si>
    <t>/</t>
  </si>
  <si>
    <t>just add it on</t>
  </si>
  <si>
    <t>need to add on connection costs</t>
  </si>
  <si>
    <t>just find a contractor cost for relaying a carpark etc, assume no car cost as plenty local free parking</t>
  </si>
  <si>
    <t>Todays price</t>
  </si>
  <si>
    <t>Number of Boreholes - Normalised</t>
  </si>
  <si>
    <t>Cost - Normalised</t>
  </si>
  <si>
    <t>Objective Function</t>
  </si>
  <si>
    <t>ASCENDING</t>
  </si>
  <si>
    <t>c</t>
  </si>
  <si>
    <t>example capacity just for use in equation</t>
  </si>
  <si>
    <t>W</t>
  </si>
  <si>
    <t>cost of actual heatpumps per W of nominal heat capacity, rule of thumb value</t>
  </si>
  <si>
    <t>price of BHE drilling etc</t>
  </si>
  <si>
    <t>heat pump installation price per meter drilling including installation</t>
  </si>
  <si>
    <t>grand total of pre tax and inflation costs</t>
  </si>
  <si>
    <t>less drilling distance</t>
  </si>
  <si>
    <t>https://www.greenmatch.co.uk/ground-source-heat-pump/borehole</t>
  </si>
  <si>
    <t>looking at this site we are roughly in the middle of the price range they estimate for 170m x 11</t>
  </si>
  <si>
    <t>the same site also agrees really well with our estrimates of installation costs too</t>
  </si>
  <si>
    <t>same site again, for our case, they would estimate 292,500 , so I am very happy with the estimates we have</t>
  </si>
  <si>
    <t>Drilling Costs, Pre-tax, Dec 2018 (Eqn 1)</t>
  </si>
  <si>
    <t>Total, Pre-Tax, Dec 2018</t>
  </si>
  <si>
    <t>Installation Costs, Pre-Tax, Dec 2018 (Eqn 2)</t>
  </si>
  <si>
    <t>Cashflow</t>
  </si>
  <si>
    <t>Year of Project</t>
  </si>
  <si>
    <t>Income</t>
  </si>
  <si>
    <t>RHI Tier 1</t>
  </si>
  <si>
    <t>RHI Tier 2</t>
  </si>
  <si>
    <t>Total Income</t>
  </si>
  <si>
    <t>Expenditure</t>
  </si>
  <si>
    <t>Avoided Costs</t>
  </si>
  <si>
    <t>Total Avoided Costs</t>
  </si>
  <si>
    <t>Pre-finance Surplus</t>
  </si>
  <si>
    <t>Debt Service</t>
  </si>
  <si>
    <t>Mortgage Style Amortisation Payments - Funder 1</t>
  </si>
  <si>
    <t>Mortgage Style Amortisation Payments - Funder 2</t>
  </si>
  <si>
    <t>Total Financial Expdenditure</t>
  </si>
  <si>
    <t>Cumulative Cash Flow</t>
  </si>
  <si>
    <t>Discounted Cash Flow</t>
  </si>
  <si>
    <t>Cumulative Discounted Cash Flow</t>
  </si>
  <si>
    <t xml:space="preserve"> - Capital allowance / depreciation - number in B27 is percentage of project cost that is for capital elements that are included in capital allowance calcs.</t>
  </si>
  <si>
    <t>Nominal IRR</t>
  </si>
  <si>
    <t>OPTIMAL CHOICE TO GO WITH</t>
  </si>
  <si>
    <t>A_tot &gt; 1900?</t>
  </si>
  <si>
    <t>alpha_s between range?</t>
  </si>
  <si>
    <t>A_kensa &gt; 1900?</t>
  </si>
  <si>
    <t>NO</t>
  </si>
  <si>
    <t>YES</t>
  </si>
  <si>
    <t>Citation</t>
  </si>
  <si>
    <t>Energy generated by solar panels</t>
  </si>
  <si>
    <t>Annual Building Energy Requirement (from EPCs)</t>
  </si>
  <si>
    <t>kWh</t>
  </si>
  <si>
    <t>Electricity Costs, P_El</t>
  </si>
  <si>
    <t>Maintenance Costs, M</t>
  </si>
  <si>
    <t>Interest Costs (Loans, etc), R</t>
  </si>
  <si>
    <t>Auxiliary Heating Costs (additional heating beyond heat pump), D</t>
  </si>
  <si>
    <t>Unit</t>
  </si>
  <si>
    <t>Energy to power GSHP (Ann. Req / COP)</t>
  </si>
  <si>
    <t>years</t>
  </si>
  <si>
    <t>Assuming performance is constant along lifetime</t>
  </si>
  <si>
    <t>https://www.greenmatch.co.uk/ground-source-heat-pump</t>
  </si>
  <si>
    <t>this shows that government is looking to slash VAT to 0% for energy efficiency measures, so we have evidence that 20% is a large overestimate</t>
  </si>
  <si>
    <t>maintenance cost estimates per area</t>
  </si>
  <si>
    <t>https://www.energy.wsu.edu/Documents/geo_heat_pumps.pdf</t>
  </si>
  <si>
    <t>$/foot2</t>
  </si>
  <si>
    <t>also notes the minimal maintenance required</t>
  </si>
  <si>
    <t>https://www.osti.gov/biblio/20104802</t>
  </si>
  <si>
    <t>^</t>
  </si>
  <si>
    <t>similar stuff but from 2000, so need to adjust for inflation, low and high estimates</t>
  </si>
  <si>
    <t>above values given 85% inflation as from 2000</t>
  </si>
  <si>
    <t>https://www.bankofengland.co.uk/monetary-policy/inflation/inflation-calculator</t>
  </si>
  <si>
    <t>$ to £ exchange rate at todays rates</t>
  </si>
  <si>
    <t>foot2 to meter2</t>
  </si>
  <si>
    <t>£/meter2</t>
  </si>
  <si>
    <t>average floor space</t>
  </si>
  <si>
    <t>m2</t>
  </si>
  <si>
    <t>number of flats</t>
  </si>
  <si>
    <t>min maintenance costs found / meter2</t>
  </si>
  <si>
    <t>max maintenance costs found / meter2</t>
  </si>
  <si>
    <t>total, min and max £</t>
  </si>
  <si>
    <t>average value</t>
  </si>
  <si>
    <t>Avoided costs</t>
  </si>
  <si>
    <t>https://www.myjobquote.co.uk/costs/cost-to-get-your-boiler-serviced</t>
  </si>
  <si>
    <t>£/year</t>
  </si>
  <si>
    <t>£/year/flat</t>
  </si>
  <si>
    <t>Maintenance Costs, M [Electric boilers - Below]</t>
  </si>
  <si>
    <t>new rough value using varied COPs</t>
  </si>
  <si>
    <t>inflation from bank of england</t>
  </si>
  <si>
    <t>£/kW</t>
  </si>
  <si>
    <t>&lt;-----</t>
  </si>
  <si>
    <t>https://www.icax.co.uk/Domestic_Ground_Source_Heat_Pumps.html#:~:text=Installation%20Costs&amp;text=As%20a%20guide%2C%20the%20installed,lasting%20at%20least%20100%20years.</t>
  </si>
  <si>
    <t>£/kW pre infation &amp; tax</t>
  </si>
  <si>
    <t>Project year offset (start 5 years from now?)</t>
  </si>
  <si>
    <t>Total, Pre-Tax, Oct 2024</t>
  </si>
  <si>
    <t>Total, Pre-Tax, Oct 2029 (5 Years Time)</t>
  </si>
  <si>
    <t>VAT</t>
  </si>
  <si>
    <t>VALUES FROM OPTIM - DON’T USE IN EQUATIONS HERE - JUST FOR VIEW</t>
  </si>
  <si>
    <t>NPV of 25-year project</t>
  </si>
  <si>
    <t>Heat Pump OPEX [breakdown below]</t>
  </si>
  <si>
    <t>Solar Panels CAPEX</t>
  </si>
  <si>
    <t>Contingency extra</t>
  </si>
  <si>
    <t>Consultancy Fee Estimate - Average</t>
  </si>
  <si>
    <t>Solar Panels CAPEX, now</t>
  </si>
  <si>
    <t>Cash Flow</t>
  </si>
  <si>
    <t>and</t>
  </si>
  <si>
    <t>Solar Panels CAPEX Amortised</t>
  </si>
  <si>
    <t>Heat Pumps CAPEX Amortised</t>
  </si>
  <si>
    <t>Heat Pumps OPEX [breakdown below]</t>
  </si>
  <si>
    <t>Heat Pumps CAPEX</t>
  </si>
  <si>
    <t>Total Expenditure w/out Amortisation</t>
  </si>
  <si>
    <t>Total Expenditure w/ Amortisation</t>
  </si>
  <si>
    <t>Project Lifespan</t>
  </si>
  <si>
    <t>Amortisation type</t>
  </si>
  <si>
    <t>Flatline</t>
  </si>
  <si>
    <t>Effective ROI between</t>
  </si>
  <si>
    <t>https://taxsummaries.pwc.com/united-kingdom/corporate/other-taxes</t>
  </si>
  <si>
    <t>https://www.statista.com/statistics/306720/cpi-rate-forecast-uk/</t>
  </si>
  <si>
    <t>Annualised inflation rate (CPI) [2.5 for 2024 but expect to reduce to 2% to 2029, we'll just keep at 2.5% for safety]</t>
  </si>
  <si>
    <t>https://tradingeconomics.com/united-kingdom/energy-inflation#:~:text=Energy%20Inflation%20in%20the%20United,source%3A%20Office%20for%20National%20Statistics&amp;text=Energy%20accounts%20for%20about%208%20percent%20of%20the%20UK%20CPI.</t>
  </si>
  <si>
    <t>Annualised inflation rate for energy prices [has seen extremes recently so this is conservative]</t>
  </si>
  <si>
    <t>Discount Rate (WACC) - Lower</t>
  </si>
  <si>
    <t>Discount Rate (WACC) - Higher</t>
  </si>
  <si>
    <t>Discount Rate (WACC nomial, after-tax, Europe) - Average</t>
  </si>
  <si>
    <t>https://www.iea.org/articles/the-cost-of-capital-in-clean-energy-transitions#</t>
  </si>
  <si>
    <t>https://www.salixfinance.co.uk/sites/default/files/2024-03/Royal%20Museums%20Greenwich%20-%20HDP.pdf</t>
  </si>
  <si>
    <t>input values [mostly]</t>
  </si>
  <si>
    <t>cop experienced</t>
  </si>
  <si>
    <t>open solar % of needs produced</t>
  </si>
  <si>
    <t>Electricity Costs, P_El [if panel power &gt; demand, =0]</t>
  </si>
  <si>
    <t>Solar Energy Sales back to grid, the amount earned over 25 years --&gt;</t>
  </si>
  <si>
    <t>yes</t>
  </si>
  <si>
    <t>no</t>
  </si>
  <si>
    <t>Batteries CAPEX, now</t>
  </si>
  <si>
    <t>Total Gen &amp; ESS CAPEX</t>
  </si>
  <si>
    <t>Additional Hardware CAPEX (inverters etc), now</t>
  </si>
  <si>
    <t>opensolar</t>
  </si>
  <si>
    <t>172020 watts @ £1.0/watt ex tax</t>
  </si>
  <si>
    <t>684.8100000000002 kWh @ £600.0/kWh ex tax</t>
  </si>
  <si>
    <t>Summer Surplus</t>
  </si>
  <si>
    <t>Winter Deficit</t>
  </si>
  <si>
    <t>Offpeak Buy Rate</t>
  </si>
  <si>
    <t>Onpeak Sales Rate</t>
  </si>
  <si>
    <t>/kWh</t>
  </si>
  <si>
    <t>low</t>
  </si>
  <si>
    <t>high</t>
  </si>
  <si>
    <t>Overall yearly sales back to grid</t>
  </si>
  <si>
    <t>Added to report?</t>
  </si>
  <si>
    <t>y</t>
  </si>
  <si>
    <t>Heat Pumps CAPEX, now</t>
  </si>
  <si>
    <t>0.8 -1.2</t>
  </si>
  <si>
    <t>https://www.sciencedirect.com/science/article/pii/S0038092X1630038X</t>
  </si>
  <si>
    <t>Solar  OPEX, now (currently 1% of CAPEX)</t>
  </si>
  <si>
    <t>Battery OPEX, now</t>
  </si>
  <si>
    <t>£/kWh/year</t>
  </si>
  <si>
    <t>Solar Panels OPEX (currently 1% of CAPEX)</t>
  </si>
  <si>
    <t>Total OPEX</t>
  </si>
  <si>
    <t>installed storage of BESS, kWh</t>
  </si>
  <si>
    <t>https://www.powervault.co.uk/blog/time-of-use-tariffs-a-guide-to-saving-on-energy-bills-in-the-uk/</t>
  </si>
  <si>
    <t>Overall yearly purchases from the grid</t>
  </si>
  <si>
    <t>cost of elec for whole building before project [not used in equations]</t>
  </si>
  <si>
    <t>heating element replaced every…</t>
  </si>
  <si>
    <t>number of element replacements…</t>
  </si>
  <si>
    <t>cost of heating element replacement</t>
  </si>
  <si>
    <t>immersion system replaced every…</t>
  </si>
  <si>
    <t>number of system replacements…</t>
  </si>
  <si>
    <t>£/flat</t>
  </si>
  <si>
    <t>system replacement cost</t>
  </si>
  <si>
    <t>worker cost to replace</t>
  </si>
  <si>
    <t>£/hour</t>
  </si>
  <si>
    <t>time to replace</t>
  </si>
  <si>
    <t>hours</t>
  </si>
  <si>
    <t>total replacements for building</t>
  </si>
  <si>
    <t>total project heating element replacement cost for whole building</t>
  </si>
  <si>
    <t>assuming the replacements are not a perfect fit so likely to cover one extra per flat</t>
  </si>
  <si>
    <t>https://www.tycorun.com/blogs/news/all-you-need-to-know-about-the-used-lithium-batteries</t>
  </si>
  <si>
    <t>30-70% cheaper than new is expected</t>
  </si>
  <si>
    <t>cost of hours worked total over project</t>
  </si>
  <si>
    <t>project total cost</t>
  </si>
  <si>
    <t>per year equivalent</t>
  </si>
  <si>
    <t>assuming that not all of the heating is done off peak, its very common that the heated water is not enough and further heating is required</t>
  </si>
  <si>
    <t>Equivalent immersion heater servicing &amp; replacements</t>
  </si>
  <si>
    <t>maintenance for the whole building across project</t>
  </si>
  <si>
    <t>assumed to take equal time as the other works</t>
  </si>
  <si>
    <t>number of basic annual maintenance, once a year for each flat across project, assumed to take half the time as other works (1h30)</t>
  </si>
  <si>
    <t>annual immersion heater maintenance per flat</t>
  </si>
  <si>
    <t>https://boilerandwaterheater.com/immersion-heater-pros-and-cons/?utm_source=chatgpt.com&amp;utm_content=cmp-true#google_vignette</t>
  </si>
  <si>
    <t>https://www.hasteco.com/immersion-heater-costs/</t>
  </si>
  <si>
    <t>https://easyflow.co.uk/services/immersion-heater-replacement#:~:text=All%20direct%20water%20heaters%20whether,and%20models%20of%20water%20heater.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</si>
</sst>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quot;£&quot;* #,##0.00_);_(&quot;£&quot;* \(#,##0.00\);_(&quot;£&quot;* &quot;-&quot;??_);_(@_)"/>
    <numFmt numFmtId="165" formatCode="_(* #,##0.00_);_(* \(#,##0.00\);_(* &quot;-&quot;??_);_(@_)"/>
    <numFmt numFmtId="166" formatCode="&quot;£&quot;#,##0.00"/>
    <numFmt numFmtId="167" formatCode="0.0000000"/>
    <numFmt numFmtId="168" formatCode="0.0%"/>
    <numFmt numFmtId="169" formatCode="_-&quot;£&quot;* #,##0_-;\-&quot;£&quot;* #,##0_-;_-&quot;£&quot;* &quot;-&quot;??_-;_-@_-"/>
    <numFmt numFmtId="170" formatCode="0.0000"/>
    <numFmt numFmtId="171" formatCode="0.00000"/>
    <numFmt numFmtId="172" formatCode="0.0"/>
  </numFmts>
  <fonts count="28" x14ac:knownFonts="1">
    <font>
      <sz val="11"/>
      <color theme="1"/>
      <name val="Calibri"/>
      <family val="2"/>
      <scheme val="minor"/>
    </font>
    <font>
      <b/>
      <sz val="11"/>
      <color theme="1"/>
      <name val="Calibri"/>
      <family val="2"/>
      <scheme val="minor"/>
    </font>
    <font>
      <b/>
      <sz val="11"/>
      <color theme="4" tint="-0.499984740745262"/>
      <name val="Calibri"/>
      <family val="2"/>
      <scheme val="minor"/>
    </font>
    <font>
      <b/>
      <sz val="11"/>
      <color theme="9"/>
      <name val="Calibri"/>
      <family val="2"/>
      <scheme val="minor"/>
    </font>
    <font>
      <sz val="11"/>
      <name val="Calibri"/>
      <family val="2"/>
      <scheme val="minor"/>
    </font>
    <font>
      <sz val="11"/>
      <color theme="1"/>
      <name val="Calibri"/>
      <family val="2"/>
      <scheme val="minor"/>
    </font>
    <font>
      <u/>
      <sz val="11"/>
      <color theme="10"/>
      <name val="Calibri"/>
      <family val="2"/>
      <scheme val="minor"/>
    </font>
    <font>
      <b/>
      <sz val="18"/>
      <color theme="1"/>
      <name val="Calibri"/>
      <family val="2"/>
      <scheme val="minor"/>
    </font>
    <font>
      <b/>
      <sz val="18"/>
      <color rgb="FFFF0000"/>
      <name val="Calibri"/>
      <family val="2"/>
      <scheme val="minor"/>
    </font>
    <font>
      <sz val="11"/>
      <color theme="0"/>
      <name val="Calibri"/>
      <family val="2"/>
      <scheme val="minor"/>
    </font>
    <font>
      <b/>
      <sz val="11"/>
      <color rgb="FFFF0000"/>
      <name val="Calibri"/>
      <family val="2"/>
      <scheme val="minor"/>
    </font>
    <font>
      <sz val="8"/>
      <name val="Calibri"/>
      <family val="2"/>
      <scheme val="minor"/>
    </font>
    <font>
      <sz val="10"/>
      <name val="Arial"/>
      <family val="2"/>
    </font>
    <font>
      <b/>
      <sz val="14"/>
      <name val="Calibri"/>
      <family val="2"/>
    </font>
    <font>
      <b/>
      <sz val="10"/>
      <name val="Calibri"/>
      <family val="2"/>
    </font>
    <font>
      <sz val="10"/>
      <name val="Calibri"/>
      <family val="2"/>
    </font>
    <font>
      <b/>
      <sz val="12"/>
      <name val="Calibri"/>
      <family val="2"/>
    </font>
    <font>
      <b/>
      <sz val="12"/>
      <color indexed="8"/>
      <name val="Calibri"/>
      <family val="2"/>
    </font>
    <font>
      <b/>
      <sz val="10"/>
      <color indexed="8"/>
      <name val="Calibri"/>
      <family val="2"/>
    </font>
    <font>
      <sz val="10"/>
      <color theme="1"/>
      <name val="Calibri"/>
      <family val="2"/>
      <scheme val="minor"/>
    </font>
    <font>
      <b/>
      <sz val="10"/>
      <color indexed="9"/>
      <name val="Calibri"/>
      <family val="2"/>
    </font>
    <font>
      <sz val="10"/>
      <color indexed="8"/>
      <name val="Calibri"/>
      <family val="2"/>
    </font>
    <font>
      <sz val="11"/>
      <color rgb="FF323232"/>
      <name val="Arial"/>
      <family val="2"/>
    </font>
    <font>
      <b/>
      <i/>
      <u/>
      <sz val="11"/>
      <color theme="1"/>
      <name val="Calibri"/>
      <family val="2"/>
      <scheme val="minor"/>
    </font>
    <font>
      <sz val="10"/>
      <color rgb="FF000000"/>
      <name val="Tahoma"/>
      <family val="2"/>
    </font>
    <font>
      <b/>
      <sz val="10"/>
      <color theme="1"/>
      <name val="Calibri"/>
      <family val="2"/>
      <scheme val="minor"/>
    </font>
    <font>
      <b/>
      <i/>
      <u/>
      <sz val="11"/>
      <color theme="0"/>
      <name val="Calibri"/>
      <family val="2"/>
      <scheme val="minor"/>
    </font>
    <font>
      <sz val="11"/>
      <color rgb="FF000000"/>
      <name val="Calibri"/>
      <family val="2"/>
      <scheme val="minor"/>
    </font>
  </fonts>
  <fills count="23">
    <fill>
      <patternFill patternType="none"/>
    </fill>
    <fill>
      <patternFill patternType="gray125"/>
    </fill>
    <fill>
      <patternFill patternType="solid">
        <fgColor rgb="FF00B0F0"/>
        <bgColor indexed="64"/>
      </patternFill>
    </fill>
    <fill>
      <patternFill patternType="solid">
        <fgColor rgb="FF0070C0"/>
        <bgColor indexed="64"/>
      </patternFill>
    </fill>
    <fill>
      <patternFill patternType="solid">
        <fgColor rgb="FF00B050"/>
        <bgColor indexed="64"/>
      </patternFill>
    </fill>
    <fill>
      <patternFill patternType="solid">
        <fgColor rgb="FF7030A0"/>
        <bgColor indexed="64"/>
      </patternFill>
    </fill>
    <fill>
      <patternFill patternType="solid">
        <fgColor rgb="FFFFFF00"/>
        <bgColor indexed="64"/>
      </patternFill>
    </fill>
    <fill>
      <patternFill patternType="solid">
        <fgColor rgb="FF92D050"/>
        <bgColor indexed="64"/>
      </patternFill>
    </fill>
    <fill>
      <patternFill patternType="solid">
        <fgColor rgb="FF00B050"/>
        <bgColor theme="4"/>
      </patternFill>
    </fill>
    <fill>
      <patternFill patternType="solid">
        <fgColor rgb="FFFF0000"/>
        <bgColor indexed="64"/>
      </patternFill>
    </fill>
    <fill>
      <patternFill patternType="solid">
        <fgColor theme="5" tint="0.59999389629810485"/>
        <bgColor indexed="64"/>
      </patternFill>
    </fill>
    <fill>
      <patternFill patternType="solid">
        <fgColor theme="3"/>
        <bgColor indexed="64"/>
      </patternFill>
    </fill>
    <fill>
      <patternFill patternType="solid">
        <fgColor indexed="9"/>
        <bgColor indexed="64"/>
      </patternFill>
    </fill>
    <fill>
      <patternFill patternType="solid">
        <fgColor indexed="22"/>
        <bgColor indexed="64"/>
      </patternFill>
    </fill>
    <fill>
      <patternFill patternType="solid">
        <fgColor indexed="44"/>
        <bgColor indexed="64"/>
      </patternFill>
    </fill>
    <fill>
      <patternFill patternType="solid">
        <fgColor theme="9" tint="0.59999389629810485"/>
        <bgColor indexed="64"/>
      </patternFill>
    </fill>
    <fill>
      <patternFill patternType="solid">
        <fgColor theme="1" tint="0.499984740745262"/>
        <bgColor indexed="64"/>
      </patternFill>
    </fill>
    <fill>
      <patternFill patternType="solid">
        <fgColor rgb="FFFFC000"/>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5" tint="-0.499984740745262"/>
        <bgColor indexed="64"/>
      </patternFill>
    </fill>
    <fill>
      <patternFill patternType="solid">
        <fgColor rgb="FF002060"/>
        <bgColor indexed="64"/>
      </patternFill>
    </fill>
    <fill>
      <patternFill patternType="solid">
        <fgColor theme="4" tint="-0.249977111117893"/>
        <bgColor indexed="64"/>
      </patternFill>
    </fill>
  </fills>
  <borders count="28">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diagonal/>
    </border>
    <border>
      <left/>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thin">
        <color indexed="64"/>
      </top>
      <bottom style="double">
        <color indexed="64"/>
      </bottom>
      <diagonal/>
    </border>
  </borders>
  <cellStyleXfs count="6">
    <xf numFmtId="0" fontId="0" fillId="0" borderId="0"/>
    <xf numFmtId="165" fontId="5" fillId="0" borderId="0" applyFont="0" applyFill="0" applyBorder="0" applyAlignment="0" applyProtection="0"/>
    <xf numFmtId="9" fontId="5" fillId="0" borderId="0" applyFont="0" applyFill="0" applyBorder="0" applyAlignment="0" applyProtection="0"/>
    <xf numFmtId="0" fontId="6" fillId="0" borderId="0" applyNumberFormat="0" applyFill="0" applyBorder="0" applyAlignment="0" applyProtection="0"/>
    <xf numFmtId="164" fontId="5" fillId="0" borderId="0" applyFont="0" applyFill="0" applyBorder="0" applyAlignment="0" applyProtection="0"/>
    <xf numFmtId="0" fontId="12" fillId="0" borderId="0"/>
  </cellStyleXfs>
  <cellXfs count="175">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6" fillId="0" borderId="0" xfId="3"/>
    <xf numFmtId="11" fontId="0" fillId="0" borderId="0" xfId="0" applyNumberFormat="1"/>
    <xf numFmtId="2" fontId="0" fillId="0" borderId="0" xfId="0" applyNumberFormat="1"/>
    <xf numFmtId="0" fontId="7" fillId="0" borderId="0" xfId="0" applyFont="1"/>
    <xf numFmtId="0" fontId="8" fillId="0" borderId="0" xfId="0" applyFont="1"/>
    <xf numFmtId="9" fontId="0" fillId="0" borderId="0" xfId="2" applyFont="1"/>
    <xf numFmtId="165" fontId="0" fillId="0" borderId="0" xfId="1" applyFont="1"/>
    <xf numFmtId="0" fontId="0" fillId="0" borderId="0" xfId="0" applyAlignment="1">
      <alignment horizontal="right"/>
    </xf>
    <xf numFmtId="165" fontId="0" fillId="3" borderId="1" xfId="0" applyNumberFormat="1" applyFill="1" applyBorder="1"/>
    <xf numFmtId="165" fontId="0" fillId="2" borderId="2" xfId="0" applyNumberFormat="1" applyFill="1" applyBorder="1"/>
    <xf numFmtId="165" fontId="0" fillId="2" borderId="3" xfId="0" applyNumberFormat="1" applyFill="1" applyBorder="1"/>
    <xf numFmtId="165" fontId="0" fillId="4" borderId="1" xfId="1" applyFont="1" applyFill="1" applyBorder="1"/>
    <xf numFmtId="165" fontId="9" fillId="5" borderId="2" xfId="0" applyNumberFormat="1" applyFont="1" applyFill="1" applyBorder="1"/>
    <xf numFmtId="165" fontId="9" fillId="5" borderId="3" xfId="0" applyNumberFormat="1" applyFont="1" applyFill="1" applyBorder="1"/>
    <xf numFmtId="0" fontId="7" fillId="0" borderId="4" xfId="0" applyFont="1"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6" borderId="0" xfId="0" applyFill="1"/>
    <xf numFmtId="0" fontId="10" fillId="0" borderId="0" xfId="0" applyFont="1"/>
    <xf numFmtId="164" fontId="0" fillId="0" borderId="0" xfId="0" applyNumberFormat="1"/>
    <xf numFmtId="0" fontId="1" fillId="4" borderId="0" xfId="0" applyFont="1" applyFill="1"/>
    <xf numFmtId="164" fontId="1" fillId="4" borderId="0" xfId="0" applyNumberFormat="1" applyFont="1" applyFill="1"/>
    <xf numFmtId="166" fontId="0" fillId="0" borderId="0" xfId="0" applyNumberFormat="1"/>
    <xf numFmtId="0" fontId="0" fillId="7" borderId="0" xfId="0" applyFill="1"/>
    <xf numFmtId="0" fontId="1" fillId="8" borderId="12" xfId="0" applyFont="1" applyFill="1" applyBorder="1"/>
    <xf numFmtId="0" fontId="1" fillId="8" borderId="13" xfId="0" applyFont="1" applyFill="1" applyBorder="1"/>
    <xf numFmtId="167" fontId="0" fillId="0" borderId="0" xfId="0" applyNumberFormat="1"/>
    <xf numFmtId="2" fontId="0" fillId="9" borderId="0" xfId="0" applyNumberFormat="1" applyFill="1"/>
    <xf numFmtId="1" fontId="0" fillId="0" borderId="0" xfId="0" applyNumberFormat="1"/>
    <xf numFmtId="165" fontId="0" fillId="10" borderId="1" xfId="0" applyNumberFormat="1" applyFill="1" applyBorder="1"/>
    <xf numFmtId="164" fontId="1" fillId="11" borderId="0" xfId="0" applyNumberFormat="1" applyFont="1" applyFill="1"/>
    <xf numFmtId="0" fontId="13" fillId="0" borderId="14" xfId="5" applyFont="1" applyBorder="1" applyAlignment="1">
      <alignment vertical="center"/>
    </xf>
    <xf numFmtId="0" fontId="14" fillId="0" borderId="15" xfId="5" applyFont="1" applyBorder="1"/>
    <xf numFmtId="0" fontId="15" fillId="0" borderId="0" xfId="5" applyFont="1"/>
    <xf numFmtId="0" fontId="16" fillId="12" borderId="14" xfId="5" applyFont="1" applyFill="1" applyBorder="1"/>
    <xf numFmtId="0" fontId="15" fillId="12" borderId="15" xfId="5" applyFont="1" applyFill="1" applyBorder="1"/>
    <xf numFmtId="0" fontId="15" fillId="12" borderId="16" xfId="5" applyFont="1" applyFill="1" applyBorder="1"/>
    <xf numFmtId="0" fontId="15" fillId="12" borderId="0" xfId="5" applyFont="1" applyFill="1"/>
    <xf numFmtId="0" fontId="17" fillId="13" borderId="17" xfId="5" applyFont="1" applyFill="1" applyBorder="1"/>
    <xf numFmtId="0" fontId="15" fillId="13" borderId="14" xfId="5" applyFont="1" applyFill="1" applyBorder="1"/>
    <xf numFmtId="0" fontId="15" fillId="13" borderId="15" xfId="5" applyFont="1" applyFill="1" applyBorder="1"/>
    <xf numFmtId="0" fontId="15" fillId="13" borderId="16" xfId="5" applyFont="1" applyFill="1" applyBorder="1"/>
    <xf numFmtId="1" fontId="15" fillId="12" borderId="19" xfId="5" applyNumberFormat="1" applyFont="1" applyFill="1" applyBorder="1"/>
    <xf numFmtId="1" fontId="15" fillId="12" borderId="20" xfId="5" applyNumberFormat="1" applyFont="1" applyFill="1" applyBorder="1"/>
    <xf numFmtId="1" fontId="15" fillId="12" borderId="17" xfId="5" applyNumberFormat="1" applyFont="1" applyFill="1" applyBorder="1"/>
    <xf numFmtId="1" fontId="15" fillId="12" borderId="14" xfId="5" applyNumberFormat="1" applyFont="1" applyFill="1" applyBorder="1"/>
    <xf numFmtId="1" fontId="15" fillId="12" borderId="15" xfId="5" applyNumberFormat="1" applyFont="1" applyFill="1" applyBorder="1"/>
    <xf numFmtId="0" fontId="18" fillId="14" borderId="17" xfId="5" applyFont="1" applyFill="1" applyBorder="1"/>
    <xf numFmtId="0" fontId="18" fillId="14" borderId="14" xfId="5" applyFont="1" applyFill="1" applyBorder="1"/>
    <xf numFmtId="1" fontId="18" fillId="14" borderId="15" xfId="5" applyNumberFormat="1" applyFont="1" applyFill="1" applyBorder="1"/>
    <xf numFmtId="0" fontId="15" fillId="12" borderId="21" xfId="5" applyFont="1" applyFill="1" applyBorder="1"/>
    <xf numFmtId="1" fontId="15" fillId="12" borderId="0" xfId="5" applyNumberFormat="1" applyFont="1" applyFill="1"/>
    <xf numFmtId="0" fontId="18" fillId="13" borderId="15" xfId="5" applyFont="1" applyFill="1" applyBorder="1"/>
    <xf numFmtId="0" fontId="19" fillId="0" borderId="17" xfId="0" applyFont="1" applyBorder="1"/>
    <xf numFmtId="0" fontId="18" fillId="14" borderId="15" xfId="5" applyFont="1" applyFill="1" applyBorder="1"/>
    <xf numFmtId="1" fontId="15" fillId="0" borderId="15" xfId="5" applyNumberFormat="1" applyFont="1" applyBorder="1"/>
    <xf numFmtId="1" fontId="15" fillId="13" borderId="15" xfId="5" applyNumberFormat="1" applyFont="1" applyFill="1" applyBorder="1"/>
    <xf numFmtId="0" fontId="15" fillId="12" borderId="17" xfId="5" applyFont="1" applyFill="1" applyBorder="1"/>
    <xf numFmtId="0" fontId="15" fillId="12" borderId="14" xfId="5" applyFont="1" applyFill="1" applyBorder="1"/>
    <xf numFmtId="0" fontId="14" fillId="12" borderId="0" xfId="5" applyFont="1" applyFill="1"/>
    <xf numFmtId="9" fontId="15" fillId="0" borderId="20" xfId="2" applyFont="1" applyFill="1" applyBorder="1" applyAlignment="1">
      <alignment horizontal="left"/>
    </xf>
    <xf numFmtId="0" fontId="18" fillId="12" borderId="17" xfId="5" applyFont="1" applyFill="1" applyBorder="1"/>
    <xf numFmtId="1" fontId="18" fillId="12" borderId="15" xfId="5" applyNumberFormat="1" applyFont="1" applyFill="1" applyBorder="1"/>
    <xf numFmtId="0" fontId="18" fillId="12" borderId="15" xfId="5" applyFont="1" applyFill="1" applyBorder="1"/>
    <xf numFmtId="0" fontId="14" fillId="12" borderId="17" xfId="5" applyFont="1" applyFill="1" applyBorder="1"/>
    <xf numFmtId="1" fontId="14" fillId="12" borderId="15" xfId="5" applyNumberFormat="1" applyFont="1" applyFill="1" applyBorder="1"/>
    <xf numFmtId="1" fontId="14" fillId="12" borderId="16" xfId="5" applyNumberFormat="1" applyFont="1" applyFill="1" applyBorder="1"/>
    <xf numFmtId="0" fontId="14" fillId="15" borderId="14" xfId="5" applyFont="1" applyFill="1" applyBorder="1" applyAlignment="1">
      <alignment horizontal="right"/>
    </xf>
    <xf numFmtId="168" fontId="14" fillId="15" borderId="16" xfId="5" applyNumberFormat="1" applyFont="1" applyFill="1" applyBorder="1" applyAlignment="1">
      <alignment horizontal="right"/>
    </xf>
    <xf numFmtId="0" fontId="22" fillId="0" borderId="0" xfId="0" applyFont="1" applyAlignment="1">
      <alignment horizontal="left" vertical="center" wrapText="1" indent="1"/>
    </xf>
    <xf numFmtId="169" fontId="14" fillId="15" borderId="16" xfId="4" applyNumberFormat="1" applyFont="1" applyFill="1" applyBorder="1" applyAlignment="1">
      <alignment horizontal="left"/>
    </xf>
    <xf numFmtId="2" fontId="15" fillId="0" borderId="17" xfId="5" applyNumberFormat="1" applyFont="1" applyBorder="1"/>
    <xf numFmtId="0" fontId="0" fillId="16" borderId="0" xfId="0" applyFill="1"/>
    <xf numFmtId="0" fontId="1" fillId="7" borderId="24" xfId="0" applyFont="1" applyFill="1" applyBorder="1"/>
    <xf numFmtId="0" fontId="1" fillId="7" borderId="25" xfId="0" applyFont="1" applyFill="1" applyBorder="1"/>
    <xf numFmtId="164" fontId="1" fillId="7" borderId="25" xfId="0" applyNumberFormat="1" applyFont="1" applyFill="1" applyBorder="1"/>
    <xf numFmtId="0" fontId="1" fillId="7" borderId="26" xfId="0" applyFont="1" applyFill="1" applyBorder="1"/>
    <xf numFmtId="0" fontId="0" fillId="7" borderId="25" xfId="0" applyFill="1" applyBorder="1"/>
    <xf numFmtId="0" fontId="0" fillId="7" borderId="26" xfId="0" applyFill="1" applyBorder="1"/>
    <xf numFmtId="168" fontId="0" fillId="0" borderId="0" xfId="2" applyNumberFormat="1" applyFont="1"/>
    <xf numFmtId="2" fontId="0" fillId="0" borderId="0" xfId="2" applyNumberFormat="1" applyFont="1"/>
    <xf numFmtId="0" fontId="23" fillId="0" borderId="0" xfId="0" applyFont="1"/>
    <xf numFmtId="0" fontId="0" fillId="9" borderId="0" xfId="0" applyFill="1"/>
    <xf numFmtId="0" fontId="14" fillId="12" borderId="15" xfId="5" applyFont="1" applyFill="1" applyBorder="1"/>
    <xf numFmtId="0" fontId="25" fillId="0" borderId="17" xfId="0" applyFont="1" applyBorder="1"/>
    <xf numFmtId="1" fontId="14" fillId="12" borderId="19" xfId="5" applyNumberFormat="1" applyFont="1" applyFill="1" applyBorder="1"/>
    <xf numFmtId="0" fontId="18" fillId="17" borderId="17" xfId="5" applyFont="1" applyFill="1" applyBorder="1"/>
    <xf numFmtId="0" fontId="18" fillId="17" borderId="15" xfId="5" applyFont="1" applyFill="1" applyBorder="1"/>
    <xf numFmtId="1" fontId="18" fillId="17" borderId="15" xfId="5" applyNumberFormat="1" applyFont="1" applyFill="1" applyBorder="1"/>
    <xf numFmtId="0" fontId="25" fillId="18" borderId="17" xfId="0" applyFont="1" applyFill="1" applyBorder="1"/>
    <xf numFmtId="1" fontId="15" fillId="18" borderId="15" xfId="5" applyNumberFormat="1" applyFont="1" applyFill="1" applyBorder="1"/>
    <xf numFmtId="1" fontId="14" fillId="19" borderId="19" xfId="5" applyNumberFormat="1" applyFont="1" applyFill="1" applyBorder="1"/>
    <xf numFmtId="1" fontId="15" fillId="19" borderId="19" xfId="5" applyNumberFormat="1" applyFont="1" applyFill="1" applyBorder="1"/>
    <xf numFmtId="1" fontId="15" fillId="19" borderId="20" xfId="5" applyNumberFormat="1" applyFont="1" applyFill="1" applyBorder="1"/>
    <xf numFmtId="0" fontId="25" fillId="19" borderId="17" xfId="0" applyFont="1" applyFill="1" applyBorder="1"/>
    <xf numFmtId="1" fontId="15" fillId="19" borderId="14" xfId="5" applyNumberFormat="1" applyFont="1" applyFill="1" applyBorder="1"/>
    <xf numFmtId="1" fontId="15" fillId="19" borderId="15" xfId="5" applyNumberFormat="1" applyFont="1" applyFill="1" applyBorder="1"/>
    <xf numFmtId="0" fontId="19" fillId="19" borderId="17" xfId="0" applyFont="1" applyFill="1" applyBorder="1"/>
    <xf numFmtId="0" fontId="15" fillId="19" borderId="0" xfId="5" applyFont="1" applyFill="1"/>
    <xf numFmtId="1" fontId="14" fillId="12" borderId="0" xfId="5" applyNumberFormat="1" applyFont="1" applyFill="1"/>
    <xf numFmtId="0" fontId="20" fillId="20" borderId="22" xfId="5" applyFont="1" applyFill="1" applyBorder="1"/>
    <xf numFmtId="0" fontId="20" fillId="20" borderId="23" xfId="5" applyFont="1" applyFill="1" applyBorder="1"/>
    <xf numFmtId="1" fontId="20" fillId="20" borderId="23" xfId="5" applyNumberFormat="1" applyFont="1" applyFill="1" applyBorder="1"/>
    <xf numFmtId="0" fontId="20" fillId="20" borderId="17" xfId="5" applyFont="1" applyFill="1" applyBorder="1"/>
    <xf numFmtId="0" fontId="20" fillId="20" borderId="15" xfId="5" applyFont="1" applyFill="1" applyBorder="1"/>
    <xf numFmtId="0" fontId="20" fillId="21" borderId="22" xfId="5" applyFont="1" applyFill="1" applyBorder="1"/>
    <xf numFmtId="0" fontId="20" fillId="21" borderId="23" xfId="5" applyFont="1" applyFill="1" applyBorder="1"/>
    <xf numFmtId="1" fontId="20" fillId="21" borderId="23" xfId="5" applyNumberFormat="1" applyFont="1" applyFill="1" applyBorder="1"/>
    <xf numFmtId="0" fontId="20" fillId="21" borderId="17" xfId="5" applyFont="1" applyFill="1" applyBorder="1"/>
    <xf numFmtId="0" fontId="20" fillId="21" borderId="15" xfId="5" applyFont="1" applyFill="1" applyBorder="1"/>
    <xf numFmtId="0" fontId="18" fillId="0" borderId="21" xfId="5" applyFont="1" applyBorder="1"/>
    <xf numFmtId="0" fontId="18" fillId="0" borderId="0" xfId="5" applyFont="1"/>
    <xf numFmtId="1" fontId="18" fillId="0" borderId="0" xfId="5" applyNumberFormat="1" applyFont="1"/>
    <xf numFmtId="0" fontId="20" fillId="0" borderId="18" xfId="5" applyFont="1" applyBorder="1"/>
    <xf numFmtId="0" fontId="20" fillId="0" borderId="20" xfId="5" applyFont="1" applyBorder="1"/>
    <xf numFmtId="1" fontId="20" fillId="0" borderId="20" xfId="5" applyNumberFormat="1" applyFont="1" applyBorder="1"/>
    <xf numFmtId="0" fontId="14" fillId="0" borderId="18" xfId="5" applyFont="1" applyBorder="1"/>
    <xf numFmtId="1" fontId="14" fillId="0" borderId="20" xfId="5" applyNumberFormat="1" applyFont="1" applyBorder="1"/>
    <xf numFmtId="0" fontId="18" fillId="0" borderId="17" xfId="5" applyFont="1" applyBorder="1"/>
    <xf numFmtId="10" fontId="21" fillId="0" borderId="15" xfId="5" applyNumberFormat="1" applyFont="1" applyBorder="1" applyAlignment="1">
      <alignment horizontal="left"/>
    </xf>
    <xf numFmtId="170" fontId="18" fillId="0" borderId="15" xfId="5" applyNumberFormat="1" applyFont="1" applyBorder="1"/>
    <xf numFmtId="0" fontId="13" fillId="12" borderId="25" xfId="5" applyFont="1" applyFill="1" applyBorder="1" applyAlignment="1">
      <alignment horizontal="center"/>
    </xf>
    <xf numFmtId="1" fontId="13" fillId="12" borderId="25" xfId="5" applyNumberFormat="1" applyFont="1" applyFill="1" applyBorder="1" applyAlignment="1">
      <alignment horizontal="center"/>
    </xf>
    <xf numFmtId="0" fontId="13" fillId="12" borderId="26" xfId="5" applyFont="1" applyFill="1" applyBorder="1" applyAlignment="1">
      <alignment horizontal="center"/>
    </xf>
    <xf numFmtId="0" fontId="15" fillId="12" borderId="24" xfId="5" applyFont="1" applyFill="1" applyBorder="1"/>
    <xf numFmtId="0" fontId="13" fillId="12" borderId="25" xfId="5" applyFont="1" applyFill="1" applyBorder="1" applyAlignment="1">
      <alignment horizontal="right"/>
    </xf>
    <xf numFmtId="0" fontId="0" fillId="0" borderId="24" xfId="0" applyBorder="1"/>
    <xf numFmtId="168" fontId="0" fillId="0" borderId="26" xfId="2" applyNumberFormat="1" applyFont="1" applyBorder="1"/>
    <xf numFmtId="0" fontId="0" fillId="0" borderId="4" xfId="0" applyBorder="1"/>
    <xf numFmtId="168" fontId="0" fillId="0" borderId="6" xfId="2" applyNumberFormat="1" applyFont="1" applyBorder="1"/>
    <xf numFmtId="168" fontId="0" fillId="0" borderId="8" xfId="2" applyNumberFormat="1" applyFont="1" applyBorder="1"/>
    <xf numFmtId="168" fontId="0" fillId="0" borderId="11" xfId="2" applyNumberFormat="1" applyFont="1" applyBorder="1"/>
    <xf numFmtId="168" fontId="0" fillId="0" borderId="26" xfId="0" applyNumberFormat="1" applyBorder="1"/>
    <xf numFmtId="0" fontId="0" fillId="0" borderId="25" xfId="0" applyBorder="1"/>
    <xf numFmtId="0" fontId="0" fillId="0" borderId="26" xfId="0" applyBorder="1"/>
    <xf numFmtId="166" fontId="0" fillId="6" borderId="25" xfId="0" applyNumberFormat="1" applyFill="1" applyBorder="1"/>
    <xf numFmtId="0" fontId="23" fillId="0" borderId="26" xfId="0" applyFont="1" applyBorder="1"/>
    <xf numFmtId="2" fontId="0" fillId="0" borderId="25" xfId="2" applyNumberFormat="1" applyFont="1" applyBorder="1"/>
    <xf numFmtId="2" fontId="0" fillId="17" borderId="25" xfId="2" applyNumberFormat="1" applyFont="1" applyFill="1" applyBorder="1"/>
    <xf numFmtId="166" fontId="0" fillId="0" borderId="26" xfId="0" applyNumberFormat="1" applyBorder="1"/>
    <xf numFmtId="171" fontId="0" fillId="0" borderId="25" xfId="0" applyNumberFormat="1" applyBorder="1"/>
    <xf numFmtId="170" fontId="0" fillId="0" borderId="25" xfId="0" applyNumberFormat="1" applyBorder="1"/>
    <xf numFmtId="1" fontId="0" fillId="0" borderId="26" xfId="0" applyNumberFormat="1" applyBorder="1"/>
    <xf numFmtId="166" fontId="0" fillId="0" borderId="6" xfId="0" applyNumberFormat="1" applyBorder="1"/>
    <xf numFmtId="166" fontId="0" fillId="0" borderId="11" xfId="0" applyNumberFormat="1" applyBorder="1"/>
    <xf numFmtId="10" fontId="1" fillId="0" borderId="26" xfId="2" applyNumberFormat="1" applyFont="1" applyBorder="1"/>
    <xf numFmtId="0" fontId="26" fillId="22" borderId="0" xfId="0" applyFont="1" applyFill="1"/>
    <xf numFmtId="166" fontId="0" fillId="0" borderId="5" xfId="0" applyNumberFormat="1" applyBorder="1"/>
    <xf numFmtId="166" fontId="0" fillId="0" borderId="10" xfId="0" applyNumberFormat="1" applyBorder="1"/>
    <xf numFmtId="0" fontId="1" fillId="0" borderId="4" xfId="0" applyFont="1" applyBorder="1"/>
    <xf numFmtId="166" fontId="1" fillId="0" borderId="10" xfId="0" applyNumberFormat="1" applyFont="1" applyBorder="1"/>
    <xf numFmtId="0" fontId="1" fillId="0" borderId="11" xfId="0" applyFont="1" applyBorder="1"/>
    <xf numFmtId="1" fontId="18" fillId="14" borderId="14" xfId="5" applyNumberFormat="1" applyFont="1" applyFill="1" applyBorder="1"/>
    <xf numFmtId="166" fontId="15" fillId="12" borderId="14" xfId="5" applyNumberFormat="1" applyFont="1" applyFill="1" applyBorder="1"/>
    <xf numFmtId="166" fontId="0" fillId="6" borderId="0" xfId="0" applyNumberFormat="1" applyFill="1"/>
    <xf numFmtId="1" fontId="0" fillId="6" borderId="25" xfId="0" applyNumberFormat="1" applyFill="1" applyBorder="1"/>
    <xf numFmtId="166" fontId="0" fillId="0" borderId="25" xfId="0" applyNumberFormat="1" applyBorder="1"/>
    <xf numFmtId="166" fontId="0" fillId="0" borderId="24" xfId="0" applyNumberFormat="1" applyBorder="1"/>
    <xf numFmtId="2" fontId="0" fillId="6" borderId="0" xfId="0" applyNumberFormat="1" applyFill="1"/>
    <xf numFmtId="1" fontId="0" fillId="6" borderId="0" xfId="0" applyNumberFormat="1" applyFill="1"/>
    <xf numFmtId="2" fontId="1" fillId="0" borderId="0" xfId="0" applyNumberFormat="1" applyFont="1"/>
    <xf numFmtId="172" fontId="0" fillId="0" borderId="0" xfId="0" applyNumberFormat="1"/>
    <xf numFmtId="0" fontId="27" fillId="0" borderId="0" xfId="0" applyFont="1"/>
    <xf numFmtId="166" fontId="1" fillId="0" borderId="0" xfId="0" applyNumberFormat="1" applyFont="1"/>
    <xf numFmtId="0" fontId="0" fillId="0" borderId="27" xfId="0" applyBorder="1" applyAlignment="1">
      <alignment horizontal="center"/>
    </xf>
  </cellXfs>
  <cellStyles count="6">
    <cellStyle name="Comma" xfId="1" builtinId="3"/>
    <cellStyle name="Currency" xfId="4" builtinId="4"/>
    <cellStyle name="Hyperlink" xfId="3" builtinId="8"/>
    <cellStyle name="Normal" xfId="0" builtinId="0"/>
    <cellStyle name="Normal 2 2" xfId="5" xr:uid="{948F6E8F-AE09-8B46-8410-76F90631D583}"/>
    <cellStyle name="Per cent" xfId="2" builtinId="5"/>
  </cellStyles>
  <dxfs count="17">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167" formatCode="0.0000000"/>
    </dxf>
    <dxf>
      <numFmt numFmtId="0" formatCode="General"/>
    </dxf>
    <dxf>
      <numFmt numFmtId="166" formatCode="&quot;£&quot;#,##0.00"/>
    </dxf>
    <dxf>
      <numFmt numFmtId="166" formatCode="&quot;£&quot;#,##0.00"/>
    </dxf>
    <dxf>
      <numFmt numFmtId="166" formatCode="&quot;£&quot;#,##0.00"/>
    </dxf>
    <dxf>
      <numFmt numFmtId="166" formatCode="&quot;£&quot;#,##0.00"/>
    </dxf>
    <dxf>
      <numFmt numFmtId="166" formatCode="&quot;£&quot;#,##0.00"/>
    </dxf>
    <dxf>
      <numFmt numFmtId="0" formatCode="General"/>
    </dxf>
    <dxf>
      <numFmt numFmtId="0" formatCode="General"/>
    </dxf>
    <dxf>
      <numFmt numFmtId="15" formatCode="0.00E+00"/>
    </dxf>
    <dxf>
      <numFmt numFmtId="15" formatCode="0.00E+00"/>
    </dxf>
    <dxf>
      <font>
        <b/>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Structure" Target="richData/rdrichvaluestructure.xml"/><Relationship Id="rId5" Type="http://schemas.openxmlformats.org/officeDocument/2006/relationships/externalLink" Target="externalLinks/externalLink1.xml"/><Relationship Id="rId15" Type="http://schemas.openxmlformats.org/officeDocument/2006/relationships/customXml" Target="../customXml/item2.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Optim!$AL$108</c:f>
              <c:strCache>
                <c:ptCount val="1"/>
                <c:pt idx="0">
                  <c:v> Total, Pre-Tax, Oct 2024 </c:v>
                </c:pt>
              </c:strCache>
            </c:strRef>
          </c:tx>
          <c:spPr>
            <a:ln w="25400" cap="rnd">
              <a:noFill/>
              <a:round/>
            </a:ln>
            <a:effectLst/>
          </c:spPr>
          <c:marker>
            <c:symbol val="circle"/>
            <c:size val="5"/>
            <c:spPr>
              <a:solidFill>
                <a:schemeClr val="accent1"/>
              </a:solidFill>
              <a:ln w="9525">
                <a:solidFill>
                  <a:schemeClr val="accent1"/>
                </a:solidFill>
              </a:ln>
              <a:effectLst/>
            </c:spPr>
          </c:marker>
          <c:xVal>
            <c:numRef>
              <c:f>Optim!$W$109:$W$148</c:f>
              <c:numCache>
                <c:formatCode>General</c:formatCode>
                <c:ptCount val="40"/>
                <c:pt idx="0">
                  <c:v>11</c:v>
                </c:pt>
                <c:pt idx="1">
                  <c:v>11</c:v>
                </c:pt>
                <c:pt idx="2">
                  <c:v>13</c:v>
                </c:pt>
                <c:pt idx="3">
                  <c:v>13</c:v>
                </c:pt>
                <c:pt idx="4">
                  <c:v>16</c:v>
                </c:pt>
                <c:pt idx="5">
                  <c:v>16</c:v>
                </c:pt>
                <c:pt idx="6">
                  <c:v>14</c:v>
                </c:pt>
                <c:pt idx="7">
                  <c:v>14</c:v>
                </c:pt>
                <c:pt idx="8">
                  <c:v>15</c:v>
                </c:pt>
                <c:pt idx="9">
                  <c:v>15</c:v>
                </c:pt>
                <c:pt idx="10">
                  <c:v>19</c:v>
                </c:pt>
                <c:pt idx="11">
                  <c:v>19</c:v>
                </c:pt>
                <c:pt idx="12">
                  <c:v>12</c:v>
                </c:pt>
                <c:pt idx="13">
                  <c:v>12</c:v>
                </c:pt>
                <c:pt idx="14">
                  <c:v>21</c:v>
                </c:pt>
                <c:pt idx="15">
                  <c:v>21</c:v>
                </c:pt>
                <c:pt idx="16">
                  <c:v>26</c:v>
                </c:pt>
                <c:pt idx="17">
                  <c:v>26</c:v>
                </c:pt>
                <c:pt idx="18">
                  <c:v>11</c:v>
                </c:pt>
                <c:pt idx="19">
                  <c:v>11</c:v>
                </c:pt>
                <c:pt idx="20">
                  <c:v>18</c:v>
                </c:pt>
                <c:pt idx="21">
                  <c:v>18</c:v>
                </c:pt>
                <c:pt idx="22">
                  <c:v>13</c:v>
                </c:pt>
                <c:pt idx="23">
                  <c:v>13</c:v>
                </c:pt>
                <c:pt idx="24">
                  <c:v>30</c:v>
                </c:pt>
                <c:pt idx="25">
                  <c:v>30</c:v>
                </c:pt>
                <c:pt idx="26">
                  <c:v>24</c:v>
                </c:pt>
                <c:pt idx="27">
                  <c:v>24</c:v>
                </c:pt>
                <c:pt idx="28">
                  <c:v>35</c:v>
                </c:pt>
                <c:pt idx="29">
                  <c:v>35</c:v>
                </c:pt>
                <c:pt idx="30">
                  <c:v>42</c:v>
                </c:pt>
                <c:pt idx="31">
                  <c:v>42</c:v>
                </c:pt>
                <c:pt idx="32">
                  <c:v>52</c:v>
                </c:pt>
                <c:pt idx="33">
                  <c:v>52</c:v>
                </c:pt>
                <c:pt idx="34">
                  <c:v>70</c:v>
                </c:pt>
                <c:pt idx="35">
                  <c:v>70</c:v>
                </c:pt>
                <c:pt idx="36">
                  <c:v>104</c:v>
                </c:pt>
                <c:pt idx="37">
                  <c:v>104</c:v>
                </c:pt>
                <c:pt idx="38">
                  <c:v>208</c:v>
                </c:pt>
                <c:pt idx="39">
                  <c:v>208</c:v>
                </c:pt>
              </c:numCache>
            </c:numRef>
          </c:xVal>
          <c:yVal>
            <c:numRef>
              <c:f>Optim!$AL$109:$AL$148</c:f>
              <c:numCache>
                <c:formatCode>"£"#,##0.00</c:formatCode>
                <c:ptCount val="40"/>
                <c:pt idx="0">
                  <c:v>272137.96556031134</c:v>
                </c:pt>
                <c:pt idx="1">
                  <c:v>272137.96556031134</c:v>
                </c:pt>
                <c:pt idx="2">
                  <c:v>270840.78657198447</c:v>
                </c:pt>
                <c:pt idx="3">
                  <c:v>270840.78657198447</c:v>
                </c:pt>
                <c:pt idx="4">
                  <c:v>270840.78657198441</c:v>
                </c:pt>
                <c:pt idx="5">
                  <c:v>270840.78657198441</c:v>
                </c:pt>
                <c:pt idx="6">
                  <c:v>273435.14454863814</c:v>
                </c:pt>
                <c:pt idx="7">
                  <c:v>273435.14454863814</c:v>
                </c:pt>
                <c:pt idx="8">
                  <c:v>273435.14454863814</c:v>
                </c:pt>
                <c:pt idx="9">
                  <c:v>273435.14454863814</c:v>
                </c:pt>
                <c:pt idx="10">
                  <c:v>272137.96556031128</c:v>
                </c:pt>
                <c:pt idx="11">
                  <c:v>272137.96556031128</c:v>
                </c:pt>
                <c:pt idx="12">
                  <c:v>281218.21847859921</c:v>
                </c:pt>
                <c:pt idx="13">
                  <c:v>281218.21847859921</c:v>
                </c:pt>
                <c:pt idx="14">
                  <c:v>273435.14454863808</c:v>
                </c:pt>
                <c:pt idx="15">
                  <c:v>273435.14454863808</c:v>
                </c:pt>
                <c:pt idx="16">
                  <c:v>270840.78657198441</c:v>
                </c:pt>
                <c:pt idx="17">
                  <c:v>270840.78657198441</c:v>
                </c:pt>
                <c:pt idx="18">
                  <c:v>286406.93443190661</c:v>
                </c:pt>
                <c:pt idx="19">
                  <c:v>286406.93443190661</c:v>
                </c:pt>
                <c:pt idx="20">
                  <c:v>281218.21847859927</c:v>
                </c:pt>
                <c:pt idx="21">
                  <c:v>281218.21847859927</c:v>
                </c:pt>
                <c:pt idx="22">
                  <c:v>287704.11342023348</c:v>
                </c:pt>
                <c:pt idx="23">
                  <c:v>287704.11342023348</c:v>
                </c:pt>
                <c:pt idx="24">
                  <c:v>273435.14454863808</c:v>
                </c:pt>
                <c:pt idx="25">
                  <c:v>273435.14454863808</c:v>
                </c:pt>
                <c:pt idx="26">
                  <c:v>281218.21847859916</c:v>
                </c:pt>
                <c:pt idx="27">
                  <c:v>281218.21847859916</c:v>
                </c:pt>
                <c:pt idx="28">
                  <c:v>273435.14454863808</c:v>
                </c:pt>
                <c:pt idx="29">
                  <c:v>273435.14454863808</c:v>
                </c:pt>
                <c:pt idx="30">
                  <c:v>273435.14454863808</c:v>
                </c:pt>
                <c:pt idx="31">
                  <c:v>273435.14454863808</c:v>
                </c:pt>
                <c:pt idx="32">
                  <c:v>270840.78657198441</c:v>
                </c:pt>
                <c:pt idx="33">
                  <c:v>270840.78657198441</c:v>
                </c:pt>
                <c:pt idx="34">
                  <c:v>273435.14454863814</c:v>
                </c:pt>
                <c:pt idx="35">
                  <c:v>273435.14454863814</c:v>
                </c:pt>
                <c:pt idx="36">
                  <c:v>270840.78657198447</c:v>
                </c:pt>
                <c:pt idx="37">
                  <c:v>270840.78657198447</c:v>
                </c:pt>
                <c:pt idx="38">
                  <c:v>270840.78657198447</c:v>
                </c:pt>
                <c:pt idx="39">
                  <c:v>270840.78657198447</c:v>
                </c:pt>
              </c:numCache>
            </c:numRef>
          </c:yVal>
          <c:smooth val="0"/>
          <c:extLst>
            <c:ext xmlns:c16="http://schemas.microsoft.com/office/drawing/2014/chart" uri="{C3380CC4-5D6E-409C-BE32-E72D297353CC}">
              <c16:uniqueId val="{00000000-DE77-3444-9991-E258808909FC}"/>
            </c:ext>
          </c:extLst>
        </c:ser>
        <c:dLbls>
          <c:showLegendKey val="0"/>
          <c:showVal val="0"/>
          <c:showCatName val="0"/>
          <c:showSerName val="0"/>
          <c:showPercent val="0"/>
          <c:showBubbleSize val="0"/>
        </c:dLbls>
        <c:axId val="1973238480"/>
        <c:axId val="388988303"/>
      </c:scatterChart>
      <c:valAx>
        <c:axId val="19732384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8988303"/>
        <c:crosses val="autoZero"/>
        <c:crossBetween val="midCat"/>
      </c:valAx>
      <c:valAx>
        <c:axId val="38898830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32384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Project</a:t>
            </a:r>
            <a:r>
              <a:rPr lang="en-GB" baseline="0"/>
              <a:t> </a:t>
            </a:r>
            <a:r>
              <a:rPr lang="en-GB"/>
              <a:t>Economical</a:t>
            </a:r>
            <a:r>
              <a:rPr lang="en-GB" baseline="0"/>
              <a:t> Model - CAPEX in Year 0</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2"/>
          <c:tx>
            <c:strRef>
              <c:f>'Financial Stats'!$O$127</c:f>
              <c:strCache>
                <c:ptCount val="1"/>
                <c:pt idx="0">
                  <c:v>Cash Flow</c:v>
                </c:pt>
              </c:strCache>
            </c:strRef>
          </c:tx>
          <c:spPr>
            <a:solidFill>
              <a:schemeClr val="accent3"/>
            </a:solidFill>
            <a:ln>
              <a:noFill/>
            </a:ln>
            <a:effectLst/>
          </c:spPr>
          <c:invertIfNegative val="0"/>
          <c:val>
            <c:numRef>
              <c:f>'Financial Stats'!$Q$127:$AP$127</c:f>
              <c:numCache>
                <c:formatCode>0</c:formatCode>
                <c:ptCount val="26"/>
                <c:pt idx="0">
                  <c:v>-1516106.4720542929</c:v>
                </c:pt>
                <c:pt idx="1">
                  <c:v>190076.6389237353</c:v>
                </c:pt>
                <c:pt idx="2">
                  <c:v>195293.66224919676</c:v>
                </c:pt>
                <c:pt idx="3">
                  <c:v>200667.15716952732</c:v>
                </c:pt>
                <c:pt idx="4">
                  <c:v>206202.49405125578</c:v>
                </c:pt>
                <c:pt idx="5">
                  <c:v>211905.25920036694</c:v>
                </c:pt>
                <c:pt idx="6">
                  <c:v>217781.26483488432</c:v>
                </c:pt>
                <c:pt idx="7">
                  <c:v>223836.5595629171</c:v>
                </c:pt>
                <c:pt idx="8">
                  <c:v>230077.43939315167</c:v>
                </c:pt>
                <c:pt idx="9">
                  <c:v>236510.45930624718</c:v>
                </c:pt>
                <c:pt idx="10">
                  <c:v>243142.44541715301</c:v>
                </c:pt>
                <c:pt idx="11">
                  <c:v>249980.50776001351</c:v>
                </c:pt>
                <c:pt idx="12">
                  <c:v>257032.05372906165</c:v>
                </c:pt>
                <c:pt idx="13">
                  <c:v>264304.80221073865</c:v>
                </c:pt>
                <c:pt idx="14">
                  <c:v>271806.79844421084</c:v>
                </c:pt>
                <c:pt idx="15">
                  <c:v>279546.42964949924</c:v>
                </c:pt>
                <c:pt idx="16">
                  <c:v>287532.4414645941</c:v>
                </c:pt>
                <c:pt idx="17">
                  <c:v>295773.95523520239</c:v>
                </c:pt>
                <c:pt idx="18">
                  <c:v>304280.4862031794</c:v>
                </c:pt>
                <c:pt idx="19">
                  <c:v>313061.96264223335</c:v>
                </c:pt>
                <c:pt idx="20">
                  <c:v>322128.74599216628</c:v>
                </c:pt>
                <c:pt idx="21">
                  <c:v>331491.65204574459</c:v>
                </c:pt>
                <c:pt idx="22">
                  <c:v>341161.97324527369</c:v>
                </c:pt>
                <c:pt idx="23">
                  <c:v>351151.50214910065</c:v>
                </c:pt>
                <c:pt idx="24">
                  <c:v>361472.55613159412</c:v>
                </c:pt>
                <c:pt idx="25">
                  <c:v>372138.00338366092</c:v>
                </c:pt>
              </c:numCache>
            </c:numRef>
          </c:val>
          <c:extLst>
            <c:ext xmlns:c16="http://schemas.microsoft.com/office/drawing/2014/chart" uri="{C3380CC4-5D6E-409C-BE32-E72D297353CC}">
              <c16:uniqueId val="{00000000-E0AF-094D-B17C-208F5D1EEA41}"/>
            </c:ext>
          </c:extLst>
        </c:ser>
        <c:dLbls>
          <c:showLegendKey val="0"/>
          <c:showVal val="0"/>
          <c:showCatName val="0"/>
          <c:showSerName val="0"/>
          <c:showPercent val="0"/>
          <c:showBubbleSize val="0"/>
        </c:dLbls>
        <c:gapWidth val="150"/>
        <c:axId val="2072161160"/>
        <c:axId val="-2126710664"/>
      </c:barChart>
      <c:lineChart>
        <c:grouping val="standard"/>
        <c:varyColors val="0"/>
        <c:ser>
          <c:idx val="0"/>
          <c:order val="0"/>
          <c:tx>
            <c:v>Cumulative Cash Flow</c:v>
          </c:tx>
          <c:spPr>
            <a:ln w="28575" cap="rnd">
              <a:solidFill>
                <a:schemeClr val="accent1"/>
              </a:solidFill>
              <a:round/>
            </a:ln>
            <a:effectLst/>
          </c:spPr>
          <c:marker>
            <c:symbol val="none"/>
          </c:marker>
          <c:val>
            <c:numRef>
              <c:f>'Financial Stats'!$Q$128:$AP$128</c:f>
              <c:numCache>
                <c:formatCode>0</c:formatCode>
                <c:ptCount val="26"/>
                <c:pt idx="0">
                  <c:v>-1516106.4720542929</c:v>
                </c:pt>
                <c:pt idx="1">
                  <c:v>-1326029.8331305576</c:v>
                </c:pt>
                <c:pt idx="2">
                  <c:v>-1130736.1708813608</c:v>
                </c:pt>
                <c:pt idx="3">
                  <c:v>-930069.0137118334</c:v>
                </c:pt>
                <c:pt idx="4">
                  <c:v>-723866.51966057764</c:v>
                </c:pt>
                <c:pt idx="5">
                  <c:v>-511961.26046021073</c:v>
                </c:pt>
                <c:pt idx="6">
                  <c:v>-294179.99562532641</c:v>
                </c:pt>
                <c:pt idx="7">
                  <c:v>-70343.43606240931</c:v>
                </c:pt>
                <c:pt idx="8">
                  <c:v>159734.00333074236</c:v>
                </c:pt>
                <c:pt idx="9">
                  <c:v>396244.46263698954</c:v>
                </c:pt>
                <c:pt idx="10">
                  <c:v>639386.90805414249</c:v>
                </c:pt>
                <c:pt idx="11">
                  <c:v>889367.41581415595</c:v>
                </c:pt>
                <c:pt idx="12">
                  <c:v>1146399.4695432177</c:v>
                </c:pt>
                <c:pt idx="13">
                  <c:v>1410704.2717539563</c:v>
                </c:pt>
                <c:pt idx="14">
                  <c:v>1682511.0701981671</c:v>
                </c:pt>
                <c:pt idx="15">
                  <c:v>1962057.4998476664</c:v>
                </c:pt>
                <c:pt idx="16">
                  <c:v>2249589.9413122605</c:v>
                </c:pt>
                <c:pt idx="17">
                  <c:v>2545363.8965474628</c:v>
                </c:pt>
                <c:pt idx="18">
                  <c:v>2849644.382750642</c:v>
                </c:pt>
                <c:pt idx="19">
                  <c:v>3162706.3453928754</c:v>
                </c:pt>
                <c:pt idx="20">
                  <c:v>3484835.0913850418</c:v>
                </c:pt>
                <c:pt idx="21">
                  <c:v>3816326.7434307863</c:v>
                </c:pt>
                <c:pt idx="22">
                  <c:v>4157488.7166760601</c:v>
                </c:pt>
                <c:pt idx="23">
                  <c:v>4508640.2188251605</c:v>
                </c:pt>
                <c:pt idx="24">
                  <c:v>4870112.7749567544</c:v>
                </c:pt>
                <c:pt idx="25">
                  <c:v>5242250.7783404151</c:v>
                </c:pt>
              </c:numCache>
            </c:numRef>
          </c:val>
          <c:smooth val="0"/>
          <c:extLst>
            <c:ext xmlns:c16="http://schemas.microsoft.com/office/drawing/2014/chart" uri="{C3380CC4-5D6E-409C-BE32-E72D297353CC}">
              <c16:uniqueId val="{00000001-E0AF-094D-B17C-208F5D1EEA41}"/>
            </c:ext>
          </c:extLst>
        </c:ser>
        <c:ser>
          <c:idx val="1"/>
          <c:order val="1"/>
          <c:tx>
            <c:v>Cumulative Discounted Cash Flow</c:v>
          </c:tx>
          <c:spPr>
            <a:ln w="28575" cap="rnd">
              <a:solidFill>
                <a:schemeClr val="accent2"/>
              </a:solidFill>
              <a:round/>
            </a:ln>
            <a:effectLst/>
          </c:spPr>
          <c:marker>
            <c:symbol val="none"/>
          </c:marker>
          <c:val>
            <c:numRef>
              <c:f>'Financial Stats'!$Q$130:$AP$130</c:f>
              <c:numCache>
                <c:formatCode>0</c:formatCode>
                <c:ptCount val="26"/>
                <c:pt idx="0">
                  <c:v>-1516106.4720542929</c:v>
                </c:pt>
                <c:pt idx="1">
                  <c:v>-1331923.6823995106</c:v>
                </c:pt>
                <c:pt idx="2">
                  <c:v>-1148553.4839352537</c:v>
                </c:pt>
                <c:pt idx="3">
                  <c:v>-965980.20883730846</c:v>
                </c:pt>
                <c:pt idx="4">
                  <c:v>-784188.059367968</c:v>
                </c:pt>
                <c:pt idx="5">
                  <c:v>-603161.10326449643</c:v>
                </c:pt>
                <c:pt idx="6">
                  <c:v>-422883.26903113385</c:v>
                </c:pt>
                <c:pt idx="7">
                  <c:v>-243338.3411323278</c:v>
                </c:pt>
                <c:pt idx="8">
                  <c:v>-64509.955084820045</c:v>
                </c:pt>
                <c:pt idx="9">
                  <c:v>113618.40755383566</c:v>
                </c:pt>
                <c:pt idx="10">
                  <c:v>291063.42430280423</c:v>
                </c:pt>
                <c:pt idx="11">
                  <c:v>467841.93698408653</c:v>
                </c:pt>
                <c:pt idx="12">
                  <c:v>643970.9570598189</c:v>
                </c:pt>
                <c:pt idx="13">
                  <c:v>819467.67108341109</c:v>
                </c:pt>
                <c:pt idx="14">
                  <c:v>994349.44626723952</c:v>
                </c:pt>
                <c:pt idx="15">
                  <c:v>1168633.8361696759</c:v>
                </c:pt>
                <c:pt idx="16">
                  <c:v>1342338.5865042948</c:v>
                </c:pt>
                <c:pt idx="17">
                  <c:v>1515481.6410741708</c:v>
                </c:pt>
                <c:pt idx="18">
                  <c:v>1688081.1478342419</c:v>
                </c:pt>
                <c:pt idx="19">
                  <c:v>1860155.4650847833</c:v>
                </c:pt>
                <c:pt idx="20">
                  <c:v>2031723.1677991105</c:v>
                </c:pt>
                <c:pt idx="21">
                  <c:v>2202803.0540886978</c:v>
                </c:pt>
                <c:pt idx="22">
                  <c:v>2373414.1518089743</c:v>
                </c:pt>
                <c:pt idx="23">
                  <c:v>2543575.7253091349</c:v>
                </c:pt>
                <c:pt idx="24">
                  <c:v>2713307.2823293796</c:v>
                </c:pt>
                <c:pt idx="25">
                  <c:v>2882628.5810490777</c:v>
                </c:pt>
              </c:numCache>
            </c:numRef>
          </c:val>
          <c:smooth val="0"/>
          <c:extLst>
            <c:ext xmlns:c16="http://schemas.microsoft.com/office/drawing/2014/chart" uri="{C3380CC4-5D6E-409C-BE32-E72D297353CC}">
              <c16:uniqueId val="{00000002-E0AF-094D-B17C-208F5D1EEA41}"/>
            </c:ext>
          </c:extLst>
        </c:ser>
        <c:dLbls>
          <c:showLegendKey val="0"/>
          <c:showVal val="0"/>
          <c:showCatName val="0"/>
          <c:showSerName val="0"/>
          <c:showPercent val="0"/>
          <c:showBubbleSize val="0"/>
        </c:dLbls>
        <c:marker val="1"/>
        <c:smooth val="0"/>
        <c:axId val="2072161160"/>
        <c:axId val="-2126710664"/>
      </c:lineChart>
      <c:catAx>
        <c:axId val="2072161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6710664"/>
        <c:crosses val="autoZero"/>
        <c:auto val="1"/>
        <c:lblAlgn val="ctr"/>
        <c:lblOffset val="100"/>
        <c:noMultiLvlLbl val="0"/>
      </c:catAx>
      <c:valAx>
        <c:axId val="-21267106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2161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Project</a:t>
            </a:r>
            <a:r>
              <a:rPr lang="en-GB" baseline="0"/>
              <a:t> </a:t>
            </a:r>
            <a:r>
              <a:rPr lang="en-GB"/>
              <a:t>Economical</a:t>
            </a:r>
            <a:r>
              <a:rPr lang="en-GB" baseline="0"/>
              <a:t> Model - CAPEX Depreciated over Project Lifespan</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2"/>
          <c:tx>
            <c:strRef>
              <c:f>'Financial Stats'!$O$132</c:f>
              <c:strCache>
                <c:ptCount val="1"/>
                <c:pt idx="0">
                  <c:v>Cash Flow</c:v>
                </c:pt>
              </c:strCache>
            </c:strRef>
          </c:tx>
          <c:spPr>
            <a:solidFill>
              <a:schemeClr val="accent3"/>
            </a:solidFill>
            <a:ln>
              <a:noFill/>
            </a:ln>
            <a:effectLst/>
          </c:spPr>
          <c:invertIfNegative val="0"/>
          <c:val>
            <c:numRef>
              <c:f>'Financial Stats'!$Q$132:$AP$132</c:f>
              <c:numCache>
                <c:formatCode>0</c:formatCode>
                <c:ptCount val="26"/>
                <c:pt idx="0">
                  <c:v>0</c:v>
                </c:pt>
                <c:pt idx="1">
                  <c:v>129432.38004156359</c:v>
                </c:pt>
                <c:pt idx="2">
                  <c:v>134649.40336702502</c:v>
                </c:pt>
                <c:pt idx="3">
                  <c:v>140022.89828735561</c:v>
                </c:pt>
                <c:pt idx="4">
                  <c:v>145558.23516908404</c:v>
                </c:pt>
                <c:pt idx="5">
                  <c:v>151261.00031819521</c:v>
                </c:pt>
                <c:pt idx="6">
                  <c:v>157137.00595271261</c:v>
                </c:pt>
                <c:pt idx="7">
                  <c:v>163192.30068074536</c:v>
                </c:pt>
                <c:pt idx="8">
                  <c:v>169433.18051097996</c:v>
                </c:pt>
                <c:pt idx="9">
                  <c:v>175866.20042407548</c:v>
                </c:pt>
                <c:pt idx="10">
                  <c:v>182498.1865349813</c:v>
                </c:pt>
                <c:pt idx="11">
                  <c:v>189336.24887784178</c:v>
                </c:pt>
                <c:pt idx="12">
                  <c:v>196387.79484688991</c:v>
                </c:pt>
                <c:pt idx="13">
                  <c:v>203660.54332856694</c:v>
                </c:pt>
                <c:pt idx="14">
                  <c:v>211162.53956203911</c:v>
                </c:pt>
                <c:pt idx="15">
                  <c:v>218902.17076732751</c:v>
                </c:pt>
                <c:pt idx="16">
                  <c:v>226888.18258242239</c:v>
                </c:pt>
                <c:pt idx="17">
                  <c:v>235129.69635303065</c:v>
                </c:pt>
                <c:pt idx="18">
                  <c:v>243636.22732100773</c:v>
                </c:pt>
                <c:pt idx="19">
                  <c:v>252417.70376006165</c:v>
                </c:pt>
                <c:pt idx="20">
                  <c:v>261484.48710999454</c:v>
                </c:pt>
                <c:pt idx="21">
                  <c:v>270847.39316357288</c:v>
                </c:pt>
                <c:pt idx="22">
                  <c:v>280517.71436310199</c:v>
                </c:pt>
                <c:pt idx="23">
                  <c:v>290507.24326692894</c:v>
                </c:pt>
                <c:pt idx="24">
                  <c:v>300828.29724942241</c:v>
                </c:pt>
                <c:pt idx="25">
                  <c:v>311493.74450148921</c:v>
                </c:pt>
              </c:numCache>
            </c:numRef>
          </c:val>
          <c:extLst>
            <c:ext xmlns:c16="http://schemas.microsoft.com/office/drawing/2014/chart" uri="{C3380CC4-5D6E-409C-BE32-E72D297353CC}">
              <c16:uniqueId val="{00000000-4C3A-BC4E-B6E9-F10787B785FB}"/>
            </c:ext>
          </c:extLst>
        </c:ser>
        <c:dLbls>
          <c:showLegendKey val="0"/>
          <c:showVal val="0"/>
          <c:showCatName val="0"/>
          <c:showSerName val="0"/>
          <c:showPercent val="0"/>
          <c:showBubbleSize val="0"/>
        </c:dLbls>
        <c:gapWidth val="150"/>
        <c:axId val="2072161160"/>
        <c:axId val="-2126710664"/>
      </c:barChart>
      <c:lineChart>
        <c:grouping val="standard"/>
        <c:varyColors val="0"/>
        <c:ser>
          <c:idx val="0"/>
          <c:order val="0"/>
          <c:tx>
            <c:strRef>
              <c:f>'Financial Stats'!$O$133</c:f>
              <c:strCache>
                <c:ptCount val="1"/>
                <c:pt idx="0">
                  <c:v>Cumulative Cash Flow</c:v>
                </c:pt>
              </c:strCache>
            </c:strRef>
          </c:tx>
          <c:spPr>
            <a:ln w="28575" cap="rnd">
              <a:solidFill>
                <a:schemeClr val="accent1"/>
              </a:solidFill>
              <a:round/>
            </a:ln>
            <a:effectLst/>
          </c:spPr>
          <c:marker>
            <c:symbol val="none"/>
          </c:marker>
          <c:val>
            <c:numRef>
              <c:f>'Financial Stats'!$Q$133:$AP$133</c:f>
              <c:numCache>
                <c:formatCode>0</c:formatCode>
                <c:ptCount val="26"/>
                <c:pt idx="0">
                  <c:v>0</c:v>
                </c:pt>
                <c:pt idx="1">
                  <c:v>129432.38004156359</c:v>
                </c:pt>
                <c:pt idx="2">
                  <c:v>264081.78340858861</c:v>
                </c:pt>
                <c:pt idx="3">
                  <c:v>404104.68169594422</c:v>
                </c:pt>
                <c:pt idx="4">
                  <c:v>549662.91686502821</c:v>
                </c:pt>
                <c:pt idx="5">
                  <c:v>700923.91718322341</c:v>
                </c:pt>
                <c:pt idx="6">
                  <c:v>858060.92313593603</c:v>
                </c:pt>
                <c:pt idx="7">
                  <c:v>1021253.2238166814</c:v>
                </c:pt>
                <c:pt idx="8">
                  <c:v>1190686.4043276613</c:v>
                </c:pt>
                <c:pt idx="9">
                  <c:v>1366552.6047517369</c:v>
                </c:pt>
                <c:pt idx="10">
                  <c:v>1549050.7912867181</c:v>
                </c:pt>
                <c:pt idx="11">
                  <c:v>1738387.0401645598</c:v>
                </c:pt>
                <c:pt idx="12">
                  <c:v>1934774.8350114496</c:v>
                </c:pt>
                <c:pt idx="13">
                  <c:v>2138435.3783400166</c:v>
                </c:pt>
                <c:pt idx="14">
                  <c:v>2349597.9179020557</c:v>
                </c:pt>
                <c:pt idx="15">
                  <c:v>2568500.088669383</c:v>
                </c:pt>
                <c:pt idx="16">
                  <c:v>2795388.2712518051</c:v>
                </c:pt>
                <c:pt idx="17">
                  <c:v>3030517.967604836</c:v>
                </c:pt>
                <c:pt idx="18">
                  <c:v>3274154.1949258437</c:v>
                </c:pt>
                <c:pt idx="19">
                  <c:v>3526571.8986859052</c:v>
                </c:pt>
                <c:pt idx="20">
                  <c:v>3788056.3857958997</c:v>
                </c:pt>
                <c:pt idx="21">
                  <c:v>4058903.7789594727</c:v>
                </c:pt>
                <c:pt idx="22">
                  <c:v>4339421.4933225745</c:v>
                </c:pt>
                <c:pt idx="23">
                  <c:v>4629928.7365895035</c:v>
                </c:pt>
                <c:pt idx="24">
                  <c:v>4930757.0338389259</c:v>
                </c:pt>
                <c:pt idx="25">
                  <c:v>5242250.7783404151</c:v>
                </c:pt>
              </c:numCache>
            </c:numRef>
          </c:val>
          <c:smooth val="0"/>
          <c:extLst>
            <c:ext xmlns:c16="http://schemas.microsoft.com/office/drawing/2014/chart" uri="{C3380CC4-5D6E-409C-BE32-E72D297353CC}">
              <c16:uniqueId val="{00000001-4C3A-BC4E-B6E9-F10787B785FB}"/>
            </c:ext>
          </c:extLst>
        </c:ser>
        <c:ser>
          <c:idx val="1"/>
          <c:order val="1"/>
          <c:tx>
            <c:v>Cumulative Discounted Cash Flow</c:v>
          </c:tx>
          <c:spPr>
            <a:ln w="28575" cap="rnd">
              <a:solidFill>
                <a:schemeClr val="accent2"/>
              </a:solidFill>
              <a:round/>
            </a:ln>
            <a:effectLst/>
          </c:spPr>
          <c:marker>
            <c:symbol val="none"/>
          </c:marker>
          <c:val>
            <c:numRef>
              <c:f>'Financial Stats'!$Q$135:$AP$135</c:f>
              <c:numCache>
                <c:formatCode>0</c:formatCode>
                <c:ptCount val="26"/>
                <c:pt idx="0">
                  <c:v>0</c:v>
                </c:pt>
                <c:pt idx="1">
                  <c:v>125418.97290849185</c:v>
                </c:pt>
                <c:pt idx="2">
                  <c:v>251847.48847905648</c:v>
                </c:pt>
                <c:pt idx="3">
                  <c:v>379244.71426140849</c:v>
                </c:pt>
                <c:pt idx="4">
                  <c:v>507571.69966525154</c:v>
                </c:pt>
                <c:pt idx="5">
                  <c:v>636791.32624789234</c:v>
                </c:pt>
                <c:pt idx="6">
                  <c:v>766868.25978277554</c:v>
                </c:pt>
                <c:pt idx="7">
                  <c:v>897768.90405902395</c:v>
                </c:pt>
                <c:pt idx="8">
                  <c:v>1029461.3563637433</c:v>
                </c:pt>
                <c:pt idx="9">
                  <c:v>1161915.3646004724</c:v>
                </c:pt>
                <c:pt idx="10">
                  <c:v>1295102.2859987367</c:v>
                </c:pt>
                <c:pt idx="11">
                  <c:v>1428995.047371197</c:v>
                </c:pt>
                <c:pt idx="12">
                  <c:v>1563568.1068763656</c:v>
                </c:pt>
                <c:pt idx="13">
                  <c:v>1698797.4172463107</c:v>
                </c:pt>
                <c:pt idx="14">
                  <c:v>1834660.3904401711</c:v>
                </c:pt>
                <c:pt idx="15">
                  <c:v>1971135.8636856615</c:v>
                </c:pt>
                <c:pt idx="16">
                  <c:v>2108204.0668720771</c:v>
                </c:pt>
                <c:pt idx="17">
                  <c:v>2245846.5912595857</c:v>
                </c:pt>
                <c:pt idx="18">
                  <c:v>2384046.3594708508</c:v>
                </c:pt>
                <c:pt idx="19">
                  <c:v>2522787.5967322392</c:v>
                </c:pt>
                <c:pt idx="20">
                  <c:v>2662055.8033330464</c:v>
                </c:pt>
                <c:pt idx="21">
                  <c:v>2801837.7282723235</c:v>
                </c:pt>
                <c:pt idx="22">
                  <c:v>2942121.3440640047</c:v>
                </c:pt>
                <c:pt idx="23">
                  <c:v>3082895.8226721156</c:v>
                </c:pt>
                <c:pt idx="24">
                  <c:v>3224151.5125489011</c:v>
                </c:pt>
                <c:pt idx="25">
                  <c:v>3365879.9167497437</c:v>
                </c:pt>
              </c:numCache>
            </c:numRef>
          </c:val>
          <c:smooth val="0"/>
          <c:extLst>
            <c:ext xmlns:c16="http://schemas.microsoft.com/office/drawing/2014/chart" uri="{C3380CC4-5D6E-409C-BE32-E72D297353CC}">
              <c16:uniqueId val="{00000002-4C3A-BC4E-B6E9-F10787B785FB}"/>
            </c:ext>
          </c:extLst>
        </c:ser>
        <c:dLbls>
          <c:showLegendKey val="0"/>
          <c:showVal val="0"/>
          <c:showCatName val="0"/>
          <c:showSerName val="0"/>
          <c:showPercent val="0"/>
          <c:showBubbleSize val="0"/>
        </c:dLbls>
        <c:marker val="1"/>
        <c:smooth val="0"/>
        <c:axId val="2072161160"/>
        <c:axId val="-2126710664"/>
      </c:lineChart>
      <c:catAx>
        <c:axId val="2072161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6710664"/>
        <c:crosses val="autoZero"/>
        <c:auto val="1"/>
        <c:lblAlgn val="ctr"/>
        <c:lblOffset val="100"/>
        <c:noMultiLvlLbl val="0"/>
      </c:catAx>
      <c:valAx>
        <c:axId val="-21267106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2161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image" Target="../media/image13.png"/><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14</xdr:col>
      <xdr:colOff>285615</xdr:colOff>
      <xdr:row>8</xdr:row>
      <xdr:rowOff>145016</xdr:rowOff>
    </xdr:from>
    <xdr:to>
      <xdr:col>26</xdr:col>
      <xdr:colOff>209415</xdr:colOff>
      <xdr:row>28</xdr:row>
      <xdr:rowOff>170415</xdr:rowOff>
    </xdr:to>
    <xdr:sp macro="" textlink="">
      <xdr:nvSpPr>
        <xdr:cNvPr id="228" name="TextBox 1">
          <a:extLst>
            <a:ext uri="{FF2B5EF4-FFF2-40B4-BE49-F238E27FC236}">
              <a16:creationId xmlns:a16="http://schemas.microsoft.com/office/drawing/2014/main" id="{0D91CCED-8443-9138-5F7E-348474601BB0}"/>
            </a:ext>
          </a:extLst>
        </xdr:cNvPr>
        <xdr:cNvSpPr txBox="1"/>
      </xdr:nvSpPr>
      <xdr:spPr>
        <a:xfrm>
          <a:off x="13913345" y="1658207"/>
          <a:ext cx="8066212" cy="380837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the finance</a:t>
          </a:r>
          <a:r>
            <a:rPr lang="en-GB" sz="1100" baseline="0"/>
            <a:t> only really needs the borehole number and depth, and also the installed capacity</a:t>
          </a:r>
        </a:p>
        <a:p>
          <a:r>
            <a:rPr lang="en-GB" sz="1100" baseline="0"/>
            <a:t>however the best cost will not necessarily come from the optimum borehole parameters for energy.</a:t>
          </a:r>
        </a:p>
        <a:p>
          <a:endParaRPr lang="en-GB" sz="1100" baseline="0"/>
        </a:p>
        <a:p>
          <a:r>
            <a:rPr lang="en-GB" sz="1100" baseline="0"/>
            <a:t>we need to set constraints for:</a:t>
          </a:r>
        </a:p>
        <a:p>
          <a:pPr marL="171450" indent="-171450">
            <a:buFont typeface="Arial" panose="020B0604020202020204" pitchFamily="34" charset="0"/>
            <a:buChar char="•"/>
          </a:pPr>
          <a:r>
            <a:rPr lang="en-GB" sz="1100"/>
            <a:t>minimum energy produced by the heatpumps</a:t>
          </a:r>
        </a:p>
        <a:p>
          <a:pPr marL="171450" indent="-171450">
            <a:buFont typeface="Arial" panose="020B0604020202020204" pitchFamily="34" charset="0"/>
            <a:buChar char="•"/>
          </a:pPr>
          <a:r>
            <a:rPr lang="en-GB" sz="1100"/>
            <a:t>maximum</a:t>
          </a:r>
          <a:r>
            <a:rPr lang="en-GB" sz="1100" baseline="0"/>
            <a:t> space available for heatpumps (car park, down the road)</a:t>
          </a:r>
        </a:p>
        <a:p>
          <a:pPr marL="171450" indent="-171450">
            <a:buFont typeface="Arial" panose="020B0604020202020204" pitchFamily="34" charset="0"/>
            <a:buChar char="•"/>
          </a:pPr>
          <a:r>
            <a:rPr lang="en-GB" sz="1100" baseline="0"/>
            <a:t>minimum radius of borehole spacing</a:t>
          </a:r>
        </a:p>
        <a:p>
          <a:pPr marL="171450" indent="-171450">
            <a:buFont typeface="Arial" panose="020B0604020202020204" pitchFamily="34" charset="0"/>
            <a:buChar char="•"/>
          </a:pPr>
          <a:endParaRPr lang="en-GB" sz="1100" baseline="0"/>
        </a:p>
        <a:p>
          <a:pPr marL="171450" indent="-171450">
            <a:buFont typeface="Arial" panose="020B0604020202020204" pitchFamily="34" charset="0"/>
            <a:buChar char="•"/>
          </a:pPr>
          <a:endParaRPr lang="en-GB" sz="1100" baseline="0"/>
        </a:p>
        <a:p>
          <a:r>
            <a:rPr lang="en-GB" sz="1100" baseline="0"/>
            <a:t>objective is minimised cost, variables from the thermo that will be in costing:</a:t>
          </a:r>
        </a:p>
        <a:p>
          <a:pPr marL="171450" indent="-171450">
            <a:buFont typeface="Arial" panose="020B0604020202020204" pitchFamily="34" charset="0"/>
            <a:buChar char="•"/>
          </a:pPr>
          <a:r>
            <a:rPr lang="en-GB" sz="1100" baseline="0"/>
            <a:t>depth</a:t>
          </a:r>
        </a:p>
        <a:p>
          <a:pPr marL="171450" indent="-171450">
            <a:buFont typeface="Arial" panose="020B0604020202020204" pitchFamily="34" charset="0"/>
            <a:buChar char="•"/>
          </a:pPr>
          <a:r>
            <a:rPr lang="en-GB" sz="1100" baseline="0"/>
            <a:t>borehole depth (maybe not needed as is a function of depth)</a:t>
          </a:r>
        </a:p>
      </xdr:txBody>
    </xdr:sp>
    <xdr:clientData/>
  </xdr:twoCellAnchor>
  <xdr:twoCellAnchor>
    <xdr:from>
      <xdr:col>5</xdr:col>
      <xdr:colOff>6350</xdr:colOff>
      <xdr:row>8</xdr:row>
      <xdr:rowOff>127000</xdr:rowOff>
    </xdr:from>
    <xdr:to>
      <xdr:col>14</xdr:col>
      <xdr:colOff>139700</xdr:colOff>
      <xdr:row>19</xdr:row>
      <xdr:rowOff>107950</xdr:rowOff>
    </xdr:to>
    <xdr:sp macro="" textlink="">
      <xdr:nvSpPr>
        <xdr:cNvPr id="256" name="TextBox 4">
          <a:extLst>
            <a:ext uri="{FF2B5EF4-FFF2-40B4-BE49-F238E27FC236}">
              <a16:creationId xmlns:a16="http://schemas.microsoft.com/office/drawing/2014/main" id="{E2A2A41F-99F7-4B17-9AA9-99B07D4855F1}"/>
            </a:ext>
          </a:extLst>
        </xdr:cNvPr>
        <xdr:cNvSpPr txBox="1"/>
      </xdr:nvSpPr>
      <xdr:spPr>
        <a:xfrm>
          <a:off x="5251450" y="1600200"/>
          <a:ext cx="7346950" cy="1822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u="none" strike="noStrike">
              <a:solidFill>
                <a:schemeClr val="dk1"/>
              </a:solidFill>
              <a:effectLst/>
              <a:latin typeface="+mn-lt"/>
              <a:ea typeface="+mn-ea"/>
              <a:cs typeface="+mn-cs"/>
            </a:rPr>
            <a:t>Reason for difference in critical radius could be that FD assumes heat flux through interface is constantly equal to the ground load over the surface area of the BH.</a:t>
          </a:r>
        </a:p>
        <a:p>
          <a:endParaRPr lang="en-GB" sz="1100" b="0" i="0" u="none" strike="noStrike">
            <a:solidFill>
              <a:schemeClr val="dk1"/>
            </a:solidFill>
            <a:effectLst/>
            <a:latin typeface="+mn-lt"/>
            <a:ea typeface="+mn-ea"/>
            <a:cs typeface="+mn-cs"/>
          </a:endParaRPr>
        </a:p>
        <a:p>
          <a:r>
            <a:rPr lang="en-GB" sz="1100" b="0" i="0" u="none" strike="noStrike">
              <a:solidFill>
                <a:schemeClr val="dk1"/>
              </a:solidFill>
              <a:effectLst/>
              <a:latin typeface="+mn-lt"/>
              <a:ea typeface="+mn-ea"/>
              <a:cs typeface="+mn-cs"/>
            </a:rPr>
            <a:t>This is unlikley to be true as return water through the pipe will gradually approach the temperature of the ground, reducing the temperature gradient between the grout and the ground and therefore the heat drawn. </a:t>
          </a:r>
        </a:p>
        <a:p>
          <a:endParaRPr lang="en-GB" sz="1100" b="0" i="0" u="none" strike="noStrike">
            <a:solidFill>
              <a:schemeClr val="dk1"/>
            </a:solidFill>
            <a:effectLst/>
            <a:latin typeface="+mn-lt"/>
            <a:ea typeface="+mn-ea"/>
            <a:cs typeface="+mn-cs"/>
          </a:endParaRPr>
        </a:p>
        <a:p>
          <a:r>
            <a:rPr lang="en-GB" sz="1100" b="0" i="0" u="none" strike="noStrike">
              <a:solidFill>
                <a:schemeClr val="dk1"/>
              </a:solidFill>
              <a:effectLst/>
              <a:latin typeface="+mn-lt"/>
              <a:ea typeface="+mn-ea"/>
              <a:cs typeface="+mn-cs"/>
            </a:rPr>
            <a:t>This is because the temp of the water in the inner loop will increase such that not as much heat is exchanged between the loops.</a:t>
          </a:r>
        </a:p>
        <a:p>
          <a:endParaRPr lang="en-GB" sz="1100" b="0" i="0" u="none" strike="noStrike">
            <a:solidFill>
              <a:schemeClr val="dk1"/>
            </a:solidFill>
            <a:effectLst/>
            <a:latin typeface="+mn-lt"/>
            <a:ea typeface="+mn-ea"/>
            <a:cs typeface="+mn-cs"/>
          </a:endParaRPr>
        </a:p>
        <a:p>
          <a:r>
            <a:rPr lang="en-GB" sz="1100" b="0" i="0" u="none" strike="noStrike">
              <a:solidFill>
                <a:schemeClr val="dk1"/>
              </a:solidFill>
              <a:effectLst/>
              <a:latin typeface="+mn-lt"/>
              <a:ea typeface="+mn-ea"/>
              <a:cs typeface="+mn-cs"/>
            </a:rPr>
            <a:t>Kensa recommend a spacing of 5-6m possibly due to ease of access and structural stability.</a:t>
          </a:r>
          <a:r>
            <a:rPr lang="en-GB" b="0"/>
            <a:t> </a:t>
          </a:r>
          <a:endParaRPr lang="en-GB" sz="1100" b="0" baseline="0"/>
        </a:p>
      </xdr:txBody>
    </xdr:sp>
    <xdr:clientData/>
  </xdr:twoCellAnchor>
  <xdr:twoCellAnchor editAs="oneCell">
    <xdr:from>
      <xdr:col>0</xdr:col>
      <xdr:colOff>621489</xdr:colOff>
      <xdr:row>32</xdr:row>
      <xdr:rowOff>54043</xdr:rowOff>
    </xdr:from>
    <xdr:to>
      <xdr:col>4</xdr:col>
      <xdr:colOff>271860</xdr:colOff>
      <xdr:row>56</xdr:row>
      <xdr:rowOff>129329</xdr:rowOff>
    </xdr:to>
    <xdr:pic>
      <xdr:nvPicPr>
        <xdr:cNvPr id="2" name="Picture 1">
          <a:extLst>
            <a:ext uri="{FF2B5EF4-FFF2-40B4-BE49-F238E27FC236}">
              <a16:creationId xmlns:a16="http://schemas.microsoft.com/office/drawing/2014/main" id="{AC225066-172E-8B60-BECC-C0C80B438EC6}"/>
            </a:ext>
          </a:extLst>
        </xdr:cNvPr>
        <xdr:cNvPicPr>
          <a:picLocks noChangeAspect="1"/>
        </xdr:cNvPicPr>
      </xdr:nvPicPr>
      <xdr:blipFill>
        <a:blip xmlns:r="http://schemas.openxmlformats.org/officeDocument/2006/relationships" r:embed="rId1"/>
        <a:stretch>
          <a:fillRect/>
        </a:stretch>
      </xdr:blipFill>
      <xdr:spPr>
        <a:xfrm>
          <a:off x="621489" y="6106809"/>
          <a:ext cx="4712357" cy="4614860"/>
        </a:xfrm>
        <a:prstGeom prst="rect">
          <a:avLst/>
        </a:prstGeom>
      </xdr:spPr>
    </xdr:pic>
    <xdr:clientData/>
  </xdr:twoCellAnchor>
  <xdr:twoCellAnchor editAs="oneCell">
    <xdr:from>
      <xdr:col>4</xdr:col>
      <xdr:colOff>540425</xdr:colOff>
      <xdr:row>30</xdr:row>
      <xdr:rowOff>90072</xdr:rowOff>
    </xdr:from>
    <xdr:to>
      <xdr:col>9</xdr:col>
      <xdr:colOff>366777</xdr:colOff>
      <xdr:row>55</xdr:row>
      <xdr:rowOff>61376</xdr:rowOff>
    </xdr:to>
    <xdr:pic>
      <xdr:nvPicPr>
        <xdr:cNvPr id="3" name="Picture 2">
          <a:extLst>
            <a:ext uri="{FF2B5EF4-FFF2-40B4-BE49-F238E27FC236}">
              <a16:creationId xmlns:a16="http://schemas.microsoft.com/office/drawing/2014/main" id="{88D4BCB0-1D9C-56CC-A08B-74C2CC0EC076}"/>
            </a:ext>
          </a:extLst>
        </xdr:cNvPr>
        <xdr:cNvPicPr>
          <a:picLocks noChangeAspect="1"/>
        </xdr:cNvPicPr>
      </xdr:nvPicPr>
      <xdr:blipFill>
        <a:blip xmlns:r="http://schemas.openxmlformats.org/officeDocument/2006/relationships" r:embed="rId2"/>
        <a:stretch>
          <a:fillRect/>
        </a:stretch>
      </xdr:blipFill>
      <xdr:spPr>
        <a:xfrm>
          <a:off x="5602411" y="5764540"/>
          <a:ext cx="5014437" cy="4700027"/>
        </a:xfrm>
        <a:prstGeom prst="rect">
          <a:avLst/>
        </a:prstGeom>
      </xdr:spPr>
    </xdr:pic>
    <xdr:clientData/>
  </xdr:twoCellAnchor>
  <xdr:twoCellAnchor editAs="oneCell">
    <xdr:from>
      <xdr:col>0</xdr:col>
      <xdr:colOff>945745</xdr:colOff>
      <xdr:row>59</xdr:row>
      <xdr:rowOff>117094</xdr:rowOff>
    </xdr:from>
    <xdr:to>
      <xdr:col>4</xdr:col>
      <xdr:colOff>252199</xdr:colOff>
      <xdr:row>78</xdr:row>
      <xdr:rowOff>186094</xdr:rowOff>
    </xdr:to>
    <xdr:pic>
      <xdr:nvPicPr>
        <xdr:cNvPr id="5" name="Picture 4">
          <a:extLst>
            <a:ext uri="{FF2B5EF4-FFF2-40B4-BE49-F238E27FC236}">
              <a16:creationId xmlns:a16="http://schemas.microsoft.com/office/drawing/2014/main" id="{907F5210-AE03-D2F3-5C18-A230E62DE934}"/>
            </a:ext>
          </a:extLst>
        </xdr:cNvPr>
        <xdr:cNvPicPr>
          <a:picLocks noChangeAspect="1"/>
        </xdr:cNvPicPr>
      </xdr:nvPicPr>
      <xdr:blipFill>
        <a:blip xmlns:r="http://schemas.openxmlformats.org/officeDocument/2006/relationships" r:embed="rId3"/>
        <a:stretch>
          <a:fillRect/>
        </a:stretch>
      </xdr:blipFill>
      <xdr:spPr>
        <a:xfrm>
          <a:off x="945745" y="11276881"/>
          <a:ext cx="4368440" cy="3662830"/>
        </a:xfrm>
        <a:prstGeom prst="rect">
          <a:avLst/>
        </a:prstGeom>
      </xdr:spPr>
    </xdr:pic>
    <xdr:clientData/>
  </xdr:twoCellAnchor>
  <xdr:twoCellAnchor editAs="oneCell">
    <xdr:from>
      <xdr:col>0</xdr:col>
      <xdr:colOff>765604</xdr:colOff>
      <xdr:row>83</xdr:row>
      <xdr:rowOff>119349</xdr:rowOff>
    </xdr:from>
    <xdr:to>
      <xdr:col>4</xdr:col>
      <xdr:colOff>189149</xdr:colOff>
      <xdr:row>103</xdr:row>
      <xdr:rowOff>51578</xdr:rowOff>
    </xdr:to>
    <xdr:pic>
      <xdr:nvPicPr>
        <xdr:cNvPr id="6" name="Picture 5">
          <a:extLst>
            <a:ext uri="{FF2B5EF4-FFF2-40B4-BE49-F238E27FC236}">
              <a16:creationId xmlns:a16="http://schemas.microsoft.com/office/drawing/2014/main" id="{4530292A-ADBF-E4BF-9841-7AF21588A155}"/>
            </a:ext>
          </a:extLst>
        </xdr:cNvPr>
        <xdr:cNvPicPr>
          <a:picLocks noChangeAspect="1"/>
        </xdr:cNvPicPr>
      </xdr:nvPicPr>
      <xdr:blipFill>
        <a:blip xmlns:r="http://schemas.openxmlformats.org/officeDocument/2006/relationships" r:embed="rId4"/>
        <a:stretch>
          <a:fillRect/>
        </a:stretch>
      </xdr:blipFill>
      <xdr:spPr>
        <a:xfrm>
          <a:off x="765604" y="15818711"/>
          <a:ext cx="4485531" cy="3715207"/>
        </a:xfrm>
        <a:prstGeom prst="rect">
          <a:avLst/>
        </a:prstGeom>
      </xdr:spPr>
    </xdr:pic>
    <xdr:clientData/>
  </xdr:twoCellAnchor>
  <xdr:twoCellAnchor editAs="oneCell">
    <xdr:from>
      <xdr:col>5</xdr:col>
      <xdr:colOff>45036</xdr:colOff>
      <xdr:row>84</xdr:row>
      <xdr:rowOff>72057</xdr:rowOff>
    </xdr:from>
    <xdr:to>
      <xdr:col>10</xdr:col>
      <xdr:colOff>323335</xdr:colOff>
      <xdr:row>102</xdr:row>
      <xdr:rowOff>27022</xdr:rowOff>
    </xdr:to>
    <xdr:pic>
      <xdr:nvPicPr>
        <xdr:cNvPr id="7" name="Picture 6">
          <a:extLst>
            <a:ext uri="{FF2B5EF4-FFF2-40B4-BE49-F238E27FC236}">
              <a16:creationId xmlns:a16="http://schemas.microsoft.com/office/drawing/2014/main" id="{0781C4B6-90E6-99FD-F074-47AC9F4849A0}"/>
            </a:ext>
          </a:extLst>
        </xdr:cNvPr>
        <xdr:cNvPicPr>
          <a:picLocks noChangeAspect="1"/>
        </xdr:cNvPicPr>
      </xdr:nvPicPr>
      <xdr:blipFill>
        <a:blip xmlns:r="http://schemas.openxmlformats.org/officeDocument/2006/relationships" r:embed="rId5"/>
        <a:stretch>
          <a:fillRect/>
        </a:stretch>
      </xdr:blipFill>
      <xdr:spPr>
        <a:xfrm>
          <a:off x="5782554" y="15960568"/>
          <a:ext cx="5466384" cy="3359645"/>
        </a:xfrm>
        <a:prstGeom prst="rect">
          <a:avLst/>
        </a:prstGeom>
      </xdr:spPr>
    </xdr:pic>
    <xdr:clientData/>
  </xdr:twoCellAnchor>
  <xdr:twoCellAnchor editAs="oneCell">
    <xdr:from>
      <xdr:col>5</xdr:col>
      <xdr:colOff>54042</xdr:colOff>
      <xdr:row>58</xdr:row>
      <xdr:rowOff>135107</xdr:rowOff>
    </xdr:from>
    <xdr:to>
      <xdr:col>11</xdr:col>
      <xdr:colOff>340</xdr:colOff>
      <xdr:row>77</xdr:row>
      <xdr:rowOff>108086</xdr:rowOff>
    </xdr:to>
    <xdr:pic>
      <xdr:nvPicPr>
        <xdr:cNvPr id="8" name="Picture 7">
          <a:extLst>
            <a:ext uri="{FF2B5EF4-FFF2-40B4-BE49-F238E27FC236}">
              <a16:creationId xmlns:a16="http://schemas.microsoft.com/office/drawing/2014/main" id="{BA97ED07-04C3-2E77-A830-1E6D4ECE7D9A}"/>
            </a:ext>
          </a:extLst>
        </xdr:cNvPr>
        <xdr:cNvPicPr>
          <a:picLocks noChangeAspect="1"/>
        </xdr:cNvPicPr>
      </xdr:nvPicPr>
      <xdr:blipFill>
        <a:blip xmlns:r="http://schemas.openxmlformats.org/officeDocument/2006/relationships" r:embed="rId6"/>
        <a:stretch>
          <a:fillRect/>
        </a:stretch>
      </xdr:blipFill>
      <xdr:spPr>
        <a:xfrm>
          <a:off x="5791560" y="11105745"/>
          <a:ext cx="5785071" cy="35668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152399</xdr:colOff>
      <xdr:row>20</xdr:row>
      <xdr:rowOff>127000</xdr:rowOff>
    </xdr:from>
    <xdr:to>
      <xdr:col>8</xdr:col>
      <xdr:colOff>339724</xdr:colOff>
      <xdr:row>23</xdr:row>
      <xdr:rowOff>101600</xdr:rowOff>
    </xdr:to>
    <xdr:pic>
      <xdr:nvPicPr>
        <xdr:cNvPr id="2" name="Picture 1">
          <a:extLst>
            <a:ext uri="{FF2B5EF4-FFF2-40B4-BE49-F238E27FC236}">
              <a16:creationId xmlns:a16="http://schemas.microsoft.com/office/drawing/2014/main" id="{AF70BC68-4C66-784B-17ED-4BA71F81222D}"/>
            </a:ext>
          </a:extLst>
        </xdr:cNvPr>
        <xdr:cNvPicPr>
          <a:picLocks noChangeAspect="1"/>
        </xdr:cNvPicPr>
      </xdr:nvPicPr>
      <xdr:blipFill>
        <a:blip xmlns:r="http://schemas.openxmlformats.org/officeDocument/2006/relationships" r:embed="rId1"/>
        <a:stretch>
          <a:fillRect/>
        </a:stretch>
      </xdr:blipFill>
      <xdr:spPr>
        <a:xfrm>
          <a:off x="6819899" y="4483100"/>
          <a:ext cx="3959225" cy="546100"/>
        </a:xfrm>
        <a:prstGeom prst="rect">
          <a:avLst/>
        </a:prstGeom>
      </xdr:spPr>
    </xdr:pic>
    <xdr:clientData/>
  </xdr:twoCellAnchor>
  <xdr:twoCellAnchor editAs="oneCell">
    <xdr:from>
      <xdr:col>4</xdr:col>
      <xdr:colOff>152400</xdr:colOff>
      <xdr:row>39</xdr:row>
      <xdr:rowOff>12700</xdr:rowOff>
    </xdr:from>
    <xdr:to>
      <xdr:col>8</xdr:col>
      <xdr:colOff>492312</xdr:colOff>
      <xdr:row>41</xdr:row>
      <xdr:rowOff>177800</xdr:rowOff>
    </xdr:to>
    <xdr:pic>
      <xdr:nvPicPr>
        <xdr:cNvPr id="3" name="Picture 2">
          <a:extLst>
            <a:ext uri="{FF2B5EF4-FFF2-40B4-BE49-F238E27FC236}">
              <a16:creationId xmlns:a16="http://schemas.microsoft.com/office/drawing/2014/main" id="{EC648116-6CD5-6819-08D5-4CB764CAE8CD}"/>
            </a:ext>
          </a:extLst>
        </xdr:cNvPr>
        <xdr:cNvPicPr>
          <a:picLocks noChangeAspect="1"/>
        </xdr:cNvPicPr>
      </xdr:nvPicPr>
      <xdr:blipFill>
        <a:blip xmlns:r="http://schemas.openxmlformats.org/officeDocument/2006/relationships" r:embed="rId2"/>
        <a:stretch>
          <a:fillRect/>
        </a:stretch>
      </xdr:blipFill>
      <xdr:spPr>
        <a:xfrm>
          <a:off x="6819900" y="8102600"/>
          <a:ext cx="4111812" cy="546100"/>
        </a:xfrm>
        <a:prstGeom prst="rect">
          <a:avLst/>
        </a:prstGeom>
      </xdr:spPr>
    </xdr:pic>
    <xdr:clientData/>
  </xdr:twoCellAnchor>
  <xdr:twoCellAnchor editAs="oneCell">
    <xdr:from>
      <xdr:col>4</xdr:col>
      <xdr:colOff>203201</xdr:colOff>
      <xdr:row>78</xdr:row>
      <xdr:rowOff>38100</xdr:rowOff>
    </xdr:from>
    <xdr:to>
      <xdr:col>8</xdr:col>
      <xdr:colOff>825501</xdr:colOff>
      <xdr:row>113</xdr:row>
      <xdr:rowOff>121690</xdr:rowOff>
    </xdr:to>
    <xdr:pic>
      <xdr:nvPicPr>
        <xdr:cNvPr id="4" name="Picture 3">
          <a:extLst>
            <a:ext uri="{FF2B5EF4-FFF2-40B4-BE49-F238E27FC236}">
              <a16:creationId xmlns:a16="http://schemas.microsoft.com/office/drawing/2014/main" id="{C5DF6EE0-6F1D-B944-A7CA-FAC81D0C6ACA}"/>
            </a:ext>
          </a:extLst>
        </xdr:cNvPr>
        <xdr:cNvPicPr>
          <a:picLocks noChangeAspect="1"/>
        </xdr:cNvPicPr>
      </xdr:nvPicPr>
      <xdr:blipFill>
        <a:blip xmlns:r="http://schemas.openxmlformats.org/officeDocument/2006/relationships" r:embed="rId3"/>
        <a:stretch>
          <a:fillRect/>
        </a:stretch>
      </xdr:blipFill>
      <xdr:spPr>
        <a:xfrm>
          <a:off x="6870701" y="15748000"/>
          <a:ext cx="4394200" cy="6751090"/>
        </a:xfrm>
        <a:prstGeom prst="rect">
          <a:avLst/>
        </a:prstGeom>
      </xdr:spPr>
    </xdr:pic>
    <xdr:clientData/>
  </xdr:twoCellAnchor>
  <xdr:twoCellAnchor>
    <xdr:from>
      <xdr:col>4</xdr:col>
      <xdr:colOff>114300</xdr:colOff>
      <xdr:row>64</xdr:row>
      <xdr:rowOff>114300</xdr:rowOff>
    </xdr:from>
    <xdr:to>
      <xdr:col>7</xdr:col>
      <xdr:colOff>292100</xdr:colOff>
      <xdr:row>76</xdr:row>
      <xdr:rowOff>165100</xdr:rowOff>
    </xdr:to>
    <xdr:sp macro="" textlink="">
      <xdr:nvSpPr>
        <xdr:cNvPr id="5" name="TextBox 4">
          <a:extLst>
            <a:ext uri="{FF2B5EF4-FFF2-40B4-BE49-F238E27FC236}">
              <a16:creationId xmlns:a16="http://schemas.microsoft.com/office/drawing/2014/main" id="{30FBB037-F53D-FA2F-4CF0-4D4F9F76F683}"/>
            </a:ext>
          </a:extLst>
        </xdr:cNvPr>
        <xdr:cNvSpPr txBox="1"/>
      </xdr:nvSpPr>
      <xdr:spPr>
        <a:xfrm>
          <a:off x="6781800" y="13119100"/>
          <a:ext cx="3124200" cy="237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VAT</a:t>
          </a:r>
          <a:r>
            <a:rPr lang="en-GB" sz="1100" baseline="0"/>
            <a:t> is unlikely to be 20% for the whole project, and more likely 5% for most of it due to green tax incentives, however i am not a sustainability tax consultant and dont know the details, also it might be a little high resolutio for this project</a:t>
          </a:r>
        </a:p>
        <a:p>
          <a:endParaRPr lang="en-GB" sz="1100" baseline="0"/>
        </a:p>
        <a:p>
          <a:r>
            <a:rPr lang="en-GB" sz="1100" baseline="0"/>
            <a:t>imo it is better to overshoot and claim reasons above and say it gives a nice safety buffer.</a:t>
          </a:r>
          <a:endParaRPr lang="en-GB" sz="1100"/>
        </a:p>
      </xdr:txBody>
    </xdr:sp>
    <xdr:clientData/>
  </xdr:twoCellAnchor>
  <xdr:twoCellAnchor editAs="oneCell">
    <xdr:from>
      <xdr:col>12</xdr:col>
      <xdr:colOff>685800</xdr:colOff>
      <xdr:row>33</xdr:row>
      <xdr:rowOff>0</xdr:rowOff>
    </xdr:from>
    <xdr:to>
      <xdr:col>20</xdr:col>
      <xdr:colOff>393700</xdr:colOff>
      <xdr:row>51</xdr:row>
      <xdr:rowOff>152400</xdr:rowOff>
    </xdr:to>
    <xdr:pic>
      <xdr:nvPicPr>
        <xdr:cNvPr id="6" name="Picture 5">
          <a:extLst>
            <a:ext uri="{FF2B5EF4-FFF2-40B4-BE49-F238E27FC236}">
              <a16:creationId xmlns:a16="http://schemas.microsoft.com/office/drawing/2014/main" id="{7AD4B645-FA67-F2CE-F523-02037034DDE6}"/>
            </a:ext>
          </a:extLst>
        </xdr:cNvPr>
        <xdr:cNvPicPr>
          <a:picLocks noChangeAspect="1"/>
        </xdr:cNvPicPr>
      </xdr:nvPicPr>
      <xdr:blipFill>
        <a:blip xmlns:r="http://schemas.openxmlformats.org/officeDocument/2006/relationships" r:embed="rId4"/>
        <a:stretch>
          <a:fillRect/>
        </a:stretch>
      </xdr:blipFill>
      <xdr:spPr>
        <a:xfrm>
          <a:off x="14986000" y="6832600"/>
          <a:ext cx="6311900" cy="3695700"/>
        </a:xfrm>
        <a:prstGeom prst="rect">
          <a:avLst/>
        </a:prstGeom>
      </xdr:spPr>
    </xdr:pic>
    <xdr:clientData/>
  </xdr:twoCellAnchor>
  <xdr:twoCellAnchor editAs="oneCell">
    <xdr:from>
      <xdr:col>12</xdr:col>
      <xdr:colOff>727226</xdr:colOff>
      <xdr:row>12</xdr:row>
      <xdr:rowOff>76200</xdr:rowOff>
    </xdr:from>
    <xdr:to>
      <xdr:col>19</xdr:col>
      <xdr:colOff>254000</xdr:colOff>
      <xdr:row>31</xdr:row>
      <xdr:rowOff>0</xdr:rowOff>
    </xdr:to>
    <xdr:pic>
      <xdr:nvPicPr>
        <xdr:cNvPr id="7" name="Picture 6">
          <a:extLst>
            <a:ext uri="{FF2B5EF4-FFF2-40B4-BE49-F238E27FC236}">
              <a16:creationId xmlns:a16="http://schemas.microsoft.com/office/drawing/2014/main" id="{437D1720-F374-7E6E-9B1C-A9238DEBEBA4}"/>
            </a:ext>
          </a:extLst>
        </xdr:cNvPr>
        <xdr:cNvPicPr>
          <a:picLocks noChangeAspect="1"/>
        </xdr:cNvPicPr>
      </xdr:nvPicPr>
      <xdr:blipFill>
        <a:blip xmlns:r="http://schemas.openxmlformats.org/officeDocument/2006/relationships" r:embed="rId5"/>
        <a:stretch>
          <a:fillRect/>
        </a:stretch>
      </xdr:blipFill>
      <xdr:spPr>
        <a:xfrm>
          <a:off x="15027426" y="2514600"/>
          <a:ext cx="5305274" cy="4051300"/>
        </a:xfrm>
        <a:prstGeom prst="rect">
          <a:avLst/>
        </a:prstGeom>
      </xdr:spPr>
    </xdr:pic>
    <xdr:clientData/>
  </xdr:twoCellAnchor>
  <xdr:twoCellAnchor editAs="oneCell">
    <xdr:from>
      <xdr:col>12</xdr:col>
      <xdr:colOff>698500</xdr:colOff>
      <xdr:row>52</xdr:row>
      <xdr:rowOff>139700</xdr:rowOff>
    </xdr:from>
    <xdr:to>
      <xdr:col>20</xdr:col>
      <xdr:colOff>393700</xdr:colOff>
      <xdr:row>71</xdr:row>
      <xdr:rowOff>0</xdr:rowOff>
    </xdr:to>
    <xdr:pic>
      <xdr:nvPicPr>
        <xdr:cNvPr id="8" name="Picture 7">
          <a:extLst>
            <a:ext uri="{FF2B5EF4-FFF2-40B4-BE49-F238E27FC236}">
              <a16:creationId xmlns:a16="http://schemas.microsoft.com/office/drawing/2014/main" id="{D6CCD34C-9D52-C3E0-0526-05D2B7F763F8}"/>
            </a:ext>
          </a:extLst>
        </xdr:cNvPr>
        <xdr:cNvPicPr>
          <a:picLocks noChangeAspect="1"/>
        </xdr:cNvPicPr>
      </xdr:nvPicPr>
      <xdr:blipFill>
        <a:blip xmlns:r="http://schemas.openxmlformats.org/officeDocument/2006/relationships" r:embed="rId6"/>
        <a:stretch>
          <a:fillRect/>
        </a:stretch>
      </xdr:blipFill>
      <xdr:spPr>
        <a:xfrm>
          <a:off x="14579600" y="10706100"/>
          <a:ext cx="6299200" cy="3657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8</xdr:col>
      <xdr:colOff>107626</xdr:colOff>
      <xdr:row>119</xdr:row>
      <xdr:rowOff>2087</xdr:rowOff>
    </xdr:from>
    <xdr:to>
      <xdr:col>15</xdr:col>
      <xdr:colOff>852985</xdr:colOff>
      <xdr:row>145</xdr:row>
      <xdr:rowOff>37910</xdr:rowOff>
    </xdr:to>
    <xdr:graphicFrame macro="">
      <xdr:nvGraphicFramePr>
        <xdr:cNvPr id="3" name="Chart 2">
          <a:extLst>
            <a:ext uri="{FF2B5EF4-FFF2-40B4-BE49-F238E27FC236}">
              <a16:creationId xmlns:a16="http://schemas.microsoft.com/office/drawing/2014/main" id="{CBD35482-BA17-147F-9B8E-0EF7C94662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152399</xdr:colOff>
      <xdr:row>20</xdr:row>
      <xdr:rowOff>127000</xdr:rowOff>
    </xdr:from>
    <xdr:to>
      <xdr:col>8</xdr:col>
      <xdr:colOff>682624</xdr:colOff>
      <xdr:row>23</xdr:row>
      <xdr:rowOff>101600</xdr:rowOff>
    </xdr:to>
    <xdr:pic>
      <xdr:nvPicPr>
        <xdr:cNvPr id="7" name="Picture 6">
          <a:extLst>
            <a:ext uri="{FF2B5EF4-FFF2-40B4-BE49-F238E27FC236}">
              <a16:creationId xmlns:a16="http://schemas.microsoft.com/office/drawing/2014/main" id="{65C2EFD5-B4C5-AA41-B9F4-553744F44E12}"/>
            </a:ext>
          </a:extLst>
        </xdr:cNvPr>
        <xdr:cNvPicPr>
          <a:picLocks noChangeAspect="1"/>
        </xdr:cNvPicPr>
      </xdr:nvPicPr>
      <xdr:blipFill>
        <a:blip xmlns:r="http://schemas.openxmlformats.org/officeDocument/2006/relationships" r:embed="rId2"/>
        <a:stretch>
          <a:fillRect/>
        </a:stretch>
      </xdr:blipFill>
      <xdr:spPr>
        <a:xfrm>
          <a:off x="10540999" y="4787900"/>
          <a:ext cx="3959225" cy="546100"/>
        </a:xfrm>
        <a:prstGeom prst="rect">
          <a:avLst/>
        </a:prstGeom>
      </xdr:spPr>
    </xdr:pic>
    <xdr:clientData/>
  </xdr:twoCellAnchor>
  <xdr:twoCellAnchor editAs="oneCell">
    <xdr:from>
      <xdr:col>4</xdr:col>
      <xdr:colOff>152400</xdr:colOff>
      <xdr:row>39</xdr:row>
      <xdr:rowOff>12700</xdr:rowOff>
    </xdr:from>
    <xdr:to>
      <xdr:col>8</xdr:col>
      <xdr:colOff>751225</xdr:colOff>
      <xdr:row>42</xdr:row>
      <xdr:rowOff>1411</xdr:rowOff>
    </xdr:to>
    <xdr:pic>
      <xdr:nvPicPr>
        <xdr:cNvPr id="8" name="Picture 7">
          <a:extLst>
            <a:ext uri="{FF2B5EF4-FFF2-40B4-BE49-F238E27FC236}">
              <a16:creationId xmlns:a16="http://schemas.microsoft.com/office/drawing/2014/main" id="{F7C33D02-9F62-6E40-98AB-C90630638F8B}"/>
            </a:ext>
          </a:extLst>
        </xdr:cNvPr>
        <xdr:cNvPicPr>
          <a:picLocks noChangeAspect="1"/>
        </xdr:cNvPicPr>
      </xdr:nvPicPr>
      <xdr:blipFill>
        <a:blip xmlns:r="http://schemas.openxmlformats.org/officeDocument/2006/relationships" r:embed="rId3"/>
        <a:stretch>
          <a:fillRect/>
        </a:stretch>
      </xdr:blipFill>
      <xdr:spPr>
        <a:xfrm>
          <a:off x="10541000" y="8521700"/>
          <a:ext cx="4111812" cy="546100"/>
        </a:xfrm>
        <a:prstGeom prst="rect">
          <a:avLst/>
        </a:prstGeom>
      </xdr:spPr>
    </xdr:pic>
    <xdr:clientData/>
  </xdr:twoCellAnchor>
  <xdr:twoCellAnchor>
    <xdr:from>
      <xdr:col>3</xdr:col>
      <xdr:colOff>838200</xdr:colOff>
      <xdr:row>78</xdr:row>
      <xdr:rowOff>165100</xdr:rowOff>
    </xdr:from>
    <xdr:to>
      <xdr:col>7</xdr:col>
      <xdr:colOff>139700</xdr:colOff>
      <xdr:row>91</xdr:row>
      <xdr:rowOff>63500</xdr:rowOff>
    </xdr:to>
    <xdr:sp macro="" textlink="">
      <xdr:nvSpPr>
        <xdr:cNvPr id="9" name="TextBox 8">
          <a:extLst>
            <a:ext uri="{FF2B5EF4-FFF2-40B4-BE49-F238E27FC236}">
              <a16:creationId xmlns:a16="http://schemas.microsoft.com/office/drawing/2014/main" id="{29D75409-4BA7-3C4B-8752-FE80FBC490E4}"/>
            </a:ext>
          </a:extLst>
        </xdr:cNvPr>
        <xdr:cNvSpPr txBox="1"/>
      </xdr:nvSpPr>
      <xdr:spPr>
        <a:xfrm>
          <a:off x="10820400" y="15722600"/>
          <a:ext cx="2895600" cy="237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VAT</a:t>
          </a:r>
          <a:r>
            <a:rPr lang="en-GB" sz="1100" baseline="0"/>
            <a:t> is unlikely to be 20% for the whole project, and more likely 5% for most of it due to green tax incentives, however i am not a sustainability tax consultant and dont know the details, also it might be a little high resolutio for this project</a:t>
          </a:r>
        </a:p>
      </xdr:txBody>
    </xdr:sp>
    <xdr:clientData/>
  </xdr:twoCellAnchor>
  <xdr:twoCellAnchor>
    <xdr:from>
      <xdr:col>14</xdr:col>
      <xdr:colOff>444500</xdr:colOff>
      <xdr:row>13</xdr:row>
      <xdr:rowOff>241300</xdr:rowOff>
    </xdr:from>
    <xdr:to>
      <xdr:col>19</xdr:col>
      <xdr:colOff>720105</xdr:colOff>
      <xdr:row>23</xdr:row>
      <xdr:rowOff>62186</xdr:rowOff>
    </xdr:to>
    <xdr:sp macro="" textlink="">
      <xdr:nvSpPr>
        <xdr:cNvPr id="5" name="Rectangle 4">
          <a:extLst>
            <a:ext uri="{FF2B5EF4-FFF2-40B4-BE49-F238E27FC236}">
              <a16:creationId xmlns:a16="http://schemas.microsoft.com/office/drawing/2014/main" id="{D5AAC627-9E1E-B244-8A5A-F5FB01031F89}"/>
            </a:ext>
          </a:extLst>
        </xdr:cNvPr>
        <xdr:cNvSpPr/>
      </xdr:nvSpPr>
      <xdr:spPr>
        <a:xfrm>
          <a:off x="20447000" y="3302000"/>
          <a:ext cx="4657105" cy="1992586"/>
        </a:xfrm>
        <a:prstGeom prst="rect">
          <a:avLst/>
        </a:prstGeom>
        <a:noFill/>
        <a:ln w="762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604630</xdr:colOff>
      <xdr:row>146</xdr:row>
      <xdr:rowOff>102023</xdr:rowOff>
    </xdr:from>
    <xdr:to>
      <xdr:col>24</xdr:col>
      <xdr:colOff>609600</xdr:colOff>
      <xdr:row>179</xdr:row>
      <xdr:rowOff>114300</xdr:rowOff>
    </xdr:to>
    <xdr:graphicFrame macro="">
      <xdr:nvGraphicFramePr>
        <xdr:cNvPr id="2" name="Chart 1">
          <a:extLst>
            <a:ext uri="{FF2B5EF4-FFF2-40B4-BE49-F238E27FC236}">
              <a16:creationId xmlns:a16="http://schemas.microsoft.com/office/drawing/2014/main" id="{216CBA87-16BB-5747-B872-25D8C00F9E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126999</xdr:colOff>
      <xdr:row>42</xdr:row>
      <xdr:rowOff>12700</xdr:rowOff>
    </xdr:from>
    <xdr:to>
      <xdr:col>18</xdr:col>
      <xdr:colOff>6260</xdr:colOff>
      <xdr:row>61</xdr:row>
      <xdr:rowOff>103840</xdr:rowOff>
    </xdr:to>
    <xdr:pic>
      <xdr:nvPicPr>
        <xdr:cNvPr id="3" name="Picture 2">
          <a:extLst>
            <a:ext uri="{FF2B5EF4-FFF2-40B4-BE49-F238E27FC236}">
              <a16:creationId xmlns:a16="http://schemas.microsoft.com/office/drawing/2014/main" id="{BCF076CF-C32F-D989-B3E3-DAC909AA6648}"/>
            </a:ext>
          </a:extLst>
        </xdr:cNvPr>
        <xdr:cNvPicPr>
          <a:picLocks noChangeAspect="1"/>
        </xdr:cNvPicPr>
      </xdr:nvPicPr>
      <xdr:blipFill>
        <a:blip xmlns:r="http://schemas.openxmlformats.org/officeDocument/2006/relationships" r:embed="rId2"/>
        <a:stretch>
          <a:fillRect/>
        </a:stretch>
      </xdr:blipFill>
      <xdr:spPr>
        <a:xfrm>
          <a:off x="14770099" y="203200"/>
          <a:ext cx="6746689" cy="3911600"/>
        </a:xfrm>
        <a:prstGeom prst="rect">
          <a:avLst/>
        </a:prstGeom>
      </xdr:spPr>
    </xdr:pic>
    <xdr:clientData/>
  </xdr:twoCellAnchor>
  <xdr:twoCellAnchor>
    <xdr:from>
      <xdr:col>25</xdr:col>
      <xdr:colOff>431800</xdr:colOff>
      <xdr:row>146</xdr:row>
      <xdr:rowOff>127000</xdr:rowOff>
    </xdr:from>
    <xdr:to>
      <xdr:col>41</xdr:col>
      <xdr:colOff>551070</xdr:colOff>
      <xdr:row>179</xdr:row>
      <xdr:rowOff>139277</xdr:rowOff>
    </xdr:to>
    <xdr:graphicFrame macro="">
      <xdr:nvGraphicFramePr>
        <xdr:cNvPr id="4" name="Chart 3">
          <a:extLst>
            <a:ext uri="{FF2B5EF4-FFF2-40B4-BE49-F238E27FC236}">
              <a16:creationId xmlns:a16="http://schemas.microsoft.com/office/drawing/2014/main" id="{886D0097-3B25-FD46-852B-DA2B480EBD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uob-my.sharepoint.com/personal/kw20047_bristol_ac_uk/Documents/Y4%20Uni%20Work/REfaSF/Barton%20House%20-%20Financial%20Modelling%20Tool.xlsx" TargetMode="External"/><Relationship Id="rId1" Type="http://schemas.openxmlformats.org/officeDocument/2006/relationships/externalLinkPath" Target="Barton%20House%20-%20Financial%20Modelling%20Too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troduction"/>
      <sheetName val="Tool Interface"/>
      <sheetName val="Selector"/>
      <sheetName val="Financial integrator Tech Det"/>
      <sheetName val="GSHP CAPEX"/>
      <sheetName val="Simple Payback"/>
      <sheetName val="Cashflow"/>
      <sheetName val="1200BH"/>
      <sheetName val="1800BH"/>
      <sheetName val="2400BH"/>
      <sheetName val="3000BH"/>
      <sheetName val="3600BH"/>
      <sheetName val="1200SL"/>
      <sheetName val="1800SL"/>
      <sheetName val="2400SL"/>
      <sheetName val="3000SL"/>
      <sheetName val="3600SL"/>
    </sheetNames>
    <sheetDataSet>
      <sheetData sheetId="0"/>
      <sheetData sheetId="1"/>
      <sheetData sheetId="2"/>
      <sheetData sheetId="3"/>
      <sheetData sheetId="4"/>
      <sheetData sheetId="5">
        <row r="3">
          <cell r="K3">
            <v>2.5000000000000001E-2</v>
          </cell>
        </row>
        <row r="4">
          <cell r="K4">
            <v>0.04</v>
          </cell>
        </row>
        <row r="5">
          <cell r="K5">
            <v>2.4E-2</v>
          </cell>
        </row>
      </sheetData>
      <sheetData sheetId="6"/>
      <sheetData sheetId="7"/>
      <sheetData sheetId="8"/>
      <sheetData sheetId="9"/>
      <sheetData sheetId="10"/>
      <sheetData sheetId="11"/>
      <sheetData sheetId="12"/>
      <sheetData sheetId="13"/>
      <sheetData sheetId="14"/>
      <sheetData sheetId="15"/>
      <sheetData sheetId="16"/>
    </sheetDataSet>
  </externalBook>
</externalLink>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D8641CB-D974-644B-BFFC-8C1110D19D9E}" name="Table1" displayName="Table1" ref="U108:AP148" totalsRowShown="0" headerRowDxfId="16">
  <autoFilter ref="U108:AP148" xr:uid="{AD8641CB-D974-644B-BFFC-8C1110D19D9E}"/>
  <sortState xmlns:xlrd2="http://schemas.microsoft.com/office/spreadsheetml/2017/richdata2" ref="U109:AP148">
    <sortCondition ref="AP108:AP148"/>
  </sortState>
  <tableColumns count="22">
    <tableColumn id="1" xr3:uid="{E755855F-588F-E74C-9880-E64EFA93BB4A}" name="Index"/>
    <tableColumn id="2" xr3:uid="{5B0DC885-00CF-D541-B067-2EA73AE48B93}" name="L"/>
    <tableColumn id="3" xr3:uid="{549AEBA9-21BB-1E4F-9A54-C638BC19EBA9}" name="n"/>
    <tableColumn id="4" xr3:uid="{3EA5AC94-233D-DF46-8037-37CF5FECBC75}" name="k_s"/>
    <tableColumn id="5" xr3:uid="{7BC6887B-D320-A341-AD64-46C6DF8D7C98}" name="alpha_s" dataDxfId="15"/>
    <tableColumn id="20" xr3:uid="{3C586708-8489-484C-BC85-F98BF5EDB5D8}" name="alpha_s between range?" dataDxfId="14">
      <calculatedColumnFormula>IF(OR(Table1[[#This Row],[alpha_s]]&lt;$AP$96, Table1[[#This Row],[alpha_s]]&gt;$AP$97),"no","yes")</calculatedColumnFormula>
    </tableColumn>
    <tableColumn id="6" xr3:uid="{35A3EA35-BB60-E741-A3B6-97756C1341B5}" name="capacity"/>
    <tableColumn id="7" xr3:uid="{D81515F9-7752-3249-B3D6-94F16DD2A3A2}" name="fd"/>
    <tableColumn id="8" xr3:uid="{4239F8E3-CC67-6A40-B89E-27C2CB420584}" name="r_crit"/>
    <tableColumn id="9" xr3:uid="{F31BCEF7-32FD-0A44-8642-EBB74F6C0F37}" name="A_bh">
      <calculatedColumnFormula>(2*AC109)^2</calculatedColumnFormula>
    </tableColumn>
    <tableColumn id="10" xr3:uid="{3EEE3F5A-8F79-EF4F-B2C2-C1CD1CB959FD}" name="A_tot">
      <calculatedColumnFormula>AD109*W109</calculatedColumnFormula>
    </tableColumn>
    <tableColumn id="21" xr3:uid="{165FCD65-74BD-D34C-8CE3-04CA5AF8A61E}" name="A_tot &gt; 1900?" dataDxfId="13">
      <calculatedColumnFormula>IF(Table1[[#This Row],[A_tot]]&gt;1900,"yes", "no")</calculatedColumnFormula>
    </tableColumn>
    <tableColumn id="11" xr3:uid="{5341A389-8883-5D46-9C63-DEE89ADF05FF}" name="A_kensa">
      <calculatedColumnFormula>(5.5^2)*W109</calculatedColumnFormula>
    </tableColumn>
    <tableColumn id="22" xr3:uid="{5CD295F2-F93A-5643-B28F-6124493DB862}" name="A_kensa &gt; 1900?" dataDxfId="12">
      <calculatedColumnFormula>IF(Table1[[#This Row],[A_kensa]]&gt;1900, "yes", "no")</calculatedColumnFormula>
    </tableColumn>
    <tableColumn id="16" xr3:uid="{64F74C39-F7EE-AA4D-8745-6250B5676F3B}" name="Drilling Costs, Pre-tax, Dec 2018 (Eqn 1)" dataDxfId="11">
      <calculatedColumnFormula>($I$28+($I$29*(Table1[[#This Row],[L]]^2))+$I$30)*(Table1[[#This Row],[n]]*Table1[[#This Row],[L]])+$I$27</calculatedColumnFormula>
    </tableColumn>
    <tableColumn id="12" xr3:uid="{18D5233E-1881-5447-A18D-9495F349285A}" name="Installation Costs, Pre-Tax, Dec 2018 (Eqn 2)" dataDxfId="10">
      <calculatedColumnFormula>((1.5*$I$47*$I$52-($I$28+($I$29*(V109^2))+$I$30))*V109*W109)</calculatedColumnFormula>
    </tableColumn>
    <tableColumn id="17" xr3:uid="{29043130-72EE-F949-9B53-853FC1BFFD5D}" name="Total, Pre-Tax, Dec 2018" dataDxfId="9">
      <calculatedColumnFormula>Table1[[#This Row],[Installation Costs, Pre-Tax, Dec 2018 (Eqn 2)]]+Table1[[#This Row],[Drilling Costs, Pre-tax, Dec 2018 (Eqn 1)]]</calculatedColumnFormula>
    </tableColumn>
    <tableColumn id="18" xr3:uid="{AF51F3F9-E6CC-1048-AC13-24F0E284A900}" name="Total, Pre-Tax, Oct 2024" dataDxfId="8">
      <calculatedColumnFormula>Table1[[#This Row],[Total, Pre-Tax, Dec 2018]]*(1+AVERAGE($I$73,$I$74))</calculatedColumnFormula>
    </tableColumn>
    <tableColumn id="19" xr3:uid="{D51E765C-52B2-8345-81F2-CB20B1BB7DBC}" name="Total, Pre-Tax, Oct 2029 (5 Years Time)" dataDxfId="7">
      <calculatedColumnFormula>Table1[[#This Row],[Total, Pre-Tax, Oct 2024]]*1.15</calculatedColumnFormula>
    </tableColumn>
    <tableColumn id="13" xr3:uid="{97356C3D-D153-BA4F-A6F4-6FF1CE735BE3}" name="Number of Boreholes - Normalised" dataDxfId="6">
      <calculatedColumnFormula>Table1[[#This Row],[n]]/MAX(Table1[n])</calculatedColumnFormula>
    </tableColumn>
    <tableColumn id="14" xr3:uid="{5A061860-A2E5-D840-A149-9F82A730E204}" name="Cost - Normalised" dataDxfId="5">
      <calculatedColumnFormula>Table1[[#This Row],[Total, Pre-Tax, Oct 2024]]/MAX(Table1[Total, Pre-Tax, Oct 2024])</calculatedColumnFormula>
    </tableColumn>
    <tableColumn id="15" xr3:uid="{4B19D28F-99E2-9644-8969-E5DD030312DB}" name="Objective Function" dataDxfId="4">
      <calculatedColumnFormula>(0.4*Table1[[#This Row],[Number of Boreholes - Normalised]])+(0.6*Table1[[#This Row],[Cost - Normalised]])</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diva-portal.org/smash/get/diva2:1269108/FULLTEXT01.pdf" TargetMode="External"/></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hyperlink" Target="https://www.diva-portal.org/smash/get/diva2:1269108/FULLTEXT01.pdf"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myjobquote.co.uk/costs/cost-to-get-your-boiler-serviced" TargetMode="External"/><Relationship Id="rId13" Type="http://schemas.openxmlformats.org/officeDocument/2006/relationships/vmlDrawing" Target="../drawings/vmlDrawing1.vml"/><Relationship Id="rId3" Type="http://schemas.openxmlformats.org/officeDocument/2006/relationships/hyperlink" Target="https://taxsummaries.pwc.com/united-kingdom/corporate/other-taxes" TargetMode="External"/><Relationship Id="rId7" Type="http://schemas.openxmlformats.org/officeDocument/2006/relationships/hyperlink" Target="https://www.bankofengland.co.uk/monetary-policy/inflation/inflation-calculator" TargetMode="External"/><Relationship Id="rId12" Type="http://schemas.openxmlformats.org/officeDocument/2006/relationships/drawing" Target="../drawings/drawing4.xml"/><Relationship Id="rId2" Type="http://schemas.openxmlformats.org/officeDocument/2006/relationships/hyperlink" Target="https://www.salixfinance.co.uk/sites/default/files/2024-03/Royal%20Museums%20Greenwich%20-%20HDP.pdf" TargetMode="External"/><Relationship Id="rId1" Type="http://schemas.openxmlformats.org/officeDocument/2006/relationships/hyperlink" Target="https://www.energy.wsu.edu/Documents/geo_heat_pumps.pdf" TargetMode="External"/><Relationship Id="rId6" Type="http://schemas.openxmlformats.org/officeDocument/2006/relationships/hyperlink" Target="https://www.salixfinance.co.uk/sites/default/files/2024-03/Royal%20Museums%20Greenwich%20-%20HDP.pdf" TargetMode="External"/><Relationship Id="rId11" Type="http://schemas.openxmlformats.org/officeDocument/2006/relationships/hyperlink" Target="https://www.hasteco.com/immersion-heater-costs/" TargetMode="External"/><Relationship Id="rId5" Type="http://schemas.openxmlformats.org/officeDocument/2006/relationships/hyperlink" Target="https://www.iea.org/articles/the-cost-of-capital-in-clean-energy-transitions" TargetMode="External"/><Relationship Id="rId10" Type="http://schemas.openxmlformats.org/officeDocument/2006/relationships/hyperlink" Target="https://easyflow.co.uk/services/immersion-heater-replacement" TargetMode="External"/><Relationship Id="rId4" Type="http://schemas.openxmlformats.org/officeDocument/2006/relationships/hyperlink" Target="https://www.statista.com/statistics/306720/cpi-rate-forecast-uk/" TargetMode="External"/><Relationship Id="rId9" Type="http://schemas.openxmlformats.org/officeDocument/2006/relationships/hyperlink" Target="https://tradingeconomics.com/united-kingdom/energy-inflation" TargetMode="External"/><Relationship Id="rId1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27"/>
  <sheetViews>
    <sheetView tabSelected="1" zoomScale="85" workbookViewId="0">
      <selection activeCell="B12" sqref="B12"/>
    </sheetView>
  </sheetViews>
  <sheetFormatPr defaultColWidth="8.81640625" defaultRowHeight="14.5" x14ac:dyDescent="0.35"/>
  <cols>
    <col min="1" max="1" width="39.81640625" bestFit="1" customWidth="1"/>
    <col min="6" max="6" width="32.6328125" bestFit="1" customWidth="1"/>
    <col min="17" max="17" width="8.36328125" customWidth="1"/>
    <col min="18" max="18" width="9.81640625" customWidth="1"/>
  </cols>
  <sheetData>
    <row r="1" spans="1:28" s="1" customFormat="1" x14ac:dyDescent="0.35">
      <c r="A1" s="2" t="s">
        <v>0</v>
      </c>
      <c r="F1" s="1" t="s">
        <v>1</v>
      </c>
      <c r="G1">
        <v>10</v>
      </c>
      <c r="H1">
        <v>20</v>
      </c>
      <c r="I1">
        <v>30</v>
      </c>
      <c r="J1">
        <v>40</v>
      </c>
      <c r="K1" s="4">
        <v>50</v>
      </c>
      <c r="L1" s="4">
        <v>60</v>
      </c>
      <c r="M1" s="4">
        <v>70</v>
      </c>
      <c r="N1" s="4">
        <v>80</v>
      </c>
      <c r="O1" s="4">
        <v>90</v>
      </c>
      <c r="P1" s="4">
        <v>100</v>
      </c>
      <c r="Q1" s="4">
        <v>110</v>
      </c>
      <c r="R1" s="4">
        <v>120</v>
      </c>
      <c r="S1" s="4">
        <v>130</v>
      </c>
      <c r="T1">
        <v>140</v>
      </c>
      <c r="U1">
        <v>150</v>
      </c>
      <c r="V1">
        <f t="shared" ref="V1:AB1" si="0">U1+10</f>
        <v>160</v>
      </c>
      <c r="W1">
        <f t="shared" si="0"/>
        <v>170</v>
      </c>
      <c r="X1">
        <f t="shared" si="0"/>
        <v>180</v>
      </c>
      <c r="Y1">
        <f t="shared" si="0"/>
        <v>190</v>
      </c>
      <c r="Z1">
        <f t="shared" si="0"/>
        <v>200</v>
      </c>
      <c r="AA1">
        <f t="shared" si="0"/>
        <v>210</v>
      </c>
      <c r="AB1">
        <f t="shared" si="0"/>
        <v>220</v>
      </c>
    </row>
    <row r="2" spans="1:28" x14ac:dyDescent="0.35">
      <c r="A2" t="s">
        <v>2</v>
      </c>
      <c r="F2" s="1" t="s">
        <v>3</v>
      </c>
      <c r="G2">
        <f>ROUNDUP($B$12*1000/(G1*$B$15),0)</f>
        <v>139</v>
      </c>
      <c r="H2">
        <f t="shared" ref="H2:U2" si="1">ROUNDUP($B$12*1000/(H1*$B$15),0)</f>
        <v>70</v>
      </c>
      <c r="I2">
        <f t="shared" si="1"/>
        <v>47</v>
      </c>
      <c r="J2">
        <f t="shared" si="1"/>
        <v>35</v>
      </c>
      <c r="K2">
        <f t="shared" si="1"/>
        <v>28</v>
      </c>
      <c r="L2">
        <f t="shared" si="1"/>
        <v>24</v>
      </c>
      <c r="M2">
        <f t="shared" si="1"/>
        <v>20</v>
      </c>
      <c r="N2">
        <f t="shared" si="1"/>
        <v>18</v>
      </c>
      <c r="O2">
        <f t="shared" si="1"/>
        <v>16</v>
      </c>
      <c r="P2">
        <f t="shared" si="1"/>
        <v>14</v>
      </c>
      <c r="Q2">
        <f t="shared" si="1"/>
        <v>13</v>
      </c>
      <c r="R2">
        <f t="shared" si="1"/>
        <v>12</v>
      </c>
      <c r="S2">
        <f t="shared" si="1"/>
        <v>11</v>
      </c>
      <c r="T2">
        <f t="shared" si="1"/>
        <v>10</v>
      </c>
      <c r="U2">
        <f t="shared" si="1"/>
        <v>10</v>
      </c>
      <c r="V2">
        <f t="shared" ref="V2:AB2" si="2">ROUNDUP($B$12*1000/(V1*$B$15),0)</f>
        <v>9</v>
      </c>
      <c r="W2">
        <f t="shared" si="2"/>
        <v>9</v>
      </c>
      <c r="X2">
        <f t="shared" si="2"/>
        <v>8</v>
      </c>
      <c r="Y2">
        <f t="shared" si="2"/>
        <v>8</v>
      </c>
      <c r="Z2">
        <f t="shared" si="2"/>
        <v>7</v>
      </c>
      <c r="AA2">
        <f t="shared" si="2"/>
        <v>7</v>
      </c>
      <c r="AB2">
        <f t="shared" si="2"/>
        <v>7</v>
      </c>
    </row>
    <row r="3" spans="1:28" x14ac:dyDescent="0.35">
      <c r="A3" t="s">
        <v>4</v>
      </c>
      <c r="F3" s="1" t="s">
        <v>23</v>
      </c>
      <c r="G3">
        <f>G2*G1*$B$15/1000</f>
        <v>69.5</v>
      </c>
      <c r="H3">
        <f t="shared" ref="H3:U3" si="3">H2*H1*$B$15/1000</f>
        <v>70</v>
      </c>
      <c r="I3">
        <f t="shared" si="3"/>
        <v>70.5</v>
      </c>
      <c r="J3">
        <f t="shared" si="3"/>
        <v>70</v>
      </c>
      <c r="K3">
        <f t="shared" si="3"/>
        <v>70</v>
      </c>
      <c r="L3">
        <f t="shared" si="3"/>
        <v>72</v>
      </c>
      <c r="M3">
        <f t="shared" si="3"/>
        <v>70</v>
      </c>
      <c r="N3">
        <f t="shared" si="3"/>
        <v>72</v>
      </c>
      <c r="O3">
        <f t="shared" si="3"/>
        <v>72</v>
      </c>
      <c r="P3">
        <f t="shared" si="3"/>
        <v>70</v>
      </c>
      <c r="Q3">
        <f t="shared" si="3"/>
        <v>71.5</v>
      </c>
      <c r="R3">
        <f t="shared" si="3"/>
        <v>72</v>
      </c>
      <c r="S3">
        <f t="shared" si="3"/>
        <v>71.5</v>
      </c>
      <c r="T3">
        <f t="shared" si="3"/>
        <v>70</v>
      </c>
      <c r="U3">
        <f t="shared" si="3"/>
        <v>75</v>
      </c>
      <c r="V3">
        <f t="shared" ref="V3:AB3" si="4">V2*V1*$B$15/1000</f>
        <v>72</v>
      </c>
      <c r="W3">
        <f t="shared" si="4"/>
        <v>76.5</v>
      </c>
      <c r="X3">
        <f t="shared" si="4"/>
        <v>72</v>
      </c>
      <c r="Y3">
        <f t="shared" si="4"/>
        <v>76</v>
      </c>
      <c r="Z3">
        <f t="shared" si="4"/>
        <v>70</v>
      </c>
      <c r="AA3">
        <f t="shared" si="4"/>
        <v>73.5</v>
      </c>
      <c r="AB3">
        <f t="shared" si="4"/>
        <v>77</v>
      </c>
    </row>
    <row r="4" spans="1:28" x14ac:dyDescent="0.35">
      <c r="A4" t="s">
        <v>13</v>
      </c>
      <c r="F4" s="1" t="s">
        <v>15</v>
      </c>
      <c r="G4">
        <f t="shared" ref="G4:U4" si="5">$B$18*G2*G1</f>
        <v>69500</v>
      </c>
      <c r="H4">
        <f t="shared" si="5"/>
        <v>70000</v>
      </c>
      <c r="I4">
        <f t="shared" si="5"/>
        <v>70500</v>
      </c>
      <c r="J4">
        <f t="shared" si="5"/>
        <v>70000</v>
      </c>
      <c r="K4">
        <f t="shared" si="5"/>
        <v>70000</v>
      </c>
      <c r="L4">
        <f t="shared" si="5"/>
        <v>72000</v>
      </c>
      <c r="M4">
        <f t="shared" si="5"/>
        <v>70000</v>
      </c>
      <c r="N4">
        <f t="shared" si="5"/>
        <v>72000</v>
      </c>
      <c r="O4">
        <f t="shared" si="5"/>
        <v>72000</v>
      </c>
      <c r="P4">
        <f t="shared" si="5"/>
        <v>70000</v>
      </c>
      <c r="Q4">
        <f t="shared" si="5"/>
        <v>71500</v>
      </c>
      <c r="R4">
        <f t="shared" si="5"/>
        <v>72000</v>
      </c>
      <c r="S4">
        <f t="shared" si="5"/>
        <v>71500</v>
      </c>
      <c r="T4">
        <f t="shared" si="5"/>
        <v>70000</v>
      </c>
      <c r="U4">
        <f t="shared" si="5"/>
        <v>75000</v>
      </c>
      <c r="V4">
        <f t="shared" ref="V4:AB4" si="6">$B$18*V2*V1</f>
        <v>72000</v>
      </c>
      <c r="W4">
        <f t="shared" si="6"/>
        <v>76500</v>
      </c>
      <c r="X4">
        <f t="shared" si="6"/>
        <v>72000</v>
      </c>
      <c r="Y4">
        <f t="shared" si="6"/>
        <v>76000</v>
      </c>
      <c r="Z4">
        <f t="shared" si="6"/>
        <v>70000</v>
      </c>
      <c r="AA4">
        <f t="shared" si="6"/>
        <v>73500</v>
      </c>
      <c r="AB4">
        <f t="shared" si="6"/>
        <v>77000</v>
      </c>
    </row>
    <row r="5" spans="1:28" x14ac:dyDescent="0.35">
      <c r="A5" t="s">
        <v>17</v>
      </c>
      <c r="F5" s="1" t="s">
        <v>21</v>
      </c>
      <c r="G5">
        <f t="shared" ref="G5:U5" si="7">($B$12/(G2*G1))*1000</f>
        <v>49.773895169578623</v>
      </c>
      <c r="H5">
        <f t="shared" si="7"/>
        <v>49.418367346938773</v>
      </c>
      <c r="I5">
        <f t="shared" si="7"/>
        <v>49.067882472137789</v>
      </c>
      <c r="J5">
        <f t="shared" si="7"/>
        <v>49.418367346938773</v>
      </c>
      <c r="K5">
        <f t="shared" si="7"/>
        <v>49.418367346938773</v>
      </c>
      <c r="L5">
        <f t="shared" si="7"/>
        <v>48.045634920634917</v>
      </c>
      <c r="M5">
        <f t="shared" si="7"/>
        <v>49.418367346938773</v>
      </c>
      <c r="N5">
        <f t="shared" si="7"/>
        <v>48.045634920634917</v>
      </c>
      <c r="O5">
        <f t="shared" si="7"/>
        <v>48.045634920634917</v>
      </c>
      <c r="P5">
        <f t="shared" si="7"/>
        <v>49.418367346938773</v>
      </c>
      <c r="Q5">
        <f t="shared" si="7"/>
        <v>48.381618381618374</v>
      </c>
      <c r="R5">
        <f t="shared" si="7"/>
        <v>48.045634920634917</v>
      </c>
      <c r="S5">
        <f t="shared" si="7"/>
        <v>48.381618381618374</v>
      </c>
      <c r="T5">
        <f t="shared" si="7"/>
        <v>49.418367346938773</v>
      </c>
      <c r="U5">
        <f t="shared" si="7"/>
        <v>46.123809523809527</v>
      </c>
      <c r="V5">
        <f t="shared" ref="V5:AB5" si="8">($B$12/(V2*V1))*1000</f>
        <v>48.045634920634917</v>
      </c>
      <c r="W5">
        <f t="shared" si="8"/>
        <v>45.219421101774046</v>
      </c>
      <c r="X5">
        <f t="shared" si="8"/>
        <v>48.045634920634917</v>
      </c>
      <c r="Y5">
        <f t="shared" si="8"/>
        <v>45.516917293233078</v>
      </c>
      <c r="Z5">
        <f t="shared" si="8"/>
        <v>49.418367346938773</v>
      </c>
      <c r="AA5">
        <f t="shared" si="8"/>
        <v>47.06511175898931</v>
      </c>
      <c r="AB5">
        <f t="shared" si="8"/>
        <v>44.92578849721707</v>
      </c>
    </row>
    <row r="6" spans="1:28" x14ac:dyDescent="0.35">
      <c r="A6" t="s">
        <v>87</v>
      </c>
      <c r="F6" s="1" t="s">
        <v>5</v>
      </c>
      <c r="G6">
        <f t="shared" ref="G6:U6" si="9">$B$17/G2</f>
        <v>13.669064748201439</v>
      </c>
      <c r="H6">
        <f t="shared" si="9"/>
        <v>27.142857142857142</v>
      </c>
      <c r="I6">
        <f t="shared" si="9"/>
        <v>40.425531914893618</v>
      </c>
      <c r="J6">
        <f t="shared" si="9"/>
        <v>54.285714285714285</v>
      </c>
      <c r="K6">
        <f t="shared" si="9"/>
        <v>67.857142857142861</v>
      </c>
      <c r="L6">
        <f t="shared" si="9"/>
        <v>79.166666666666671</v>
      </c>
      <c r="M6">
        <f t="shared" si="9"/>
        <v>95</v>
      </c>
      <c r="N6">
        <f t="shared" si="9"/>
        <v>105.55555555555556</v>
      </c>
      <c r="O6">
        <f t="shared" si="9"/>
        <v>118.75</v>
      </c>
      <c r="P6">
        <f t="shared" si="9"/>
        <v>135.71428571428572</v>
      </c>
      <c r="Q6">
        <f t="shared" si="9"/>
        <v>146.15384615384616</v>
      </c>
      <c r="R6">
        <f t="shared" si="9"/>
        <v>158.33333333333334</v>
      </c>
      <c r="S6">
        <f t="shared" si="9"/>
        <v>172.72727272727272</v>
      </c>
      <c r="T6">
        <f t="shared" si="9"/>
        <v>190</v>
      </c>
      <c r="U6">
        <f t="shared" si="9"/>
        <v>190</v>
      </c>
      <c r="V6">
        <f t="shared" ref="V6:AB6" si="10">$B$17/V2</f>
        <v>211.11111111111111</v>
      </c>
      <c r="W6">
        <f t="shared" si="10"/>
        <v>211.11111111111111</v>
      </c>
      <c r="X6">
        <f t="shared" si="10"/>
        <v>237.5</v>
      </c>
      <c r="Y6">
        <f t="shared" si="10"/>
        <v>237.5</v>
      </c>
      <c r="Z6">
        <f t="shared" si="10"/>
        <v>271.42857142857144</v>
      </c>
      <c r="AA6">
        <f t="shared" si="10"/>
        <v>271.42857142857144</v>
      </c>
      <c r="AB6">
        <f t="shared" si="10"/>
        <v>271.42857142857144</v>
      </c>
    </row>
    <row r="7" spans="1:28" x14ac:dyDescent="0.35">
      <c r="A7" s="92" t="s">
        <v>161</v>
      </c>
      <c r="E7" s="1"/>
      <c r="F7" s="1" t="s">
        <v>7</v>
      </c>
      <c r="G7">
        <f>SQRT(G6/PI())</f>
        <v>2.08590470641371</v>
      </c>
      <c r="H7">
        <f>SQRT(H6/PI())</f>
        <v>2.939360435170506</v>
      </c>
      <c r="I7">
        <f t="shared" ref="I7:P7" si="11">SQRT(I6/PI())</f>
        <v>3.5871780639869253</v>
      </c>
      <c r="J7">
        <f t="shared" si="11"/>
        <v>4.1568833921210118</v>
      </c>
      <c r="K7">
        <f t="shared" si="11"/>
        <v>4.647536919661249</v>
      </c>
      <c r="L7">
        <f t="shared" si="11"/>
        <v>5.0199136104336262</v>
      </c>
      <c r="M7">
        <f t="shared" si="11"/>
        <v>5.4990398423233957</v>
      </c>
      <c r="N7">
        <f t="shared" si="11"/>
        <v>5.7964969485850402</v>
      </c>
      <c r="O7">
        <f t="shared" si="11"/>
        <v>6.1481134492074183</v>
      </c>
      <c r="P7">
        <f t="shared" si="11"/>
        <v>6.5726097434146151</v>
      </c>
      <c r="Q7">
        <f>SQRT(Q6/PI())</f>
        <v>6.8207194733806515</v>
      </c>
      <c r="R7">
        <f>SQRT(R6/PI())</f>
        <v>7.0992299098165237</v>
      </c>
      <c r="S7">
        <f>SQRT(S6/PI())</f>
        <v>7.4149038107486431</v>
      </c>
      <c r="T7">
        <f>SQRT(T6/PI())</f>
        <v>7.7768167250437523</v>
      </c>
      <c r="U7">
        <f>SQRT(U6/PI())</f>
        <v>7.7768167250437523</v>
      </c>
      <c r="V7">
        <f t="shared" ref="V7:AB7" si="12">SQRT(V6/PI())</f>
        <v>8.197484598943225</v>
      </c>
      <c r="W7">
        <f t="shared" si="12"/>
        <v>8.197484598943225</v>
      </c>
      <c r="X7">
        <f t="shared" si="12"/>
        <v>8.6947454228775598</v>
      </c>
      <c r="Y7">
        <f t="shared" si="12"/>
        <v>8.6947454228775598</v>
      </c>
      <c r="Z7">
        <f t="shared" si="12"/>
        <v>9.2950738393224981</v>
      </c>
      <c r="AA7">
        <f t="shared" si="12"/>
        <v>9.2950738393224981</v>
      </c>
      <c r="AB7">
        <f t="shared" si="12"/>
        <v>9.2950738393224981</v>
      </c>
    </row>
    <row r="8" spans="1:28" x14ac:dyDescent="0.35">
      <c r="E8" s="1"/>
    </row>
    <row r="9" spans="1:28" x14ac:dyDescent="0.35">
      <c r="E9" s="1"/>
    </row>
    <row r="10" spans="1:28" x14ac:dyDescent="0.35">
      <c r="A10" s="3" t="s">
        <v>6</v>
      </c>
      <c r="F10" s="28"/>
    </row>
    <row r="11" spans="1:28" x14ac:dyDescent="0.35">
      <c r="A11" t="s">
        <v>19</v>
      </c>
      <c r="B11">
        <v>96.86</v>
      </c>
    </row>
    <row r="12" spans="1:28" x14ac:dyDescent="0.35">
      <c r="A12" t="s">
        <v>18</v>
      </c>
      <c r="B12">
        <f>B11*(B16-1)/B16</f>
        <v>69.185714285714283</v>
      </c>
      <c r="F12" s="1"/>
    </row>
    <row r="13" spans="1:28" x14ac:dyDescent="0.35">
      <c r="A13" t="s">
        <v>86</v>
      </c>
      <c r="B13">
        <v>1.5</v>
      </c>
      <c r="F13" s="1"/>
    </row>
    <row r="14" spans="1:28" x14ac:dyDescent="0.35">
      <c r="A14" t="s">
        <v>20</v>
      </c>
      <c r="B14">
        <v>288</v>
      </c>
      <c r="F14" s="1"/>
    </row>
    <row r="15" spans="1:28" x14ac:dyDescent="0.35">
      <c r="A15" t="s">
        <v>22</v>
      </c>
      <c r="B15">
        <v>50</v>
      </c>
      <c r="C15" t="s">
        <v>8</v>
      </c>
    </row>
    <row r="16" spans="1:28" x14ac:dyDescent="0.35">
      <c r="A16" t="s">
        <v>9</v>
      </c>
      <c r="B16">
        <v>3.5</v>
      </c>
      <c r="F16" s="1"/>
    </row>
    <row r="17" spans="1:6" x14ac:dyDescent="0.35">
      <c r="A17" t="s">
        <v>10</v>
      </c>
      <c r="B17">
        <v>1900</v>
      </c>
      <c r="F17" s="1"/>
    </row>
    <row r="18" spans="1:6" x14ac:dyDescent="0.35">
      <c r="A18" s="4" t="s">
        <v>11</v>
      </c>
      <c r="B18">
        <v>50</v>
      </c>
      <c r="F18" s="1"/>
    </row>
    <row r="19" spans="1:6" x14ac:dyDescent="0.35">
      <c r="A19" s="4" t="s">
        <v>14</v>
      </c>
      <c r="B19">
        <v>0.1</v>
      </c>
      <c r="F19" s="1"/>
    </row>
    <row r="20" spans="1:6" x14ac:dyDescent="0.35">
      <c r="A20" s="4" t="s">
        <v>16</v>
      </c>
      <c r="B20" s="6">
        <v>1.0000000000000001E-5</v>
      </c>
      <c r="C20" t="s">
        <v>84</v>
      </c>
    </row>
    <row r="22" spans="1:6" x14ac:dyDescent="0.35">
      <c r="A22" t="s">
        <v>12</v>
      </c>
    </row>
    <row r="23" spans="1:6" x14ac:dyDescent="0.35">
      <c r="A23" t="s">
        <v>85</v>
      </c>
    </row>
    <row r="25" spans="1:6" x14ac:dyDescent="0.35">
      <c r="A25" t="s">
        <v>152</v>
      </c>
      <c r="B25">
        <v>604921</v>
      </c>
      <c r="C25" t="s">
        <v>153</v>
      </c>
    </row>
    <row r="27" spans="1:6" x14ac:dyDescent="0.35">
      <c r="A27" t="s">
        <v>188</v>
      </c>
      <c r="B27">
        <v>102000</v>
      </c>
      <c r="C27" t="s">
        <v>153</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CD769-7523-E84B-B81E-928435EC757D}">
  <dimension ref="B2:L77"/>
  <sheetViews>
    <sheetView zoomScale="63" zoomScaleNormal="85" workbookViewId="0">
      <selection activeCell="C22" sqref="C22"/>
    </sheetView>
  </sheetViews>
  <sheetFormatPr defaultColWidth="11.453125" defaultRowHeight="14.5" x14ac:dyDescent="0.35"/>
  <cols>
    <col min="2" max="2" width="37.36328125" bestFit="1" customWidth="1"/>
    <col min="3" max="3" width="82.1796875" style="12" bestFit="1" customWidth="1"/>
    <col min="4" max="4" width="6" style="12" customWidth="1"/>
    <col min="6" max="6" width="16" customWidth="1"/>
    <col min="7" max="7" width="11.81640625" bestFit="1" customWidth="1"/>
    <col min="9" max="9" width="12.6328125" bestFit="1" customWidth="1"/>
  </cols>
  <sheetData>
    <row r="2" spans="4:11" x14ac:dyDescent="0.35">
      <c r="E2" t="s">
        <v>24</v>
      </c>
      <c r="F2" s="5" t="s">
        <v>25</v>
      </c>
    </row>
    <row r="4" spans="4:11" x14ac:dyDescent="0.35">
      <c r="E4" t="s">
        <v>28</v>
      </c>
    </row>
    <row r="6" spans="4:11" x14ac:dyDescent="0.35">
      <c r="E6" t="s">
        <v>27</v>
      </c>
      <c r="F6">
        <v>8.6999999999999994E-2</v>
      </c>
      <c r="G6" t="s">
        <v>29</v>
      </c>
    </row>
    <row r="9" spans="4:11" ht="23.5" x14ac:dyDescent="0.55000000000000004">
      <c r="D9" s="12" t="s">
        <v>101</v>
      </c>
      <c r="E9" s="9" t="s">
        <v>67</v>
      </c>
    </row>
    <row r="10" spans="4:11" ht="23.5" x14ac:dyDescent="0.55000000000000004">
      <c r="D10" s="12" t="s">
        <v>102</v>
      </c>
      <c r="E10" s="9" t="s">
        <v>83</v>
      </c>
    </row>
    <row r="11" spans="4:11" ht="23.5" x14ac:dyDescent="0.55000000000000004">
      <c r="D11" s="12" t="s">
        <v>103</v>
      </c>
      <c r="E11" s="9" t="s">
        <v>45</v>
      </c>
    </row>
    <row r="12" spans="4:11" ht="23.5" x14ac:dyDescent="0.55000000000000004">
      <c r="D12" s="12" t="s">
        <v>104</v>
      </c>
      <c r="E12" s="9" t="s">
        <v>66</v>
      </c>
    </row>
    <row r="13" spans="4:11" ht="24" thickBot="1" x14ac:dyDescent="0.6">
      <c r="E13" s="9"/>
    </row>
    <row r="14" spans="4:11" ht="23.5" x14ac:dyDescent="0.55000000000000004">
      <c r="E14" s="19" t="s">
        <v>69</v>
      </c>
      <c r="F14" s="20"/>
      <c r="G14" s="20"/>
      <c r="H14" s="20"/>
      <c r="I14" s="20"/>
      <c r="J14" s="20"/>
      <c r="K14" s="21"/>
    </row>
    <row r="15" spans="4:11" ht="15" thickBot="1" x14ac:dyDescent="0.4">
      <c r="E15" s="22"/>
      <c r="K15" s="23"/>
    </row>
    <row r="16" spans="4:11" x14ac:dyDescent="0.35">
      <c r="E16" s="22"/>
      <c r="I16" s="17">
        <f>$I$72*(1+I76)</f>
        <v>473756.32758439239</v>
      </c>
      <c r="J16" t="s">
        <v>70</v>
      </c>
      <c r="K16" s="23"/>
    </row>
    <row r="17" spans="2:12" ht="15" thickBot="1" x14ac:dyDescent="0.4">
      <c r="E17" s="22"/>
      <c r="I17" s="18">
        <f>$I$73*(1+I77)</f>
        <v>496255.79197134351</v>
      </c>
      <c r="K17" s="23"/>
    </row>
    <row r="18" spans="2:12" ht="15" thickBot="1" x14ac:dyDescent="0.4">
      <c r="E18" s="24"/>
      <c r="F18" s="25"/>
      <c r="G18" s="25"/>
      <c r="H18" s="25"/>
      <c r="I18" s="25"/>
      <c r="J18" s="25"/>
      <c r="K18" s="26"/>
    </row>
    <row r="20" spans="2:12" ht="23.5" x14ac:dyDescent="0.55000000000000004">
      <c r="E20" s="8" t="s">
        <v>44</v>
      </c>
    </row>
    <row r="24" spans="2:12" ht="23.5" x14ac:dyDescent="0.55000000000000004">
      <c r="B24" s="8"/>
    </row>
    <row r="25" spans="2:12" x14ac:dyDescent="0.35">
      <c r="F25" t="s">
        <v>40</v>
      </c>
      <c r="I25" t="s">
        <v>43</v>
      </c>
    </row>
    <row r="27" spans="2:12" x14ac:dyDescent="0.35">
      <c r="C27" s="12" t="s">
        <v>71</v>
      </c>
      <c r="E27" t="s">
        <v>33</v>
      </c>
      <c r="F27">
        <v>9300</v>
      </c>
      <c r="G27" t="s">
        <v>26</v>
      </c>
      <c r="I27">
        <f>F27*$F$6</f>
        <v>809.09999999999991</v>
      </c>
      <c r="J27" t="s">
        <v>29</v>
      </c>
      <c r="L27" t="s">
        <v>105</v>
      </c>
    </row>
    <row r="28" spans="2:12" x14ac:dyDescent="0.35">
      <c r="C28" s="12" t="s">
        <v>72</v>
      </c>
      <c r="E28" t="s">
        <v>30</v>
      </c>
      <c r="F28">
        <f>158.53</f>
        <v>158.53</v>
      </c>
      <c r="G28" t="s">
        <v>37</v>
      </c>
      <c r="I28">
        <f>F28*$F$6</f>
        <v>13.792109999999999</v>
      </c>
      <c r="J28" t="s">
        <v>41</v>
      </c>
      <c r="L28">
        <f>I28*1.2*1.325</f>
        <v>21.929454899999996</v>
      </c>
    </row>
    <row r="29" spans="2:12" x14ac:dyDescent="0.35">
      <c r="C29" s="12" t="s">
        <v>73</v>
      </c>
      <c r="E29" t="s">
        <v>31</v>
      </c>
      <c r="F29" s="6">
        <v>3.3799999999999998E-4</v>
      </c>
      <c r="G29" t="s">
        <v>38</v>
      </c>
      <c r="I29">
        <f>F29*$F$6</f>
        <v>2.9405999999999996E-5</v>
      </c>
      <c r="J29" t="s">
        <v>42</v>
      </c>
    </row>
    <row r="30" spans="2:12" x14ac:dyDescent="0.35">
      <c r="C30" s="12" t="s">
        <v>74</v>
      </c>
      <c r="E30" t="s">
        <v>32</v>
      </c>
      <c r="F30">
        <f>F28*0.666666</f>
        <v>105.68656098</v>
      </c>
      <c r="G30" t="s">
        <v>37</v>
      </c>
      <c r="I30">
        <f>F30*$F$6</f>
        <v>9.194730805259999</v>
      </c>
      <c r="J30" t="s">
        <v>41</v>
      </c>
    </row>
    <row r="31" spans="2:12" x14ac:dyDescent="0.35">
      <c r="C31" s="12" t="s">
        <v>75</v>
      </c>
      <c r="E31" t="s">
        <v>34</v>
      </c>
      <c r="F31" s="27">
        <v>150</v>
      </c>
      <c r="G31" t="s">
        <v>39</v>
      </c>
      <c r="I31">
        <f>F31</f>
        <v>150</v>
      </c>
      <c r="J31" t="s">
        <v>39</v>
      </c>
    </row>
    <row r="32" spans="2:12" x14ac:dyDescent="0.35">
      <c r="C32" s="12" t="s">
        <v>75</v>
      </c>
      <c r="E32" t="s">
        <v>35</v>
      </c>
      <c r="F32" s="27">
        <v>22</v>
      </c>
      <c r="I32">
        <f>F32</f>
        <v>22</v>
      </c>
    </row>
    <row r="34" spans="3:10" x14ac:dyDescent="0.35">
      <c r="C34" s="12" t="s">
        <v>76</v>
      </c>
      <c r="E34" t="s">
        <v>36</v>
      </c>
      <c r="F34" s="7">
        <f>(F28+(F29*(F31^2))+F30)*F32*F31+F27</f>
        <v>906311.15123399987</v>
      </c>
      <c r="G34" t="s">
        <v>26</v>
      </c>
      <c r="I34" s="7">
        <f>(I28+(I29*(I31^2))+I30)*I32*I31+I27</f>
        <v>78849.070157358001</v>
      </c>
      <c r="J34" t="s">
        <v>29</v>
      </c>
    </row>
    <row r="38" spans="3:10" ht="23.5" x14ac:dyDescent="0.55000000000000004">
      <c r="E38" s="8" t="s">
        <v>46</v>
      </c>
    </row>
    <row r="44" spans="3:10" x14ac:dyDescent="0.35">
      <c r="C44" s="12" t="s">
        <v>77</v>
      </c>
      <c r="E44" t="s">
        <v>47</v>
      </c>
      <c r="F44">
        <v>17.5</v>
      </c>
      <c r="G44" t="s">
        <v>49</v>
      </c>
      <c r="I44">
        <f>17.5*$F$6</f>
        <v>1.5225</v>
      </c>
      <c r="J44" t="s">
        <v>57</v>
      </c>
    </row>
    <row r="45" spans="3:10" x14ac:dyDescent="0.35">
      <c r="C45" s="12" t="s">
        <v>78</v>
      </c>
      <c r="E45" t="s">
        <v>50</v>
      </c>
      <c r="F45">
        <f>'Params and Assumptions'!B15</f>
        <v>50</v>
      </c>
      <c r="G45" t="s">
        <v>52</v>
      </c>
      <c r="I45">
        <v>50</v>
      </c>
      <c r="J45" t="s">
        <v>52</v>
      </c>
    </row>
    <row r="47" spans="3:10" x14ac:dyDescent="0.35">
      <c r="C47" s="12" t="s">
        <v>78</v>
      </c>
      <c r="E47" t="s">
        <v>53</v>
      </c>
      <c r="F47">
        <f>'Params and Assumptions'!B16</f>
        <v>3.5</v>
      </c>
      <c r="I47">
        <v>3.5</v>
      </c>
    </row>
    <row r="48" spans="3:10" x14ac:dyDescent="0.35">
      <c r="C48" s="12" t="s">
        <v>79</v>
      </c>
      <c r="E48" t="s">
        <v>54</v>
      </c>
      <c r="F48" s="10">
        <v>7.0000000000000007E-2</v>
      </c>
      <c r="I48" s="10">
        <v>7.0000000000000007E-2</v>
      </c>
    </row>
    <row r="50" spans="3:10" x14ac:dyDescent="0.35">
      <c r="C50" s="12" t="s">
        <v>80</v>
      </c>
      <c r="E50" t="s">
        <v>48</v>
      </c>
      <c r="F50">
        <f>F47/(F47-1+F48)</f>
        <v>1.3618677042801557</v>
      </c>
      <c r="I50">
        <f>I47/(I47-1+I48)</f>
        <v>1.3618677042801557</v>
      </c>
    </row>
    <row r="52" spans="3:10" x14ac:dyDescent="0.35">
      <c r="C52" s="12" t="s">
        <v>81</v>
      </c>
      <c r="E52" t="s">
        <v>51</v>
      </c>
      <c r="F52" s="7">
        <f>F44*F45*F50-(F28+(F29*(F31^2))+F30)</f>
        <v>919.81268026513635</v>
      </c>
      <c r="G52" t="s">
        <v>56</v>
      </c>
      <c r="I52" s="7">
        <f>I44*I45*I50-(I28+(I29*(I31^2))+I30)</f>
        <v>80.023703183066857</v>
      </c>
      <c r="J52" t="s">
        <v>58</v>
      </c>
    </row>
    <row r="55" spans="3:10" ht="15" thickBot="1" x14ac:dyDescent="0.4"/>
    <row r="56" spans="3:10" ht="15" thickBot="1" x14ac:dyDescent="0.4">
      <c r="C56" s="12" t="s">
        <v>82</v>
      </c>
      <c r="E56" t="s">
        <v>55</v>
      </c>
      <c r="F56" s="11">
        <f>F52*F31*F32</f>
        <v>3035381.8448749497</v>
      </c>
      <c r="G56" t="s">
        <v>26</v>
      </c>
      <c r="I56" s="16">
        <f>I52*I31*I32</f>
        <v>264078.22050412063</v>
      </c>
      <c r="J56" t="s">
        <v>63</v>
      </c>
    </row>
    <row r="60" spans="3:10" ht="23.5" x14ac:dyDescent="0.55000000000000004">
      <c r="E60" s="8" t="s">
        <v>68</v>
      </c>
    </row>
    <row r="62" spans="3:10" x14ac:dyDescent="0.35">
      <c r="H62" s="12" t="s">
        <v>59</v>
      </c>
      <c r="I62" s="10">
        <v>0.2</v>
      </c>
    </row>
    <row r="64" spans="3:10" ht="15" thickBot="1" x14ac:dyDescent="0.4">
      <c r="H64" s="12"/>
      <c r="I64" s="10"/>
    </row>
    <row r="65" spans="9:10" ht="15" thickBot="1" x14ac:dyDescent="0.4">
      <c r="I65" s="13">
        <f>I56*(1+I62)</f>
        <v>316893.86460494477</v>
      </c>
      <c r="J65" t="s">
        <v>60</v>
      </c>
    </row>
    <row r="68" spans="9:10" x14ac:dyDescent="0.35">
      <c r="I68" s="10">
        <v>0.3</v>
      </c>
      <c r="J68" t="s">
        <v>61</v>
      </c>
    </row>
    <row r="69" spans="9:10" x14ac:dyDescent="0.35">
      <c r="I69" s="10">
        <v>0.35</v>
      </c>
    </row>
    <row r="71" spans="9:10" ht="15" thickBot="1" x14ac:dyDescent="0.4"/>
    <row r="72" spans="9:10" x14ac:dyDescent="0.35">
      <c r="I72" s="14">
        <f>$I$65*(1+I68)</f>
        <v>411962.02398642822</v>
      </c>
      <c r="J72" t="s">
        <v>62</v>
      </c>
    </row>
    <row r="73" spans="9:10" ht="15" thickBot="1" x14ac:dyDescent="0.4">
      <c r="I73" s="15">
        <f>$I$65*(1+I69)</f>
        <v>427806.71721667546</v>
      </c>
    </row>
    <row r="76" spans="9:10" x14ac:dyDescent="0.35">
      <c r="I76" s="10">
        <v>0.15</v>
      </c>
      <c r="J76" t="s">
        <v>64</v>
      </c>
    </row>
    <row r="77" spans="9:10" x14ac:dyDescent="0.35">
      <c r="I77" s="10">
        <v>0.16</v>
      </c>
      <c r="J77" t="s">
        <v>65</v>
      </c>
    </row>
  </sheetData>
  <hyperlinks>
    <hyperlink ref="F2" r:id="rId1" xr:uid="{DB2F7CFF-BF4C-C541-BAC8-718E2357CCC0}"/>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BF8B3-9436-4E59-9B58-D7CD7FD96B3B}">
  <dimension ref="B1:AR153"/>
  <sheetViews>
    <sheetView topLeftCell="AF112" zoomScale="63" zoomScaleNormal="70" workbookViewId="0">
      <selection activeCell="V102" sqref="V102"/>
    </sheetView>
  </sheetViews>
  <sheetFormatPr defaultColWidth="11.453125" defaultRowHeight="14.5" x14ac:dyDescent="0.35"/>
  <cols>
    <col min="2" max="2" width="37.36328125" bestFit="1" customWidth="1"/>
    <col min="3" max="3" width="82.1796875" bestFit="1" customWidth="1"/>
    <col min="6" max="6" width="12.6328125" bestFit="1" customWidth="1"/>
    <col min="9" max="9" width="15.36328125" bestFit="1" customWidth="1"/>
    <col min="21" max="24" width="11.36328125" bestFit="1" customWidth="1"/>
    <col min="25" max="25" width="13.36328125" bestFit="1" customWidth="1"/>
    <col min="26" max="26" width="11.1796875" customWidth="1"/>
    <col min="27" max="31" width="11.36328125" bestFit="1" customWidth="1"/>
    <col min="32" max="32" width="11.36328125" customWidth="1"/>
    <col min="33" max="33" width="11" bestFit="1" customWidth="1"/>
    <col min="34" max="34" width="11" customWidth="1"/>
    <col min="35" max="35" width="34.36328125" bestFit="1" customWidth="1"/>
    <col min="36" max="36" width="34.6328125" style="29" bestFit="1" customWidth="1"/>
    <col min="37" max="37" width="23.36328125" style="29" bestFit="1" customWidth="1"/>
    <col min="38" max="38" width="23.6328125" style="29" bestFit="1" customWidth="1"/>
    <col min="39" max="39" width="35.1796875" style="29" bestFit="1" customWidth="1"/>
    <col min="40" max="40" width="28" bestFit="1" customWidth="1"/>
    <col min="41" max="41" width="14.453125" bestFit="1" customWidth="1"/>
    <col min="42" max="42" width="15.81640625" bestFit="1" customWidth="1"/>
  </cols>
  <sheetData>
    <row r="1" spans="3:19" x14ac:dyDescent="0.35">
      <c r="C1" s="12"/>
      <c r="D1" s="12"/>
    </row>
    <row r="2" spans="3:19" x14ac:dyDescent="0.35">
      <c r="C2" s="12"/>
      <c r="D2" s="12"/>
      <c r="E2" t="s">
        <v>24</v>
      </c>
      <c r="F2" s="5" t="s">
        <v>25</v>
      </c>
    </row>
    <row r="3" spans="3:19" x14ac:dyDescent="0.35">
      <c r="C3" s="12"/>
      <c r="D3" s="12"/>
    </row>
    <row r="4" spans="3:19" x14ac:dyDescent="0.35">
      <c r="C4" s="12"/>
      <c r="D4" s="12"/>
      <c r="E4" t="s">
        <v>28</v>
      </c>
    </row>
    <row r="5" spans="3:19" x14ac:dyDescent="0.35">
      <c r="C5" s="12"/>
      <c r="D5" s="12"/>
    </row>
    <row r="6" spans="3:19" x14ac:dyDescent="0.35">
      <c r="C6" s="12"/>
      <c r="D6" s="12"/>
      <c r="E6" t="s">
        <v>27</v>
      </c>
      <c r="F6">
        <v>8.6999999999999994E-2</v>
      </c>
      <c r="G6" t="s">
        <v>29</v>
      </c>
    </row>
    <row r="7" spans="3:19" x14ac:dyDescent="0.35">
      <c r="C7" s="12"/>
      <c r="D7" s="12"/>
    </row>
    <row r="8" spans="3:19" x14ac:dyDescent="0.35">
      <c r="C8" s="12"/>
      <c r="D8" s="12"/>
    </row>
    <row r="9" spans="3:19" ht="23.5" x14ac:dyDescent="0.55000000000000004">
      <c r="C9" s="12"/>
      <c r="D9" s="12"/>
      <c r="E9" s="9" t="s">
        <v>67</v>
      </c>
    </row>
    <row r="10" spans="3:19" ht="23.5" x14ac:dyDescent="0.55000000000000004">
      <c r="C10" s="12"/>
      <c r="D10" s="12"/>
      <c r="E10" s="9" t="s">
        <v>83</v>
      </c>
    </row>
    <row r="11" spans="3:19" ht="23.5" x14ac:dyDescent="0.55000000000000004">
      <c r="C11" s="12"/>
      <c r="D11" s="12"/>
      <c r="E11" s="9" t="s">
        <v>45</v>
      </c>
    </row>
    <row r="12" spans="3:19" ht="23.5" x14ac:dyDescent="0.55000000000000004">
      <c r="C12" s="12"/>
      <c r="D12" s="12"/>
      <c r="E12" s="9" t="s">
        <v>66</v>
      </c>
    </row>
    <row r="13" spans="3:19" ht="24" thickBot="1" x14ac:dyDescent="0.6">
      <c r="C13" s="12"/>
      <c r="D13" s="12"/>
      <c r="E13" s="9"/>
    </row>
    <row r="14" spans="3:19" ht="23.5" x14ac:dyDescent="0.55000000000000004">
      <c r="C14" s="12"/>
      <c r="D14" s="12"/>
      <c r="E14" s="19" t="s">
        <v>69</v>
      </c>
      <c r="F14" s="20"/>
      <c r="G14" s="20"/>
      <c r="H14" s="20"/>
      <c r="I14" s="20"/>
      <c r="J14" s="20"/>
      <c r="K14" s="21"/>
    </row>
    <row r="15" spans="3:19" ht="15" thickBot="1" x14ac:dyDescent="0.4">
      <c r="C15" s="12"/>
      <c r="D15" s="12"/>
      <c r="E15" s="22"/>
      <c r="K15" s="23"/>
    </row>
    <row r="16" spans="3:19" x14ac:dyDescent="0.35">
      <c r="C16" s="12"/>
      <c r="D16" s="12"/>
      <c r="E16" s="22"/>
      <c r="I16" s="17">
        <f>$I$77*(1+I81)</f>
        <v>333129.69904062257</v>
      </c>
      <c r="J16" t="s">
        <v>70</v>
      </c>
      <c r="K16" s="23"/>
      <c r="O16">
        <v>150</v>
      </c>
      <c r="P16">
        <v>22</v>
      </c>
      <c r="R16">
        <f>O16*P16</f>
        <v>3300</v>
      </c>
      <c r="S16" t="s">
        <v>39</v>
      </c>
    </row>
    <row r="17" spans="2:19" ht="15" thickBot="1" x14ac:dyDescent="0.4">
      <c r="C17" s="12"/>
      <c r="D17" s="12"/>
      <c r="E17" s="22"/>
      <c r="I17" s="18">
        <f>$I$78*(1+I82)</f>
        <v>352285.82479190658</v>
      </c>
      <c r="K17" s="23"/>
      <c r="O17">
        <v>170</v>
      </c>
      <c r="P17">
        <v>11</v>
      </c>
      <c r="R17">
        <f>O17*P17</f>
        <v>1870</v>
      </c>
      <c r="S17" t="s">
        <v>39</v>
      </c>
    </row>
    <row r="18" spans="2:19" ht="15" thickBot="1" x14ac:dyDescent="0.4">
      <c r="C18" s="12"/>
      <c r="D18" s="12"/>
      <c r="E18" s="24"/>
      <c r="F18" s="25"/>
      <c r="G18" s="25"/>
      <c r="H18" s="25"/>
      <c r="I18" s="25"/>
      <c r="J18" s="25"/>
      <c r="K18" s="26"/>
    </row>
    <row r="19" spans="2:19" x14ac:dyDescent="0.35">
      <c r="C19" s="12"/>
      <c r="D19" s="12"/>
      <c r="R19" s="10">
        <f>R17/R16</f>
        <v>0.56666666666666665</v>
      </c>
      <c r="S19" t="s">
        <v>117</v>
      </c>
    </row>
    <row r="20" spans="2:19" ht="23.5" x14ac:dyDescent="0.55000000000000004">
      <c r="C20" s="12"/>
      <c r="D20" s="12"/>
      <c r="E20" s="8" t="s">
        <v>44</v>
      </c>
    </row>
    <row r="21" spans="2:19" x14ac:dyDescent="0.35">
      <c r="C21" s="12"/>
      <c r="D21" s="12"/>
    </row>
    <row r="22" spans="2:19" x14ac:dyDescent="0.35">
      <c r="C22" s="12"/>
      <c r="D22" s="12"/>
    </row>
    <row r="23" spans="2:19" x14ac:dyDescent="0.35">
      <c r="C23" s="12"/>
      <c r="D23" s="12"/>
    </row>
    <row r="24" spans="2:19" ht="23.5" x14ac:dyDescent="0.55000000000000004">
      <c r="B24" s="8"/>
      <c r="C24" s="12"/>
      <c r="D24" s="12"/>
    </row>
    <row r="25" spans="2:19" x14ac:dyDescent="0.35">
      <c r="C25" s="12"/>
      <c r="D25" s="12"/>
      <c r="F25" t="s">
        <v>40</v>
      </c>
      <c r="I25" t="s">
        <v>43</v>
      </c>
    </row>
    <row r="26" spans="2:19" x14ac:dyDescent="0.35">
      <c r="C26" s="12"/>
      <c r="D26" s="12"/>
    </row>
    <row r="27" spans="2:19" x14ac:dyDescent="0.35">
      <c r="C27" s="12" t="s">
        <v>71</v>
      </c>
      <c r="D27" s="12"/>
      <c r="E27" t="s">
        <v>33</v>
      </c>
      <c r="F27">
        <v>9300</v>
      </c>
      <c r="G27" t="s">
        <v>26</v>
      </c>
      <c r="I27">
        <f>F27*$F$6</f>
        <v>809.09999999999991</v>
      </c>
      <c r="J27" t="s">
        <v>29</v>
      </c>
      <c r="L27" t="s">
        <v>105</v>
      </c>
    </row>
    <row r="28" spans="2:19" x14ac:dyDescent="0.35">
      <c r="C28" s="12" t="s">
        <v>72</v>
      </c>
      <c r="D28" s="12"/>
      <c r="E28" t="s">
        <v>30</v>
      </c>
      <c r="F28">
        <f>158.53</f>
        <v>158.53</v>
      </c>
      <c r="G28" t="s">
        <v>37</v>
      </c>
      <c r="I28">
        <f>F28*$F$6</f>
        <v>13.792109999999999</v>
      </c>
      <c r="J28" t="s">
        <v>41</v>
      </c>
      <c r="L28">
        <f>I28*1.2*1.325</f>
        <v>21.929454899999996</v>
      </c>
    </row>
    <row r="29" spans="2:19" x14ac:dyDescent="0.35">
      <c r="C29" s="12" t="s">
        <v>73</v>
      </c>
      <c r="D29" s="12"/>
      <c r="E29" t="s">
        <v>31</v>
      </c>
      <c r="F29" s="6">
        <v>3.3799999999999998E-4</v>
      </c>
      <c r="G29" t="s">
        <v>38</v>
      </c>
      <c r="I29">
        <f>F29*$F$6</f>
        <v>2.9405999999999996E-5</v>
      </c>
      <c r="J29" t="s">
        <v>42</v>
      </c>
    </row>
    <row r="30" spans="2:19" x14ac:dyDescent="0.35">
      <c r="C30" s="12" t="s">
        <v>74</v>
      </c>
      <c r="D30" s="12"/>
      <c r="E30" t="s">
        <v>32</v>
      </c>
      <c r="F30">
        <f>F28*0.666666</f>
        <v>105.68656098</v>
      </c>
      <c r="G30" t="s">
        <v>37</v>
      </c>
      <c r="I30">
        <f>F30*$F$6</f>
        <v>9.194730805259999</v>
      </c>
      <c r="J30" t="s">
        <v>41</v>
      </c>
    </row>
    <row r="31" spans="2:19" x14ac:dyDescent="0.35">
      <c r="C31" s="12" t="s">
        <v>75</v>
      </c>
      <c r="D31" s="12"/>
      <c r="E31" t="s">
        <v>34</v>
      </c>
      <c r="F31" s="27">
        <v>170</v>
      </c>
      <c r="G31" t="s">
        <v>39</v>
      </c>
      <c r="I31">
        <f>F31</f>
        <v>170</v>
      </c>
      <c r="J31" t="s">
        <v>39</v>
      </c>
    </row>
    <row r="32" spans="2:19" x14ac:dyDescent="0.35">
      <c r="C32" s="12" t="s">
        <v>75</v>
      </c>
      <c r="D32" s="12"/>
      <c r="E32" t="s">
        <v>35</v>
      </c>
      <c r="F32" s="27">
        <v>11</v>
      </c>
      <c r="I32">
        <f>F32</f>
        <v>11</v>
      </c>
    </row>
    <row r="33" spans="3:17" x14ac:dyDescent="0.35">
      <c r="C33" s="12"/>
      <c r="D33" s="12"/>
    </row>
    <row r="34" spans="3:17" x14ac:dyDescent="0.35">
      <c r="C34" s="12" t="s">
        <v>114</v>
      </c>
      <c r="D34" s="12"/>
      <c r="E34" t="s">
        <v>36</v>
      </c>
      <c r="F34" s="7">
        <f>(F28+(F29*(F31^2))+F30)*F32*F31+F27</f>
        <v>521651.5030326001</v>
      </c>
      <c r="G34" t="s">
        <v>26</v>
      </c>
      <c r="I34" s="37">
        <f>(I28+(I29*(I31^2))+I30)*I32*I31+I27</f>
        <v>45383.680763836186</v>
      </c>
      <c r="J34" t="s">
        <v>29</v>
      </c>
      <c r="K34" s="33" t="s">
        <v>118</v>
      </c>
      <c r="L34" s="33"/>
      <c r="M34" s="33"/>
      <c r="N34" s="33"/>
      <c r="O34" s="33"/>
      <c r="P34" s="33"/>
      <c r="Q34" s="33"/>
    </row>
    <row r="35" spans="3:17" x14ac:dyDescent="0.35">
      <c r="C35" s="12"/>
      <c r="D35" s="12"/>
      <c r="K35" s="33" t="s">
        <v>119</v>
      </c>
      <c r="L35" s="33"/>
      <c r="M35" s="33"/>
      <c r="N35" s="33"/>
      <c r="O35" s="33"/>
      <c r="P35" s="33"/>
      <c r="Q35" s="33"/>
    </row>
    <row r="36" spans="3:17" x14ac:dyDescent="0.35">
      <c r="C36" s="12"/>
      <c r="D36" s="12"/>
    </row>
    <row r="37" spans="3:17" x14ac:dyDescent="0.35">
      <c r="C37" s="12"/>
      <c r="D37" s="12"/>
    </row>
    <row r="38" spans="3:17" ht="23.5" x14ac:dyDescent="0.55000000000000004">
      <c r="C38" s="12"/>
      <c r="D38" s="12"/>
      <c r="E38" s="8" t="s">
        <v>46</v>
      </c>
    </row>
    <row r="39" spans="3:17" x14ac:dyDescent="0.35">
      <c r="C39" s="12"/>
      <c r="D39" s="12"/>
    </row>
    <row r="40" spans="3:17" x14ac:dyDescent="0.35">
      <c r="C40" s="12"/>
      <c r="D40" s="12"/>
    </row>
    <row r="41" spans="3:17" x14ac:dyDescent="0.35">
      <c r="C41" s="12"/>
      <c r="D41" s="12"/>
    </row>
    <row r="42" spans="3:17" x14ac:dyDescent="0.35">
      <c r="C42" s="12"/>
      <c r="D42" s="12"/>
    </row>
    <row r="43" spans="3:17" x14ac:dyDescent="0.35">
      <c r="C43" s="12"/>
      <c r="D43" s="12"/>
    </row>
    <row r="44" spans="3:17" x14ac:dyDescent="0.35">
      <c r="C44" s="12" t="s">
        <v>111</v>
      </c>
      <c r="D44" s="12"/>
      <c r="E44" t="s">
        <v>110</v>
      </c>
      <c r="F44" s="38">
        <v>90000</v>
      </c>
      <c r="G44" t="s">
        <v>112</v>
      </c>
      <c r="I44">
        <f>F44</f>
        <v>90000</v>
      </c>
      <c r="J44" t="s">
        <v>112</v>
      </c>
    </row>
    <row r="45" spans="3:17" x14ac:dyDescent="0.35">
      <c r="C45" s="12"/>
      <c r="D45" s="12"/>
    </row>
    <row r="46" spans="3:17" x14ac:dyDescent="0.35">
      <c r="C46" s="12" t="s">
        <v>113</v>
      </c>
      <c r="D46" s="12"/>
      <c r="E46" t="s">
        <v>47</v>
      </c>
      <c r="F46">
        <v>17.5</v>
      </c>
      <c r="G46" t="s">
        <v>49</v>
      </c>
      <c r="I46">
        <f>F46*$F$6</f>
        <v>1.5225</v>
      </c>
      <c r="J46" t="s">
        <v>57</v>
      </c>
      <c r="K46" t="s">
        <v>191</v>
      </c>
      <c r="L46">
        <f>I46*1000</f>
        <v>1522.5</v>
      </c>
      <c r="M46" t="s">
        <v>193</v>
      </c>
      <c r="O46" t="s">
        <v>192</v>
      </c>
    </row>
    <row r="47" spans="3:17" x14ac:dyDescent="0.35">
      <c r="C47" s="12" t="s">
        <v>78</v>
      </c>
      <c r="D47" s="12"/>
      <c r="E47" t="s">
        <v>50</v>
      </c>
      <c r="F47">
        <v>50</v>
      </c>
      <c r="G47" t="s">
        <v>52</v>
      </c>
      <c r="I47">
        <f>F47</f>
        <v>50</v>
      </c>
      <c r="J47" t="s">
        <v>52</v>
      </c>
      <c r="L47">
        <f>L46*(1+AVERAGE(I73:I74))*(1+I67)</f>
        <v>2320.29</v>
      </c>
      <c r="M47" t="s">
        <v>190</v>
      </c>
    </row>
    <row r="48" spans="3:17" x14ac:dyDescent="0.35">
      <c r="C48" s="12"/>
      <c r="D48" s="12"/>
    </row>
    <row r="49" spans="3:18" x14ac:dyDescent="0.35">
      <c r="C49" s="12" t="s">
        <v>78</v>
      </c>
      <c r="D49" s="12"/>
      <c r="E49" t="s">
        <v>53</v>
      </c>
      <c r="F49">
        <f>'Params and Assumptions'!B16</f>
        <v>3.5</v>
      </c>
      <c r="I49">
        <v>3.5</v>
      </c>
    </row>
    <row r="50" spans="3:18" x14ac:dyDescent="0.35">
      <c r="C50" s="12" t="s">
        <v>79</v>
      </c>
      <c r="D50" s="12"/>
      <c r="E50" t="s">
        <v>54</v>
      </c>
      <c r="F50" s="10">
        <v>7.0000000000000007E-2</v>
      </c>
      <c r="I50" s="10">
        <v>7.0000000000000007E-2</v>
      </c>
    </row>
    <row r="51" spans="3:18" x14ac:dyDescent="0.35">
      <c r="C51" s="12"/>
      <c r="D51" s="12"/>
    </row>
    <row r="52" spans="3:18" x14ac:dyDescent="0.35">
      <c r="C52" s="12" t="s">
        <v>80</v>
      </c>
      <c r="D52" s="12"/>
      <c r="E52" t="s">
        <v>48</v>
      </c>
      <c r="F52">
        <f>F49/(F49-1+F50)</f>
        <v>1.3618677042801557</v>
      </c>
      <c r="I52">
        <f>I49/(I49-1+I50)</f>
        <v>1.3618677042801557</v>
      </c>
    </row>
    <row r="53" spans="3:18" x14ac:dyDescent="0.35">
      <c r="C53" s="12"/>
      <c r="D53" s="12"/>
    </row>
    <row r="54" spans="3:18" x14ac:dyDescent="0.35">
      <c r="C54" s="12" t="s">
        <v>115</v>
      </c>
      <c r="D54" s="12"/>
      <c r="E54" t="s">
        <v>51</v>
      </c>
      <c r="F54" s="7">
        <f>F46*F47*F52-(F28+(F29*(F31^2))+F30)</f>
        <v>917.64948026513628</v>
      </c>
      <c r="G54" t="s">
        <v>56</v>
      </c>
      <c r="I54" s="7">
        <f>I46*I47*I52-(I28+(I29*(I31^2))+I30)</f>
        <v>79.835504783066852</v>
      </c>
      <c r="J54" t="s">
        <v>58</v>
      </c>
    </row>
    <row r="55" spans="3:18" x14ac:dyDescent="0.35">
      <c r="C55" s="12"/>
      <c r="D55" s="12"/>
    </row>
    <row r="56" spans="3:18" x14ac:dyDescent="0.35">
      <c r="C56" s="12"/>
      <c r="D56" s="12"/>
    </row>
    <row r="57" spans="3:18" ht="15" thickBot="1" x14ac:dyDescent="0.4">
      <c r="C57" s="12"/>
      <c r="D57" s="12"/>
    </row>
    <row r="58" spans="3:18" ht="15" thickBot="1" x14ac:dyDescent="0.4">
      <c r="C58" s="12" t="s">
        <v>82</v>
      </c>
      <c r="D58" s="12"/>
      <c r="E58" t="s">
        <v>55</v>
      </c>
      <c r="F58" s="11">
        <f>F54*F31*F32</f>
        <v>1716004.5280958046</v>
      </c>
      <c r="G58" t="s">
        <v>26</v>
      </c>
      <c r="I58" s="16">
        <f>I54*I31*I32</f>
        <v>149292.39394433502</v>
      </c>
      <c r="J58" t="s">
        <v>63</v>
      </c>
      <c r="L58" s="33" t="s">
        <v>118</v>
      </c>
      <c r="M58" s="33"/>
      <c r="N58" s="33"/>
      <c r="O58" s="33"/>
      <c r="P58" s="33"/>
      <c r="Q58" s="33"/>
      <c r="R58" s="33"/>
    </row>
    <row r="59" spans="3:18" x14ac:dyDescent="0.35">
      <c r="C59" s="12"/>
      <c r="D59" s="12"/>
      <c r="L59" s="33" t="s">
        <v>120</v>
      </c>
      <c r="M59" s="33"/>
      <c r="N59" s="33"/>
      <c r="O59" s="33"/>
      <c r="P59" s="33"/>
      <c r="Q59" s="33"/>
      <c r="R59" s="33"/>
    </row>
    <row r="60" spans="3:18" x14ac:dyDescent="0.35">
      <c r="C60" s="12"/>
      <c r="D60" s="12"/>
    </row>
    <row r="61" spans="3:18" x14ac:dyDescent="0.35">
      <c r="C61" s="12"/>
      <c r="D61" s="12"/>
    </row>
    <row r="62" spans="3:18" ht="23.5" x14ac:dyDescent="0.55000000000000004">
      <c r="C62" s="12"/>
      <c r="D62" s="12"/>
      <c r="E62" s="8" t="s">
        <v>68</v>
      </c>
    </row>
    <row r="63" spans="3:18" ht="15" thickBot="1" x14ac:dyDescent="0.4">
      <c r="C63" s="12"/>
      <c r="D63" s="12"/>
    </row>
    <row r="64" spans="3:18" ht="15" thickBot="1" x14ac:dyDescent="0.4">
      <c r="C64" s="12"/>
      <c r="D64" s="12"/>
      <c r="H64" s="12" t="s">
        <v>116</v>
      </c>
      <c r="I64" s="39">
        <f>I58+I34</f>
        <v>194676.07470817122</v>
      </c>
    </row>
    <row r="65" spans="3:20" x14ac:dyDescent="0.35">
      <c r="C65" s="12"/>
      <c r="D65" s="12"/>
    </row>
    <row r="66" spans="3:20" x14ac:dyDescent="0.35">
      <c r="C66" s="12"/>
      <c r="D66" s="12"/>
    </row>
    <row r="67" spans="3:20" x14ac:dyDescent="0.35">
      <c r="C67" s="12"/>
      <c r="D67" s="12"/>
      <c r="H67" s="12" t="s">
        <v>59</v>
      </c>
      <c r="I67" s="10">
        <v>0.2</v>
      </c>
      <c r="K67" s="33" t="s">
        <v>162</v>
      </c>
      <c r="L67" s="33"/>
      <c r="M67" s="33"/>
      <c r="N67" s="33"/>
      <c r="O67" s="33"/>
      <c r="P67" s="33"/>
      <c r="Q67" s="33"/>
      <c r="R67" s="33"/>
      <c r="S67" s="33"/>
      <c r="T67" s="33"/>
    </row>
    <row r="68" spans="3:20" x14ac:dyDescent="0.35">
      <c r="C68" s="12"/>
      <c r="D68" s="12"/>
      <c r="K68" s="33" t="s">
        <v>163</v>
      </c>
      <c r="L68" s="33"/>
      <c r="M68" s="33"/>
      <c r="N68" s="33"/>
      <c r="O68" s="33"/>
      <c r="P68" s="33"/>
      <c r="Q68" s="33"/>
      <c r="R68" s="33"/>
      <c r="S68" s="33"/>
      <c r="T68" s="33"/>
    </row>
    <row r="69" spans="3:20" ht="15" thickBot="1" x14ac:dyDescent="0.4">
      <c r="C69" s="12"/>
      <c r="D69" s="12"/>
      <c r="H69" s="12"/>
      <c r="I69" s="10"/>
    </row>
    <row r="70" spans="3:20" ht="15" thickBot="1" x14ac:dyDescent="0.4">
      <c r="C70" s="12"/>
      <c r="D70" s="12"/>
      <c r="I70" s="13">
        <f>I64*(1+I67)</f>
        <v>233611.28964980546</v>
      </c>
      <c r="J70" t="s">
        <v>60</v>
      </c>
    </row>
    <row r="71" spans="3:20" x14ac:dyDescent="0.35">
      <c r="C71" s="12"/>
      <c r="D71" s="12"/>
    </row>
    <row r="72" spans="3:20" x14ac:dyDescent="0.35">
      <c r="C72" s="12"/>
      <c r="D72" s="12"/>
    </row>
    <row r="73" spans="3:20" x14ac:dyDescent="0.35">
      <c r="C73" s="12"/>
      <c r="D73" s="12"/>
      <c r="I73" s="10">
        <v>0.24</v>
      </c>
      <c r="J73" t="s">
        <v>189</v>
      </c>
    </row>
    <row r="74" spans="3:20" x14ac:dyDescent="0.35">
      <c r="C74" s="12"/>
      <c r="D74" s="12"/>
      <c r="I74" s="10">
        <v>0.3</v>
      </c>
      <c r="J74" t="s">
        <v>172</v>
      </c>
    </row>
    <row r="75" spans="3:20" x14ac:dyDescent="0.35">
      <c r="C75" s="12"/>
      <c r="D75" s="12"/>
    </row>
    <row r="76" spans="3:20" ht="15" thickBot="1" x14ac:dyDescent="0.4">
      <c r="C76" s="12"/>
      <c r="D76" s="12"/>
    </row>
    <row r="77" spans="3:20" x14ac:dyDescent="0.35">
      <c r="C77" s="12"/>
      <c r="D77" s="12"/>
      <c r="I77" s="14">
        <f>$I$70*(1+I73)</f>
        <v>289677.99916575878</v>
      </c>
      <c r="J77" t="s">
        <v>62</v>
      </c>
      <c r="M77" s="33" t="s">
        <v>118</v>
      </c>
      <c r="N77" s="33"/>
      <c r="O77" s="33"/>
      <c r="P77" s="33"/>
      <c r="Q77" s="33"/>
      <c r="R77" s="33"/>
      <c r="S77" s="33"/>
    </row>
    <row r="78" spans="3:20" ht="15" thickBot="1" x14ac:dyDescent="0.4">
      <c r="C78" s="12"/>
      <c r="D78" s="12"/>
      <c r="I78" s="15">
        <f>$I$70*(1+I74)</f>
        <v>303694.67654474708</v>
      </c>
      <c r="M78" s="33" t="s">
        <v>121</v>
      </c>
      <c r="N78" s="33"/>
      <c r="O78" s="33"/>
      <c r="P78" s="33"/>
      <c r="Q78" s="33"/>
      <c r="R78" s="33"/>
      <c r="S78" s="33"/>
    </row>
    <row r="79" spans="3:20" x14ac:dyDescent="0.35">
      <c r="C79" s="12"/>
      <c r="D79" s="12"/>
    </row>
    <row r="80" spans="3:20" x14ac:dyDescent="0.35">
      <c r="C80" s="12"/>
      <c r="D80" s="12"/>
    </row>
    <row r="81" spans="3:42" x14ac:dyDescent="0.35">
      <c r="C81" s="12"/>
      <c r="D81" s="12"/>
      <c r="I81" s="10">
        <v>0.15</v>
      </c>
      <c r="J81" t="s">
        <v>64</v>
      </c>
    </row>
    <row r="82" spans="3:42" x14ac:dyDescent="0.35">
      <c r="C82" s="12"/>
      <c r="D82" s="12"/>
      <c r="I82" s="10">
        <v>0.16</v>
      </c>
      <c r="J82" t="s">
        <v>65</v>
      </c>
    </row>
    <row r="83" spans="3:42" x14ac:dyDescent="0.35">
      <c r="C83" s="12"/>
      <c r="D83" s="12"/>
    </row>
    <row r="84" spans="3:42" x14ac:dyDescent="0.35">
      <c r="C84" s="12"/>
      <c r="D84" s="12"/>
    </row>
    <row r="95" spans="3:42" x14ac:dyDescent="0.35">
      <c r="AP95" t="s">
        <v>91</v>
      </c>
    </row>
    <row r="96" spans="3:42" x14ac:dyDescent="0.35">
      <c r="AP96" s="6">
        <v>6.3E-7</v>
      </c>
    </row>
    <row r="97" spans="21:42" x14ac:dyDescent="0.35">
      <c r="AP97" s="6">
        <v>3.0699999999999998E-6</v>
      </c>
    </row>
    <row r="98" spans="21:42" x14ac:dyDescent="0.35">
      <c r="V98" t="s">
        <v>98</v>
      </c>
    </row>
    <row r="99" spans="21:42" x14ac:dyDescent="0.35">
      <c r="AP99" t="s">
        <v>96</v>
      </c>
    </row>
    <row r="105" spans="21:42" x14ac:dyDescent="0.35">
      <c r="AP105">
        <v>1900</v>
      </c>
    </row>
    <row r="107" spans="21:42" x14ac:dyDescent="0.35">
      <c r="Y107" s="1"/>
      <c r="Z107" s="1" t="s">
        <v>149</v>
      </c>
      <c r="AB107" s="1" t="b">
        <v>0</v>
      </c>
      <c r="AE107" s="1"/>
      <c r="AF107" s="1" t="s">
        <v>148</v>
      </c>
      <c r="AG107" s="1"/>
      <c r="AH107" s="1" t="s">
        <v>149</v>
      </c>
      <c r="AI107" s="1"/>
      <c r="AP107" s="1" t="s">
        <v>109</v>
      </c>
    </row>
    <row r="108" spans="21:42" x14ac:dyDescent="0.35">
      <c r="U108" t="s">
        <v>100</v>
      </c>
      <c r="V108" s="1" t="s">
        <v>88</v>
      </c>
      <c r="W108" s="1" t="s">
        <v>89</v>
      </c>
      <c r="X108" s="1" t="s">
        <v>90</v>
      </c>
      <c r="Y108" s="1" t="s">
        <v>91</v>
      </c>
      <c r="Z108" s="1" t="s">
        <v>146</v>
      </c>
      <c r="AA108" s="1" t="s">
        <v>92</v>
      </c>
      <c r="AB108" s="1" t="s">
        <v>93</v>
      </c>
      <c r="AC108" s="1" t="s">
        <v>94</v>
      </c>
      <c r="AD108" s="30" t="s">
        <v>95</v>
      </c>
      <c r="AE108" s="30" t="s">
        <v>96</v>
      </c>
      <c r="AF108" s="30" t="s">
        <v>145</v>
      </c>
      <c r="AG108" s="30" t="s">
        <v>97</v>
      </c>
      <c r="AH108" s="30" t="s">
        <v>147</v>
      </c>
      <c r="AI108" s="30" t="s">
        <v>122</v>
      </c>
      <c r="AJ108" s="31" t="s">
        <v>124</v>
      </c>
      <c r="AK108" s="31" t="s">
        <v>123</v>
      </c>
      <c r="AL108" s="31" t="s">
        <v>195</v>
      </c>
      <c r="AM108" s="40" t="s">
        <v>196</v>
      </c>
      <c r="AN108" s="34" t="s">
        <v>106</v>
      </c>
      <c r="AO108" s="34" t="s">
        <v>107</v>
      </c>
      <c r="AP108" s="35" t="s">
        <v>108</v>
      </c>
    </row>
    <row r="109" spans="21:42" x14ac:dyDescent="0.35">
      <c r="U109">
        <v>52</v>
      </c>
      <c r="V109">
        <v>190</v>
      </c>
      <c r="W109">
        <v>11</v>
      </c>
      <c r="X109">
        <v>0.92800000000000005</v>
      </c>
      <c r="Y109" s="6">
        <v>5.9400000000000005E-7</v>
      </c>
      <c r="Z109" s="6" t="str">
        <f>IF(OR(Table1[[#This Row],[alpha_s]]&lt;$AP$96, Table1[[#This Row],[alpha_s]]&gt;$AP$97),"no","yes")</f>
        <v>no</v>
      </c>
      <c r="AA109">
        <v>104500</v>
      </c>
      <c r="AB109" t="b">
        <v>0</v>
      </c>
      <c r="AC109">
        <v>1.4</v>
      </c>
      <c r="AD109">
        <f t="shared" ref="AD109:AD148" si="0">(2*AC109)^2</f>
        <v>7.839999999999999</v>
      </c>
      <c r="AE109">
        <f t="shared" ref="AE109:AE148" si="1">AD109*W109</f>
        <v>86.24</v>
      </c>
      <c r="AF109" t="str">
        <f>IF(Table1[[#This Row],[A_tot]]&gt;1900,"yes", "no")</f>
        <v>no</v>
      </c>
      <c r="AG109">
        <f t="shared" ref="AG109:AG148" si="2">(5.5^2)*W109</f>
        <v>332.75</v>
      </c>
      <c r="AH109" t="str">
        <f>IF(Table1[[#This Row],[A_kensa]]&gt;1900, "yes", "no")</f>
        <v>no</v>
      </c>
      <c r="AI109" s="32">
        <f>($I$28+($I$29*(Table1[[#This Row],[L]]^2))+$I$30)*(Table1[[#This Row],[n]]*Table1[[#This Row],[L]])+$I$27</f>
        <v>51070.250576993392</v>
      </c>
      <c r="AJ109" s="32">
        <f t="shared" ref="AJ109:AJ148" si="3">((1.5*$I$47*$I$52-($I$28+($I$29*(V109^2))+$I$30))*V109*W109)</f>
        <v>163211.61206892104</v>
      </c>
      <c r="AK109" s="32">
        <f>Table1[[#This Row],[Installation Costs, Pre-Tax, Dec 2018 (Eqn 2)]]+Table1[[#This Row],[Drilling Costs, Pre-tax, Dec 2018 (Eqn 1)]]</f>
        <v>214281.86264591443</v>
      </c>
      <c r="AL109" s="32">
        <f>Table1[[#This Row],[Total, Pre-Tax, Dec 2018]]*(1+AVERAGE($I$73,$I$74))</f>
        <v>272137.96556031134</v>
      </c>
      <c r="AM109" s="32">
        <f>Table1[[#This Row],[Total, Pre-Tax, Oct 2024]]*1.15</f>
        <v>312958.66039435798</v>
      </c>
      <c r="AN109">
        <f>Table1[[#This Row],[n]]/MAX(Table1[n])</f>
        <v>5.2884615384615384E-2</v>
      </c>
      <c r="AO109" s="36">
        <f>Table1[[#This Row],[Total, Pre-Tax, Oct 2024]]/MAX(Table1[Total, Pre-Tax, Oct 2024])</f>
        <v>0.94589528917445287</v>
      </c>
      <c r="AP109">
        <f>(0.4*Table1[[#This Row],[Number of Boreholes - Normalised]])+(0.6*Table1[[#This Row],[Cost - Normalised]])</f>
        <v>0.58869101965851789</v>
      </c>
    </row>
    <row r="110" spans="21:42" x14ac:dyDescent="0.35">
      <c r="U110">
        <v>49</v>
      </c>
      <c r="V110">
        <v>190</v>
      </c>
      <c r="W110">
        <v>11</v>
      </c>
      <c r="X110">
        <v>3.2</v>
      </c>
      <c r="Y110" s="6">
        <v>2.0499999999999999E-6</v>
      </c>
      <c r="Z110" s="6" t="str">
        <f>IF(OR(Table1[[#This Row],[alpha_s]]&lt;$AP$96, Table1[[#This Row],[alpha_s]]&gt;$AP$97),"no","yes")</f>
        <v>yes</v>
      </c>
      <c r="AA110">
        <v>104500</v>
      </c>
      <c r="AB110" t="b">
        <v>1</v>
      </c>
      <c r="AC110">
        <v>1.6</v>
      </c>
      <c r="AD110">
        <f t="shared" si="0"/>
        <v>10.240000000000002</v>
      </c>
      <c r="AE110">
        <f t="shared" si="1"/>
        <v>112.64000000000001</v>
      </c>
      <c r="AF110" t="str">
        <f>IF(Table1[[#This Row],[A_tot]]&gt;1900,"yes", "no")</f>
        <v>no</v>
      </c>
      <c r="AG110">
        <f t="shared" si="2"/>
        <v>332.75</v>
      </c>
      <c r="AH110" t="str">
        <f>IF(Table1[[#This Row],[A_kensa]]&gt;1900, "yes", "no")</f>
        <v>no</v>
      </c>
      <c r="AI110" s="32">
        <f>($I$28+($I$29*(Table1[[#This Row],[L]]^2))+$I$30)*(Table1[[#This Row],[n]]*Table1[[#This Row],[L]])+$I$27</f>
        <v>51070.250576993392</v>
      </c>
      <c r="AJ110" s="32">
        <f t="shared" si="3"/>
        <v>163211.61206892104</v>
      </c>
      <c r="AK110" s="32">
        <f>Table1[[#This Row],[Installation Costs, Pre-Tax, Dec 2018 (Eqn 2)]]+Table1[[#This Row],[Drilling Costs, Pre-tax, Dec 2018 (Eqn 1)]]</f>
        <v>214281.86264591443</v>
      </c>
      <c r="AL110" s="32">
        <f>Table1[[#This Row],[Total, Pre-Tax, Dec 2018]]*(1+AVERAGE($I$73,$I$74))</f>
        <v>272137.96556031134</v>
      </c>
      <c r="AM110" s="32">
        <f>Table1[[#This Row],[Total, Pre-Tax, Oct 2024]]*1.15</f>
        <v>312958.66039435798</v>
      </c>
      <c r="AN110">
        <f>Table1[[#This Row],[n]]/MAX(Table1[n])</f>
        <v>5.2884615384615384E-2</v>
      </c>
      <c r="AO110" s="36">
        <f>Table1[[#This Row],[Total, Pre-Tax, Oct 2024]]/MAX(Table1[Total, Pre-Tax, Oct 2024])</f>
        <v>0.94589528917445287</v>
      </c>
      <c r="AP110">
        <f>(0.4*Table1[[#This Row],[Number of Boreholes - Normalised]])+(0.6*Table1[[#This Row],[Cost - Normalised]])</f>
        <v>0.58869101965851789</v>
      </c>
    </row>
    <row r="111" spans="21:42" x14ac:dyDescent="0.35">
      <c r="U111">
        <v>34</v>
      </c>
      <c r="V111">
        <v>160</v>
      </c>
      <c r="W111">
        <v>13</v>
      </c>
      <c r="X111">
        <v>0.78325</v>
      </c>
      <c r="Y111" s="6">
        <v>5.0100000000000005E-7</v>
      </c>
      <c r="Z111" s="6" t="str">
        <f>IF(OR(Table1[[#This Row],[alpha_s]]&lt;$AP$96, Table1[[#This Row],[alpha_s]]&gt;$AP$97),"no","yes")</f>
        <v>no</v>
      </c>
      <c r="AA111">
        <v>104000</v>
      </c>
      <c r="AB111" t="b">
        <v>0</v>
      </c>
      <c r="AC111">
        <v>0.9</v>
      </c>
      <c r="AD111">
        <f t="shared" si="0"/>
        <v>3.24</v>
      </c>
      <c r="AE111">
        <f t="shared" si="1"/>
        <v>42.120000000000005</v>
      </c>
      <c r="AF111" t="str">
        <f>IF(Table1[[#This Row],[A_tot]]&gt;1900,"yes", "no")</f>
        <v>no</v>
      </c>
      <c r="AG111">
        <f t="shared" si="2"/>
        <v>393.25</v>
      </c>
      <c r="AH111" t="str">
        <f>IF(Table1[[#This Row],[A_kensa]]&gt;1900, "yes", "no")</f>
        <v>no</v>
      </c>
      <c r="AI111" s="32">
        <f>($I$28+($I$29*(Table1[[#This Row],[L]]^2))+$I$30)*(Table1[[#This Row],[n]]*Table1[[#This Row],[L]])+$I$27</f>
        <v>50187.539562940794</v>
      </c>
      <c r="AJ111" s="32">
        <f t="shared" si="3"/>
        <v>163072.92230476349</v>
      </c>
      <c r="AK111" s="32">
        <f>Table1[[#This Row],[Installation Costs, Pre-Tax, Dec 2018 (Eqn 2)]]+Table1[[#This Row],[Drilling Costs, Pre-tax, Dec 2018 (Eqn 1)]]</f>
        <v>213260.46186770429</v>
      </c>
      <c r="AL111" s="32">
        <f>Table1[[#This Row],[Total, Pre-Tax, Dec 2018]]*(1+AVERAGE($I$73,$I$74))</f>
        <v>270840.78657198447</v>
      </c>
      <c r="AM111" s="32">
        <f>Table1[[#This Row],[Total, Pre-Tax, Oct 2024]]*1.15</f>
        <v>311466.90455778211</v>
      </c>
      <c r="AN111">
        <f>Table1[[#This Row],[n]]/MAX(Table1[n])</f>
        <v>6.25E-2</v>
      </c>
      <c r="AO111" s="36">
        <f>Table1[[#This Row],[Total, Pre-Tax, Oct 2024]]/MAX(Table1[Total, Pre-Tax, Oct 2024])</f>
        <v>0.94138656327232384</v>
      </c>
      <c r="AP111">
        <f>(0.4*Table1[[#This Row],[Number of Boreholes - Normalised]])+(0.6*Table1[[#This Row],[Cost - Normalised]])</f>
        <v>0.58983193796339428</v>
      </c>
    </row>
    <row r="112" spans="21:42" x14ac:dyDescent="0.35">
      <c r="U112">
        <v>35</v>
      </c>
      <c r="V112">
        <v>160</v>
      </c>
      <c r="W112">
        <v>13</v>
      </c>
      <c r="X112">
        <v>3.2</v>
      </c>
      <c r="Y112" s="6">
        <v>2.0499999999999999E-6</v>
      </c>
      <c r="Z112" s="6" t="str">
        <f>IF(OR(Table1[[#This Row],[alpha_s]]&lt;$AP$96, Table1[[#This Row],[alpha_s]]&gt;$AP$97),"no","yes")</f>
        <v>yes</v>
      </c>
      <c r="AA112">
        <v>104000</v>
      </c>
      <c r="AB112" t="b">
        <v>1</v>
      </c>
      <c r="AC112">
        <v>1.9</v>
      </c>
      <c r="AD112">
        <f t="shared" si="0"/>
        <v>14.44</v>
      </c>
      <c r="AE112">
        <f t="shared" si="1"/>
        <v>187.72</v>
      </c>
      <c r="AF112" t="str">
        <f>IF(Table1[[#This Row],[A_tot]]&gt;1900,"yes", "no")</f>
        <v>no</v>
      </c>
      <c r="AG112">
        <f t="shared" si="2"/>
        <v>393.25</v>
      </c>
      <c r="AH112" t="str">
        <f>IF(Table1[[#This Row],[A_kensa]]&gt;1900, "yes", "no")</f>
        <v>no</v>
      </c>
      <c r="AI112" s="32">
        <f>($I$28+($I$29*(Table1[[#This Row],[L]]^2))+$I$30)*(Table1[[#This Row],[n]]*Table1[[#This Row],[L]])+$I$27</f>
        <v>50187.539562940794</v>
      </c>
      <c r="AJ112" s="32">
        <f t="shared" si="3"/>
        <v>163072.92230476349</v>
      </c>
      <c r="AK112" s="32">
        <f>Table1[[#This Row],[Installation Costs, Pre-Tax, Dec 2018 (Eqn 2)]]+Table1[[#This Row],[Drilling Costs, Pre-tax, Dec 2018 (Eqn 1)]]</f>
        <v>213260.46186770429</v>
      </c>
      <c r="AL112" s="32">
        <f>Table1[[#This Row],[Total, Pre-Tax, Dec 2018]]*(1+AVERAGE($I$73,$I$74))</f>
        <v>270840.78657198447</v>
      </c>
      <c r="AM112" s="32">
        <f>Table1[[#This Row],[Total, Pre-Tax, Oct 2024]]*1.15</f>
        <v>311466.90455778211</v>
      </c>
      <c r="AN112">
        <f>Table1[[#This Row],[n]]/MAX(Table1[n])</f>
        <v>6.25E-2</v>
      </c>
      <c r="AO112" s="36">
        <f>Table1[[#This Row],[Total, Pre-Tax, Oct 2024]]/MAX(Table1[Total, Pre-Tax, Oct 2024])</f>
        <v>0.94138656327232384</v>
      </c>
      <c r="AP112">
        <f>(0.4*Table1[[#This Row],[Number of Boreholes - Normalised]])+(0.6*Table1[[#This Row],[Cost - Normalised]])</f>
        <v>0.58983193796339428</v>
      </c>
    </row>
    <row r="113" spans="21:44" x14ac:dyDescent="0.35">
      <c r="U113">
        <v>40</v>
      </c>
      <c r="V113">
        <v>130</v>
      </c>
      <c r="W113">
        <v>16</v>
      </c>
      <c r="X113">
        <v>0.79938461500000002</v>
      </c>
      <c r="Y113" s="6">
        <v>5.1200000000000003E-7</v>
      </c>
      <c r="Z113" s="6" t="str">
        <f>IF(OR(Table1[[#This Row],[alpha_s]]&lt;$AP$96, Table1[[#This Row],[alpha_s]]&gt;$AP$97),"no","yes")</f>
        <v>no</v>
      </c>
      <c r="AA113">
        <v>104000</v>
      </c>
      <c r="AB113" t="b">
        <v>0</v>
      </c>
      <c r="AC113">
        <v>1.4</v>
      </c>
      <c r="AD113">
        <f t="shared" si="0"/>
        <v>7.839999999999999</v>
      </c>
      <c r="AE113">
        <f t="shared" si="1"/>
        <v>125.43999999999998</v>
      </c>
      <c r="AF113" t="str">
        <f>IF(Table1[[#This Row],[A_tot]]&gt;1900,"yes", "no")</f>
        <v>no</v>
      </c>
      <c r="AG113">
        <f t="shared" si="2"/>
        <v>484</v>
      </c>
      <c r="AH113" t="str">
        <f>IF(Table1[[#This Row],[A_kensa]]&gt;1900, "yes", "no")</f>
        <v>no</v>
      </c>
      <c r="AI113" s="32">
        <f>($I$28+($I$29*(Table1[[#This Row],[L]]^2))+$I$30)*(Table1[[#This Row],[n]]*Table1[[#This Row],[L]])+$I$27</f>
        <v>49655.408586940794</v>
      </c>
      <c r="AJ113" s="32">
        <f t="shared" si="3"/>
        <v>163605.05328076347</v>
      </c>
      <c r="AK113" s="32">
        <f>Table1[[#This Row],[Installation Costs, Pre-Tax, Dec 2018 (Eqn 2)]]+Table1[[#This Row],[Drilling Costs, Pre-tax, Dec 2018 (Eqn 1)]]</f>
        <v>213260.46186770426</v>
      </c>
      <c r="AL113" s="32">
        <f>Table1[[#This Row],[Total, Pre-Tax, Dec 2018]]*(1+AVERAGE($I$73,$I$74))</f>
        <v>270840.78657198441</v>
      </c>
      <c r="AM113" s="32">
        <f>Table1[[#This Row],[Total, Pre-Tax, Oct 2024]]*1.15</f>
        <v>311466.90455778205</v>
      </c>
      <c r="AN113">
        <f>Table1[[#This Row],[n]]/MAX(Table1[n])</f>
        <v>7.6923076923076927E-2</v>
      </c>
      <c r="AO113" s="36">
        <f>Table1[[#This Row],[Total, Pre-Tax, Oct 2024]]/MAX(Table1[Total, Pre-Tax, Oct 2024])</f>
        <v>0.94138656327232373</v>
      </c>
      <c r="AP113">
        <f>(0.4*Table1[[#This Row],[Number of Boreholes - Normalised]])+(0.6*Table1[[#This Row],[Cost - Normalised]])</f>
        <v>0.59560116873262503</v>
      </c>
    </row>
    <row r="114" spans="21:44" x14ac:dyDescent="0.35">
      <c r="U114">
        <v>37</v>
      </c>
      <c r="V114">
        <v>130</v>
      </c>
      <c r="W114">
        <v>16</v>
      </c>
      <c r="X114">
        <v>3.2</v>
      </c>
      <c r="Y114" s="6">
        <v>2.0499999999999999E-6</v>
      </c>
      <c r="Z114" s="6" t="str">
        <f>IF(OR(Table1[[#This Row],[alpha_s]]&lt;$AP$96, Table1[[#This Row],[alpha_s]]&gt;$AP$97),"no","yes")</f>
        <v>yes</v>
      </c>
      <c r="AA114">
        <v>104000</v>
      </c>
      <c r="AB114" t="b">
        <v>1</v>
      </c>
      <c r="AC114">
        <v>1.7</v>
      </c>
      <c r="AD114">
        <f t="shared" si="0"/>
        <v>11.559999999999999</v>
      </c>
      <c r="AE114">
        <f t="shared" si="1"/>
        <v>184.95999999999998</v>
      </c>
      <c r="AF114" t="str">
        <f>IF(Table1[[#This Row],[A_tot]]&gt;1900,"yes", "no")</f>
        <v>no</v>
      </c>
      <c r="AG114">
        <f t="shared" si="2"/>
        <v>484</v>
      </c>
      <c r="AH114" t="str">
        <f>IF(Table1[[#This Row],[A_kensa]]&gt;1900, "yes", "no")</f>
        <v>no</v>
      </c>
      <c r="AI114" s="32">
        <f>($I$28+($I$29*(Table1[[#This Row],[L]]^2))+$I$30)*(Table1[[#This Row],[n]]*Table1[[#This Row],[L]])+$I$27</f>
        <v>49655.408586940794</v>
      </c>
      <c r="AJ114" s="32">
        <f t="shared" si="3"/>
        <v>163605.05328076347</v>
      </c>
      <c r="AK114" s="32">
        <f>Table1[[#This Row],[Installation Costs, Pre-Tax, Dec 2018 (Eqn 2)]]+Table1[[#This Row],[Drilling Costs, Pre-tax, Dec 2018 (Eqn 1)]]</f>
        <v>213260.46186770426</v>
      </c>
      <c r="AL114" s="32">
        <f>Table1[[#This Row],[Total, Pre-Tax, Dec 2018]]*(1+AVERAGE($I$73,$I$74))</f>
        <v>270840.78657198441</v>
      </c>
      <c r="AM114" s="32">
        <f>Table1[[#This Row],[Total, Pre-Tax, Oct 2024]]*1.15</f>
        <v>311466.90455778205</v>
      </c>
      <c r="AN114">
        <f>Table1[[#This Row],[n]]/MAX(Table1[n])</f>
        <v>7.6923076923076927E-2</v>
      </c>
      <c r="AO114" s="36">
        <f>Table1[[#This Row],[Total, Pre-Tax, Oct 2024]]/MAX(Table1[Total, Pre-Tax, Oct 2024])</f>
        <v>0.94138656327232373</v>
      </c>
      <c r="AP114">
        <f>(0.4*Table1[[#This Row],[Number of Boreholes - Normalised]])+(0.6*Table1[[#This Row],[Cost - Normalised]])</f>
        <v>0.59560116873262503</v>
      </c>
    </row>
    <row r="115" spans="21:44" x14ac:dyDescent="0.35">
      <c r="U115">
        <v>36</v>
      </c>
      <c r="V115">
        <v>150</v>
      </c>
      <c r="W115">
        <v>14</v>
      </c>
      <c r="X115">
        <v>0.72213333300000004</v>
      </c>
      <c r="Y115" s="6">
        <v>4.6199999999999998E-7</v>
      </c>
      <c r="Z115" s="6" t="str">
        <f>IF(OR(Table1[[#This Row],[alpha_s]]&lt;$AP$96, Table1[[#This Row],[alpha_s]]&gt;$AP$97),"no","yes")</f>
        <v>no</v>
      </c>
      <c r="AA115">
        <v>105000</v>
      </c>
      <c r="AB115" t="b">
        <v>0</v>
      </c>
      <c r="AC115">
        <v>1.4</v>
      </c>
      <c r="AD115">
        <f t="shared" si="0"/>
        <v>7.839999999999999</v>
      </c>
      <c r="AE115">
        <f t="shared" si="1"/>
        <v>109.75999999999999</v>
      </c>
      <c r="AF115" t="str">
        <f>IF(Table1[[#This Row],[A_tot]]&gt;1900,"yes", "no")</f>
        <v>no</v>
      </c>
      <c r="AG115">
        <f t="shared" si="2"/>
        <v>423.5</v>
      </c>
      <c r="AH115" t="str">
        <f>IF(Table1[[#This Row],[A_kensa]]&gt;1900, "yes", "no")</f>
        <v>no</v>
      </c>
      <c r="AI115" s="32">
        <f>($I$28+($I$29*(Table1[[#This Row],[L]]^2))+$I$30)*(Table1[[#This Row],[n]]*Table1[[#This Row],[L]])+$I$27</f>
        <v>50470.899191045995</v>
      </c>
      <c r="AJ115" s="32">
        <f t="shared" si="3"/>
        <v>164832.36423307852</v>
      </c>
      <c r="AK115" s="32">
        <f>Table1[[#This Row],[Installation Costs, Pre-Tax, Dec 2018 (Eqn 2)]]+Table1[[#This Row],[Drilling Costs, Pre-tax, Dec 2018 (Eqn 1)]]</f>
        <v>215303.26342412451</v>
      </c>
      <c r="AL115" s="32">
        <f>Table1[[#This Row],[Total, Pre-Tax, Dec 2018]]*(1+AVERAGE($I$73,$I$74))</f>
        <v>273435.14454863814</v>
      </c>
      <c r="AM115" s="32">
        <f>Table1[[#This Row],[Total, Pre-Tax, Oct 2024]]*1.15</f>
        <v>314450.41623093386</v>
      </c>
      <c r="AN115">
        <f>Table1[[#This Row],[n]]/MAX(Table1[n])</f>
        <v>6.7307692307692304E-2</v>
      </c>
      <c r="AO115" s="36">
        <f>Table1[[#This Row],[Total, Pre-Tax, Oct 2024]]/MAX(Table1[Total, Pre-Tax, Oct 2024])</f>
        <v>0.95040401507658168</v>
      </c>
      <c r="AP115">
        <f>(0.4*Table1[[#This Row],[Number of Boreholes - Normalised]])+(0.6*Table1[[#This Row],[Cost - Normalised]])</f>
        <v>0.59716548596902597</v>
      </c>
    </row>
    <row r="116" spans="21:44" x14ac:dyDescent="0.35">
      <c r="U116">
        <v>33</v>
      </c>
      <c r="V116">
        <v>150</v>
      </c>
      <c r="W116">
        <v>14</v>
      </c>
      <c r="X116">
        <v>3.2</v>
      </c>
      <c r="Y116" s="6">
        <v>2.0499999999999999E-6</v>
      </c>
      <c r="Z116" s="6" t="str">
        <f>IF(OR(Table1[[#This Row],[alpha_s]]&lt;$AP$96, Table1[[#This Row],[alpha_s]]&gt;$AP$97),"no","yes")</f>
        <v>yes</v>
      </c>
      <c r="AA116">
        <v>105000</v>
      </c>
      <c r="AB116" t="b">
        <v>1</v>
      </c>
      <c r="AC116">
        <v>1.8</v>
      </c>
      <c r="AD116">
        <f t="shared" si="0"/>
        <v>12.96</v>
      </c>
      <c r="AE116">
        <f t="shared" si="1"/>
        <v>181.44</v>
      </c>
      <c r="AF116" t="str">
        <f>IF(Table1[[#This Row],[A_tot]]&gt;1900,"yes", "no")</f>
        <v>no</v>
      </c>
      <c r="AG116">
        <f t="shared" si="2"/>
        <v>423.5</v>
      </c>
      <c r="AH116" t="str">
        <f>IF(Table1[[#This Row],[A_kensa]]&gt;1900, "yes", "no")</f>
        <v>no</v>
      </c>
      <c r="AI116" s="32">
        <f>($I$28+($I$29*(Table1[[#This Row],[L]]^2))+$I$30)*(Table1[[#This Row],[n]]*Table1[[#This Row],[L]])+$I$27</f>
        <v>50470.899191045995</v>
      </c>
      <c r="AJ116" s="32">
        <f t="shared" si="3"/>
        <v>164832.36423307852</v>
      </c>
      <c r="AK116" s="32">
        <f>Table1[[#This Row],[Installation Costs, Pre-Tax, Dec 2018 (Eqn 2)]]+Table1[[#This Row],[Drilling Costs, Pre-tax, Dec 2018 (Eqn 1)]]</f>
        <v>215303.26342412451</v>
      </c>
      <c r="AL116" s="32">
        <f>Table1[[#This Row],[Total, Pre-Tax, Dec 2018]]*(1+AVERAGE($I$73,$I$74))</f>
        <v>273435.14454863814</v>
      </c>
      <c r="AM116" s="32">
        <f>Table1[[#This Row],[Total, Pre-Tax, Oct 2024]]*1.15</f>
        <v>314450.41623093386</v>
      </c>
      <c r="AN116">
        <f>Table1[[#This Row],[n]]/MAX(Table1[n])</f>
        <v>6.7307692307692304E-2</v>
      </c>
      <c r="AO116" s="36">
        <f>Table1[[#This Row],[Total, Pre-Tax, Oct 2024]]/MAX(Table1[Total, Pre-Tax, Oct 2024])</f>
        <v>0.95040401507658168</v>
      </c>
      <c r="AP116">
        <f>(0.4*Table1[[#This Row],[Number of Boreholes - Normalised]])+(0.6*Table1[[#This Row],[Cost - Normalised]])</f>
        <v>0.59716548596902597</v>
      </c>
    </row>
    <row r="117" spans="21:44" x14ac:dyDescent="0.35">
      <c r="U117">
        <v>38</v>
      </c>
      <c r="V117">
        <v>140</v>
      </c>
      <c r="W117">
        <v>15</v>
      </c>
      <c r="X117">
        <v>0.75800000000000001</v>
      </c>
      <c r="Y117" s="6">
        <v>4.8500000000000002E-7</v>
      </c>
      <c r="Z117" s="6" t="str">
        <f>IF(OR(Table1[[#This Row],[alpha_s]]&lt;$AP$96, Table1[[#This Row],[alpha_s]]&gt;$AP$97),"no","yes")</f>
        <v>no</v>
      </c>
      <c r="AA117">
        <v>105000</v>
      </c>
      <c r="AB117" t="b">
        <v>0</v>
      </c>
      <c r="AC117">
        <v>0.9</v>
      </c>
      <c r="AD117">
        <f t="shared" si="0"/>
        <v>3.24</v>
      </c>
      <c r="AE117">
        <f t="shared" si="1"/>
        <v>48.6</v>
      </c>
      <c r="AF117" t="str">
        <f>IF(Table1[[#This Row],[A_tot]]&gt;1900,"yes", "no")</f>
        <v>no</v>
      </c>
      <c r="AG117">
        <f t="shared" si="2"/>
        <v>453.75</v>
      </c>
      <c r="AH117" t="str">
        <f>IF(Table1[[#This Row],[A_kensa]]&gt;1900, "yes", "no")</f>
        <v>no</v>
      </c>
      <c r="AI117" s="32">
        <f>($I$28+($I$29*(Table1[[#This Row],[L]]^2))+$I$30)*(Table1[[#This Row],[n]]*Table1[[#This Row],[L]])+$I$27</f>
        <v>50291.816651045992</v>
      </c>
      <c r="AJ117" s="32">
        <f t="shared" si="3"/>
        <v>165011.44677307853</v>
      </c>
      <c r="AK117" s="32">
        <f>Table1[[#This Row],[Installation Costs, Pre-Tax, Dec 2018 (Eqn 2)]]+Table1[[#This Row],[Drilling Costs, Pre-tax, Dec 2018 (Eqn 1)]]</f>
        <v>215303.26342412451</v>
      </c>
      <c r="AL117" s="32">
        <f>Table1[[#This Row],[Total, Pre-Tax, Dec 2018]]*(1+AVERAGE($I$73,$I$74))</f>
        <v>273435.14454863814</v>
      </c>
      <c r="AM117" s="32">
        <f>Table1[[#This Row],[Total, Pre-Tax, Oct 2024]]*1.15</f>
        <v>314450.41623093386</v>
      </c>
      <c r="AN117">
        <f>Table1[[#This Row],[n]]/MAX(Table1[n])</f>
        <v>7.2115384615384609E-2</v>
      </c>
      <c r="AO117" s="36">
        <f>Table1[[#This Row],[Total, Pre-Tax, Oct 2024]]/MAX(Table1[Total, Pre-Tax, Oct 2024])</f>
        <v>0.95040401507658168</v>
      </c>
      <c r="AP117">
        <f>(0.4*Table1[[#This Row],[Number of Boreholes - Normalised]])+(0.6*Table1[[#This Row],[Cost - Normalised]])</f>
        <v>0.59908856289210288</v>
      </c>
    </row>
    <row r="118" spans="21:44" x14ac:dyDescent="0.35">
      <c r="U118">
        <v>39</v>
      </c>
      <c r="V118">
        <v>140</v>
      </c>
      <c r="W118">
        <v>15</v>
      </c>
      <c r="X118">
        <v>3.2</v>
      </c>
      <c r="Y118" s="6">
        <v>2.0499999999999999E-6</v>
      </c>
      <c r="Z118" s="6" t="str">
        <f>IF(OR(Table1[[#This Row],[alpha_s]]&lt;$AP$96, Table1[[#This Row],[alpha_s]]&gt;$AP$97),"no","yes")</f>
        <v>yes</v>
      </c>
      <c r="AA118">
        <v>105000</v>
      </c>
      <c r="AB118" t="b">
        <v>1</v>
      </c>
      <c r="AC118">
        <v>1.9</v>
      </c>
      <c r="AD118">
        <f t="shared" si="0"/>
        <v>14.44</v>
      </c>
      <c r="AE118">
        <f t="shared" si="1"/>
        <v>216.6</v>
      </c>
      <c r="AF118" t="str">
        <f>IF(Table1[[#This Row],[A_tot]]&gt;1900,"yes", "no")</f>
        <v>no</v>
      </c>
      <c r="AG118">
        <f t="shared" si="2"/>
        <v>453.75</v>
      </c>
      <c r="AH118" t="str">
        <f>IF(Table1[[#This Row],[A_kensa]]&gt;1900, "yes", "no")</f>
        <v>no</v>
      </c>
      <c r="AI118" s="32">
        <f>($I$28+($I$29*(Table1[[#This Row],[L]]^2))+$I$30)*(Table1[[#This Row],[n]]*Table1[[#This Row],[L]])+$I$27</f>
        <v>50291.816651045992</v>
      </c>
      <c r="AJ118" s="32">
        <f t="shared" si="3"/>
        <v>165011.44677307853</v>
      </c>
      <c r="AK118" s="32">
        <f>Table1[[#This Row],[Installation Costs, Pre-Tax, Dec 2018 (Eqn 2)]]+Table1[[#This Row],[Drilling Costs, Pre-tax, Dec 2018 (Eqn 1)]]</f>
        <v>215303.26342412451</v>
      </c>
      <c r="AL118" s="32">
        <f>Table1[[#This Row],[Total, Pre-Tax, Dec 2018]]*(1+AVERAGE($I$73,$I$74))</f>
        <v>273435.14454863814</v>
      </c>
      <c r="AM118" s="32">
        <f>Table1[[#This Row],[Total, Pre-Tax, Oct 2024]]*1.15</f>
        <v>314450.41623093386</v>
      </c>
      <c r="AN118">
        <f>Table1[[#This Row],[n]]/MAX(Table1[n])</f>
        <v>7.2115384615384609E-2</v>
      </c>
      <c r="AO118" s="36">
        <f>Table1[[#This Row],[Total, Pre-Tax, Oct 2024]]/MAX(Table1[Total, Pre-Tax, Oct 2024])</f>
        <v>0.95040401507658168</v>
      </c>
      <c r="AP118">
        <f>(0.4*Table1[[#This Row],[Number of Boreholes - Normalised]])+(0.6*Table1[[#This Row],[Cost - Normalised]])</f>
        <v>0.59908856289210288</v>
      </c>
      <c r="AR118" t="s">
        <v>99</v>
      </c>
    </row>
    <row r="119" spans="21:44" x14ac:dyDescent="0.35">
      <c r="U119">
        <v>48</v>
      </c>
      <c r="V119">
        <v>110</v>
      </c>
      <c r="W119">
        <v>19</v>
      </c>
      <c r="X119">
        <v>0.904727273</v>
      </c>
      <c r="Y119" s="6">
        <v>5.7899999999999998E-7</v>
      </c>
      <c r="Z119" s="6" t="str">
        <f>IF(OR(Table1[[#This Row],[alpha_s]]&lt;$AP$96, Table1[[#This Row],[alpha_s]]&gt;$AP$97),"no","yes")</f>
        <v>no</v>
      </c>
      <c r="AA119">
        <v>104500</v>
      </c>
      <c r="AB119" t="b">
        <v>0</v>
      </c>
      <c r="AC119">
        <v>1.4</v>
      </c>
      <c r="AD119">
        <f t="shared" si="0"/>
        <v>7.839999999999999</v>
      </c>
      <c r="AE119">
        <f t="shared" si="1"/>
        <v>148.95999999999998</v>
      </c>
      <c r="AF119" t="str">
        <f>IF(Table1[[#This Row],[A_tot]]&gt;1900,"yes", "no")</f>
        <v>no</v>
      </c>
      <c r="AG119">
        <f t="shared" si="2"/>
        <v>574.75</v>
      </c>
      <c r="AH119" t="str">
        <f>IF(Table1[[#This Row],[A_kensa]]&gt;1900, "yes", "no")</f>
        <v>no</v>
      </c>
      <c r="AI119" s="32">
        <f>($I$28+($I$29*(Table1[[#This Row],[L]]^2))+$I$30)*(Table1[[#This Row],[n]]*Table1[[#This Row],[L]])+$I$27</f>
        <v>49595.245616993394</v>
      </c>
      <c r="AJ119" s="32">
        <f t="shared" si="3"/>
        <v>164686.617028921</v>
      </c>
      <c r="AK119" s="32">
        <f>Table1[[#This Row],[Installation Costs, Pre-Tax, Dec 2018 (Eqn 2)]]+Table1[[#This Row],[Drilling Costs, Pre-tax, Dec 2018 (Eqn 1)]]</f>
        <v>214281.8626459144</v>
      </c>
      <c r="AL119" s="32">
        <f>Table1[[#This Row],[Total, Pre-Tax, Dec 2018]]*(1+AVERAGE($I$73,$I$74))</f>
        <v>272137.96556031128</v>
      </c>
      <c r="AM119" s="32">
        <f>Table1[[#This Row],[Total, Pre-Tax, Oct 2024]]*1.15</f>
        <v>312958.66039435792</v>
      </c>
      <c r="AN119">
        <f>Table1[[#This Row],[n]]/MAX(Table1[n])</f>
        <v>9.1346153846153841E-2</v>
      </c>
      <c r="AO119" s="36">
        <f>Table1[[#This Row],[Total, Pre-Tax, Oct 2024]]/MAX(Table1[Total, Pre-Tax, Oct 2024])</f>
        <v>0.94589528917445265</v>
      </c>
      <c r="AP119">
        <f>(0.4*Table1[[#This Row],[Number of Boreholes - Normalised]])+(0.6*Table1[[#This Row],[Cost - Normalised]])</f>
        <v>0.60407563504313311</v>
      </c>
    </row>
    <row r="120" spans="21:44" x14ac:dyDescent="0.35">
      <c r="U120">
        <v>45</v>
      </c>
      <c r="V120">
        <v>110</v>
      </c>
      <c r="W120">
        <v>19</v>
      </c>
      <c r="X120">
        <v>3.2</v>
      </c>
      <c r="Y120" s="6">
        <v>2.0499999999999999E-6</v>
      </c>
      <c r="Z120" s="6" t="str">
        <f>IF(OR(Table1[[#This Row],[alpha_s]]&lt;$AP$96, Table1[[#This Row],[alpha_s]]&gt;$AP$97),"no","yes")</f>
        <v>yes</v>
      </c>
      <c r="AA120">
        <v>104500</v>
      </c>
      <c r="AB120" t="b">
        <v>1</v>
      </c>
      <c r="AC120">
        <v>1.7</v>
      </c>
      <c r="AD120">
        <f t="shared" si="0"/>
        <v>11.559999999999999</v>
      </c>
      <c r="AE120">
        <f t="shared" si="1"/>
        <v>219.64</v>
      </c>
      <c r="AF120" t="str">
        <f>IF(Table1[[#This Row],[A_tot]]&gt;1900,"yes", "no")</f>
        <v>no</v>
      </c>
      <c r="AG120">
        <f t="shared" si="2"/>
        <v>574.75</v>
      </c>
      <c r="AH120" t="str">
        <f>IF(Table1[[#This Row],[A_kensa]]&gt;1900, "yes", "no")</f>
        <v>no</v>
      </c>
      <c r="AI120" s="32">
        <f>($I$28+($I$29*(Table1[[#This Row],[L]]^2))+$I$30)*(Table1[[#This Row],[n]]*Table1[[#This Row],[L]])+$I$27</f>
        <v>49595.245616993394</v>
      </c>
      <c r="AJ120" s="32">
        <f t="shared" si="3"/>
        <v>164686.617028921</v>
      </c>
      <c r="AK120" s="32">
        <f>Table1[[#This Row],[Installation Costs, Pre-Tax, Dec 2018 (Eqn 2)]]+Table1[[#This Row],[Drilling Costs, Pre-tax, Dec 2018 (Eqn 1)]]</f>
        <v>214281.8626459144</v>
      </c>
      <c r="AL120" s="32">
        <f>Table1[[#This Row],[Total, Pre-Tax, Dec 2018]]*(1+AVERAGE($I$73,$I$74))</f>
        <v>272137.96556031128</v>
      </c>
      <c r="AM120" s="32">
        <f>Table1[[#This Row],[Total, Pre-Tax, Oct 2024]]*1.15</f>
        <v>312958.66039435792</v>
      </c>
      <c r="AN120">
        <f>Table1[[#This Row],[n]]/MAX(Table1[n])</f>
        <v>9.1346153846153841E-2</v>
      </c>
      <c r="AO120" s="36">
        <f>Table1[[#This Row],[Total, Pre-Tax, Oct 2024]]/MAX(Table1[Total, Pre-Tax, Oct 2024])</f>
        <v>0.94589528917445265</v>
      </c>
      <c r="AP120">
        <f>(0.4*Table1[[#This Row],[Number of Boreholes - Normalised]])+(0.6*Table1[[#This Row],[Cost - Normalised]])</f>
        <v>0.60407563504313311</v>
      </c>
    </row>
    <row r="121" spans="21:44" x14ac:dyDescent="0.35">
      <c r="U121">
        <v>58</v>
      </c>
      <c r="V121">
        <v>180</v>
      </c>
      <c r="W121">
        <v>12</v>
      </c>
      <c r="X121">
        <v>0.88511111099999995</v>
      </c>
      <c r="Y121" s="6">
        <v>5.6700000000000003E-7</v>
      </c>
      <c r="Z121" s="6" t="str">
        <f>IF(OR(Table1[[#This Row],[alpha_s]]&lt;$AP$96, Table1[[#This Row],[alpha_s]]&gt;$AP$97),"no","yes")</f>
        <v>no</v>
      </c>
      <c r="AA121">
        <v>108000</v>
      </c>
      <c r="AB121" t="b">
        <v>0</v>
      </c>
      <c r="AC121">
        <v>0.8</v>
      </c>
      <c r="AD121">
        <f t="shared" si="0"/>
        <v>2.5600000000000005</v>
      </c>
      <c r="AE121">
        <f t="shared" si="1"/>
        <v>30.720000000000006</v>
      </c>
      <c r="AF121" t="str">
        <f>IF(Table1[[#This Row],[A_tot]]&gt;1900,"yes", "no")</f>
        <v>no</v>
      </c>
      <c r="AG121">
        <f t="shared" si="2"/>
        <v>363</v>
      </c>
      <c r="AH121" t="str">
        <f>IF(Table1[[#This Row],[A_kensa]]&gt;1900, "yes", "no")</f>
        <v>no</v>
      </c>
      <c r="AI121" s="32">
        <f>($I$28+($I$29*(Table1[[#This Row],[L]]^2))+$I$30)*(Table1[[#This Row],[n]]*Table1[[#This Row],[L]])+$I$27</f>
        <v>52518.625643361593</v>
      </c>
      <c r="AJ121" s="32">
        <f t="shared" si="3"/>
        <v>168913.04245002361</v>
      </c>
      <c r="AK121" s="32">
        <f>Table1[[#This Row],[Installation Costs, Pre-Tax, Dec 2018 (Eqn 2)]]+Table1[[#This Row],[Drilling Costs, Pre-tax, Dec 2018 (Eqn 1)]]</f>
        <v>221431.6680933852</v>
      </c>
      <c r="AL121" s="32">
        <f>Table1[[#This Row],[Total, Pre-Tax, Dec 2018]]*(1+AVERAGE($I$73,$I$74))</f>
        <v>281218.21847859921</v>
      </c>
      <c r="AM121" s="32">
        <f>Table1[[#This Row],[Total, Pre-Tax, Oct 2024]]*1.15</f>
        <v>323400.95125038904</v>
      </c>
      <c r="AN121">
        <f>Table1[[#This Row],[n]]/MAX(Table1[n])</f>
        <v>5.7692307692307696E-2</v>
      </c>
      <c r="AO121" s="36">
        <f>Table1[[#This Row],[Total, Pre-Tax, Oct 2024]]/MAX(Table1[Total, Pre-Tax, Oct 2024])</f>
        <v>0.97745637048935519</v>
      </c>
      <c r="AP121">
        <f>(0.4*Table1[[#This Row],[Number of Boreholes - Normalised]])+(0.6*Table1[[#This Row],[Cost - Normalised]])</f>
        <v>0.60955074537053622</v>
      </c>
    </row>
    <row r="122" spans="21:44" x14ac:dyDescent="0.35">
      <c r="U122">
        <v>59</v>
      </c>
      <c r="V122">
        <v>180</v>
      </c>
      <c r="W122">
        <v>12</v>
      </c>
      <c r="X122">
        <v>3.2</v>
      </c>
      <c r="Y122" s="6">
        <v>2.0499999999999999E-6</v>
      </c>
      <c r="Z122" s="6" t="str">
        <f>IF(OR(Table1[[#This Row],[alpha_s]]&lt;$AP$96, Table1[[#This Row],[alpha_s]]&gt;$AP$97),"no","yes")</f>
        <v>yes</v>
      </c>
      <c r="AA122">
        <v>108000</v>
      </c>
      <c r="AB122" t="b">
        <v>1</v>
      </c>
      <c r="AC122">
        <v>1.9</v>
      </c>
      <c r="AD122">
        <f t="shared" si="0"/>
        <v>14.44</v>
      </c>
      <c r="AE122">
        <f t="shared" si="1"/>
        <v>173.28</v>
      </c>
      <c r="AF122" t="str">
        <f>IF(Table1[[#This Row],[A_tot]]&gt;1900,"yes", "no")</f>
        <v>no</v>
      </c>
      <c r="AG122">
        <f t="shared" si="2"/>
        <v>363</v>
      </c>
      <c r="AH122" t="str">
        <f>IF(Table1[[#This Row],[A_kensa]]&gt;1900, "yes", "no")</f>
        <v>no</v>
      </c>
      <c r="AI122" s="32">
        <f>($I$28+($I$29*(Table1[[#This Row],[L]]^2))+$I$30)*(Table1[[#This Row],[n]]*Table1[[#This Row],[L]])+$I$27</f>
        <v>52518.625643361593</v>
      </c>
      <c r="AJ122" s="32">
        <f t="shared" si="3"/>
        <v>168913.04245002361</v>
      </c>
      <c r="AK122" s="32">
        <f>Table1[[#This Row],[Installation Costs, Pre-Tax, Dec 2018 (Eqn 2)]]+Table1[[#This Row],[Drilling Costs, Pre-tax, Dec 2018 (Eqn 1)]]</f>
        <v>221431.6680933852</v>
      </c>
      <c r="AL122" s="32">
        <f>Table1[[#This Row],[Total, Pre-Tax, Dec 2018]]*(1+AVERAGE($I$73,$I$74))</f>
        <v>281218.21847859921</v>
      </c>
      <c r="AM122" s="32">
        <f>Table1[[#This Row],[Total, Pre-Tax, Oct 2024]]*1.15</f>
        <v>323400.95125038904</v>
      </c>
      <c r="AN122">
        <f>Table1[[#This Row],[n]]/MAX(Table1[n])</f>
        <v>5.7692307692307696E-2</v>
      </c>
      <c r="AO122" s="36">
        <f>Table1[[#This Row],[Total, Pre-Tax, Oct 2024]]/MAX(Table1[Total, Pre-Tax, Oct 2024])</f>
        <v>0.97745637048935519</v>
      </c>
      <c r="AP122">
        <f>(0.4*Table1[[#This Row],[Number of Boreholes - Normalised]])+(0.6*Table1[[#This Row],[Cost - Normalised]])</f>
        <v>0.60955074537053622</v>
      </c>
    </row>
    <row r="123" spans="21:44" x14ac:dyDescent="0.35">
      <c r="U123">
        <v>30</v>
      </c>
      <c r="V123">
        <v>100</v>
      </c>
      <c r="W123">
        <v>21</v>
      </c>
      <c r="X123">
        <v>0.97319999999999995</v>
      </c>
      <c r="Y123" s="6">
        <v>6.2300000000000001E-7</v>
      </c>
      <c r="Z123" s="6" t="str">
        <f>IF(OR(Table1[[#This Row],[alpha_s]]&lt;$AP$96, Table1[[#This Row],[alpha_s]]&gt;$AP$97),"no","yes")</f>
        <v>no</v>
      </c>
      <c r="AA123">
        <v>105000</v>
      </c>
      <c r="AB123" t="b">
        <v>0</v>
      </c>
      <c r="AC123">
        <v>1</v>
      </c>
      <c r="AD123">
        <f t="shared" si="0"/>
        <v>4</v>
      </c>
      <c r="AE123">
        <f t="shared" si="1"/>
        <v>84</v>
      </c>
      <c r="AF123" t="str">
        <f>IF(Table1[[#This Row],[A_tot]]&gt;1900,"yes", "no")</f>
        <v>no</v>
      </c>
      <c r="AG123">
        <f t="shared" si="2"/>
        <v>635.25</v>
      </c>
      <c r="AH123" t="str">
        <f>IF(Table1[[#This Row],[A_kensa]]&gt;1900, "yes", "no")</f>
        <v>no</v>
      </c>
      <c r="AI123" s="32">
        <f>($I$28+($I$29*(Table1[[#This Row],[L]]^2))+$I$30)*(Table1[[#This Row],[n]]*Table1[[#This Row],[L]])+$I$27</f>
        <v>49698.991691045994</v>
      </c>
      <c r="AJ123" s="32">
        <f t="shared" si="3"/>
        <v>165604.27173307849</v>
      </c>
      <c r="AK123" s="32">
        <f>Table1[[#This Row],[Installation Costs, Pre-Tax, Dec 2018 (Eqn 2)]]+Table1[[#This Row],[Drilling Costs, Pre-tax, Dec 2018 (Eqn 1)]]</f>
        <v>215303.26342412448</v>
      </c>
      <c r="AL123" s="32">
        <f>Table1[[#This Row],[Total, Pre-Tax, Dec 2018]]*(1+AVERAGE($I$73,$I$74))</f>
        <v>273435.14454863808</v>
      </c>
      <c r="AM123" s="32">
        <f>Table1[[#This Row],[Total, Pre-Tax, Oct 2024]]*1.15</f>
        <v>314450.4162309338</v>
      </c>
      <c r="AN123">
        <f>Table1[[#This Row],[n]]/MAX(Table1[n])</f>
        <v>0.10096153846153846</v>
      </c>
      <c r="AO123" s="36">
        <f>Table1[[#This Row],[Total, Pre-Tax, Oct 2024]]/MAX(Table1[Total, Pre-Tax, Oct 2024])</f>
        <v>0.95040401507658145</v>
      </c>
      <c r="AP123">
        <f>(0.4*Table1[[#This Row],[Number of Boreholes - Normalised]])+(0.6*Table1[[#This Row],[Cost - Normalised]])</f>
        <v>0.61062702443056416</v>
      </c>
    </row>
    <row r="124" spans="21:44" x14ac:dyDescent="0.35">
      <c r="U124">
        <v>32</v>
      </c>
      <c r="V124">
        <v>100</v>
      </c>
      <c r="W124">
        <v>21</v>
      </c>
      <c r="X124">
        <v>3.2</v>
      </c>
      <c r="Y124" s="6">
        <v>2.0499999999999999E-6</v>
      </c>
      <c r="Z124" s="6" t="str">
        <f>IF(OR(Table1[[#This Row],[alpha_s]]&lt;$AP$96, Table1[[#This Row],[alpha_s]]&gt;$AP$97),"no","yes")</f>
        <v>yes</v>
      </c>
      <c r="AA124">
        <v>105000</v>
      </c>
      <c r="AB124" t="b">
        <v>0</v>
      </c>
      <c r="AC124">
        <v>1.4</v>
      </c>
      <c r="AD124">
        <f t="shared" si="0"/>
        <v>7.839999999999999</v>
      </c>
      <c r="AE124">
        <f t="shared" si="1"/>
        <v>164.64</v>
      </c>
      <c r="AF124" t="str">
        <f>IF(Table1[[#This Row],[A_tot]]&gt;1900,"yes", "no")</f>
        <v>no</v>
      </c>
      <c r="AG124">
        <f t="shared" si="2"/>
        <v>635.25</v>
      </c>
      <c r="AH124" t="str">
        <f>IF(Table1[[#This Row],[A_kensa]]&gt;1900, "yes", "no")</f>
        <v>no</v>
      </c>
      <c r="AI124" s="32">
        <f>($I$28+($I$29*(Table1[[#This Row],[L]]^2))+$I$30)*(Table1[[#This Row],[n]]*Table1[[#This Row],[L]])+$I$27</f>
        <v>49698.991691045994</v>
      </c>
      <c r="AJ124" s="32">
        <f t="shared" si="3"/>
        <v>165604.27173307849</v>
      </c>
      <c r="AK124" s="32">
        <f>Table1[[#This Row],[Installation Costs, Pre-Tax, Dec 2018 (Eqn 2)]]+Table1[[#This Row],[Drilling Costs, Pre-tax, Dec 2018 (Eqn 1)]]</f>
        <v>215303.26342412448</v>
      </c>
      <c r="AL124" s="32">
        <f>Table1[[#This Row],[Total, Pre-Tax, Dec 2018]]*(1+AVERAGE($I$73,$I$74))</f>
        <v>273435.14454863808</v>
      </c>
      <c r="AM124" s="32">
        <f>Table1[[#This Row],[Total, Pre-Tax, Oct 2024]]*1.15</f>
        <v>314450.4162309338</v>
      </c>
      <c r="AN124">
        <f>Table1[[#This Row],[n]]/MAX(Table1[n])</f>
        <v>0.10096153846153846</v>
      </c>
      <c r="AO124" s="36">
        <f>Table1[[#This Row],[Total, Pre-Tax, Oct 2024]]/MAX(Table1[Total, Pre-Tax, Oct 2024])</f>
        <v>0.95040401507658145</v>
      </c>
      <c r="AP124">
        <f>(0.4*Table1[[#This Row],[Number of Boreholes - Normalised]])+(0.6*Table1[[#This Row],[Cost - Normalised]])</f>
        <v>0.61062702443056416</v>
      </c>
    </row>
    <row r="125" spans="21:44" x14ac:dyDescent="0.35">
      <c r="U125">
        <v>62</v>
      </c>
      <c r="V125">
        <v>80</v>
      </c>
      <c r="W125">
        <v>26</v>
      </c>
      <c r="X125">
        <v>1.1615</v>
      </c>
      <c r="Y125" s="6">
        <v>7.4399999999999999E-7</v>
      </c>
      <c r="Z125" s="6" t="str">
        <f>IF(OR(Table1[[#This Row],[alpha_s]]&lt;$AP$96, Table1[[#This Row],[alpha_s]]&gt;$AP$97),"no","yes")</f>
        <v>yes</v>
      </c>
      <c r="AA125">
        <v>104000</v>
      </c>
      <c r="AB125" t="b">
        <v>0</v>
      </c>
      <c r="AC125">
        <v>0.8</v>
      </c>
      <c r="AD125">
        <f t="shared" si="0"/>
        <v>2.5600000000000005</v>
      </c>
      <c r="AE125">
        <f t="shared" si="1"/>
        <v>66.560000000000016</v>
      </c>
      <c r="AF125" t="str">
        <f>IF(Table1[[#This Row],[A_tot]]&gt;1900,"yes", "no")</f>
        <v>no</v>
      </c>
      <c r="AG125">
        <f t="shared" si="2"/>
        <v>786.5</v>
      </c>
      <c r="AH125" t="str">
        <f>IF(Table1[[#This Row],[A_kensa]]&gt;1900, "yes", "no")</f>
        <v>no</v>
      </c>
      <c r="AI125" s="32">
        <f>($I$28+($I$29*(Table1[[#This Row],[L]]^2))+$I$30)*(Table1[[#This Row],[n]]*Table1[[#This Row],[L]])+$I$27</f>
        <v>49013.181546940796</v>
      </c>
      <c r="AJ125" s="32">
        <f t="shared" si="3"/>
        <v>164247.28032076347</v>
      </c>
      <c r="AK125" s="32">
        <f>Table1[[#This Row],[Installation Costs, Pre-Tax, Dec 2018 (Eqn 2)]]+Table1[[#This Row],[Drilling Costs, Pre-tax, Dec 2018 (Eqn 1)]]</f>
        <v>213260.46186770426</v>
      </c>
      <c r="AL125" s="32">
        <f>Table1[[#This Row],[Total, Pre-Tax, Dec 2018]]*(1+AVERAGE($I$73,$I$74))</f>
        <v>270840.78657198441</v>
      </c>
      <c r="AM125" s="32">
        <f>Table1[[#This Row],[Total, Pre-Tax, Oct 2024]]*1.15</f>
        <v>311466.90455778205</v>
      </c>
      <c r="AN125">
        <f>Table1[[#This Row],[n]]/MAX(Table1[n])</f>
        <v>0.125</v>
      </c>
      <c r="AO125" s="36">
        <f>Table1[[#This Row],[Total, Pre-Tax, Oct 2024]]/MAX(Table1[Total, Pre-Tax, Oct 2024])</f>
        <v>0.94138656327232373</v>
      </c>
      <c r="AP125">
        <f>(0.4*Table1[[#This Row],[Number of Boreholes - Normalised]])+(0.6*Table1[[#This Row],[Cost - Normalised]])</f>
        <v>0.6148319379633943</v>
      </c>
    </row>
    <row r="126" spans="21:44" x14ac:dyDescent="0.35">
      <c r="U126">
        <v>63</v>
      </c>
      <c r="V126">
        <v>80</v>
      </c>
      <c r="W126">
        <v>26</v>
      </c>
      <c r="X126">
        <v>3.2</v>
      </c>
      <c r="Y126" s="6">
        <v>2.0499999999999999E-6</v>
      </c>
      <c r="Z126" s="6" t="str">
        <f>IF(OR(Table1[[#This Row],[alpha_s]]&lt;$AP$96, Table1[[#This Row],[alpha_s]]&gt;$AP$97),"no","yes")</f>
        <v>yes</v>
      </c>
      <c r="AA126">
        <v>104000</v>
      </c>
      <c r="AB126" t="b">
        <v>1</v>
      </c>
      <c r="AC126">
        <v>1.9</v>
      </c>
      <c r="AD126">
        <f t="shared" si="0"/>
        <v>14.44</v>
      </c>
      <c r="AE126">
        <f t="shared" si="1"/>
        <v>375.44</v>
      </c>
      <c r="AF126" t="str">
        <f>IF(Table1[[#This Row],[A_tot]]&gt;1900,"yes", "no")</f>
        <v>no</v>
      </c>
      <c r="AG126">
        <f t="shared" si="2"/>
        <v>786.5</v>
      </c>
      <c r="AH126" t="str">
        <f>IF(Table1[[#This Row],[A_kensa]]&gt;1900, "yes", "no")</f>
        <v>no</v>
      </c>
      <c r="AI126" s="32">
        <f>($I$28+($I$29*(Table1[[#This Row],[L]]^2))+$I$30)*(Table1[[#This Row],[n]]*Table1[[#This Row],[L]])+$I$27</f>
        <v>49013.181546940796</v>
      </c>
      <c r="AJ126" s="32">
        <f t="shared" si="3"/>
        <v>164247.28032076347</v>
      </c>
      <c r="AK126" s="32">
        <f>Table1[[#This Row],[Installation Costs, Pre-Tax, Dec 2018 (Eqn 2)]]+Table1[[#This Row],[Drilling Costs, Pre-tax, Dec 2018 (Eqn 1)]]</f>
        <v>213260.46186770426</v>
      </c>
      <c r="AL126" s="32">
        <f>Table1[[#This Row],[Total, Pre-Tax, Dec 2018]]*(1+AVERAGE($I$73,$I$74))</f>
        <v>270840.78657198441</v>
      </c>
      <c r="AM126" s="32">
        <f>Table1[[#This Row],[Total, Pre-Tax, Oct 2024]]*1.15</f>
        <v>311466.90455778205</v>
      </c>
      <c r="AN126">
        <f>Table1[[#This Row],[n]]/MAX(Table1[n])</f>
        <v>0.125</v>
      </c>
      <c r="AO126" s="36">
        <f>Table1[[#This Row],[Total, Pre-Tax, Oct 2024]]/MAX(Table1[Total, Pre-Tax, Oct 2024])</f>
        <v>0.94138656327232373</v>
      </c>
      <c r="AP126">
        <f>(0.4*Table1[[#This Row],[Number of Boreholes - Normalised]])+(0.6*Table1[[#This Row],[Cost - Normalised]])</f>
        <v>0.6148319379633943</v>
      </c>
    </row>
    <row r="127" spans="21:44" x14ac:dyDescent="0.35">
      <c r="U127">
        <v>50</v>
      </c>
      <c r="V127">
        <v>200</v>
      </c>
      <c r="W127">
        <v>11</v>
      </c>
      <c r="X127">
        <v>0.92800000000000005</v>
      </c>
      <c r="Y127" s="6">
        <v>5.9400000000000005E-7</v>
      </c>
      <c r="Z127" s="6" t="str">
        <f>IF(OR(Table1[[#This Row],[alpha_s]]&lt;$AP$96, Table1[[#This Row],[alpha_s]]&gt;$AP$97),"no","yes")</f>
        <v>no</v>
      </c>
      <c r="AA127">
        <v>110000</v>
      </c>
      <c r="AB127" t="b">
        <v>0</v>
      </c>
      <c r="AC127">
        <v>0.8</v>
      </c>
      <c r="AD127">
        <f t="shared" si="0"/>
        <v>2.5600000000000005</v>
      </c>
      <c r="AE127">
        <f t="shared" si="1"/>
        <v>28.160000000000004</v>
      </c>
      <c r="AF127" t="str">
        <f>IF(Table1[[#This Row],[A_tot]]&gt;1900,"yes", "no")</f>
        <v>no</v>
      </c>
      <c r="AG127">
        <f t="shared" si="2"/>
        <v>332.75</v>
      </c>
      <c r="AH127" t="str">
        <f>IF(Table1[[#This Row],[A_kensa]]&gt;1900, "yes", "no")</f>
        <v>no</v>
      </c>
      <c r="AI127" s="32">
        <f>($I$28+($I$29*(Table1[[#This Row],[L]]^2))+$I$30)*(Table1[[#This Row],[n]]*Table1[[#This Row],[L]])+$I$27</f>
        <v>53967.877771571992</v>
      </c>
      <c r="AJ127" s="32">
        <f t="shared" si="3"/>
        <v>171549.3934346537</v>
      </c>
      <c r="AK127" s="32">
        <f>Table1[[#This Row],[Installation Costs, Pre-Tax, Dec 2018 (Eqn 2)]]+Table1[[#This Row],[Drilling Costs, Pre-tax, Dec 2018 (Eqn 1)]]</f>
        <v>225517.27120622568</v>
      </c>
      <c r="AL127" s="32">
        <f>Table1[[#This Row],[Total, Pre-Tax, Dec 2018]]*(1+AVERAGE($I$73,$I$74))</f>
        <v>286406.93443190661</v>
      </c>
      <c r="AM127" s="32">
        <f>Table1[[#This Row],[Total, Pre-Tax, Oct 2024]]*1.15</f>
        <v>329367.9745966926</v>
      </c>
      <c r="AN127">
        <f>Table1[[#This Row],[n]]/MAX(Table1[n])</f>
        <v>5.2884615384615384E-2</v>
      </c>
      <c r="AO127" s="36">
        <f>Table1[[#This Row],[Total, Pre-Tax, Oct 2024]]/MAX(Table1[Total, Pre-Tax, Oct 2024])</f>
        <v>0.99549127409787097</v>
      </c>
      <c r="AP127">
        <f>(0.4*Table1[[#This Row],[Number of Boreholes - Normalised]])+(0.6*Table1[[#This Row],[Cost - Normalised]])</f>
        <v>0.61844861061256873</v>
      </c>
    </row>
    <row r="128" spans="21:44" x14ac:dyDescent="0.35">
      <c r="U128">
        <v>51</v>
      </c>
      <c r="V128">
        <v>200</v>
      </c>
      <c r="W128">
        <v>11</v>
      </c>
      <c r="X128">
        <v>3.2</v>
      </c>
      <c r="Y128" s="6">
        <v>2.0499999999999999E-6</v>
      </c>
      <c r="Z128" s="6" t="str">
        <f>IF(OR(Table1[[#This Row],[alpha_s]]&lt;$AP$96, Table1[[#This Row],[alpha_s]]&gt;$AP$97),"no","yes")</f>
        <v>yes</v>
      </c>
      <c r="AA128">
        <v>110000</v>
      </c>
      <c r="AB128" t="b">
        <v>1</v>
      </c>
      <c r="AC128">
        <v>1.9</v>
      </c>
      <c r="AD128">
        <f t="shared" si="0"/>
        <v>14.44</v>
      </c>
      <c r="AE128">
        <f t="shared" si="1"/>
        <v>158.84</v>
      </c>
      <c r="AF128" t="str">
        <f>IF(Table1[[#This Row],[A_tot]]&gt;1900,"yes", "no")</f>
        <v>no</v>
      </c>
      <c r="AG128">
        <f t="shared" si="2"/>
        <v>332.75</v>
      </c>
      <c r="AH128" t="str">
        <f>IF(Table1[[#This Row],[A_kensa]]&gt;1900, "yes", "no")</f>
        <v>no</v>
      </c>
      <c r="AI128" s="32">
        <f>($I$28+($I$29*(Table1[[#This Row],[L]]^2))+$I$30)*(Table1[[#This Row],[n]]*Table1[[#This Row],[L]])+$I$27</f>
        <v>53967.877771571992</v>
      </c>
      <c r="AJ128" s="32">
        <f t="shared" si="3"/>
        <v>171549.3934346537</v>
      </c>
      <c r="AK128" s="32">
        <f>Table1[[#This Row],[Installation Costs, Pre-Tax, Dec 2018 (Eqn 2)]]+Table1[[#This Row],[Drilling Costs, Pre-tax, Dec 2018 (Eqn 1)]]</f>
        <v>225517.27120622568</v>
      </c>
      <c r="AL128" s="32">
        <f>Table1[[#This Row],[Total, Pre-Tax, Dec 2018]]*(1+AVERAGE($I$73,$I$74))</f>
        <v>286406.93443190661</v>
      </c>
      <c r="AM128" s="32">
        <f>Table1[[#This Row],[Total, Pre-Tax, Oct 2024]]*1.15</f>
        <v>329367.9745966926</v>
      </c>
      <c r="AN128">
        <f>Table1[[#This Row],[n]]/MAX(Table1[n])</f>
        <v>5.2884615384615384E-2</v>
      </c>
      <c r="AO128" s="36">
        <f>Table1[[#This Row],[Total, Pre-Tax, Oct 2024]]/MAX(Table1[Total, Pre-Tax, Oct 2024])</f>
        <v>0.99549127409787097</v>
      </c>
      <c r="AP128">
        <f>(0.4*Table1[[#This Row],[Number of Boreholes - Normalised]])+(0.6*Table1[[#This Row],[Cost - Normalised]])</f>
        <v>0.61844861061256873</v>
      </c>
    </row>
    <row r="129" spans="21:42" x14ac:dyDescent="0.35">
      <c r="U129">
        <v>46</v>
      </c>
      <c r="V129">
        <v>120</v>
      </c>
      <c r="W129">
        <v>18</v>
      </c>
      <c r="X129">
        <v>0.84766666700000004</v>
      </c>
      <c r="Y129" s="6">
        <v>5.4300000000000003E-7</v>
      </c>
      <c r="Z129" s="6" t="str">
        <f>IF(OR(Table1[[#This Row],[alpha_s]]&lt;$AP$96, Table1[[#This Row],[alpha_s]]&gt;$AP$97),"no","yes")</f>
        <v>no</v>
      </c>
      <c r="AA129">
        <v>108000</v>
      </c>
      <c r="AB129" t="b">
        <v>0</v>
      </c>
      <c r="AC129">
        <v>0.9</v>
      </c>
      <c r="AD129">
        <f t="shared" si="0"/>
        <v>3.24</v>
      </c>
      <c r="AE129">
        <f t="shared" si="1"/>
        <v>58.320000000000007</v>
      </c>
      <c r="AF129" t="str">
        <f>IF(Table1[[#This Row],[A_tot]]&gt;1900,"yes", "no")</f>
        <v>no</v>
      </c>
      <c r="AG129">
        <f t="shared" si="2"/>
        <v>544.5</v>
      </c>
      <c r="AH129" t="str">
        <f>IF(Table1[[#This Row],[A_kensa]]&gt;1900, "yes", "no")</f>
        <v>no</v>
      </c>
      <c r="AI129" s="32">
        <f>($I$28+($I$29*(Table1[[#This Row],[L]]^2))+$I$30)*(Table1[[#This Row],[n]]*Table1[[#This Row],[L]])+$I$27</f>
        <v>51375.320363361592</v>
      </c>
      <c r="AJ129" s="32">
        <f t="shared" si="3"/>
        <v>170056.34773002364</v>
      </c>
      <c r="AK129" s="32">
        <f>Table1[[#This Row],[Installation Costs, Pre-Tax, Dec 2018 (Eqn 2)]]+Table1[[#This Row],[Drilling Costs, Pre-tax, Dec 2018 (Eqn 1)]]</f>
        <v>221431.66809338523</v>
      </c>
      <c r="AL129" s="32">
        <f>Table1[[#This Row],[Total, Pre-Tax, Dec 2018]]*(1+AVERAGE($I$73,$I$74))</f>
        <v>281218.21847859927</v>
      </c>
      <c r="AM129" s="32">
        <f>Table1[[#This Row],[Total, Pre-Tax, Oct 2024]]*1.15</f>
        <v>323400.95125038916</v>
      </c>
      <c r="AN129">
        <f>Table1[[#This Row],[n]]/MAX(Table1[n])</f>
        <v>8.6538461538461536E-2</v>
      </c>
      <c r="AO129" s="36">
        <f>Table1[[#This Row],[Total, Pre-Tax, Oct 2024]]/MAX(Table1[Total, Pre-Tax, Oct 2024])</f>
        <v>0.97745637048935541</v>
      </c>
      <c r="AP129">
        <f>(0.4*Table1[[#This Row],[Number of Boreholes - Normalised]])+(0.6*Table1[[#This Row],[Cost - Normalised]])</f>
        <v>0.62108920690899783</v>
      </c>
    </row>
    <row r="130" spans="21:42" x14ac:dyDescent="0.35">
      <c r="U130">
        <v>47</v>
      </c>
      <c r="V130">
        <v>120</v>
      </c>
      <c r="W130">
        <v>18</v>
      </c>
      <c r="X130">
        <v>3.2</v>
      </c>
      <c r="Y130" s="6">
        <v>2.0499999999999999E-6</v>
      </c>
      <c r="Z130" s="6" t="str">
        <f>IF(OR(Table1[[#This Row],[alpha_s]]&lt;$AP$96, Table1[[#This Row],[alpha_s]]&gt;$AP$97),"no","yes")</f>
        <v>yes</v>
      </c>
      <c r="AA130">
        <v>108000</v>
      </c>
      <c r="AB130" t="b">
        <v>1</v>
      </c>
      <c r="AC130">
        <v>1.9</v>
      </c>
      <c r="AD130">
        <f t="shared" si="0"/>
        <v>14.44</v>
      </c>
      <c r="AE130">
        <f t="shared" si="1"/>
        <v>259.92</v>
      </c>
      <c r="AF130" t="str">
        <f>IF(Table1[[#This Row],[A_tot]]&gt;1900,"yes", "no")</f>
        <v>no</v>
      </c>
      <c r="AG130">
        <f t="shared" si="2"/>
        <v>544.5</v>
      </c>
      <c r="AH130" t="str">
        <f>IF(Table1[[#This Row],[A_kensa]]&gt;1900, "yes", "no")</f>
        <v>no</v>
      </c>
      <c r="AI130" s="32">
        <f>($I$28+($I$29*(Table1[[#This Row],[L]]^2))+$I$30)*(Table1[[#This Row],[n]]*Table1[[#This Row],[L]])+$I$27</f>
        <v>51375.320363361592</v>
      </c>
      <c r="AJ130" s="32">
        <f t="shared" si="3"/>
        <v>170056.34773002364</v>
      </c>
      <c r="AK130" s="32">
        <f>Table1[[#This Row],[Installation Costs, Pre-Tax, Dec 2018 (Eqn 2)]]+Table1[[#This Row],[Drilling Costs, Pre-tax, Dec 2018 (Eqn 1)]]</f>
        <v>221431.66809338523</v>
      </c>
      <c r="AL130" s="32">
        <f>Table1[[#This Row],[Total, Pre-Tax, Dec 2018]]*(1+AVERAGE($I$73,$I$74))</f>
        <v>281218.21847859927</v>
      </c>
      <c r="AM130" s="32">
        <f>Table1[[#This Row],[Total, Pre-Tax, Oct 2024]]*1.15</f>
        <v>323400.95125038916</v>
      </c>
      <c r="AN130">
        <f>Table1[[#This Row],[n]]/MAX(Table1[n])</f>
        <v>8.6538461538461536E-2</v>
      </c>
      <c r="AO130" s="36">
        <f>Table1[[#This Row],[Total, Pre-Tax, Oct 2024]]/MAX(Table1[Total, Pre-Tax, Oct 2024])</f>
        <v>0.97745637048935541</v>
      </c>
      <c r="AP130">
        <f>(0.4*Table1[[#This Row],[Number of Boreholes - Normalised]])+(0.6*Table1[[#This Row],[Cost - Normalised]])</f>
        <v>0.62108920690899783</v>
      </c>
    </row>
    <row r="131" spans="21:42" x14ac:dyDescent="0.35">
      <c r="U131">
        <v>60</v>
      </c>
      <c r="V131">
        <v>170</v>
      </c>
      <c r="W131">
        <v>13</v>
      </c>
      <c r="X131">
        <v>0.83717647100000003</v>
      </c>
      <c r="Y131" s="6">
        <v>5.3600000000000004E-7</v>
      </c>
      <c r="Z131" s="6" t="str">
        <f>IF(OR(Table1[[#This Row],[alpha_s]]&lt;$AP$96, Table1[[#This Row],[alpha_s]]&gt;$AP$97),"no","yes")</f>
        <v>no</v>
      </c>
      <c r="AA131">
        <v>110500</v>
      </c>
      <c r="AB131" t="b">
        <v>0</v>
      </c>
      <c r="AC131">
        <v>1.4</v>
      </c>
      <c r="AD131">
        <f t="shared" si="0"/>
        <v>7.839999999999999</v>
      </c>
      <c r="AE131">
        <f t="shared" si="1"/>
        <v>101.91999999999999</v>
      </c>
      <c r="AF131" t="str">
        <f>IF(Table1[[#This Row],[A_tot]]&gt;1900,"yes", "no")</f>
        <v>no</v>
      </c>
      <c r="AG131">
        <f t="shared" si="2"/>
        <v>393.25</v>
      </c>
      <c r="AH131" t="str">
        <f>IF(Table1[[#This Row],[A_kensa]]&gt;1900, "yes", "no")</f>
        <v>no</v>
      </c>
      <c r="AI131" s="32">
        <f>($I$28+($I$29*(Table1[[#This Row],[L]]^2))+$I$30)*(Table1[[#This Row],[n]]*Table1[[#This Row],[L]])+$I$27</f>
        <v>53488.149993624589</v>
      </c>
      <c r="AJ131" s="32">
        <f t="shared" si="3"/>
        <v>173050.52199081119</v>
      </c>
      <c r="AK131" s="32">
        <f>Table1[[#This Row],[Installation Costs, Pre-Tax, Dec 2018 (Eqn 2)]]+Table1[[#This Row],[Drilling Costs, Pre-tax, Dec 2018 (Eqn 1)]]</f>
        <v>226538.67198443579</v>
      </c>
      <c r="AL131" s="32">
        <f>Table1[[#This Row],[Total, Pre-Tax, Dec 2018]]*(1+AVERAGE($I$73,$I$74))</f>
        <v>287704.11342023348</v>
      </c>
      <c r="AM131" s="32">
        <f>Table1[[#This Row],[Total, Pre-Tax, Oct 2024]]*1.15</f>
        <v>330859.73043326847</v>
      </c>
      <c r="AN131">
        <f>Table1[[#This Row],[n]]/MAX(Table1[n])</f>
        <v>6.25E-2</v>
      </c>
      <c r="AO131" s="36">
        <f>Table1[[#This Row],[Total, Pre-Tax, Oct 2024]]/MAX(Table1[Total, Pre-Tax, Oct 2024])</f>
        <v>1</v>
      </c>
      <c r="AP131">
        <f>(0.4*Table1[[#This Row],[Number of Boreholes - Normalised]])+(0.6*Table1[[#This Row],[Cost - Normalised]])</f>
        <v>0.625</v>
      </c>
    </row>
    <row r="132" spans="21:42" x14ac:dyDescent="0.35">
      <c r="U132">
        <v>57</v>
      </c>
      <c r="V132">
        <v>170</v>
      </c>
      <c r="W132">
        <v>13</v>
      </c>
      <c r="X132">
        <v>3.2</v>
      </c>
      <c r="Y132" s="6">
        <v>2.0499999999999999E-6</v>
      </c>
      <c r="Z132" s="6" t="str">
        <f>IF(OR(Table1[[#This Row],[alpha_s]]&lt;$AP$96, Table1[[#This Row],[alpha_s]]&gt;$AP$97),"no","yes")</f>
        <v>yes</v>
      </c>
      <c r="AA132">
        <v>110500</v>
      </c>
      <c r="AB132" t="b">
        <v>1</v>
      </c>
      <c r="AC132">
        <v>1.6</v>
      </c>
      <c r="AD132">
        <f t="shared" si="0"/>
        <v>10.240000000000002</v>
      </c>
      <c r="AE132">
        <f t="shared" si="1"/>
        <v>133.12000000000003</v>
      </c>
      <c r="AF132" t="str">
        <f>IF(Table1[[#This Row],[A_tot]]&gt;1900,"yes", "no")</f>
        <v>no</v>
      </c>
      <c r="AG132">
        <f t="shared" si="2"/>
        <v>393.25</v>
      </c>
      <c r="AH132" t="str">
        <f>IF(Table1[[#This Row],[A_kensa]]&gt;1900, "yes", "no")</f>
        <v>no</v>
      </c>
      <c r="AI132" s="32">
        <f>($I$28+($I$29*(Table1[[#This Row],[L]]^2))+$I$30)*(Table1[[#This Row],[n]]*Table1[[#This Row],[L]])+$I$27</f>
        <v>53488.149993624589</v>
      </c>
      <c r="AJ132" s="32">
        <f t="shared" si="3"/>
        <v>173050.52199081119</v>
      </c>
      <c r="AK132" s="32">
        <f>Table1[[#This Row],[Installation Costs, Pre-Tax, Dec 2018 (Eqn 2)]]+Table1[[#This Row],[Drilling Costs, Pre-tax, Dec 2018 (Eqn 1)]]</f>
        <v>226538.67198443579</v>
      </c>
      <c r="AL132" s="32">
        <f>Table1[[#This Row],[Total, Pre-Tax, Dec 2018]]*(1+AVERAGE($I$73,$I$74))</f>
        <v>287704.11342023348</v>
      </c>
      <c r="AM132" s="32">
        <f>Table1[[#This Row],[Total, Pre-Tax, Oct 2024]]*1.15</f>
        <v>330859.73043326847</v>
      </c>
      <c r="AN132">
        <f>Table1[[#This Row],[n]]/MAX(Table1[n])</f>
        <v>6.25E-2</v>
      </c>
      <c r="AO132" s="36">
        <f>Table1[[#This Row],[Total, Pre-Tax, Oct 2024]]/MAX(Table1[Total, Pre-Tax, Oct 2024])</f>
        <v>1</v>
      </c>
      <c r="AP132">
        <f>(0.4*Table1[[#This Row],[Number of Boreholes - Normalised]])+(0.6*Table1[[#This Row],[Cost - Normalised]])</f>
        <v>0.625</v>
      </c>
    </row>
    <row r="133" spans="21:42" x14ac:dyDescent="0.35">
      <c r="U133">
        <v>64</v>
      </c>
      <c r="V133">
        <v>70</v>
      </c>
      <c r="W133">
        <v>30</v>
      </c>
      <c r="X133">
        <v>1.296</v>
      </c>
      <c r="Y133" s="6">
        <v>8.2999999999999999E-7</v>
      </c>
      <c r="Z133" s="6" t="str">
        <f>IF(OR(Table1[[#This Row],[alpha_s]]&lt;$AP$96, Table1[[#This Row],[alpha_s]]&gt;$AP$97),"no","yes")</f>
        <v>yes</v>
      </c>
      <c r="AA133">
        <v>105000</v>
      </c>
      <c r="AB133" t="b">
        <v>0</v>
      </c>
      <c r="AC133">
        <v>1.4</v>
      </c>
      <c r="AD133">
        <f t="shared" si="0"/>
        <v>7.839999999999999</v>
      </c>
      <c r="AE133">
        <f t="shared" si="1"/>
        <v>235.19999999999996</v>
      </c>
      <c r="AF133" t="str">
        <f>IF(Table1[[#This Row],[A_tot]]&gt;1900,"yes", "no")</f>
        <v>no</v>
      </c>
      <c r="AG133">
        <f t="shared" si="2"/>
        <v>907.5</v>
      </c>
      <c r="AH133" t="str">
        <f>IF(Table1[[#This Row],[A_kensa]]&gt;1900, "yes", "no")</f>
        <v>no</v>
      </c>
      <c r="AI133" s="32">
        <f>($I$28+($I$29*(Table1[[#This Row],[L]]^2))+$I$30)*(Table1[[#This Row],[n]]*Table1[[#This Row],[L]])+$I$27</f>
        <v>49384.053431045999</v>
      </c>
      <c r="AJ133" s="32">
        <f t="shared" si="3"/>
        <v>165919.20999307849</v>
      </c>
      <c r="AK133" s="32">
        <f>Table1[[#This Row],[Installation Costs, Pre-Tax, Dec 2018 (Eqn 2)]]+Table1[[#This Row],[Drilling Costs, Pre-tax, Dec 2018 (Eqn 1)]]</f>
        <v>215303.26342412448</v>
      </c>
      <c r="AL133" s="32">
        <f>Table1[[#This Row],[Total, Pre-Tax, Dec 2018]]*(1+AVERAGE($I$73,$I$74))</f>
        <v>273435.14454863808</v>
      </c>
      <c r="AM133" s="32">
        <f>Table1[[#This Row],[Total, Pre-Tax, Oct 2024]]*1.15</f>
        <v>314450.4162309338</v>
      </c>
      <c r="AN133">
        <f>Table1[[#This Row],[n]]/MAX(Table1[n])</f>
        <v>0.14423076923076922</v>
      </c>
      <c r="AO133" s="36">
        <f>Table1[[#This Row],[Total, Pre-Tax, Oct 2024]]/MAX(Table1[Total, Pre-Tax, Oct 2024])</f>
        <v>0.95040401507658145</v>
      </c>
      <c r="AP133">
        <f>(0.4*Table1[[#This Row],[Number of Boreholes - Normalised]])+(0.6*Table1[[#This Row],[Cost - Normalised]])</f>
        <v>0.62793471673825652</v>
      </c>
    </row>
    <row r="134" spans="21:42" x14ac:dyDescent="0.35">
      <c r="U134">
        <v>61</v>
      </c>
      <c r="V134">
        <v>70</v>
      </c>
      <c r="W134">
        <v>30</v>
      </c>
      <c r="X134">
        <v>3.2</v>
      </c>
      <c r="Y134" s="6">
        <v>2.0499999999999999E-6</v>
      </c>
      <c r="Z134" s="6" t="str">
        <f>IF(OR(Table1[[#This Row],[alpha_s]]&lt;$AP$96, Table1[[#This Row],[alpha_s]]&gt;$AP$97),"no","yes")</f>
        <v>yes</v>
      </c>
      <c r="AA134">
        <v>105000</v>
      </c>
      <c r="AB134" t="b">
        <v>1</v>
      </c>
      <c r="AC134">
        <v>1.6</v>
      </c>
      <c r="AD134">
        <f t="shared" si="0"/>
        <v>10.240000000000002</v>
      </c>
      <c r="AE134">
        <f t="shared" si="1"/>
        <v>307.20000000000005</v>
      </c>
      <c r="AF134" t="str">
        <f>IF(Table1[[#This Row],[A_tot]]&gt;1900,"yes", "no")</f>
        <v>no</v>
      </c>
      <c r="AG134">
        <f t="shared" si="2"/>
        <v>907.5</v>
      </c>
      <c r="AH134" t="str">
        <f>IF(Table1[[#This Row],[A_kensa]]&gt;1900, "yes", "no")</f>
        <v>no</v>
      </c>
      <c r="AI134" s="32">
        <f>($I$28+($I$29*(Table1[[#This Row],[L]]^2))+$I$30)*(Table1[[#This Row],[n]]*Table1[[#This Row],[L]])+$I$27</f>
        <v>49384.053431045999</v>
      </c>
      <c r="AJ134" s="32">
        <f t="shared" si="3"/>
        <v>165919.20999307849</v>
      </c>
      <c r="AK134" s="32">
        <f>Table1[[#This Row],[Installation Costs, Pre-Tax, Dec 2018 (Eqn 2)]]+Table1[[#This Row],[Drilling Costs, Pre-tax, Dec 2018 (Eqn 1)]]</f>
        <v>215303.26342412448</v>
      </c>
      <c r="AL134" s="32">
        <f>Table1[[#This Row],[Total, Pre-Tax, Dec 2018]]*(1+AVERAGE($I$73,$I$74))</f>
        <v>273435.14454863808</v>
      </c>
      <c r="AM134" s="32">
        <f>Table1[[#This Row],[Total, Pre-Tax, Oct 2024]]*1.15</f>
        <v>314450.4162309338</v>
      </c>
      <c r="AN134">
        <f>Table1[[#This Row],[n]]/MAX(Table1[n])</f>
        <v>0.14423076923076922</v>
      </c>
      <c r="AO134" s="36">
        <f>Table1[[#This Row],[Total, Pre-Tax, Oct 2024]]/MAX(Table1[Total, Pre-Tax, Oct 2024])</f>
        <v>0.95040401507658145</v>
      </c>
      <c r="AP134">
        <f>(0.4*Table1[[#This Row],[Number of Boreholes - Normalised]])+(0.6*Table1[[#This Row],[Cost - Normalised]])</f>
        <v>0.62793471673825652</v>
      </c>
    </row>
    <row r="135" spans="21:42" x14ac:dyDescent="0.35">
      <c r="U135">
        <v>29</v>
      </c>
      <c r="V135">
        <v>90</v>
      </c>
      <c r="W135">
        <v>24</v>
      </c>
      <c r="X135">
        <v>1.0568888890000001</v>
      </c>
      <c r="Y135" s="6">
        <v>6.7700000000000004E-7</v>
      </c>
      <c r="Z135" s="6" t="str">
        <f>IF(OR(Table1[[#This Row],[alpha_s]]&lt;$AP$96, Table1[[#This Row],[alpha_s]]&gt;$AP$97),"no","yes")</f>
        <v>yes</v>
      </c>
      <c r="AA135">
        <v>108000</v>
      </c>
      <c r="AB135" t="b">
        <v>1</v>
      </c>
      <c r="AC135">
        <v>1.9</v>
      </c>
      <c r="AD135">
        <f t="shared" si="0"/>
        <v>14.44</v>
      </c>
      <c r="AE135">
        <f t="shared" si="1"/>
        <v>346.56</v>
      </c>
      <c r="AF135" t="str">
        <f>IF(Table1[[#This Row],[A_tot]]&gt;1900,"yes", "no")</f>
        <v>no</v>
      </c>
      <c r="AG135">
        <f t="shared" si="2"/>
        <v>726</v>
      </c>
      <c r="AH135" t="str">
        <f>IF(Table1[[#This Row],[A_kensa]]&gt;1900, "yes", "no")</f>
        <v>no</v>
      </c>
      <c r="AI135" s="32">
        <f>($I$28+($I$29*(Table1[[#This Row],[L]]^2))+$I$30)*(Table1[[#This Row],[n]]*Table1[[#This Row],[L]])+$I$27</f>
        <v>50975.163515361586</v>
      </c>
      <c r="AJ135" s="32">
        <f t="shared" si="3"/>
        <v>170456.5045780236</v>
      </c>
      <c r="AK135" s="32">
        <f>Table1[[#This Row],[Installation Costs, Pre-Tax, Dec 2018 (Eqn 2)]]+Table1[[#This Row],[Drilling Costs, Pre-tax, Dec 2018 (Eqn 1)]]</f>
        <v>221431.66809338517</v>
      </c>
      <c r="AL135" s="32">
        <f>Table1[[#This Row],[Total, Pre-Tax, Dec 2018]]*(1+AVERAGE($I$73,$I$74))</f>
        <v>281218.21847859916</v>
      </c>
      <c r="AM135" s="32">
        <f>Table1[[#This Row],[Total, Pre-Tax, Oct 2024]]*1.15</f>
        <v>323400.95125038899</v>
      </c>
      <c r="AN135">
        <f>Table1[[#This Row],[n]]/MAX(Table1[n])</f>
        <v>0.11538461538461539</v>
      </c>
      <c r="AO135" s="36">
        <f>Table1[[#This Row],[Total, Pre-Tax, Oct 2024]]/MAX(Table1[Total, Pre-Tax, Oct 2024])</f>
        <v>0.97745637048935508</v>
      </c>
      <c r="AP135">
        <f>(0.4*Table1[[#This Row],[Number of Boreholes - Normalised]])+(0.6*Table1[[#This Row],[Cost - Normalised]])</f>
        <v>0.63262766844745921</v>
      </c>
    </row>
    <row r="136" spans="21:42" x14ac:dyDescent="0.35">
      <c r="U136">
        <v>31</v>
      </c>
      <c r="V136">
        <v>90</v>
      </c>
      <c r="W136">
        <v>24</v>
      </c>
      <c r="X136">
        <v>3.2</v>
      </c>
      <c r="Y136" s="6">
        <v>2.0499999999999999E-6</v>
      </c>
      <c r="Z136" s="6" t="str">
        <f>IF(OR(Table1[[#This Row],[alpha_s]]&lt;$AP$96, Table1[[#This Row],[alpha_s]]&gt;$AP$97),"no","yes")</f>
        <v>yes</v>
      </c>
      <c r="AA136">
        <v>108000</v>
      </c>
      <c r="AB136" t="b">
        <v>1</v>
      </c>
      <c r="AC136">
        <v>1.9</v>
      </c>
      <c r="AD136">
        <f t="shared" si="0"/>
        <v>14.44</v>
      </c>
      <c r="AE136">
        <f t="shared" si="1"/>
        <v>346.56</v>
      </c>
      <c r="AF136" t="str">
        <f>IF(Table1[[#This Row],[A_tot]]&gt;1900,"yes", "no")</f>
        <v>no</v>
      </c>
      <c r="AG136">
        <f t="shared" si="2"/>
        <v>726</v>
      </c>
      <c r="AH136" t="str">
        <f>IF(Table1[[#This Row],[A_kensa]]&gt;1900, "yes", "no")</f>
        <v>no</v>
      </c>
      <c r="AI136" s="32">
        <f>($I$28+($I$29*(Table1[[#This Row],[L]]^2))+$I$30)*(Table1[[#This Row],[n]]*Table1[[#This Row],[L]])+$I$27</f>
        <v>50975.163515361586</v>
      </c>
      <c r="AJ136" s="32">
        <f t="shared" si="3"/>
        <v>170456.5045780236</v>
      </c>
      <c r="AK136" s="32">
        <f>Table1[[#This Row],[Installation Costs, Pre-Tax, Dec 2018 (Eqn 2)]]+Table1[[#This Row],[Drilling Costs, Pre-tax, Dec 2018 (Eqn 1)]]</f>
        <v>221431.66809338517</v>
      </c>
      <c r="AL136" s="32">
        <f>Table1[[#This Row],[Total, Pre-Tax, Dec 2018]]*(1+AVERAGE($I$73,$I$74))</f>
        <v>281218.21847859916</v>
      </c>
      <c r="AM136" s="32">
        <f>Table1[[#This Row],[Total, Pre-Tax, Oct 2024]]*1.15</f>
        <v>323400.95125038899</v>
      </c>
      <c r="AN136">
        <f>Table1[[#This Row],[n]]/MAX(Table1[n])</f>
        <v>0.11538461538461539</v>
      </c>
      <c r="AO136" s="36">
        <f>Table1[[#This Row],[Total, Pre-Tax, Oct 2024]]/MAX(Table1[Total, Pre-Tax, Oct 2024])</f>
        <v>0.97745637048935508</v>
      </c>
      <c r="AP136">
        <f>(0.4*Table1[[#This Row],[Number of Boreholes - Normalised]])+(0.6*Table1[[#This Row],[Cost - Normalised]])</f>
        <v>0.63262766844745921</v>
      </c>
    </row>
    <row r="137" spans="21:42" x14ac:dyDescent="0.35">
      <c r="U137">
        <v>42</v>
      </c>
      <c r="V137">
        <v>60</v>
      </c>
      <c r="W137">
        <v>35</v>
      </c>
      <c r="X137">
        <v>1.475333333</v>
      </c>
      <c r="Y137" s="6">
        <v>9.4499999999999995E-7</v>
      </c>
      <c r="Z137" s="6" t="str">
        <f>IF(OR(Table1[[#This Row],[alpha_s]]&lt;$AP$96, Table1[[#This Row],[alpha_s]]&gt;$AP$97),"no","yes")</f>
        <v>yes</v>
      </c>
      <c r="AA137">
        <v>105000</v>
      </c>
      <c r="AB137" t="b">
        <v>0</v>
      </c>
      <c r="AC137">
        <v>0.9</v>
      </c>
      <c r="AD137">
        <f t="shared" si="0"/>
        <v>3.24</v>
      </c>
      <c r="AE137">
        <f t="shared" si="1"/>
        <v>113.4</v>
      </c>
      <c r="AF137" t="str">
        <f>IF(Table1[[#This Row],[A_tot]]&gt;1900,"yes", "no")</f>
        <v>no</v>
      </c>
      <c r="AG137">
        <f t="shared" si="2"/>
        <v>1058.75</v>
      </c>
      <c r="AH137" t="str">
        <f>IF(Table1[[#This Row],[A_kensa]]&gt;1900, "yes", "no")</f>
        <v>no</v>
      </c>
      <c r="AI137" s="32">
        <f>($I$28+($I$29*(Table1[[#This Row],[L]]^2))+$I$30)*(Table1[[#This Row],[n]]*Table1[[#This Row],[L]])+$I$27</f>
        <v>49303.775051045995</v>
      </c>
      <c r="AJ137" s="32">
        <f t="shared" si="3"/>
        <v>165999.48837307849</v>
      </c>
      <c r="AK137" s="32">
        <f>Table1[[#This Row],[Installation Costs, Pre-Tax, Dec 2018 (Eqn 2)]]+Table1[[#This Row],[Drilling Costs, Pre-tax, Dec 2018 (Eqn 1)]]</f>
        <v>215303.26342412448</v>
      </c>
      <c r="AL137" s="32">
        <f>Table1[[#This Row],[Total, Pre-Tax, Dec 2018]]*(1+AVERAGE($I$73,$I$74))</f>
        <v>273435.14454863808</v>
      </c>
      <c r="AM137" s="32">
        <f>Table1[[#This Row],[Total, Pre-Tax, Oct 2024]]*1.15</f>
        <v>314450.4162309338</v>
      </c>
      <c r="AN137">
        <f>Table1[[#This Row],[n]]/MAX(Table1[n])</f>
        <v>0.16826923076923078</v>
      </c>
      <c r="AO137" s="36">
        <f>Table1[[#This Row],[Total, Pre-Tax, Oct 2024]]/MAX(Table1[Total, Pre-Tax, Oct 2024])</f>
        <v>0.95040401507658145</v>
      </c>
      <c r="AP137">
        <f>(0.4*Table1[[#This Row],[Number of Boreholes - Normalised]])+(0.6*Table1[[#This Row],[Cost - Normalised]])</f>
        <v>0.6375501013536411</v>
      </c>
    </row>
    <row r="138" spans="21:42" x14ac:dyDescent="0.35">
      <c r="U138">
        <v>43</v>
      </c>
      <c r="V138">
        <v>60</v>
      </c>
      <c r="W138">
        <v>35</v>
      </c>
      <c r="X138">
        <v>3.2</v>
      </c>
      <c r="Y138" s="6">
        <v>2.0499999999999999E-6</v>
      </c>
      <c r="Z138" s="6" t="str">
        <f>IF(OR(Table1[[#This Row],[alpha_s]]&lt;$AP$96, Table1[[#This Row],[alpha_s]]&gt;$AP$97),"no","yes")</f>
        <v>yes</v>
      </c>
      <c r="AA138">
        <v>105000</v>
      </c>
      <c r="AB138" t="b">
        <v>1</v>
      </c>
      <c r="AC138">
        <v>1.9</v>
      </c>
      <c r="AD138">
        <f t="shared" si="0"/>
        <v>14.44</v>
      </c>
      <c r="AE138">
        <f t="shared" si="1"/>
        <v>505.4</v>
      </c>
      <c r="AF138" t="str">
        <f>IF(Table1[[#This Row],[A_tot]]&gt;1900,"yes", "no")</f>
        <v>no</v>
      </c>
      <c r="AG138">
        <f t="shared" si="2"/>
        <v>1058.75</v>
      </c>
      <c r="AH138" t="str">
        <f>IF(Table1[[#This Row],[A_kensa]]&gt;1900, "yes", "no")</f>
        <v>no</v>
      </c>
      <c r="AI138" s="32">
        <f>($I$28+($I$29*(Table1[[#This Row],[L]]^2))+$I$30)*(Table1[[#This Row],[n]]*Table1[[#This Row],[L]])+$I$27</f>
        <v>49303.775051045995</v>
      </c>
      <c r="AJ138" s="32">
        <f t="shared" si="3"/>
        <v>165999.48837307849</v>
      </c>
      <c r="AK138" s="32">
        <f>Table1[[#This Row],[Installation Costs, Pre-Tax, Dec 2018 (Eqn 2)]]+Table1[[#This Row],[Drilling Costs, Pre-tax, Dec 2018 (Eqn 1)]]</f>
        <v>215303.26342412448</v>
      </c>
      <c r="AL138" s="32">
        <f>Table1[[#This Row],[Total, Pre-Tax, Dec 2018]]*(1+AVERAGE($I$73,$I$74))</f>
        <v>273435.14454863808</v>
      </c>
      <c r="AM138" s="32">
        <f>Table1[[#This Row],[Total, Pre-Tax, Oct 2024]]*1.15</f>
        <v>314450.4162309338</v>
      </c>
      <c r="AN138">
        <f>Table1[[#This Row],[n]]/MAX(Table1[n])</f>
        <v>0.16826923076923078</v>
      </c>
      <c r="AO138" s="36">
        <f>Table1[[#This Row],[Total, Pre-Tax, Oct 2024]]/MAX(Table1[Total, Pre-Tax, Oct 2024])</f>
        <v>0.95040401507658145</v>
      </c>
      <c r="AP138">
        <f>(0.4*Table1[[#This Row],[Number of Boreholes - Normalised]])+(0.6*Table1[[#This Row],[Cost - Normalised]])</f>
        <v>0.6375501013536411</v>
      </c>
    </row>
    <row r="139" spans="21:42" x14ac:dyDescent="0.35">
      <c r="U139">
        <v>44</v>
      </c>
      <c r="V139">
        <v>50</v>
      </c>
      <c r="W139">
        <v>42</v>
      </c>
      <c r="X139">
        <v>1.7263999999999999</v>
      </c>
      <c r="Y139" s="6">
        <v>1.11E-6</v>
      </c>
      <c r="Z139" s="6" t="str">
        <f>IF(OR(Table1[[#This Row],[alpha_s]]&lt;$AP$96, Table1[[#This Row],[alpha_s]]&gt;$AP$97),"no","yes")</f>
        <v>yes</v>
      </c>
      <c r="AA139">
        <v>105000</v>
      </c>
      <c r="AB139" t="b">
        <v>0</v>
      </c>
      <c r="AC139">
        <v>1.4</v>
      </c>
      <c r="AD139">
        <f t="shared" si="0"/>
        <v>7.839999999999999</v>
      </c>
      <c r="AE139">
        <f t="shared" si="1"/>
        <v>329.28</v>
      </c>
      <c r="AF139" t="str">
        <f>IF(Table1[[#This Row],[A_tot]]&gt;1900,"yes", "no")</f>
        <v>no</v>
      </c>
      <c r="AG139">
        <f t="shared" si="2"/>
        <v>1270.5</v>
      </c>
      <c r="AH139" t="str">
        <f>IF(Table1[[#This Row],[A_kensa]]&gt;1900, "yes", "no")</f>
        <v>no</v>
      </c>
      <c r="AI139" s="32">
        <f>($I$28+($I$29*(Table1[[#This Row],[L]]^2))+$I$30)*(Table1[[#This Row],[n]]*Table1[[#This Row],[L]])+$I$27</f>
        <v>49235.847191045992</v>
      </c>
      <c r="AJ139" s="32">
        <f t="shared" si="3"/>
        <v>166067.41623307849</v>
      </c>
      <c r="AK139" s="32">
        <f>Table1[[#This Row],[Installation Costs, Pre-Tax, Dec 2018 (Eqn 2)]]+Table1[[#This Row],[Drilling Costs, Pre-tax, Dec 2018 (Eqn 1)]]</f>
        <v>215303.26342412448</v>
      </c>
      <c r="AL139" s="32">
        <f>Table1[[#This Row],[Total, Pre-Tax, Dec 2018]]*(1+AVERAGE($I$73,$I$74))</f>
        <v>273435.14454863808</v>
      </c>
      <c r="AM139" s="32">
        <f>Table1[[#This Row],[Total, Pre-Tax, Oct 2024]]*1.15</f>
        <v>314450.4162309338</v>
      </c>
      <c r="AN139">
        <f>Table1[[#This Row],[n]]/MAX(Table1[n])</f>
        <v>0.20192307692307693</v>
      </c>
      <c r="AO139" s="36">
        <f>Table1[[#This Row],[Total, Pre-Tax, Oct 2024]]/MAX(Table1[Total, Pre-Tax, Oct 2024])</f>
        <v>0.95040401507658145</v>
      </c>
      <c r="AP139">
        <f>(0.4*Table1[[#This Row],[Number of Boreholes - Normalised]])+(0.6*Table1[[#This Row],[Cost - Normalised]])</f>
        <v>0.65101163981517962</v>
      </c>
    </row>
    <row r="140" spans="21:42" x14ac:dyDescent="0.35">
      <c r="U140">
        <v>41</v>
      </c>
      <c r="V140">
        <v>50</v>
      </c>
      <c r="W140">
        <v>42</v>
      </c>
      <c r="X140">
        <v>3.2</v>
      </c>
      <c r="Y140" s="6">
        <v>2.0499999999999999E-6</v>
      </c>
      <c r="Z140" s="6" t="str">
        <f>IF(OR(Table1[[#This Row],[alpha_s]]&lt;$AP$96, Table1[[#This Row],[alpha_s]]&gt;$AP$97),"no","yes")</f>
        <v>yes</v>
      </c>
      <c r="AA140">
        <v>105000</v>
      </c>
      <c r="AB140" t="b">
        <v>1</v>
      </c>
      <c r="AC140">
        <v>1.7</v>
      </c>
      <c r="AD140">
        <f t="shared" si="0"/>
        <v>11.559999999999999</v>
      </c>
      <c r="AE140">
        <f t="shared" si="1"/>
        <v>485.51999999999992</v>
      </c>
      <c r="AF140" t="str">
        <f>IF(Table1[[#This Row],[A_tot]]&gt;1900,"yes", "no")</f>
        <v>no</v>
      </c>
      <c r="AG140">
        <f t="shared" si="2"/>
        <v>1270.5</v>
      </c>
      <c r="AH140" t="str">
        <f>IF(Table1[[#This Row],[A_kensa]]&gt;1900, "yes", "no")</f>
        <v>no</v>
      </c>
      <c r="AI140" s="32">
        <f>($I$28+($I$29*(Table1[[#This Row],[L]]^2))+$I$30)*(Table1[[#This Row],[n]]*Table1[[#This Row],[L]])+$I$27</f>
        <v>49235.847191045992</v>
      </c>
      <c r="AJ140" s="32">
        <f t="shared" si="3"/>
        <v>166067.41623307849</v>
      </c>
      <c r="AK140" s="32">
        <f>Table1[[#This Row],[Installation Costs, Pre-Tax, Dec 2018 (Eqn 2)]]+Table1[[#This Row],[Drilling Costs, Pre-tax, Dec 2018 (Eqn 1)]]</f>
        <v>215303.26342412448</v>
      </c>
      <c r="AL140" s="32">
        <f>Table1[[#This Row],[Total, Pre-Tax, Dec 2018]]*(1+AVERAGE($I$73,$I$74))</f>
        <v>273435.14454863808</v>
      </c>
      <c r="AM140" s="32">
        <f>Table1[[#This Row],[Total, Pre-Tax, Oct 2024]]*1.15</f>
        <v>314450.4162309338</v>
      </c>
      <c r="AN140">
        <f>Table1[[#This Row],[n]]/MAX(Table1[n])</f>
        <v>0.20192307692307693</v>
      </c>
      <c r="AO140" s="36">
        <f>Table1[[#This Row],[Total, Pre-Tax, Oct 2024]]/MAX(Table1[Total, Pre-Tax, Oct 2024])</f>
        <v>0.95040401507658145</v>
      </c>
      <c r="AP140">
        <f>(0.4*Table1[[#This Row],[Number of Boreholes - Normalised]])+(0.6*Table1[[#This Row],[Cost - Normalised]])</f>
        <v>0.65101163981517962</v>
      </c>
    </row>
    <row r="141" spans="21:42" x14ac:dyDescent="0.35">
      <c r="U141">
        <v>74</v>
      </c>
      <c r="V141">
        <v>40</v>
      </c>
      <c r="W141">
        <v>52</v>
      </c>
      <c r="X141">
        <v>1.9550000000000001</v>
      </c>
      <c r="Y141" s="6">
        <v>1.2500000000000001E-6</v>
      </c>
      <c r="Z141" s="6" t="str">
        <f>IF(OR(Table1[[#This Row],[alpha_s]]&lt;$AP$96, Table1[[#This Row],[alpha_s]]&gt;$AP$97),"no","yes")</f>
        <v>yes</v>
      </c>
      <c r="AA141">
        <v>104000</v>
      </c>
      <c r="AB141" t="b">
        <v>0</v>
      </c>
      <c r="AC141">
        <v>0.9</v>
      </c>
      <c r="AD141">
        <f t="shared" si="0"/>
        <v>3.24</v>
      </c>
      <c r="AE141">
        <f t="shared" si="1"/>
        <v>168.48000000000002</v>
      </c>
      <c r="AF141" t="str">
        <f>IF(Table1[[#This Row],[A_tot]]&gt;1900,"yes", "no")</f>
        <v>no</v>
      </c>
      <c r="AG141">
        <f t="shared" si="2"/>
        <v>1573</v>
      </c>
      <c r="AH141" t="str">
        <f>IF(Table1[[#This Row],[A_kensa]]&gt;1900, "yes", "no")</f>
        <v>no</v>
      </c>
      <c r="AI141" s="32">
        <f>($I$28+($I$29*(Table1[[#This Row],[L]]^2))+$I$30)*(Table1[[#This Row],[n]]*Table1[[#This Row],[L]])+$I$27</f>
        <v>48719.592042940792</v>
      </c>
      <c r="AJ141" s="32">
        <f t="shared" si="3"/>
        <v>164540.86982476347</v>
      </c>
      <c r="AK141" s="32">
        <f>Table1[[#This Row],[Installation Costs, Pre-Tax, Dec 2018 (Eqn 2)]]+Table1[[#This Row],[Drilling Costs, Pre-tax, Dec 2018 (Eqn 1)]]</f>
        <v>213260.46186770426</v>
      </c>
      <c r="AL141" s="32">
        <f>Table1[[#This Row],[Total, Pre-Tax, Dec 2018]]*(1+AVERAGE($I$73,$I$74))</f>
        <v>270840.78657198441</v>
      </c>
      <c r="AM141" s="32">
        <f>Table1[[#This Row],[Total, Pre-Tax, Oct 2024]]*1.15</f>
        <v>311466.90455778205</v>
      </c>
      <c r="AN141">
        <f>Table1[[#This Row],[n]]/MAX(Table1[n])</f>
        <v>0.25</v>
      </c>
      <c r="AO141" s="36">
        <f>Table1[[#This Row],[Total, Pre-Tax, Oct 2024]]/MAX(Table1[Total, Pre-Tax, Oct 2024])</f>
        <v>0.94138656327232373</v>
      </c>
      <c r="AP141">
        <f>(0.4*Table1[[#This Row],[Number of Boreholes - Normalised]])+(0.6*Table1[[#This Row],[Cost - Normalised]])</f>
        <v>0.66483193796339424</v>
      </c>
    </row>
    <row r="142" spans="21:42" x14ac:dyDescent="0.35">
      <c r="U142">
        <v>75</v>
      </c>
      <c r="V142">
        <v>40</v>
      </c>
      <c r="W142">
        <v>52</v>
      </c>
      <c r="X142">
        <v>3.2</v>
      </c>
      <c r="Y142" s="6">
        <v>2.0499999999999999E-6</v>
      </c>
      <c r="Z142" s="6" t="str">
        <f>IF(OR(Table1[[#This Row],[alpha_s]]&lt;$AP$96, Table1[[#This Row],[alpha_s]]&gt;$AP$97),"no","yes")</f>
        <v>yes</v>
      </c>
      <c r="AA142">
        <v>104000</v>
      </c>
      <c r="AB142" t="b">
        <v>1</v>
      </c>
      <c r="AC142">
        <v>1.9</v>
      </c>
      <c r="AD142">
        <f t="shared" si="0"/>
        <v>14.44</v>
      </c>
      <c r="AE142">
        <f t="shared" si="1"/>
        <v>750.88</v>
      </c>
      <c r="AF142" t="str">
        <f>IF(Table1[[#This Row],[A_tot]]&gt;1900,"yes", "no")</f>
        <v>no</v>
      </c>
      <c r="AG142">
        <f t="shared" si="2"/>
        <v>1573</v>
      </c>
      <c r="AH142" t="str">
        <f>IF(Table1[[#This Row],[A_kensa]]&gt;1900, "yes", "no")</f>
        <v>no</v>
      </c>
      <c r="AI142" s="32">
        <f>($I$28+($I$29*(Table1[[#This Row],[L]]^2))+$I$30)*(Table1[[#This Row],[n]]*Table1[[#This Row],[L]])+$I$27</f>
        <v>48719.592042940792</v>
      </c>
      <c r="AJ142" s="32">
        <f t="shared" si="3"/>
        <v>164540.86982476347</v>
      </c>
      <c r="AK142" s="32">
        <f>Table1[[#This Row],[Installation Costs, Pre-Tax, Dec 2018 (Eqn 2)]]+Table1[[#This Row],[Drilling Costs, Pre-tax, Dec 2018 (Eqn 1)]]</f>
        <v>213260.46186770426</v>
      </c>
      <c r="AL142" s="32">
        <f>Table1[[#This Row],[Total, Pre-Tax, Dec 2018]]*(1+AVERAGE($I$73,$I$74))</f>
        <v>270840.78657198441</v>
      </c>
      <c r="AM142" s="32">
        <f>Table1[[#This Row],[Total, Pre-Tax, Oct 2024]]*1.15</f>
        <v>311466.90455778205</v>
      </c>
      <c r="AN142">
        <f>Table1[[#This Row],[n]]/MAX(Table1[n])</f>
        <v>0.25</v>
      </c>
      <c r="AO142" s="36">
        <f>Table1[[#This Row],[Total, Pre-Tax, Oct 2024]]/MAX(Table1[Total, Pre-Tax, Oct 2024])</f>
        <v>0.94138656327232373</v>
      </c>
      <c r="AP142">
        <f>(0.4*Table1[[#This Row],[Number of Boreholes - Normalised]])+(0.6*Table1[[#This Row],[Cost - Normalised]])</f>
        <v>0.66483193796339424</v>
      </c>
    </row>
    <row r="143" spans="21:42" x14ac:dyDescent="0.35">
      <c r="U143">
        <v>76</v>
      </c>
      <c r="V143">
        <v>30</v>
      </c>
      <c r="W143">
        <v>70</v>
      </c>
      <c r="X143">
        <v>2.04</v>
      </c>
      <c r="Y143" s="6">
        <v>1.31E-6</v>
      </c>
      <c r="Z143" s="6" t="str">
        <f>IF(OR(Table1[[#This Row],[alpha_s]]&lt;$AP$96, Table1[[#This Row],[alpha_s]]&gt;$AP$97),"no","yes")</f>
        <v>yes</v>
      </c>
      <c r="AA143">
        <v>105000</v>
      </c>
      <c r="AB143" t="b">
        <v>0</v>
      </c>
      <c r="AC143">
        <v>1.4</v>
      </c>
      <c r="AD143">
        <f t="shared" si="0"/>
        <v>7.839999999999999</v>
      </c>
      <c r="AE143">
        <f t="shared" si="1"/>
        <v>548.79999999999995</v>
      </c>
      <c r="AF143" t="str">
        <f>IF(Table1[[#This Row],[A_tot]]&gt;1900,"yes", "no")</f>
        <v>no</v>
      </c>
      <c r="AG143">
        <f t="shared" si="2"/>
        <v>2117.5</v>
      </c>
      <c r="AH143" t="str">
        <f>IF(Table1[[#This Row],[A_kensa]]&gt;1900, "yes", "no")</f>
        <v>yes</v>
      </c>
      <c r="AI143" s="32">
        <f>($I$28+($I$29*(Table1[[#This Row],[L]]^2))+$I$30)*(Table1[[#This Row],[n]]*Table1[[#This Row],[L]])+$I$27</f>
        <v>49137.043031045992</v>
      </c>
      <c r="AJ143" s="32">
        <f t="shared" si="3"/>
        <v>166166.22039307852</v>
      </c>
      <c r="AK143" s="32">
        <f>Table1[[#This Row],[Installation Costs, Pre-Tax, Dec 2018 (Eqn 2)]]+Table1[[#This Row],[Drilling Costs, Pre-tax, Dec 2018 (Eqn 1)]]</f>
        <v>215303.26342412451</v>
      </c>
      <c r="AL143" s="32">
        <f>Table1[[#This Row],[Total, Pre-Tax, Dec 2018]]*(1+AVERAGE($I$73,$I$74))</f>
        <v>273435.14454863814</v>
      </c>
      <c r="AM143" s="32">
        <f>Table1[[#This Row],[Total, Pre-Tax, Oct 2024]]*1.15</f>
        <v>314450.41623093386</v>
      </c>
      <c r="AN143">
        <f>Table1[[#This Row],[n]]/MAX(Table1[n])</f>
        <v>0.33653846153846156</v>
      </c>
      <c r="AO143" s="36">
        <f>Table1[[#This Row],[Total, Pre-Tax, Oct 2024]]/MAX(Table1[Total, Pre-Tax, Oct 2024])</f>
        <v>0.95040401507658168</v>
      </c>
      <c r="AP143">
        <f>(0.4*Table1[[#This Row],[Number of Boreholes - Normalised]])+(0.6*Table1[[#This Row],[Cost - Normalised]])</f>
        <v>0.70485779366133361</v>
      </c>
    </row>
    <row r="144" spans="21:42" x14ac:dyDescent="0.35">
      <c r="U144">
        <v>73</v>
      </c>
      <c r="V144">
        <v>30</v>
      </c>
      <c r="W144">
        <v>70</v>
      </c>
      <c r="X144">
        <v>3.2</v>
      </c>
      <c r="Y144" s="6">
        <v>2.0499999999999999E-6</v>
      </c>
      <c r="Z144" s="6" t="str">
        <f>IF(OR(Table1[[#This Row],[alpha_s]]&lt;$AP$96, Table1[[#This Row],[alpha_s]]&gt;$AP$97),"no","yes")</f>
        <v>yes</v>
      </c>
      <c r="AA144">
        <v>105000</v>
      </c>
      <c r="AB144" t="b">
        <v>1</v>
      </c>
      <c r="AC144">
        <v>1.7</v>
      </c>
      <c r="AD144">
        <f t="shared" si="0"/>
        <v>11.559999999999999</v>
      </c>
      <c r="AE144">
        <f t="shared" si="1"/>
        <v>809.19999999999993</v>
      </c>
      <c r="AF144" t="str">
        <f>IF(Table1[[#This Row],[A_tot]]&gt;1900,"yes", "no")</f>
        <v>no</v>
      </c>
      <c r="AG144">
        <f t="shared" si="2"/>
        <v>2117.5</v>
      </c>
      <c r="AH144" t="str">
        <f>IF(Table1[[#This Row],[A_kensa]]&gt;1900, "yes", "no")</f>
        <v>yes</v>
      </c>
      <c r="AI144" s="32">
        <f>($I$28+($I$29*(Table1[[#This Row],[L]]^2))+$I$30)*(Table1[[#This Row],[n]]*Table1[[#This Row],[L]])+$I$27</f>
        <v>49137.043031045992</v>
      </c>
      <c r="AJ144" s="32">
        <f t="shared" si="3"/>
        <v>166166.22039307852</v>
      </c>
      <c r="AK144" s="32">
        <f>Table1[[#This Row],[Installation Costs, Pre-Tax, Dec 2018 (Eqn 2)]]+Table1[[#This Row],[Drilling Costs, Pre-tax, Dec 2018 (Eqn 1)]]</f>
        <v>215303.26342412451</v>
      </c>
      <c r="AL144" s="32">
        <f>Table1[[#This Row],[Total, Pre-Tax, Dec 2018]]*(1+AVERAGE($I$73,$I$74))</f>
        <v>273435.14454863814</v>
      </c>
      <c r="AM144" s="32">
        <f>Table1[[#This Row],[Total, Pre-Tax, Oct 2024]]*1.15</f>
        <v>314450.41623093386</v>
      </c>
      <c r="AN144">
        <f>Table1[[#This Row],[n]]/MAX(Table1[n])</f>
        <v>0.33653846153846156</v>
      </c>
      <c r="AO144" s="36">
        <f>Table1[[#This Row],[Total, Pre-Tax, Oct 2024]]/MAX(Table1[Total, Pre-Tax, Oct 2024])</f>
        <v>0.95040401507658168</v>
      </c>
      <c r="AP144">
        <f>(0.4*Table1[[#This Row],[Number of Boreholes - Normalised]])+(0.6*Table1[[#This Row],[Cost - Normalised]])</f>
        <v>0.70485779366133361</v>
      </c>
    </row>
    <row r="145" spans="21:42" x14ac:dyDescent="0.35">
      <c r="U145">
        <v>66</v>
      </c>
      <c r="V145">
        <v>20</v>
      </c>
      <c r="W145">
        <v>104</v>
      </c>
      <c r="X145">
        <v>2.21</v>
      </c>
      <c r="Y145" s="6">
        <v>1.4100000000000001E-6</v>
      </c>
      <c r="Z145" s="6" t="str">
        <f>IF(OR(Table1[[#This Row],[alpha_s]]&lt;$AP$96, Table1[[#This Row],[alpha_s]]&gt;$AP$97),"no","yes")</f>
        <v>yes</v>
      </c>
      <c r="AA145">
        <v>104000</v>
      </c>
      <c r="AB145" t="b">
        <v>0</v>
      </c>
      <c r="AC145">
        <v>0.8</v>
      </c>
      <c r="AD145">
        <f t="shared" si="0"/>
        <v>2.5600000000000005</v>
      </c>
      <c r="AE145">
        <f t="shared" si="1"/>
        <v>266.24000000000007</v>
      </c>
      <c r="AF145" t="str">
        <f>IF(Table1[[#This Row],[A_tot]]&gt;1900,"yes", "no")</f>
        <v>no</v>
      </c>
      <c r="AG145">
        <f t="shared" si="2"/>
        <v>3146</v>
      </c>
      <c r="AH145" t="str">
        <f>IF(Table1[[#This Row],[A_kensa]]&gt;1900, "yes", "no")</f>
        <v>yes</v>
      </c>
      <c r="AI145" s="32">
        <f>($I$28+($I$29*(Table1[[#This Row],[L]]^2))+$I$30)*(Table1[[#This Row],[n]]*Table1[[#This Row],[L]])+$I$27</f>
        <v>48646.194666940792</v>
      </c>
      <c r="AJ145" s="32">
        <f t="shared" si="3"/>
        <v>164614.26720076348</v>
      </c>
      <c r="AK145" s="32">
        <f>Table1[[#This Row],[Installation Costs, Pre-Tax, Dec 2018 (Eqn 2)]]+Table1[[#This Row],[Drilling Costs, Pre-tax, Dec 2018 (Eqn 1)]]</f>
        <v>213260.46186770429</v>
      </c>
      <c r="AL145" s="32">
        <f>Table1[[#This Row],[Total, Pre-Tax, Dec 2018]]*(1+AVERAGE($I$73,$I$74))</f>
        <v>270840.78657198447</v>
      </c>
      <c r="AM145" s="32">
        <f>Table1[[#This Row],[Total, Pre-Tax, Oct 2024]]*1.15</f>
        <v>311466.90455778211</v>
      </c>
      <c r="AN145">
        <f>Table1[[#This Row],[n]]/MAX(Table1[n])</f>
        <v>0.5</v>
      </c>
      <c r="AO145" s="36">
        <f>Table1[[#This Row],[Total, Pre-Tax, Oct 2024]]/MAX(Table1[Total, Pre-Tax, Oct 2024])</f>
        <v>0.94138656327232384</v>
      </c>
      <c r="AP145">
        <f>(0.4*Table1[[#This Row],[Number of Boreholes - Normalised]])+(0.6*Table1[[#This Row],[Cost - Normalised]])</f>
        <v>0.76483193796339433</v>
      </c>
    </row>
    <row r="146" spans="21:42" x14ac:dyDescent="0.35">
      <c r="U146">
        <v>67</v>
      </c>
      <c r="V146">
        <v>20</v>
      </c>
      <c r="W146">
        <v>104</v>
      </c>
      <c r="X146">
        <v>3.2</v>
      </c>
      <c r="Y146" s="6">
        <v>2.0499999999999999E-6</v>
      </c>
      <c r="Z146" s="6" t="str">
        <f>IF(OR(Table1[[#This Row],[alpha_s]]&lt;$AP$96, Table1[[#This Row],[alpha_s]]&gt;$AP$97),"no","yes")</f>
        <v>yes</v>
      </c>
      <c r="AA146">
        <v>104000</v>
      </c>
      <c r="AB146" t="b">
        <v>1</v>
      </c>
      <c r="AC146">
        <v>1.9</v>
      </c>
      <c r="AD146">
        <f t="shared" si="0"/>
        <v>14.44</v>
      </c>
      <c r="AE146">
        <f t="shared" si="1"/>
        <v>1501.76</v>
      </c>
      <c r="AF146" t="str">
        <f>IF(Table1[[#This Row],[A_tot]]&gt;1900,"yes", "no")</f>
        <v>no</v>
      </c>
      <c r="AG146">
        <f t="shared" si="2"/>
        <v>3146</v>
      </c>
      <c r="AH146" t="str">
        <f>IF(Table1[[#This Row],[A_kensa]]&gt;1900, "yes", "no")</f>
        <v>yes</v>
      </c>
      <c r="AI146" s="32">
        <f>($I$28+($I$29*(Table1[[#This Row],[L]]^2))+$I$30)*(Table1[[#This Row],[n]]*Table1[[#This Row],[L]])+$I$27</f>
        <v>48646.194666940792</v>
      </c>
      <c r="AJ146" s="32">
        <f t="shared" si="3"/>
        <v>164614.26720076348</v>
      </c>
      <c r="AK146" s="32">
        <f>Table1[[#This Row],[Installation Costs, Pre-Tax, Dec 2018 (Eqn 2)]]+Table1[[#This Row],[Drilling Costs, Pre-tax, Dec 2018 (Eqn 1)]]</f>
        <v>213260.46186770429</v>
      </c>
      <c r="AL146" s="32">
        <f>Table1[[#This Row],[Total, Pre-Tax, Dec 2018]]*(1+AVERAGE($I$73,$I$74))</f>
        <v>270840.78657198447</v>
      </c>
      <c r="AM146" s="32">
        <f>Table1[[#This Row],[Total, Pre-Tax, Oct 2024]]*1.15</f>
        <v>311466.90455778211</v>
      </c>
      <c r="AN146">
        <f>Table1[[#This Row],[n]]/MAX(Table1[n])</f>
        <v>0.5</v>
      </c>
      <c r="AO146" s="36">
        <f>Table1[[#This Row],[Total, Pre-Tax, Oct 2024]]/MAX(Table1[Total, Pre-Tax, Oct 2024])</f>
        <v>0.94138656327232384</v>
      </c>
      <c r="AP146">
        <f>(0.4*Table1[[#This Row],[Number of Boreholes - Normalised]])+(0.6*Table1[[#This Row],[Cost - Normalised]])</f>
        <v>0.76483193796339433</v>
      </c>
    </row>
    <row r="147" spans="21:42" x14ac:dyDescent="0.35">
      <c r="U147">
        <v>68</v>
      </c>
      <c r="V147">
        <v>10</v>
      </c>
      <c r="W147">
        <v>208</v>
      </c>
      <c r="X147">
        <v>2.2999999999999998</v>
      </c>
      <c r="Y147" s="6">
        <v>1.4699999999999999E-6</v>
      </c>
      <c r="Z147" s="6" t="str">
        <f>IF(OR(Table1[[#This Row],[alpha_s]]&lt;$AP$96, Table1[[#This Row],[alpha_s]]&gt;$AP$97),"no","yes")</f>
        <v>yes</v>
      </c>
      <c r="AA147">
        <v>104000</v>
      </c>
      <c r="AB147" t="b">
        <v>0</v>
      </c>
      <c r="AC147">
        <v>1.4</v>
      </c>
      <c r="AD147">
        <f t="shared" si="0"/>
        <v>7.839999999999999</v>
      </c>
      <c r="AE147">
        <f t="shared" si="1"/>
        <v>1630.7199999999998</v>
      </c>
      <c r="AF147" t="str">
        <f>IF(Table1[[#This Row],[A_tot]]&gt;1900,"yes", "no")</f>
        <v>no</v>
      </c>
      <c r="AG147">
        <f t="shared" si="2"/>
        <v>6292</v>
      </c>
      <c r="AH147" t="str">
        <f>IF(Table1[[#This Row],[A_kensa]]&gt;1900, "yes", "no")</f>
        <v>yes</v>
      </c>
      <c r="AI147" s="32">
        <f>($I$28+($I$29*(Table1[[#This Row],[L]]^2))+$I$30)*(Table1[[#This Row],[n]]*Table1[[#This Row],[L]])+$I$27</f>
        <v>48627.84532294079</v>
      </c>
      <c r="AJ147" s="32">
        <f t="shared" si="3"/>
        <v>164632.6165447635</v>
      </c>
      <c r="AK147" s="32">
        <f>Table1[[#This Row],[Installation Costs, Pre-Tax, Dec 2018 (Eqn 2)]]+Table1[[#This Row],[Drilling Costs, Pre-tax, Dec 2018 (Eqn 1)]]</f>
        <v>213260.46186770429</v>
      </c>
      <c r="AL147" s="32">
        <f>Table1[[#This Row],[Total, Pre-Tax, Dec 2018]]*(1+AVERAGE($I$73,$I$74))</f>
        <v>270840.78657198447</v>
      </c>
      <c r="AM147" s="32">
        <f>Table1[[#This Row],[Total, Pre-Tax, Oct 2024]]*1.15</f>
        <v>311466.90455778211</v>
      </c>
      <c r="AN147">
        <f>Table1[[#This Row],[n]]/MAX(Table1[n])</f>
        <v>1</v>
      </c>
      <c r="AO147" s="36">
        <f>Table1[[#This Row],[Total, Pre-Tax, Oct 2024]]/MAX(Table1[Total, Pre-Tax, Oct 2024])</f>
        <v>0.94138656327232384</v>
      </c>
      <c r="AP147">
        <f>(0.4*Table1[[#This Row],[Number of Boreholes - Normalised]])+(0.6*Table1[[#This Row],[Cost - Normalised]])</f>
        <v>0.96483193796339428</v>
      </c>
    </row>
    <row r="148" spans="21:42" x14ac:dyDescent="0.35">
      <c r="U148">
        <v>65</v>
      </c>
      <c r="V148">
        <v>10</v>
      </c>
      <c r="W148">
        <v>208</v>
      </c>
      <c r="X148">
        <v>3.2</v>
      </c>
      <c r="Y148" s="6">
        <v>2.0499999999999999E-6</v>
      </c>
      <c r="Z148" s="6" t="str">
        <f>IF(OR(Table1[[#This Row],[alpha_s]]&lt;$AP$96, Table1[[#This Row],[alpha_s]]&gt;$AP$97),"no","yes")</f>
        <v>yes</v>
      </c>
      <c r="AA148">
        <v>104000</v>
      </c>
      <c r="AB148" t="b">
        <v>1</v>
      </c>
      <c r="AC148">
        <v>1.6</v>
      </c>
      <c r="AD148">
        <f t="shared" si="0"/>
        <v>10.240000000000002</v>
      </c>
      <c r="AE148">
        <f t="shared" si="1"/>
        <v>2129.9200000000005</v>
      </c>
      <c r="AF148" t="str">
        <f>IF(Table1[[#This Row],[A_tot]]&gt;1900,"yes", "no")</f>
        <v>yes</v>
      </c>
      <c r="AG148">
        <f t="shared" si="2"/>
        <v>6292</v>
      </c>
      <c r="AH148" t="str">
        <f>IF(Table1[[#This Row],[A_kensa]]&gt;1900, "yes", "no")</f>
        <v>yes</v>
      </c>
      <c r="AI148" s="32">
        <f>($I$28+($I$29*(Table1[[#This Row],[L]]^2))+$I$30)*(Table1[[#This Row],[n]]*Table1[[#This Row],[L]])+$I$27</f>
        <v>48627.84532294079</v>
      </c>
      <c r="AJ148" s="32">
        <f t="shared" si="3"/>
        <v>164632.6165447635</v>
      </c>
      <c r="AK148" s="32">
        <f>Table1[[#This Row],[Installation Costs, Pre-Tax, Dec 2018 (Eqn 2)]]+Table1[[#This Row],[Drilling Costs, Pre-tax, Dec 2018 (Eqn 1)]]</f>
        <v>213260.46186770429</v>
      </c>
      <c r="AL148" s="32">
        <f>Table1[[#This Row],[Total, Pre-Tax, Dec 2018]]*(1+AVERAGE($I$73,$I$74))</f>
        <v>270840.78657198447</v>
      </c>
      <c r="AM148" s="32">
        <f>Table1[[#This Row],[Total, Pre-Tax, Oct 2024]]*1.15</f>
        <v>311466.90455778211</v>
      </c>
      <c r="AN148">
        <f>Table1[[#This Row],[n]]/MAX(Table1[n])</f>
        <v>1</v>
      </c>
      <c r="AO148" s="36">
        <f>Table1[[#This Row],[Total, Pre-Tax, Oct 2024]]/MAX(Table1[Total, Pre-Tax, Oct 2024])</f>
        <v>0.94138656327232384</v>
      </c>
      <c r="AP148">
        <f>(0.4*Table1[[#This Row],[Number of Boreholes - Normalised]])+(0.6*Table1[[#This Row],[Cost - Normalised]])</f>
        <v>0.96483193796339428</v>
      </c>
    </row>
    <row r="150" spans="21:42" ht="15" thickBot="1" x14ac:dyDescent="0.4"/>
    <row r="151" spans="21:42" ht="15" thickBot="1" x14ac:dyDescent="0.4">
      <c r="U151" s="83" t="s">
        <v>144</v>
      </c>
      <c r="V151" s="87"/>
      <c r="W151" s="88"/>
    </row>
    <row r="152" spans="21:42" ht="15" thickBot="1" x14ac:dyDescent="0.4"/>
    <row r="153" spans="21:42" ht="15" thickBot="1" x14ac:dyDescent="0.4">
      <c r="U153" s="83">
        <v>49</v>
      </c>
      <c r="V153" s="84">
        <v>190</v>
      </c>
      <c r="W153" s="84">
        <v>11</v>
      </c>
      <c r="X153" s="84">
        <v>3.2</v>
      </c>
      <c r="Y153" s="84">
        <v>2.0499999999999999E-6</v>
      </c>
      <c r="Z153" s="84" t="s">
        <v>232</v>
      </c>
      <c r="AA153" s="84">
        <v>104500</v>
      </c>
      <c r="AB153" s="84" t="b">
        <v>1</v>
      </c>
      <c r="AC153" s="84">
        <v>1.6</v>
      </c>
      <c r="AD153" s="84">
        <v>10.240000000000002</v>
      </c>
      <c r="AE153" s="84">
        <v>112.64000000000001</v>
      </c>
      <c r="AF153" s="84" t="s">
        <v>233</v>
      </c>
      <c r="AG153" s="84">
        <v>332.75</v>
      </c>
      <c r="AH153" s="84" t="s">
        <v>233</v>
      </c>
      <c r="AI153" s="84">
        <v>51070.250576993392</v>
      </c>
      <c r="AJ153" s="85">
        <v>163211.61206892104</v>
      </c>
      <c r="AK153" s="85">
        <v>214281.86264591443</v>
      </c>
      <c r="AL153" s="85">
        <v>272137.96556031134</v>
      </c>
      <c r="AM153" s="85">
        <v>312958.66039435798</v>
      </c>
      <c r="AN153" s="84">
        <v>5.2884615384615384E-2</v>
      </c>
      <c r="AO153" s="84">
        <v>0.94589528917445287</v>
      </c>
      <c r="AP153" s="86">
        <v>0.58869101965851789</v>
      </c>
    </row>
  </sheetData>
  <sortState xmlns:xlrd2="http://schemas.microsoft.com/office/spreadsheetml/2017/richdata2" ref="U108:AJ148">
    <sortCondition ref="AB109:AB148"/>
    <sortCondition descending="1" ref="X109:X148"/>
    <sortCondition ref="AJ109:AJ148"/>
    <sortCondition ref="AE109:AE148"/>
  </sortState>
  <phoneticPr fontId="11" type="noConversion"/>
  <conditionalFormatting sqref="Y109:Y148">
    <cfRule type="cellIs" dxfId="3" priority="4" operator="lessThan">
      <formula>$AP$96</formula>
    </cfRule>
    <cfRule type="cellIs" dxfId="2" priority="5" operator="greaterThan">
      <formula>$AP$97</formula>
    </cfRule>
  </conditionalFormatting>
  <conditionalFormatting sqref="AE109:AE148 AG109:AG148">
    <cfRule type="cellIs" dxfId="1" priority="1" operator="greaterThan">
      <formula>1900</formula>
    </cfRule>
  </conditionalFormatting>
  <hyperlinks>
    <hyperlink ref="F2" r:id="rId1" xr:uid="{4B950994-0BC8-0748-A25B-14EA9D987BC8}"/>
  </hyperlinks>
  <pageMargins left="0.7" right="0.7" top="0.75" bottom="0.75" header="0.3" footer="0.3"/>
  <drawing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A6BED-AB38-6643-BC7A-00F5F4F9EA4B}">
  <dimension ref="A1:BE184"/>
  <sheetViews>
    <sheetView zoomScale="44" zoomScaleNormal="150" workbookViewId="0">
      <selection activeCell="F10" sqref="F10"/>
    </sheetView>
  </sheetViews>
  <sheetFormatPr defaultColWidth="11.453125" defaultRowHeight="14.5" x14ac:dyDescent="0.35"/>
  <cols>
    <col min="1" max="1" width="97.453125" customWidth="1"/>
    <col min="2" max="2" width="12.1796875" style="7" bestFit="1" customWidth="1"/>
    <col min="3" max="3" width="12.1796875" customWidth="1"/>
    <col min="4" max="4" width="14.81640625" bestFit="1" customWidth="1"/>
    <col min="5" max="5" width="11.1796875" customWidth="1"/>
    <col min="10" max="10" width="34.6328125" bestFit="1" customWidth="1"/>
    <col min="11" max="11" width="19.453125" customWidth="1"/>
    <col min="13" max="13" width="2.1796875" style="82" customWidth="1"/>
    <col min="15" max="15" width="53.36328125" style="47" customWidth="1"/>
    <col min="16" max="16" width="13.453125" style="47" bestFit="1" customWidth="1"/>
    <col min="17" max="17" width="13.81640625" style="47" customWidth="1"/>
    <col min="18" max="18" width="9.81640625" style="47" bestFit="1" customWidth="1"/>
    <col min="19" max="42" width="8.453125" style="47" customWidth="1"/>
    <col min="43" max="57" width="11.453125" style="47"/>
  </cols>
  <sheetData>
    <row r="1" spans="1:57" x14ac:dyDescent="0.35">
      <c r="B1"/>
      <c r="C1" s="91" t="s">
        <v>158</v>
      </c>
      <c r="D1" s="91" t="s">
        <v>248</v>
      </c>
      <c r="E1" s="91" t="s">
        <v>150</v>
      </c>
    </row>
    <row r="2" spans="1:57" x14ac:dyDescent="0.35">
      <c r="B2"/>
      <c r="C2" s="91"/>
      <c r="D2" s="91"/>
      <c r="E2" s="91"/>
    </row>
    <row r="3" spans="1:57" x14ac:dyDescent="0.35">
      <c r="A3" s="156" t="s">
        <v>227</v>
      </c>
      <c r="B3"/>
      <c r="C3" s="91"/>
      <c r="D3" s="91"/>
      <c r="E3" s="91"/>
      <c r="G3" s="10">
        <v>0.3</v>
      </c>
    </row>
    <row r="4" spans="1:57" ht="15" thickBot="1" x14ac:dyDescent="0.4">
      <c r="B4"/>
      <c r="C4" s="91"/>
      <c r="D4" s="91"/>
      <c r="E4" s="91"/>
      <c r="G4" s="10">
        <v>0.7</v>
      </c>
    </row>
    <row r="5" spans="1:57" ht="15" thickBot="1" x14ac:dyDescent="0.4">
      <c r="A5" s="136" t="s">
        <v>214</v>
      </c>
      <c r="B5" s="143" t="s">
        <v>215</v>
      </c>
      <c r="C5" s="146"/>
      <c r="D5" s="91" t="s">
        <v>249</v>
      </c>
      <c r="E5" s="91"/>
      <c r="G5" s="10">
        <f>AVERAGE(G3:G4)</f>
        <v>0.5</v>
      </c>
    </row>
    <row r="6" spans="1:57" ht="15" thickBot="1" x14ac:dyDescent="0.4">
      <c r="A6" s="136" t="s">
        <v>213</v>
      </c>
      <c r="B6" s="143">
        <v>25</v>
      </c>
      <c r="C6" s="144" t="s">
        <v>160</v>
      </c>
      <c r="D6" t="s">
        <v>249</v>
      </c>
      <c r="E6" s="91"/>
    </row>
    <row r="7" spans="1:57" ht="15" thickBot="1" x14ac:dyDescent="0.4">
      <c r="B7"/>
      <c r="C7" s="91"/>
      <c r="D7" s="91"/>
      <c r="E7" s="91"/>
    </row>
    <row r="8" spans="1:57" ht="15" thickBot="1" x14ac:dyDescent="0.4">
      <c r="A8" s="136" t="s">
        <v>250</v>
      </c>
      <c r="B8" s="166">
        <f>Optim!AL153</f>
        <v>272137.96556031134</v>
      </c>
      <c r="C8" s="146" t="s">
        <v>29</v>
      </c>
      <c r="D8" s="91" t="s">
        <v>249</v>
      </c>
      <c r="E8" s="91"/>
    </row>
    <row r="9" spans="1:57" ht="15" thickBot="1" x14ac:dyDescent="0.4">
      <c r="B9"/>
      <c r="C9" s="91"/>
      <c r="D9" s="91"/>
      <c r="E9" s="91"/>
    </row>
    <row r="10" spans="1:57" ht="15" thickBot="1" x14ac:dyDescent="0.4">
      <c r="A10" s="136" t="s">
        <v>204</v>
      </c>
      <c r="B10" s="145">
        <v>172020</v>
      </c>
      <c r="C10" s="144" t="s">
        <v>29</v>
      </c>
      <c r="D10" t="s">
        <v>249</v>
      </c>
      <c r="E10" t="s">
        <v>237</v>
      </c>
      <c r="F10" t="s">
        <v>238</v>
      </c>
    </row>
    <row r="11" spans="1:57" ht="15" thickBot="1" x14ac:dyDescent="0.4">
      <c r="A11" s="136" t="s">
        <v>234</v>
      </c>
      <c r="B11" s="145">
        <f>410886*G5</f>
        <v>205443</v>
      </c>
      <c r="C11" s="144" t="s">
        <v>29</v>
      </c>
      <c r="D11" t="s">
        <v>249</v>
      </c>
      <c r="E11" t="s">
        <v>237</v>
      </c>
      <c r="F11" t="s">
        <v>239</v>
      </c>
      <c r="J11" t="s">
        <v>277</v>
      </c>
      <c r="K11" t="s">
        <v>276</v>
      </c>
    </row>
    <row r="12" spans="1:57" ht="15" thickBot="1" x14ac:dyDescent="0.4">
      <c r="A12" s="136" t="s">
        <v>236</v>
      </c>
      <c r="B12" s="145">
        <v>37079</v>
      </c>
      <c r="C12" s="144" t="s">
        <v>29</v>
      </c>
      <c r="D12" t="s">
        <v>249</v>
      </c>
    </row>
    <row r="13" spans="1:57" ht="15" thickBot="1" x14ac:dyDescent="0.4">
      <c r="A13" s="136" t="s">
        <v>235</v>
      </c>
      <c r="B13" s="145">
        <f>SUM(B8:B12)</f>
        <v>686679.96556031134</v>
      </c>
      <c r="C13" s="144" t="s">
        <v>29</v>
      </c>
      <c r="D13" t="s">
        <v>249</v>
      </c>
    </row>
    <row r="14" spans="1:57" x14ac:dyDescent="0.35">
      <c r="B14" s="32"/>
      <c r="M14"/>
      <c r="O14" s="43"/>
      <c r="P14" s="43"/>
      <c r="Q14" s="43"/>
      <c r="R14" s="43"/>
      <c r="S14" s="43"/>
      <c r="T14" s="43"/>
      <c r="U14" s="43"/>
      <c r="V14" s="43"/>
      <c r="W14" s="43"/>
      <c r="X14" s="43"/>
      <c r="Y14" s="43"/>
      <c r="Z14" s="43"/>
      <c r="AA14" s="43"/>
      <c r="AB14" s="43"/>
      <c r="AC14" s="43"/>
      <c r="AD14" s="43"/>
      <c r="AE14" s="43"/>
      <c r="AF14" s="43"/>
      <c r="AG14" s="43"/>
      <c r="AH14" s="43"/>
      <c r="AI14" s="43"/>
      <c r="AJ14" s="43"/>
      <c r="AK14" s="43"/>
      <c r="AL14" s="43"/>
      <c r="AM14" s="43"/>
      <c r="AN14" s="43"/>
      <c r="AO14" s="43"/>
      <c r="AP14" s="43"/>
      <c r="AQ14" s="43"/>
      <c r="AR14" s="43"/>
      <c r="AS14" s="43"/>
      <c r="AT14" s="43"/>
      <c r="AU14" s="43"/>
      <c r="AV14" s="43"/>
      <c r="AW14" s="43"/>
      <c r="AX14" s="43"/>
      <c r="AY14" s="43"/>
      <c r="AZ14" s="43"/>
      <c r="BA14" s="43"/>
      <c r="BB14" s="43"/>
      <c r="BC14" s="43"/>
      <c r="BD14" s="43"/>
      <c r="BE14" s="43"/>
    </row>
    <row r="15" spans="1:57" x14ac:dyDescent="0.35">
      <c r="A15" t="s">
        <v>258</v>
      </c>
      <c r="B15" s="168">
        <v>581.9</v>
      </c>
      <c r="C15" t="s">
        <v>153</v>
      </c>
      <c r="M15"/>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43"/>
      <c r="AN15" s="43"/>
      <c r="AO15" s="43"/>
      <c r="AP15" s="43"/>
      <c r="AQ15" s="43"/>
      <c r="AR15" s="43"/>
      <c r="AS15" s="43"/>
      <c r="AT15" s="43"/>
      <c r="AU15" s="43"/>
      <c r="AV15" s="43"/>
      <c r="AW15" s="43"/>
      <c r="AX15" s="43"/>
      <c r="AY15" s="43"/>
      <c r="AZ15" s="43"/>
      <c r="BA15" s="43"/>
      <c r="BB15" s="43"/>
      <c r="BC15" s="43"/>
      <c r="BD15" s="43"/>
      <c r="BE15" s="43"/>
    </row>
    <row r="16" spans="1:57" x14ac:dyDescent="0.35">
      <c r="B16" s="32"/>
      <c r="M16"/>
      <c r="O16" s="43"/>
      <c r="P16" s="43"/>
      <c r="Q16" s="43"/>
      <c r="R16" s="43"/>
      <c r="S16" s="43"/>
      <c r="T16" s="43"/>
      <c r="U16" s="43"/>
      <c r="V16" s="43"/>
      <c r="W16" s="43"/>
      <c r="X16" s="43"/>
      <c r="Y16" s="43"/>
      <c r="Z16" s="43"/>
      <c r="AA16" s="43"/>
      <c r="AB16" s="43"/>
      <c r="AC16" s="43"/>
      <c r="AD16" s="43"/>
      <c r="AE16" s="43"/>
      <c r="AF16" s="43"/>
      <c r="AG16" s="43"/>
      <c r="AH16" s="43"/>
      <c r="AI16" s="43"/>
      <c r="AJ16" s="43"/>
      <c r="AK16" s="43"/>
      <c r="AL16" s="43"/>
      <c r="AM16" s="43"/>
      <c r="AN16" s="43"/>
      <c r="AO16" s="43"/>
      <c r="AP16" s="43"/>
      <c r="AQ16" s="43"/>
      <c r="AR16" s="43"/>
      <c r="AS16" s="43"/>
      <c r="AT16" s="43"/>
      <c r="AU16" s="43"/>
      <c r="AV16" s="43"/>
      <c r="AW16" s="43"/>
      <c r="AX16" s="43"/>
      <c r="AY16" s="43"/>
      <c r="AZ16" s="43"/>
      <c r="BA16" s="43"/>
      <c r="BB16" s="43"/>
      <c r="BC16" s="43"/>
      <c r="BD16" s="43"/>
      <c r="BE16" s="43"/>
    </row>
    <row r="17" spans="1:57" x14ac:dyDescent="0.35">
      <c r="A17" t="s">
        <v>245</v>
      </c>
      <c r="B17" s="164">
        <v>2</v>
      </c>
      <c r="C17" t="s">
        <v>255</v>
      </c>
      <c r="D17" t="s">
        <v>249</v>
      </c>
      <c r="M17"/>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row>
    <row r="18" spans="1:57" ht="15" thickBot="1" x14ac:dyDescent="0.4">
      <c r="A18" t="s">
        <v>246</v>
      </c>
      <c r="B18" s="164">
        <v>8</v>
      </c>
      <c r="C18" t="s">
        <v>255</v>
      </c>
      <c r="D18" t="s">
        <v>249</v>
      </c>
      <c r="M18"/>
      <c r="O18" s="43"/>
      <c r="P18" s="43"/>
      <c r="Q18" s="43"/>
      <c r="R18" s="43"/>
      <c r="S18" s="43"/>
      <c r="T18" s="43"/>
      <c r="U18" s="43"/>
      <c r="V18" s="43"/>
      <c r="W18" s="43"/>
      <c r="X18" s="43"/>
      <c r="Y18" s="43"/>
      <c r="Z18" s="43"/>
      <c r="AA18" s="43"/>
      <c r="AB18" s="43"/>
      <c r="AC18" s="43"/>
      <c r="AD18" s="43"/>
      <c r="AE18" s="43"/>
      <c r="AF18" s="43"/>
      <c r="AG18" s="43"/>
      <c r="AH18" s="43"/>
      <c r="AI18" s="43"/>
      <c r="AJ18" s="43"/>
      <c r="AK18" s="43"/>
      <c r="AL18" s="43"/>
      <c r="AM18" s="43"/>
      <c r="AN18" s="43"/>
      <c r="AO18" s="43"/>
      <c r="AP18" s="43"/>
      <c r="AQ18" s="43"/>
      <c r="AR18" s="43"/>
      <c r="AS18" s="43"/>
      <c r="AT18" s="43"/>
      <c r="AU18" s="43"/>
      <c r="AV18" s="43"/>
      <c r="AW18" s="43"/>
      <c r="AX18" s="43"/>
      <c r="AY18" s="43"/>
      <c r="AZ18" s="43"/>
      <c r="BA18" s="43"/>
      <c r="BB18" s="43"/>
      <c r="BC18" s="43"/>
      <c r="BD18" s="43"/>
      <c r="BE18" s="43"/>
    </row>
    <row r="19" spans="1:57" ht="15" thickBot="1" x14ac:dyDescent="0.4">
      <c r="B19" s="167">
        <f>AVERAGE(B17:B18)</f>
        <v>5</v>
      </c>
      <c r="C19" s="144" t="s">
        <v>255</v>
      </c>
      <c r="D19" t="s">
        <v>249</v>
      </c>
      <c r="M19"/>
      <c r="O19" s="43"/>
      <c r="P19" s="43"/>
      <c r="Q19" s="43"/>
      <c r="R19" s="43"/>
      <c r="S19" s="43"/>
      <c r="T19" s="43"/>
      <c r="U19" s="43"/>
      <c r="V19" s="43"/>
      <c r="W19" s="43"/>
      <c r="X19" s="43"/>
      <c r="Y19" s="43"/>
      <c r="Z19" s="43"/>
      <c r="AA19" s="43"/>
      <c r="AB19" s="43"/>
      <c r="AC19" s="43"/>
      <c r="AD19" s="43"/>
      <c r="AE19" s="43"/>
      <c r="AF19" s="43"/>
      <c r="AG19" s="43"/>
      <c r="AH19" s="43"/>
      <c r="AI19" s="43"/>
      <c r="AJ19" s="43"/>
      <c r="AK19" s="43"/>
      <c r="AL19" s="43"/>
      <c r="AM19" s="43"/>
      <c r="AN19" s="43"/>
      <c r="AO19" s="43"/>
      <c r="AP19" s="43"/>
      <c r="AQ19" s="43"/>
      <c r="AR19" s="43"/>
      <c r="AS19" s="43"/>
      <c r="AT19" s="43"/>
      <c r="AU19" s="43"/>
      <c r="AV19" s="43"/>
      <c r="AW19" s="43"/>
      <c r="AX19" s="43"/>
      <c r="AY19" s="43"/>
      <c r="AZ19" s="43"/>
      <c r="BA19" s="43"/>
      <c r="BB19" s="43"/>
      <c r="BC19" s="43"/>
      <c r="BD19" s="43"/>
      <c r="BE19" s="43"/>
    </row>
    <row r="20" spans="1:57" ht="15" thickBot="1" x14ac:dyDescent="0.4">
      <c r="A20" s="136" t="s">
        <v>254</v>
      </c>
      <c r="B20" s="166">
        <f>B19*B15</f>
        <v>2909.5</v>
      </c>
      <c r="C20" s="144" t="s">
        <v>185</v>
      </c>
      <c r="D20" t="s">
        <v>249</v>
      </c>
      <c r="M20"/>
      <c r="O20" s="43"/>
      <c r="P20" s="43"/>
      <c r="Q20" s="43"/>
      <c r="R20" s="43"/>
      <c r="S20" s="43"/>
      <c r="T20" s="43"/>
      <c r="U20" s="43"/>
      <c r="V20" s="43"/>
      <c r="W20" s="43"/>
      <c r="X20" s="43"/>
      <c r="Y20" s="43"/>
      <c r="Z20" s="43"/>
      <c r="AA20" s="43"/>
      <c r="AB20" s="43"/>
      <c r="AC20" s="43"/>
      <c r="AD20" s="43"/>
      <c r="AE20" s="43"/>
      <c r="AF20" s="43"/>
      <c r="AG20" s="43"/>
      <c r="AH20" s="43"/>
      <c r="AI20" s="43"/>
      <c r="AJ20" s="43"/>
      <c r="AK20" s="43"/>
      <c r="AL20" s="43"/>
      <c r="AM20" s="43"/>
      <c r="AN20" s="43"/>
      <c r="AO20" s="43"/>
      <c r="AP20" s="43"/>
      <c r="AQ20" s="43"/>
      <c r="AR20" s="43"/>
      <c r="AS20" s="43"/>
      <c r="AT20" s="43"/>
      <c r="AU20" s="43"/>
      <c r="AV20" s="43"/>
      <c r="AW20" s="43"/>
      <c r="AX20" s="43"/>
      <c r="AY20" s="43"/>
      <c r="AZ20" s="43"/>
      <c r="BA20" s="43"/>
      <c r="BB20" s="43"/>
      <c r="BC20" s="43"/>
      <c r="BD20" s="43"/>
      <c r="BE20" s="43"/>
    </row>
    <row r="21" spans="1:57" ht="15" thickBot="1" x14ac:dyDescent="0.4">
      <c r="A21" s="136" t="s">
        <v>253</v>
      </c>
      <c r="B21" s="166">
        <f>0.01*B13</f>
        <v>6866.7996556031139</v>
      </c>
      <c r="C21" s="144" t="s">
        <v>29</v>
      </c>
      <c r="D21" t="s">
        <v>249</v>
      </c>
      <c r="E21" t="s">
        <v>251</v>
      </c>
      <c r="F21" t="s">
        <v>252</v>
      </c>
    </row>
    <row r="22" spans="1:57" ht="15" thickBot="1" x14ac:dyDescent="0.4">
      <c r="A22" s="136" t="s">
        <v>257</v>
      </c>
      <c r="B22" s="166">
        <f>SUM(B20:B21)</f>
        <v>9776.2996556031139</v>
      </c>
      <c r="C22" s="144" t="s">
        <v>29</v>
      </c>
      <c r="D22" t="s">
        <v>249</v>
      </c>
    </row>
    <row r="23" spans="1:57" x14ac:dyDescent="0.35">
      <c r="B23" s="32"/>
    </row>
    <row r="24" spans="1:57" ht="15" thickBot="1" x14ac:dyDescent="0.4">
      <c r="B24" s="32"/>
    </row>
    <row r="25" spans="1:57" ht="15" thickBot="1" x14ac:dyDescent="0.4">
      <c r="A25" s="136" t="s">
        <v>240</v>
      </c>
      <c r="B25" s="165">
        <v>50959</v>
      </c>
      <c r="C25" s="144" t="s">
        <v>153</v>
      </c>
      <c r="D25" t="s">
        <v>249</v>
      </c>
    </row>
    <row r="26" spans="1:57" ht="15" thickBot="1" x14ac:dyDescent="0.4">
      <c r="A26" s="136" t="s">
        <v>241</v>
      </c>
      <c r="B26" s="165">
        <v>36808</v>
      </c>
      <c r="C26" s="144" t="s">
        <v>153</v>
      </c>
      <c r="D26" t="s">
        <v>249</v>
      </c>
    </row>
    <row r="27" spans="1:57" x14ac:dyDescent="0.35">
      <c r="B27" s="169"/>
    </row>
    <row r="28" spans="1:57" ht="15" thickBot="1" x14ac:dyDescent="0.4">
      <c r="B28" s="32"/>
    </row>
    <row r="29" spans="1:57" x14ac:dyDescent="0.35">
      <c r="A29" s="138" t="s">
        <v>245</v>
      </c>
      <c r="B29" s="157">
        <v>0.08</v>
      </c>
      <c r="C29" s="21"/>
      <c r="D29" t="s">
        <v>249</v>
      </c>
      <c r="E29" t="s">
        <v>259</v>
      </c>
    </row>
    <row r="30" spans="1:57" x14ac:dyDescent="0.35">
      <c r="A30" s="22" t="s">
        <v>246</v>
      </c>
      <c r="B30" s="32">
        <v>0.15</v>
      </c>
      <c r="C30" s="23"/>
      <c r="D30" t="s">
        <v>249</v>
      </c>
      <c r="E30" t="s">
        <v>169</v>
      </c>
    </row>
    <row r="31" spans="1:57" ht="15" thickBot="1" x14ac:dyDescent="0.4">
      <c r="A31" s="24" t="s">
        <v>242</v>
      </c>
      <c r="B31" s="158">
        <f>AVERAGE(B29:B30)</f>
        <v>0.11499999999999999</v>
      </c>
      <c r="C31" s="26" t="s">
        <v>244</v>
      </c>
      <c r="D31" t="s">
        <v>249</v>
      </c>
    </row>
    <row r="32" spans="1:57" ht="15" thickBot="1" x14ac:dyDescent="0.4">
      <c r="B32" s="32"/>
    </row>
    <row r="33" spans="1:11" x14ac:dyDescent="0.35">
      <c r="A33" s="138" t="s">
        <v>245</v>
      </c>
      <c r="B33" s="157">
        <v>0.25</v>
      </c>
      <c r="C33" s="21"/>
      <c r="D33" t="s">
        <v>249</v>
      </c>
      <c r="E33" t="s">
        <v>169</v>
      </c>
    </row>
    <row r="34" spans="1:11" x14ac:dyDescent="0.35">
      <c r="A34" s="22" t="s">
        <v>246</v>
      </c>
      <c r="B34" s="32">
        <v>0.45</v>
      </c>
      <c r="C34" s="23"/>
      <c r="D34" t="s">
        <v>249</v>
      </c>
      <c r="E34" t="s">
        <v>169</v>
      </c>
    </row>
    <row r="35" spans="1:11" ht="15" thickBot="1" x14ac:dyDescent="0.4">
      <c r="A35" s="24" t="s">
        <v>243</v>
      </c>
      <c r="B35" s="158">
        <f>AVERAGE(B33:B34)</f>
        <v>0.35</v>
      </c>
      <c r="C35" s="26" t="s">
        <v>244</v>
      </c>
      <c r="D35" t="s">
        <v>249</v>
      </c>
    </row>
    <row r="36" spans="1:11" ht="16" customHeight="1" thickBot="1" x14ac:dyDescent="0.4">
      <c r="B36" s="32"/>
    </row>
    <row r="37" spans="1:11" ht="16" customHeight="1" thickBot="1" x14ac:dyDescent="0.4">
      <c r="A37" s="136" t="s">
        <v>260</v>
      </c>
      <c r="B37" s="149">
        <f>B31*B26</f>
        <v>4232.92</v>
      </c>
      <c r="D37" t="s">
        <v>249</v>
      </c>
      <c r="F37" t="s">
        <v>281</v>
      </c>
    </row>
    <row r="38" spans="1:11" ht="16" customHeight="1" thickBot="1" x14ac:dyDescent="0.4">
      <c r="A38" s="136" t="s">
        <v>247</v>
      </c>
      <c r="B38" s="149">
        <f>B25*B35</f>
        <v>17835.649999999998</v>
      </c>
      <c r="D38" t="s">
        <v>249</v>
      </c>
    </row>
    <row r="39" spans="1:11" ht="16" customHeight="1" x14ac:dyDescent="0.35">
      <c r="B39" s="32"/>
    </row>
    <row r="40" spans="1:11" x14ac:dyDescent="0.35">
      <c r="B40" s="32"/>
    </row>
    <row r="41" spans="1:11" x14ac:dyDescent="0.35">
      <c r="B41" s="32"/>
    </row>
    <row r="42" spans="1:11" x14ac:dyDescent="0.35">
      <c r="B42"/>
      <c r="C42" s="91"/>
      <c r="D42" s="91"/>
      <c r="E42" s="91"/>
    </row>
    <row r="43" spans="1:11" ht="15" thickBot="1" x14ac:dyDescent="0.4">
      <c r="B43"/>
      <c r="J43" s="174" t="s">
        <v>198</v>
      </c>
      <c r="K43" s="174"/>
    </row>
    <row r="44" spans="1:11" ht="15.5" thickTop="1" thickBot="1" x14ac:dyDescent="0.4">
      <c r="A44" s="136" t="s">
        <v>152</v>
      </c>
      <c r="B44" s="143">
        <f>'Params and Assumptions'!B25</f>
        <v>604921</v>
      </c>
      <c r="C44" s="144" t="s">
        <v>153</v>
      </c>
      <c r="J44" t="str" cm="1">
        <f t="array" ref="J44:J65">TRANSPOSE(Table1[#Headers])</f>
        <v>Index</v>
      </c>
      <c r="K44" t="e" cm="1" vm="1">
        <f t="array" ref="K44">TRANSPOSE(_xlfn._xlws.FILTER(Table1[],
        (Table1[Objective Function] = MIN(Table1[Objective Function])) *
        (Table1[alpha_s between range?] = "Yes") *
        (Table1[fd] = FALSE) *
        (Table1[A_tot &gt; 1900?] = "No") *
        (Table1[A_kensa &gt; 1900?] = "No")))</f>
        <v>#VALUE!</v>
      </c>
    </row>
    <row r="45" spans="1:11" ht="15" thickBot="1" x14ac:dyDescent="0.4">
      <c r="B45"/>
      <c r="C45" s="91"/>
      <c r="D45" s="91"/>
      <c r="E45" s="91"/>
      <c r="J45" t="str">
        <v>L</v>
      </c>
    </row>
    <row r="46" spans="1:11" ht="15" thickBot="1" x14ac:dyDescent="0.4">
      <c r="A46" s="136" t="s">
        <v>203</v>
      </c>
      <c r="B46" s="142">
        <v>0.15</v>
      </c>
      <c r="D46" t="s">
        <v>249</v>
      </c>
      <c r="E46" s="5" t="s">
        <v>226</v>
      </c>
      <c r="J46" t="str">
        <v>n</v>
      </c>
    </row>
    <row r="47" spans="1:11" ht="15" thickBot="1" x14ac:dyDescent="0.4">
      <c r="B47"/>
      <c r="J47" t="str">
        <v>k_s</v>
      </c>
    </row>
    <row r="48" spans="1:11" ht="15" thickBot="1" x14ac:dyDescent="0.4">
      <c r="A48" s="136" t="s">
        <v>197</v>
      </c>
      <c r="B48" s="137">
        <v>0.2</v>
      </c>
      <c r="D48" t="s">
        <v>249</v>
      </c>
      <c r="E48" s="5" t="s">
        <v>217</v>
      </c>
      <c r="J48" t="str">
        <v>alpha_s</v>
      </c>
    </row>
    <row r="49" spans="1:10" ht="15" thickBot="1" x14ac:dyDescent="0.4">
      <c r="A49" s="136" t="s">
        <v>219</v>
      </c>
      <c r="B49" s="137">
        <v>2.5000000000000001E-2</v>
      </c>
      <c r="C49" s="89"/>
      <c r="D49" s="89" t="s">
        <v>249</v>
      </c>
      <c r="E49" s="5" t="s">
        <v>218</v>
      </c>
      <c r="J49" t="str">
        <v>alpha_s between range?</v>
      </c>
    </row>
    <row r="50" spans="1:10" ht="15" thickBot="1" x14ac:dyDescent="0.4">
      <c r="A50" s="136" t="s">
        <v>221</v>
      </c>
      <c r="B50" s="137">
        <v>5.6000000000000001E-2</v>
      </c>
      <c r="C50" s="89"/>
      <c r="D50" s="89" t="s">
        <v>249</v>
      </c>
      <c r="E50" s="5" t="s">
        <v>220</v>
      </c>
      <c r="J50" t="str">
        <v>capacity</v>
      </c>
    </row>
    <row r="51" spans="1:10" x14ac:dyDescent="0.35">
      <c r="A51" s="138" t="s">
        <v>222</v>
      </c>
      <c r="B51" s="139">
        <v>2.4E-2</v>
      </c>
      <c r="C51" s="89"/>
      <c r="D51" s="89" t="s">
        <v>249</v>
      </c>
      <c r="J51" t="str">
        <v>fd</v>
      </c>
    </row>
    <row r="52" spans="1:10" x14ac:dyDescent="0.35">
      <c r="A52" s="22" t="s">
        <v>223</v>
      </c>
      <c r="B52" s="140">
        <v>0.04</v>
      </c>
      <c r="C52" s="89"/>
      <c r="D52" s="89" t="s">
        <v>249</v>
      </c>
      <c r="J52" t="str">
        <v>r_crit</v>
      </c>
    </row>
    <row r="53" spans="1:10" ht="15" thickBot="1" x14ac:dyDescent="0.4">
      <c r="A53" s="24" t="s">
        <v>224</v>
      </c>
      <c r="B53" s="141">
        <f>AVERAGE(B51:B52)</f>
        <v>3.2000000000000001E-2</v>
      </c>
      <c r="C53" s="89"/>
      <c r="D53" s="89" t="s">
        <v>249</v>
      </c>
      <c r="E53" s="5" t="s">
        <v>225</v>
      </c>
      <c r="J53" t="str">
        <v>A_bh</v>
      </c>
    </row>
    <row r="54" spans="1:10" ht="15" thickBot="1" x14ac:dyDescent="0.4">
      <c r="A54" s="136" t="s">
        <v>202</v>
      </c>
      <c r="B54" s="137">
        <v>0.15</v>
      </c>
      <c r="C54" s="89"/>
      <c r="D54" s="89" t="s">
        <v>249</v>
      </c>
      <c r="E54" s="5" t="s">
        <v>226</v>
      </c>
      <c r="J54" t="str">
        <v>A_tot</v>
      </c>
    </row>
    <row r="55" spans="1:10" ht="15" thickBot="1" x14ac:dyDescent="0.4">
      <c r="B55" s="89"/>
      <c r="C55" s="89"/>
      <c r="D55" s="89"/>
      <c r="J55" t="str">
        <v>A_tot &gt; 1900?</v>
      </c>
    </row>
    <row r="56" spans="1:10" ht="15" thickBot="1" x14ac:dyDescent="0.4">
      <c r="A56" s="136" t="s">
        <v>159</v>
      </c>
      <c r="B56" s="147">
        <v>146006</v>
      </c>
      <c r="C56" s="144" t="s">
        <v>153</v>
      </c>
      <c r="J56" t="str">
        <v>A_kensa</v>
      </c>
    </row>
    <row r="57" spans="1:10" ht="15" thickBot="1" x14ac:dyDescent="0.4">
      <c r="A57" s="136" t="s">
        <v>151</v>
      </c>
      <c r="B57" s="148">
        <v>160151</v>
      </c>
      <c r="C57" s="144" t="s">
        <v>153</v>
      </c>
      <c r="J57" t="str">
        <v>A_kensa &gt; 1900?</v>
      </c>
    </row>
    <row r="58" spans="1:10" x14ac:dyDescent="0.35">
      <c r="B58" s="89"/>
      <c r="J58" t="str">
        <v>Drilling Costs, Pre-tax, Dec 2018 (Eqn 1)</v>
      </c>
    </row>
    <row r="59" spans="1:10" x14ac:dyDescent="0.35">
      <c r="B59" s="89"/>
      <c r="J59" t="str">
        <v>Installation Costs, Pre-Tax, Dec 2018 (Eqn 2)</v>
      </c>
    </row>
    <row r="60" spans="1:10" x14ac:dyDescent="0.35">
      <c r="A60" t="s">
        <v>229</v>
      </c>
      <c r="B60" s="89">
        <f>B57/B56</f>
        <v>1.096879580291221</v>
      </c>
      <c r="D60" t="s">
        <v>249</v>
      </c>
      <c r="J60" t="str">
        <v>Total, Pre-Tax, Dec 2018</v>
      </c>
    </row>
    <row r="61" spans="1:10" x14ac:dyDescent="0.35">
      <c r="B61" s="89"/>
      <c r="J61" t="str">
        <v>Total, Pre-Tax, Oct 2024</v>
      </c>
    </row>
    <row r="62" spans="1:10" x14ac:dyDescent="0.35">
      <c r="A62" t="s">
        <v>228</v>
      </c>
      <c r="B62" s="90">
        <f>B44/B56</f>
        <v>4.1431242551675957</v>
      </c>
      <c r="J62" t="str">
        <v>Total, Pre-Tax, Oct 2029 (5 Years Time)</v>
      </c>
    </row>
    <row r="63" spans="1:10" x14ac:dyDescent="0.35">
      <c r="B63" s="89"/>
      <c r="J63" t="str">
        <v>Number of Boreholes - Normalised</v>
      </c>
    </row>
    <row r="64" spans="1:10" x14ac:dyDescent="0.35">
      <c r="A64" t="s">
        <v>261</v>
      </c>
      <c r="B64" s="32">
        <f>B44*AVERAGE(B35,B31)</f>
        <v>140644.13249999998</v>
      </c>
      <c r="J64" t="str">
        <v>Cost - Normalised</v>
      </c>
    </row>
    <row r="65" spans="1:57" x14ac:dyDescent="0.35">
      <c r="B65"/>
      <c r="J65" t="str">
        <v>Objective Function</v>
      </c>
    </row>
    <row r="66" spans="1:57" x14ac:dyDescent="0.35">
      <c r="B66"/>
    </row>
    <row r="67" spans="1:57" x14ac:dyDescent="0.35">
      <c r="B67"/>
    </row>
    <row r="68" spans="1:57" x14ac:dyDescent="0.35">
      <c r="B68"/>
    </row>
    <row r="69" spans="1:57" x14ac:dyDescent="0.35">
      <c r="B69" s="32"/>
      <c r="K69" s="32"/>
    </row>
    <row r="70" spans="1:57" x14ac:dyDescent="0.35">
      <c r="B70"/>
    </row>
    <row r="71" spans="1:57" x14ac:dyDescent="0.35">
      <c r="B71"/>
    </row>
    <row r="72" spans="1:57" x14ac:dyDescent="0.35">
      <c r="A72" s="156" t="s">
        <v>164</v>
      </c>
      <c r="B72"/>
    </row>
    <row r="73" spans="1:57" ht="15" thickBot="1" x14ac:dyDescent="0.4">
      <c r="A73" s="91"/>
      <c r="B73"/>
    </row>
    <row r="74" spans="1:57" ht="15" thickBot="1" x14ac:dyDescent="0.4">
      <c r="A74" s="136" t="s">
        <v>173</v>
      </c>
      <c r="B74" s="144">
        <v>0.77</v>
      </c>
    </row>
    <row r="75" spans="1:57" ht="15" thickBot="1" x14ac:dyDescent="0.4">
      <c r="A75" s="136" t="s">
        <v>174</v>
      </c>
      <c r="B75" s="144">
        <v>9.2902999999999999E-2</v>
      </c>
    </row>
    <row r="76" spans="1:57" ht="15" thickBot="1" x14ac:dyDescent="0.4">
      <c r="A76" s="91"/>
      <c r="B76"/>
    </row>
    <row r="77" spans="1:57" ht="15" thickBot="1" x14ac:dyDescent="0.4">
      <c r="A77" s="136" t="s">
        <v>167</v>
      </c>
      <c r="B77" s="143">
        <v>0.17</v>
      </c>
      <c r="C77" s="144" t="s">
        <v>166</v>
      </c>
      <c r="E77" s="5" t="s">
        <v>165</v>
      </c>
    </row>
    <row r="78" spans="1:57" ht="18.5" x14ac:dyDescent="0.35">
      <c r="B78"/>
      <c r="O78" s="41" t="s">
        <v>125</v>
      </c>
      <c r="P78" s="42"/>
      <c r="Q78" s="42"/>
      <c r="R78" s="42"/>
      <c r="S78" s="42"/>
      <c r="T78" s="42"/>
      <c r="U78" s="42"/>
      <c r="V78" s="42"/>
      <c r="W78" s="42"/>
      <c r="X78" s="42"/>
      <c r="Y78" s="42"/>
      <c r="Z78" s="42"/>
      <c r="AA78" s="42"/>
      <c r="AB78" s="42"/>
      <c r="AC78" s="42"/>
      <c r="AD78" s="42"/>
      <c r="AE78" s="42"/>
      <c r="AF78" s="42"/>
      <c r="AG78" s="42"/>
      <c r="AH78" s="42"/>
      <c r="AI78" s="42"/>
      <c r="AJ78" s="42"/>
      <c r="AK78" s="42"/>
      <c r="AL78" s="43"/>
      <c r="AM78" s="43"/>
      <c r="AN78" s="43"/>
      <c r="AO78" s="43"/>
      <c r="AP78" s="43"/>
      <c r="AQ78" s="43"/>
      <c r="AR78" s="43"/>
      <c r="AS78" s="43"/>
      <c r="AT78" s="43"/>
      <c r="AU78" s="43"/>
      <c r="AV78" s="43"/>
      <c r="AW78" s="43"/>
      <c r="AX78" s="43"/>
      <c r="AY78" s="43"/>
      <c r="AZ78" s="43"/>
      <c r="BA78" s="43"/>
      <c r="BB78" s="43"/>
      <c r="BC78" s="43"/>
      <c r="BD78" s="43"/>
      <c r="BE78" s="43"/>
    </row>
    <row r="79" spans="1:57" ht="15.5" x14ac:dyDescent="0.35">
      <c r="B79"/>
      <c r="O79" s="44" t="s">
        <v>126</v>
      </c>
      <c r="P79" s="45"/>
      <c r="Q79" s="45">
        <v>0</v>
      </c>
      <c r="R79" s="45">
        <v>1</v>
      </c>
      <c r="S79" s="45">
        <v>2</v>
      </c>
      <c r="T79" s="45">
        <v>3</v>
      </c>
      <c r="U79" s="45">
        <v>4</v>
      </c>
      <c r="V79" s="45">
        <v>5</v>
      </c>
      <c r="W79" s="45">
        <v>6</v>
      </c>
      <c r="X79" s="45">
        <v>7</v>
      </c>
      <c r="Y79" s="45">
        <v>8</v>
      </c>
      <c r="Z79" s="45">
        <v>9</v>
      </c>
      <c r="AA79" s="45">
        <v>10</v>
      </c>
      <c r="AB79" s="45">
        <v>11</v>
      </c>
      <c r="AC79" s="45">
        <v>12</v>
      </c>
      <c r="AD79" s="45">
        <v>13</v>
      </c>
      <c r="AE79" s="45">
        <v>14</v>
      </c>
      <c r="AF79" s="45">
        <v>15</v>
      </c>
      <c r="AG79" s="45">
        <v>16</v>
      </c>
      <c r="AH79" s="45">
        <v>17</v>
      </c>
      <c r="AI79" s="45">
        <v>18</v>
      </c>
      <c r="AJ79" s="45">
        <v>19</v>
      </c>
      <c r="AK79" s="45">
        <v>20</v>
      </c>
      <c r="AL79" s="45">
        <v>21</v>
      </c>
      <c r="AM79" s="45">
        <v>22</v>
      </c>
      <c r="AN79" s="45">
        <v>23</v>
      </c>
      <c r="AO79" s="45">
        <v>24</v>
      </c>
      <c r="AP79" s="46">
        <v>25</v>
      </c>
    </row>
    <row r="80" spans="1:57" ht="16" thickBot="1" x14ac:dyDescent="0.4">
      <c r="B80"/>
      <c r="O80" s="44" t="s">
        <v>194</v>
      </c>
      <c r="P80" s="93">
        <v>5</v>
      </c>
      <c r="Q80" s="45"/>
      <c r="R80" s="45"/>
      <c r="S80" s="45"/>
      <c r="T80" s="45"/>
      <c r="U80" s="45"/>
      <c r="V80" s="45"/>
      <c r="W80" s="45"/>
      <c r="X80" s="45"/>
      <c r="Y80" s="45"/>
      <c r="Z80" s="45"/>
      <c r="AA80" s="45"/>
      <c r="AB80" s="45"/>
      <c r="AC80" s="45"/>
      <c r="AD80" s="45"/>
      <c r="AE80" s="45"/>
      <c r="AF80" s="45"/>
      <c r="AG80" s="45"/>
      <c r="AH80" s="45"/>
      <c r="AI80" s="45"/>
      <c r="AJ80" s="45"/>
      <c r="AK80" s="45"/>
      <c r="AL80" s="45"/>
      <c r="AM80" s="45"/>
      <c r="AN80" s="45"/>
      <c r="AO80" s="45"/>
      <c r="AP80" s="46"/>
    </row>
    <row r="81" spans="1:42" ht="15.5" x14ac:dyDescent="0.35">
      <c r="A81" s="138" t="s">
        <v>170</v>
      </c>
      <c r="B81" s="20">
        <v>6.0699999999999997E-2</v>
      </c>
      <c r="C81" s="21" t="s">
        <v>166</v>
      </c>
      <c r="E81" t="s">
        <v>168</v>
      </c>
      <c r="O81" s="48" t="s">
        <v>127</v>
      </c>
      <c r="P81" s="49"/>
      <c r="Q81" s="50"/>
      <c r="R81" s="50"/>
      <c r="S81" s="50"/>
      <c r="T81" s="50"/>
      <c r="U81" s="50"/>
      <c r="V81" s="50"/>
      <c r="W81" s="50"/>
      <c r="X81" s="50"/>
      <c r="Y81" s="50"/>
      <c r="Z81" s="50"/>
      <c r="AA81" s="50"/>
      <c r="AB81" s="50"/>
      <c r="AC81" s="50"/>
      <c r="AD81" s="50"/>
      <c r="AE81" s="50"/>
      <c r="AF81" s="50"/>
      <c r="AG81" s="50"/>
      <c r="AH81" s="50"/>
      <c r="AI81" s="50"/>
      <c r="AJ81" s="50"/>
      <c r="AK81" s="50"/>
      <c r="AL81" s="50"/>
      <c r="AM81" s="50"/>
      <c r="AN81" s="50"/>
      <c r="AO81" s="50"/>
      <c r="AP81" s="51"/>
    </row>
    <row r="82" spans="1:42" ht="15" thickBot="1" x14ac:dyDescent="0.4">
      <c r="A82" s="24" t="s">
        <v>169</v>
      </c>
      <c r="B82" s="25">
        <v>8.3699999999999997E-2</v>
      </c>
      <c r="C82" s="26" t="s">
        <v>166</v>
      </c>
      <c r="E82" t="s">
        <v>169</v>
      </c>
      <c r="O82" s="54" t="s">
        <v>128</v>
      </c>
      <c r="P82" s="163">
        <f>SUM(Q82:AP82)</f>
        <v>0</v>
      </c>
      <c r="Q82" s="56"/>
      <c r="R82" s="56"/>
      <c r="S82" s="56">
        <f t="shared" ref="S82:AP82" si="0">IF(S79&lt;=20,R82*(1+CPI),0)</f>
        <v>0</v>
      </c>
      <c r="T82" s="56">
        <f t="shared" si="0"/>
        <v>0</v>
      </c>
      <c r="U82" s="56">
        <f t="shared" si="0"/>
        <v>0</v>
      </c>
      <c r="V82" s="56">
        <f t="shared" si="0"/>
        <v>0</v>
      </c>
      <c r="W82" s="56">
        <f t="shared" si="0"/>
        <v>0</v>
      </c>
      <c r="X82" s="56">
        <f t="shared" si="0"/>
        <v>0</v>
      </c>
      <c r="Y82" s="56">
        <f t="shared" si="0"/>
        <v>0</v>
      </c>
      <c r="Z82" s="56">
        <f t="shared" si="0"/>
        <v>0</v>
      </c>
      <c r="AA82" s="56">
        <f t="shared" si="0"/>
        <v>0</v>
      </c>
      <c r="AB82" s="56">
        <f t="shared" si="0"/>
        <v>0</v>
      </c>
      <c r="AC82" s="56">
        <f t="shared" si="0"/>
        <v>0</v>
      </c>
      <c r="AD82" s="56">
        <f t="shared" si="0"/>
        <v>0</v>
      </c>
      <c r="AE82" s="56">
        <f t="shared" si="0"/>
        <v>0</v>
      </c>
      <c r="AF82" s="56">
        <f t="shared" si="0"/>
        <v>0</v>
      </c>
      <c r="AG82" s="56">
        <f t="shared" si="0"/>
        <v>0</v>
      </c>
      <c r="AH82" s="56">
        <f t="shared" si="0"/>
        <v>0</v>
      </c>
      <c r="AI82" s="56">
        <f t="shared" si="0"/>
        <v>0</v>
      </c>
      <c r="AJ82" s="56">
        <f t="shared" si="0"/>
        <v>0</v>
      </c>
      <c r="AK82" s="56">
        <f t="shared" si="0"/>
        <v>0</v>
      </c>
      <c r="AL82" s="56">
        <f>IF(AL79&lt;=20,AK82*(1+CPI),0)</f>
        <v>0</v>
      </c>
      <c r="AM82" s="56">
        <f t="shared" si="0"/>
        <v>0</v>
      </c>
      <c r="AN82" s="56">
        <f t="shared" si="0"/>
        <v>0</v>
      </c>
      <c r="AO82" s="56">
        <f t="shared" si="0"/>
        <v>0</v>
      </c>
      <c r="AP82" s="56">
        <f t="shared" si="0"/>
        <v>0</v>
      </c>
    </row>
    <row r="83" spans="1:42" x14ac:dyDescent="0.35">
      <c r="A83" s="138" t="s">
        <v>171</v>
      </c>
      <c r="B83" s="20" cm="1">
        <f t="array" ref="B83:B84">B81:B82*1.85</f>
        <v>0.11229500000000001</v>
      </c>
      <c r="C83" s="21" t="s">
        <v>166</v>
      </c>
      <c r="E83" s="5" t="s">
        <v>172</v>
      </c>
      <c r="O83" s="54" t="s">
        <v>129</v>
      </c>
      <c r="P83" s="163">
        <f>SUM(Q83:AP83)</f>
        <v>0</v>
      </c>
      <c r="Q83" s="56"/>
      <c r="R83" s="56"/>
      <c r="S83" s="56">
        <f t="shared" ref="S83:AP83" si="1">IF(S79&lt;=20,R83*(1+CPI),0)</f>
        <v>0</v>
      </c>
      <c r="T83" s="56">
        <f t="shared" si="1"/>
        <v>0</v>
      </c>
      <c r="U83" s="56">
        <f t="shared" si="1"/>
        <v>0</v>
      </c>
      <c r="V83" s="56">
        <f t="shared" si="1"/>
        <v>0</v>
      </c>
      <c r="W83" s="56">
        <f t="shared" si="1"/>
        <v>0</v>
      </c>
      <c r="X83" s="56">
        <f t="shared" si="1"/>
        <v>0</v>
      </c>
      <c r="Y83" s="56">
        <f t="shared" si="1"/>
        <v>0</v>
      </c>
      <c r="Z83" s="56">
        <f t="shared" si="1"/>
        <v>0</v>
      </c>
      <c r="AA83" s="56">
        <f t="shared" si="1"/>
        <v>0</v>
      </c>
      <c r="AB83" s="56">
        <f t="shared" si="1"/>
        <v>0</v>
      </c>
      <c r="AC83" s="56">
        <f t="shared" si="1"/>
        <v>0</v>
      </c>
      <c r="AD83" s="56">
        <f t="shared" si="1"/>
        <v>0</v>
      </c>
      <c r="AE83" s="56">
        <f t="shared" si="1"/>
        <v>0</v>
      </c>
      <c r="AF83" s="56">
        <f t="shared" si="1"/>
        <v>0</v>
      </c>
      <c r="AG83" s="56">
        <f t="shared" si="1"/>
        <v>0</v>
      </c>
      <c r="AH83" s="56">
        <f t="shared" si="1"/>
        <v>0</v>
      </c>
      <c r="AI83" s="56">
        <f t="shared" si="1"/>
        <v>0</v>
      </c>
      <c r="AJ83" s="56">
        <f t="shared" si="1"/>
        <v>0</v>
      </c>
      <c r="AK83" s="56">
        <f t="shared" si="1"/>
        <v>0</v>
      </c>
      <c r="AL83" s="56">
        <f t="shared" si="1"/>
        <v>0</v>
      </c>
      <c r="AM83" s="56">
        <f t="shared" si="1"/>
        <v>0</v>
      </c>
      <c r="AN83" s="56">
        <f t="shared" si="1"/>
        <v>0</v>
      </c>
      <c r="AO83" s="56">
        <f t="shared" si="1"/>
        <v>0</v>
      </c>
      <c r="AP83" s="56">
        <f t="shared" si="1"/>
        <v>0</v>
      </c>
    </row>
    <row r="84" spans="1:42" ht="15" thickBot="1" x14ac:dyDescent="0.4">
      <c r="A84" s="22"/>
      <c r="B84">
        <v>0.15484500000000001</v>
      </c>
      <c r="C84" s="26" t="s">
        <v>166</v>
      </c>
      <c r="O84" s="54" t="s">
        <v>231</v>
      </c>
      <c r="P84" s="163">
        <f>SUM(Q84:AP84)</f>
        <v>1063931.9764716856</v>
      </c>
      <c r="Q84" s="56"/>
      <c r="R84" s="56">
        <f>B38*(1+$B$54)</f>
        <v>20510.997499999998</v>
      </c>
      <c r="S84" s="56">
        <f t="shared" ref="S84:AP84" si="2">R84*(1+$B$50)</f>
        <v>21659.613359999999</v>
      </c>
      <c r="T84" s="56">
        <f t="shared" si="2"/>
        <v>22872.551708160001</v>
      </c>
      <c r="U84" s="56">
        <f t="shared" si="2"/>
        <v>24153.414603816964</v>
      </c>
      <c r="V84" s="56">
        <f t="shared" si="2"/>
        <v>25506.005821630715</v>
      </c>
      <c r="W84" s="56">
        <f t="shared" si="2"/>
        <v>26934.342147642037</v>
      </c>
      <c r="X84" s="56">
        <f t="shared" si="2"/>
        <v>28442.665307909992</v>
      </c>
      <c r="Y84" s="56">
        <f t="shared" si="2"/>
        <v>30035.454565152955</v>
      </c>
      <c r="Z84" s="56">
        <f t="shared" si="2"/>
        <v>31717.440020801521</v>
      </c>
      <c r="AA84" s="56">
        <f t="shared" si="2"/>
        <v>33493.616661966407</v>
      </c>
      <c r="AB84" s="56">
        <f t="shared" si="2"/>
        <v>35369.259195036531</v>
      </c>
      <c r="AC84" s="56">
        <f t="shared" si="2"/>
        <v>37349.937709958576</v>
      </c>
      <c r="AD84" s="56">
        <f t="shared" si="2"/>
        <v>39441.534221716262</v>
      </c>
      <c r="AE84" s="56">
        <f t="shared" si="2"/>
        <v>41650.260138132377</v>
      </c>
      <c r="AF84" s="56">
        <f t="shared" si="2"/>
        <v>43982.674705867794</v>
      </c>
      <c r="AG84" s="56">
        <f t="shared" si="2"/>
        <v>46445.70448939639</v>
      </c>
      <c r="AH84" s="56">
        <f t="shared" si="2"/>
        <v>49046.663940802588</v>
      </c>
      <c r="AI84" s="56">
        <f t="shared" si="2"/>
        <v>51793.277121487532</v>
      </c>
      <c r="AJ84" s="56">
        <f t="shared" si="2"/>
        <v>54693.700640290837</v>
      </c>
      <c r="AK84" s="56">
        <f t="shared" si="2"/>
        <v>57756.547876147124</v>
      </c>
      <c r="AL84" s="56">
        <f t="shared" si="2"/>
        <v>60990.914557211363</v>
      </c>
      <c r="AM84" s="56">
        <f t="shared" si="2"/>
        <v>64406.405772415201</v>
      </c>
      <c r="AN84" s="56">
        <f t="shared" si="2"/>
        <v>68013.164495670455</v>
      </c>
      <c r="AO84" s="56">
        <f t="shared" si="2"/>
        <v>71821.901707427998</v>
      </c>
      <c r="AP84" s="56">
        <f t="shared" si="2"/>
        <v>75843.928203043964</v>
      </c>
    </row>
    <row r="85" spans="1:42" ht="15" thickBot="1" x14ac:dyDescent="0.4">
      <c r="A85" s="24"/>
      <c r="B85" s="25"/>
      <c r="O85" s="57" t="s">
        <v>130</v>
      </c>
      <c r="P85" s="162"/>
      <c r="Q85" s="59">
        <f>SUM(Q82:Q84)</f>
        <v>0</v>
      </c>
      <c r="R85" s="59">
        <f t="shared" ref="R85:AP85" si="3">SUM(R82:R84)</f>
        <v>20510.997499999998</v>
      </c>
      <c r="S85" s="59">
        <f t="shared" si="3"/>
        <v>21659.613359999999</v>
      </c>
      <c r="T85" s="59">
        <f t="shared" si="3"/>
        <v>22872.551708160001</v>
      </c>
      <c r="U85" s="59">
        <f t="shared" si="3"/>
        <v>24153.414603816964</v>
      </c>
      <c r="V85" s="59">
        <f t="shared" si="3"/>
        <v>25506.005821630715</v>
      </c>
      <c r="W85" s="59">
        <f t="shared" si="3"/>
        <v>26934.342147642037</v>
      </c>
      <c r="X85" s="59">
        <f t="shared" si="3"/>
        <v>28442.665307909992</v>
      </c>
      <c r="Y85" s="59">
        <f t="shared" si="3"/>
        <v>30035.454565152955</v>
      </c>
      <c r="Z85" s="59">
        <f t="shared" si="3"/>
        <v>31717.440020801521</v>
      </c>
      <c r="AA85" s="59">
        <f t="shared" si="3"/>
        <v>33493.616661966407</v>
      </c>
      <c r="AB85" s="59">
        <f t="shared" si="3"/>
        <v>35369.259195036531</v>
      </c>
      <c r="AC85" s="59">
        <f t="shared" si="3"/>
        <v>37349.937709958576</v>
      </c>
      <c r="AD85" s="59">
        <f t="shared" si="3"/>
        <v>39441.534221716262</v>
      </c>
      <c r="AE85" s="59">
        <f t="shared" si="3"/>
        <v>41650.260138132377</v>
      </c>
      <c r="AF85" s="59">
        <f t="shared" si="3"/>
        <v>43982.674705867794</v>
      </c>
      <c r="AG85" s="59">
        <f t="shared" si="3"/>
        <v>46445.70448939639</v>
      </c>
      <c r="AH85" s="59">
        <f t="shared" si="3"/>
        <v>49046.663940802588</v>
      </c>
      <c r="AI85" s="59">
        <f t="shared" si="3"/>
        <v>51793.277121487532</v>
      </c>
      <c r="AJ85" s="59">
        <f t="shared" si="3"/>
        <v>54693.700640290837</v>
      </c>
      <c r="AK85" s="59">
        <f t="shared" si="3"/>
        <v>57756.547876147124</v>
      </c>
      <c r="AL85" s="59">
        <f t="shared" si="3"/>
        <v>60990.914557211363</v>
      </c>
      <c r="AM85" s="59">
        <f t="shared" si="3"/>
        <v>64406.405772415201</v>
      </c>
      <c r="AN85" s="59">
        <f t="shared" si="3"/>
        <v>68013.164495670455</v>
      </c>
      <c r="AO85" s="59">
        <f t="shared" si="3"/>
        <v>71821.901707427998</v>
      </c>
      <c r="AP85" s="59">
        <f t="shared" si="3"/>
        <v>75843.928203043964</v>
      </c>
    </row>
    <row r="86" spans="1:42" x14ac:dyDescent="0.35">
      <c r="B86"/>
      <c r="O86" s="60"/>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row>
    <row r="87" spans="1:42" ht="15.5" x14ac:dyDescent="0.35">
      <c r="B87"/>
      <c r="O87" s="48" t="s">
        <v>131</v>
      </c>
      <c r="P87" s="62"/>
      <c r="Q87" s="62"/>
      <c r="R87" s="62"/>
      <c r="S87" s="62"/>
      <c r="T87" s="62"/>
      <c r="U87" s="62"/>
      <c r="V87" s="62"/>
      <c r="W87" s="62"/>
      <c r="X87" s="62"/>
      <c r="Y87" s="62"/>
      <c r="Z87" s="62"/>
      <c r="AA87" s="62"/>
      <c r="AB87" s="62"/>
      <c r="AC87" s="62"/>
      <c r="AD87" s="62"/>
      <c r="AE87" s="62"/>
      <c r="AF87" s="62"/>
      <c r="AG87" s="62"/>
      <c r="AH87" s="62"/>
      <c r="AI87" s="62"/>
      <c r="AJ87" s="62"/>
      <c r="AK87" s="62"/>
      <c r="AL87" s="62"/>
      <c r="AM87" s="62"/>
      <c r="AN87" s="62"/>
      <c r="AO87" s="62"/>
      <c r="AP87" s="62"/>
    </row>
    <row r="88" spans="1:42" ht="15" thickBot="1" x14ac:dyDescent="0.4">
      <c r="B88"/>
      <c r="O88" s="101" t="s">
        <v>210</v>
      </c>
      <c r="P88" s="102"/>
      <c r="Q88" s="103">
        <f>-Optim!$AL$153*((1+$B$49)^$P$80)*(1+$B$48)*(1+$B$54)*(1+$B$46)</f>
        <v>-488635.91815828567</v>
      </c>
      <c r="R88" s="103"/>
      <c r="S88" s="103"/>
      <c r="T88" s="103"/>
      <c r="U88" s="103"/>
      <c r="V88" s="103"/>
      <c r="W88" s="103"/>
      <c r="X88" s="103"/>
      <c r="Y88" s="103"/>
      <c r="Z88" s="103"/>
      <c r="AA88" s="103"/>
      <c r="AB88" s="103"/>
      <c r="AC88" s="103"/>
      <c r="AD88" s="103"/>
      <c r="AE88" s="103"/>
      <c r="AF88" s="103"/>
      <c r="AG88" s="103"/>
      <c r="AH88" s="103"/>
      <c r="AI88" s="103"/>
      <c r="AJ88" s="103"/>
      <c r="AK88" s="103"/>
      <c r="AL88" s="103"/>
      <c r="AM88" s="103"/>
      <c r="AN88" s="103"/>
      <c r="AO88" s="103"/>
      <c r="AP88" s="103"/>
    </row>
    <row r="89" spans="1:42" ht="15" thickBot="1" x14ac:dyDescent="0.4">
      <c r="A89" s="136" t="s">
        <v>179</v>
      </c>
      <c r="B89" s="150">
        <f>(MIN(B77:B85)*B74)/B75</f>
        <v>0.50309462557721485</v>
      </c>
      <c r="C89" s="149" t="s">
        <v>175</v>
      </c>
      <c r="D89" s="32"/>
      <c r="O89" s="104" t="s">
        <v>209</v>
      </c>
      <c r="P89" s="105"/>
      <c r="Q89" s="106"/>
      <c r="R89" s="106"/>
      <c r="S89" s="106"/>
      <c r="T89" s="106"/>
      <c r="U89" s="106"/>
      <c r="V89" s="106"/>
      <c r="W89" s="106"/>
      <c r="X89" s="106"/>
      <c r="Y89" s="106"/>
      <c r="Z89" s="106"/>
      <c r="AA89" s="106"/>
      <c r="AB89" s="106"/>
      <c r="AC89" s="106"/>
      <c r="AD89" s="106"/>
      <c r="AE89" s="106"/>
      <c r="AF89" s="106"/>
      <c r="AG89" s="106"/>
      <c r="AH89" s="106"/>
      <c r="AI89" s="106"/>
      <c r="AJ89" s="106"/>
      <c r="AK89" s="106"/>
      <c r="AL89" s="106"/>
      <c r="AM89" s="106"/>
      <c r="AN89" s="106"/>
      <c r="AO89" s="106"/>
      <c r="AP89" s="106"/>
    </row>
    <row r="90" spans="1:42" ht="15" thickBot="1" x14ac:dyDescent="0.4">
      <c r="A90" s="136" t="s">
        <v>180</v>
      </c>
      <c r="B90" s="150">
        <f>MAX(B77:B87)/B75</f>
        <v>1.8298655587010109</v>
      </c>
      <c r="C90" s="149" t="s">
        <v>175</v>
      </c>
      <c r="D90" s="32"/>
      <c r="O90" s="107" t="s">
        <v>230</v>
      </c>
      <c r="P90" s="105"/>
      <c r="Q90" s="106"/>
      <c r="R90" s="106">
        <f>-B37*(1+$B$54)*((1+$B$49)^$P$80)</f>
        <v>-5507.5345203853294</v>
      </c>
      <c r="S90" s="106">
        <f>R90*(1+$B$50)</f>
        <v>-5815.9564535269083</v>
      </c>
      <c r="T90" s="106">
        <f t="shared" ref="T90:AO90" si="4">S90*(1+$B$50)</f>
        <v>-6141.6500149244157</v>
      </c>
      <c r="U90" s="106">
        <f t="shared" si="4"/>
        <v>-6485.5824157601837</v>
      </c>
      <c r="V90" s="106">
        <f t="shared" si="4"/>
        <v>-6848.7750310427546</v>
      </c>
      <c r="W90" s="106">
        <f t="shared" si="4"/>
        <v>-7232.3064327811489</v>
      </c>
      <c r="X90" s="106">
        <f t="shared" si="4"/>
        <v>-7637.3155930168932</v>
      </c>
      <c r="Y90" s="106">
        <f t="shared" si="4"/>
        <v>-8065.0052662258395</v>
      </c>
      <c r="Z90" s="106">
        <f t="shared" si="4"/>
        <v>-8516.6455611344863</v>
      </c>
      <c r="AA90" s="106">
        <f t="shared" si="4"/>
        <v>-8993.5777125580189</v>
      </c>
      <c r="AB90" s="106">
        <f t="shared" si="4"/>
        <v>-9497.218064461269</v>
      </c>
      <c r="AC90" s="106">
        <f t="shared" si="4"/>
        <v>-10029.062276071101</v>
      </c>
      <c r="AD90" s="106">
        <f t="shared" si="4"/>
        <v>-10590.689763531083</v>
      </c>
      <c r="AE90" s="106">
        <f t="shared" si="4"/>
        <v>-11183.768390288824</v>
      </c>
      <c r="AF90" s="106">
        <f t="shared" si="4"/>
        <v>-11810.059420144999</v>
      </c>
      <c r="AG90" s="106">
        <f t="shared" si="4"/>
        <v>-12471.422747673119</v>
      </c>
      <c r="AH90" s="106">
        <f t="shared" si="4"/>
        <v>-13169.822421542814</v>
      </c>
      <c r="AI90" s="106">
        <f t="shared" si="4"/>
        <v>-13907.332477149213</v>
      </c>
      <c r="AJ90" s="106">
        <f t="shared" si="4"/>
        <v>-14686.143095869571</v>
      </c>
      <c r="AK90" s="106">
        <f t="shared" si="4"/>
        <v>-15508.567109238267</v>
      </c>
      <c r="AL90" s="106">
        <f t="shared" si="4"/>
        <v>-16377.046867355612</v>
      </c>
      <c r="AM90" s="106">
        <f t="shared" si="4"/>
        <v>-17294.161491927527</v>
      </c>
      <c r="AN90" s="106">
        <f t="shared" si="4"/>
        <v>-18262.63453547547</v>
      </c>
      <c r="AO90" s="106">
        <f t="shared" si="4"/>
        <v>-19285.342069462098</v>
      </c>
      <c r="AP90" s="106">
        <f>AO90*(1+$B$50)</f>
        <v>-20365.321225351978</v>
      </c>
    </row>
    <row r="91" spans="1:42" ht="15" thickBot="1" x14ac:dyDescent="0.4">
      <c r="B91" s="32"/>
      <c r="C91" s="32"/>
      <c r="D91" s="32"/>
      <c r="O91" s="107" t="s">
        <v>155</v>
      </c>
      <c r="P91" s="106"/>
      <c r="Q91" s="106"/>
      <c r="R91" s="106">
        <f>-B102*(1+$B$54)*((1+$B$49)^$P$80)</f>
        <v>-8731.7681213077922</v>
      </c>
      <c r="S91" s="106">
        <f>R91*(1+$B$49)</f>
        <v>-8950.0623243404862</v>
      </c>
      <c r="T91" s="106">
        <f t="shared" ref="T91:AP91" si="5">S91*(1+$B$49)</f>
        <v>-9173.8138824489979</v>
      </c>
      <c r="U91" s="106">
        <f t="shared" si="5"/>
        <v>-9403.1592295102218</v>
      </c>
      <c r="V91" s="106">
        <f t="shared" si="5"/>
        <v>-9638.2382102479769</v>
      </c>
      <c r="W91" s="106">
        <f t="shared" si="5"/>
        <v>-9879.1941655041755</v>
      </c>
      <c r="X91" s="106">
        <f t="shared" si="5"/>
        <v>-10126.17401964178</v>
      </c>
      <c r="Y91" s="106">
        <f t="shared" si="5"/>
        <v>-10379.328370132824</v>
      </c>
      <c r="Z91" s="106">
        <f t="shared" si="5"/>
        <v>-10638.811579386143</v>
      </c>
      <c r="AA91" s="106">
        <f t="shared" si="5"/>
        <v>-10904.781868870796</v>
      </c>
      <c r="AB91" s="106">
        <f t="shared" si="5"/>
        <v>-11177.401415592565</v>
      </c>
      <c r="AC91" s="106">
        <f t="shared" si="5"/>
        <v>-11456.836450982379</v>
      </c>
      <c r="AD91" s="106">
        <f t="shared" si="5"/>
        <v>-11743.257362256938</v>
      </c>
      <c r="AE91" s="106">
        <f t="shared" si="5"/>
        <v>-12036.838796313361</v>
      </c>
      <c r="AF91" s="106">
        <f t="shared" si="5"/>
        <v>-12337.759766221194</v>
      </c>
      <c r="AG91" s="106">
        <f t="shared" si="5"/>
        <v>-12646.203760376722</v>
      </c>
      <c r="AH91" s="106">
        <f t="shared" si="5"/>
        <v>-12962.358854386139</v>
      </c>
      <c r="AI91" s="106">
        <f t="shared" si="5"/>
        <v>-13286.417825745792</v>
      </c>
      <c r="AJ91" s="106">
        <f t="shared" si="5"/>
        <v>-13618.578271389435</v>
      </c>
      <c r="AK91" s="106">
        <f t="shared" si="5"/>
        <v>-13959.04272817417</v>
      </c>
      <c r="AL91" s="106">
        <f>AK91*(1+$B$49)</f>
        <v>-14308.018796378523</v>
      </c>
      <c r="AM91" s="106">
        <f t="shared" si="5"/>
        <v>-14665.719266287984</v>
      </c>
      <c r="AN91" s="106">
        <f t="shared" si="5"/>
        <v>-15032.362247945182</v>
      </c>
      <c r="AO91" s="106">
        <f t="shared" si="5"/>
        <v>-15408.171304143811</v>
      </c>
      <c r="AP91" s="106">
        <f t="shared" si="5"/>
        <v>-15793.375586747405</v>
      </c>
    </row>
    <row r="92" spans="1:42" ht="15" thickBot="1" x14ac:dyDescent="0.4">
      <c r="A92" s="136" t="s">
        <v>176</v>
      </c>
      <c r="B92" s="151">
        <v>58.705882352941174</v>
      </c>
      <c r="C92" s="149" t="s">
        <v>177</v>
      </c>
      <c r="D92" s="32"/>
      <c r="O92" s="107" t="s">
        <v>157</v>
      </c>
      <c r="P92" s="106"/>
      <c r="Q92" s="106"/>
      <c r="R92" s="108"/>
      <c r="S92" s="106"/>
      <c r="T92" s="106"/>
      <c r="U92" s="106"/>
      <c r="V92" s="106"/>
      <c r="W92" s="106"/>
      <c r="X92" s="106"/>
      <c r="Y92" s="106"/>
      <c r="Z92" s="106"/>
      <c r="AA92" s="106"/>
      <c r="AB92" s="106"/>
      <c r="AC92" s="106"/>
      <c r="AD92" s="106"/>
      <c r="AE92" s="106"/>
      <c r="AF92" s="106"/>
      <c r="AG92" s="106"/>
      <c r="AH92" s="106"/>
      <c r="AI92" s="106"/>
      <c r="AJ92" s="106"/>
      <c r="AK92" s="106"/>
      <c r="AL92" s="106"/>
      <c r="AM92" s="106"/>
      <c r="AN92" s="106"/>
      <c r="AO92" s="106"/>
      <c r="AP92" s="106"/>
    </row>
    <row r="93" spans="1:42" ht="15" thickBot="1" x14ac:dyDescent="0.4">
      <c r="A93" s="136" t="s">
        <v>178</v>
      </c>
      <c r="B93" s="152">
        <v>98</v>
      </c>
      <c r="C93" s="32"/>
      <c r="D93" s="32"/>
      <c r="O93" s="107" t="s">
        <v>156</v>
      </c>
      <c r="P93" s="106"/>
      <c r="Q93" s="106"/>
      <c r="R93" s="106"/>
      <c r="S93" s="106"/>
      <c r="T93" s="106"/>
      <c r="U93" s="106"/>
      <c r="V93" s="106"/>
      <c r="W93" s="106"/>
      <c r="X93" s="106"/>
      <c r="Y93" s="106"/>
      <c r="Z93" s="106"/>
      <c r="AA93" s="106"/>
      <c r="AB93" s="106"/>
      <c r="AC93" s="106"/>
      <c r="AD93" s="106"/>
      <c r="AE93" s="106"/>
      <c r="AF93" s="106"/>
      <c r="AG93" s="106"/>
      <c r="AH93" s="106"/>
      <c r="AI93" s="106"/>
      <c r="AJ93" s="106"/>
      <c r="AK93" s="106"/>
      <c r="AL93" s="106"/>
      <c r="AM93" s="106"/>
      <c r="AN93" s="106"/>
      <c r="AO93" s="106"/>
      <c r="AP93" s="106"/>
    </row>
    <row r="94" spans="1:42" x14ac:dyDescent="0.35">
      <c r="B94" s="32"/>
      <c r="C94" s="32"/>
      <c r="D94" s="32"/>
      <c r="O94" s="104" t="s">
        <v>201</v>
      </c>
      <c r="P94" s="106"/>
      <c r="Q94" s="106">
        <f>-$B$13*((1+$B$49)^$P$80)*(1+$B$54)*(1+$B$46)</f>
        <v>-1027470.5538960074</v>
      </c>
      <c r="R94" s="106"/>
      <c r="S94" s="106"/>
      <c r="T94" s="106"/>
      <c r="U94" s="106"/>
      <c r="V94" s="106"/>
      <c r="W94" s="106"/>
      <c r="X94" s="106"/>
      <c r="Y94" s="106"/>
      <c r="Z94" s="106"/>
      <c r="AA94" s="106"/>
      <c r="AB94" s="106"/>
      <c r="AC94" s="106"/>
      <c r="AD94" s="106"/>
      <c r="AE94" s="106"/>
      <c r="AF94" s="106"/>
      <c r="AG94" s="106"/>
      <c r="AH94" s="106"/>
      <c r="AI94" s="106"/>
      <c r="AJ94" s="106"/>
      <c r="AK94" s="106"/>
      <c r="AL94" s="106"/>
      <c r="AM94" s="106"/>
      <c r="AN94" s="106"/>
      <c r="AO94" s="106"/>
      <c r="AP94" s="106"/>
    </row>
    <row r="95" spans="1:42" x14ac:dyDescent="0.35">
      <c r="B95" s="32"/>
      <c r="C95" s="32"/>
      <c r="D95" s="32"/>
      <c r="O95" s="104" t="s">
        <v>256</v>
      </c>
      <c r="P95" s="106"/>
      <c r="Q95" s="106"/>
      <c r="R95" s="106">
        <f>-$B$22*(1+$B$54)*((1+$B$49)^$P$80)</f>
        <v>-12720.133580333519</v>
      </c>
      <c r="S95" s="106">
        <f>R95*(1+$B$49)</f>
        <v>-13038.136919841856</v>
      </c>
      <c r="T95" s="106">
        <f t="shared" ref="T95:AP95" si="6">S95*(1+$B$49)</f>
        <v>-13364.090342837901</v>
      </c>
      <c r="U95" s="106">
        <f t="shared" si="6"/>
        <v>-13698.192601408848</v>
      </c>
      <c r="V95" s="106">
        <f t="shared" si="6"/>
        <v>-14040.647416444068</v>
      </c>
      <c r="W95" s="106">
        <f t="shared" si="6"/>
        <v>-14391.663601855169</v>
      </c>
      <c r="X95" s="106">
        <f t="shared" si="6"/>
        <v>-14751.455191901547</v>
      </c>
      <c r="Y95" s="106">
        <f t="shared" si="6"/>
        <v>-15120.241571699084</v>
      </c>
      <c r="Z95" s="106">
        <f t="shared" si="6"/>
        <v>-15498.247610991559</v>
      </c>
      <c r="AA95" s="106">
        <f t="shared" si="6"/>
        <v>-15885.703801266347</v>
      </c>
      <c r="AB95" s="106">
        <f t="shared" si="6"/>
        <v>-16282.846396298004</v>
      </c>
      <c r="AC95" s="106">
        <f t="shared" si="6"/>
        <v>-16689.917556205452</v>
      </c>
      <c r="AD95" s="106">
        <f t="shared" si="6"/>
        <v>-17107.165495110585</v>
      </c>
      <c r="AE95" s="106">
        <f t="shared" si="6"/>
        <v>-17534.844632488348</v>
      </c>
      <c r="AF95" s="106">
        <f t="shared" si="6"/>
        <v>-17973.215748300554</v>
      </c>
      <c r="AG95" s="106">
        <f t="shared" si="6"/>
        <v>-18422.546142008065</v>
      </c>
      <c r="AH95" s="106">
        <f t="shared" si="6"/>
        <v>-18883.109795558266</v>
      </c>
      <c r="AI95" s="106">
        <f t="shared" si="6"/>
        <v>-19355.187540447223</v>
      </c>
      <c r="AJ95" s="106">
        <f t="shared" si="6"/>
        <v>-19839.067228958404</v>
      </c>
      <c r="AK95" s="106">
        <f t="shared" si="6"/>
        <v>-20335.043909682361</v>
      </c>
      <c r="AL95" s="106">
        <f t="shared" si="6"/>
        <v>-20843.420007424418</v>
      </c>
      <c r="AM95" s="106">
        <f t="shared" si="6"/>
        <v>-21364.505507610025</v>
      </c>
      <c r="AN95" s="106">
        <f t="shared" si="6"/>
        <v>-21898.618145300276</v>
      </c>
      <c r="AO95" s="106">
        <f t="shared" si="6"/>
        <v>-22446.083598932779</v>
      </c>
      <c r="AP95" s="106">
        <f t="shared" si="6"/>
        <v>-23007.235688906097</v>
      </c>
    </row>
    <row r="96" spans="1:42" x14ac:dyDescent="0.35">
      <c r="B96" s="32"/>
      <c r="C96" s="32"/>
      <c r="D96" s="32"/>
      <c r="O96" s="99" t="s">
        <v>208</v>
      </c>
      <c r="P96" s="100"/>
      <c r="Q96" s="100"/>
      <c r="R96" s="100">
        <f t="shared" ref="R96:AP96" si="7">$Q$88/$B$6</f>
        <v>-19545.436726331427</v>
      </c>
      <c r="S96" s="100">
        <f t="shared" si="7"/>
        <v>-19545.436726331427</v>
      </c>
      <c r="T96" s="100">
        <f t="shared" si="7"/>
        <v>-19545.436726331427</v>
      </c>
      <c r="U96" s="100">
        <f t="shared" si="7"/>
        <v>-19545.436726331427</v>
      </c>
      <c r="V96" s="100">
        <f t="shared" si="7"/>
        <v>-19545.436726331427</v>
      </c>
      <c r="W96" s="100">
        <f t="shared" si="7"/>
        <v>-19545.436726331427</v>
      </c>
      <c r="X96" s="100">
        <f t="shared" si="7"/>
        <v>-19545.436726331427</v>
      </c>
      <c r="Y96" s="100">
        <f t="shared" si="7"/>
        <v>-19545.436726331427</v>
      </c>
      <c r="Z96" s="100">
        <f t="shared" si="7"/>
        <v>-19545.436726331427</v>
      </c>
      <c r="AA96" s="100">
        <f t="shared" si="7"/>
        <v>-19545.436726331427</v>
      </c>
      <c r="AB96" s="100">
        <f t="shared" si="7"/>
        <v>-19545.436726331427</v>
      </c>
      <c r="AC96" s="100">
        <f t="shared" si="7"/>
        <v>-19545.436726331427</v>
      </c>
      <c r="AD96" s="100">
        <f t="shared" si="7"/>
        <v>-19545.436726331427</v>
      </c>
      <c r="AE96" s="100">
        <f t="shared" si="7"/>
        <v>-19545.436726331427</v>
      </c>
      <c r="AF96" s="100">
        <f t="shared" si="7"/>
        <v>-19545.436726331427</v>
      </c>
      <c r="AG96" s="100">
        <f t="shared" si="7"/>
        <v>-19545.436726331427</v>
      </c>
      <c r="AH96" s="100">
        <f t="shared" si="7"/>
        <v>-19545.436726331427</v>
      </c>
      <c r="AI96" s="100">
        <f t="shared" si="7"/>
        <v>-19545.436726331427</v>
      </c>
      <c r="AJ96" s="100">
        <f t="shared" si="7"/>
        <v>-19545.436726331427</v>
      </c>
      <c r="AK96" s="100">
        <f t="shared" si="7"/>
        <v>-19545.436726331427</v>
      </c>
      <c r="AL96" s="100">
        <f t="shared" si="7"/>
        <v>-19545.436726331427</v>
      </c>
      <c r="AM96" s="100">
        <f t="shared" si="7"/>
        <v>-19545.436726331427</v>
      </c>
      <c r="AN96" s="100">
        <f t="shared" si="7"/>
        <v>-19545.436726331427</v>
      </c>
      <c r="AO96" s="100">
        <f t="shared" si="7"/>
        <v>-19545.436726331427</v>
      </c>
      <c r="AP96" s="100">
        <f t="shared" si="7"/>
        <v>-19545.436726331427</v>
      </c>
    </row>
    <row r="97" spans="1:42" ht="15" thickBot="1" x14ac:dyDescent="0.4">
      <c r="B97" s="32"/>
      <c r="C97" s="32"/>
      <c r="D97" s="32"/>
      <c r="O97" s="99" t="s">
        <v>207</v>
      </c>
      <c r="P97" s="100"/>
      <c r="Q97" s="100"/>
      <c r="R97" s="100">
        <f t="shared" ref="R97:AP97" si="8">$Q$94/$B$6</f>
        <v>-41098.822155840295</v>
      </c>
      <c r="S97" s="100">
        <f t="shared" si="8"/>
        <v>-41098.822155840295</v>
      </c>
      <c r="T97" s="100">
        <f t="shared" si="8"/>
        <v>-41098.822155840295</v>
      </c>
      <c r="U97" s="100">
        <f t="shared" si="8"/>
        <v>-41098.822155840295</v>
      </c>
      <c r="V97" s="100">
        <f t="shared" si="8"/>
        <v>-41098.822155840295</v>
      </c>
      <c r="W97" s="100">
        <f t="shared" si="8"/>
        <v>-41098.822155840295</v>
      </c>
      <c r="X97" s="100">
        <f t="shared" si="8"/>
        <v>-41098.822155840295</v>
      </c>
      <c r="Y97" s="100">
        <f t="shared" si="8"/>
        <v>-41098.822155840295</v>
      </c>
      <c r="Z97" s="100">
        <f t="shared" si="8"/>
        <v>-41098.822155840295</v>
      </c>
      <c r="AA97" s="100">
        <f t="shared" si="8"/>
        <v>-41098.822155840295</v>
      </c>
      <c r="AB97" s="100">
        <f t="shared" si="8"/>
        <v>-41098.822155840295</v>
      </c>
      <c r="AC97" s="100">
        <f t="shared" si="8"/>
        <v>-41098.822155840295</v>
      </c>
      <c r="AD97" s="100">
        <f t="shared" si="8"/>
        <v>-41098.822155840295</v>
      </c>
      <c r="AE97" s="100">
        <f t="shared" si="8"/>
        <v>-41098.822155840295</v>
      </c>
      <c r="AF97" s="100">
        <f t="shared" si="8"/>
        <v>-41098.822155840295</v>
      </c>
      <c r="AG97" s="100">
        <f t="shared" si="8"/>
        <v>-41098.822155840295</v>
      </c>
      <c r="AH97" s="100">
        <f t="shared" si="8"/>
        <v>-41098.822155840295</v>
      </c>
      <c r="AI97" s="100">
        <f t="shared" si="8"/>
        <v>-41098.822155840295</v>
      </c>
      <c r="AJ97" s="100">
        <f t="shared" si="8"/>
        <v>-41098.822155840295</v>
      </c>
      <c r="AK97" s="100">
        <f t="shared" si="8"/>
        <v>-41098.822155840295</v>
      </c>
      <c r="AL97" s="100">
        <f t="shared" si="8"/>
        <v>-41098.822155840295</v>
      </c>
      <c r="AM97" s="100">
        <f t="shared" si="8"/>
        <v>-41098.822155840295</v>
      </c>
      <c r="AN97" s="100">
        <f t="shared" si="8"/>
        <v>-41098.822155840295</v>
      </c>
      <c r="AO97" s="100">
        <f t="shared" si="8"/>
        <v>-41098.822155840295</v>
      </c>
      <c r="AP97" s="100">
        <f t="shared" si="8"/>
        <v>-41098.822155840295</v>
      </c>
    </row>
    <row r="98" spans="1:42" x14ac:dyDescent="0.35">
      <c r="A98" s="138" t="s">
        <v>181</v>
      </c>
      <c r="B98" s="153" cm="1">
        <f t="array" ref="B98:B99">B89:B90*B92*B93</f>
        <v>2894.3921623502306</v>
      </c>
      <c r="C98" s="7"/>
      <c r="D98" s="7"/>
      <c r="O98" s="57" t="s">
        <v>211</v>
      </c>
      <c r="P98" s="64"/>
      <c r="Q98" s="59">
        <f>SUM(Q88:Q95)</f>
        <v>-1516106.4720542929</v>
      </c>
      <c r="R98" s="59">
        <f>SUM(R88:R95)</f>
        <v>-26959.436222026641</v>
      </c>
      <c r="S98" s="59">
        <f t="shared" ref="S98:AP98" si="9">SUM(S88:S95)</f>
        <v>-27804.155697709248</v>
      </c>
      <c r="T98" s="59">
        <f>SUM(T88:T95)</f>
        <v>-28679.554240211313</v>
      </c>
      <c r="U98" s="59">
        <f t="shared" si="9"/>
        <v>-29586.934246679251</v>
      </c>
      <c r="V98" s="59">
        <f t="shared" si="9"/>
        <v>-30527.660657734799</v>
      </c>
      <c r="W98" s="59">
        <f t="shared" si="9"/>
        <v>-31503.164200140494</v>
      </c>
      <c r="X98" s="59">
        <f t="shared" si="9"/>
        <v>-32514.944804560218</v>
      </c>
      <c r="Y98" s="59">
        <f t="shared" si="9"/>
        <v>-33564.575208057751</v>
      </c>
      <c r="Z98" s="59">
        <f t="shared" si="9"/>
        <v>-34653.704751512189</v>
      </c>
      <c r="AA98" s="59">
        <f t="shared" si="9"/>
        <v>-35784.06338269516</v>
      </c>
      <c r="AB98" s="59">
        <f t="shared" si="9"/>
        <v>-36957.465876351838</v>
      </c>
      <c r="AC98" s="59">
        <f>SUM(AC88:AC95)</f>
        <v>-38175.81628325893</v>
      </c>
      <c r="AD98" s="59">
        <f t="shared" si="9"/>
        <v>-39441.11262089861</v>
      </c>
      <c r="AE98" s="59">
        <f t="shared" si="9"/>
        <v>-40755.451819090536</v>
      </c>
      <c r="AF98" s="59">
        <f t="shared" si="9"/>
        <v>-42121.03493466675</v>
      </c>
      <c r="AG98" s="59">
        <f t="shared" si="9"/>
        <v>-43540.17265005791</v>
      </c>
      <c r="AH98" s="59">
        <f t="shared" si="9"/>
        <v>-45015.29107148722</v>
      </c>
      <c r="AI98" s="59">
        <f t="shared" si="9"/>
        <v>-46548.937843342224</v>
      </c>
      <c r="AJ98" s="59">
        <f t="shared" si="9"/>
        <v>-48143.788596217411</v>
      </c>
      <c r="AK98" s="59">
        <f t="shared" si="9"/>
        <v>-49802.653747094795</v>
      </c>
      <c r="AL98" s="59">
        <f t="shared" si="9"/>
        <v>-51528.485671158553</v>
      </c>
      <c r="AM98" s="59">
        <f t="shared" si="9"/>
        <v>-53324.386265825538</v>
      </c>
      <c r="AN98" s="59">
        <f t="shared" si="9"/>
        <v>-55193.614928720926</v>
      </c>
      <c r="AO98" s="59">
        <f t="shared" si="9"/>
        <v>-57139.596972538682</v>
      </c>
      <c r="AP98" s="59">
        <f t="shared" si="9"/>
        <v>-59165.932501005482</v>
      </c>
    </row>
    <row r="99" spans="1:42" ht="15" thickBot="1" x14ac:dyDescent="0.4">
      <c r="A99" s="24"/>
      <c r="B99" s="154">
        <v>10527.53947665845</v>
      </c>
      <c r="C99" s="7"/>
      <c r="D99" s="7"/>
      <c r="O99" s="96" t="s">
        <v>212</v>
      </c>
      <c r="P99" s="97"/>
      <c r="Q99" s="98">
        <f>SUM(Q96:Q97)</f>
        <v>0</v>
      </c>
      <c r="R99" s="98">
        <f>SUM(R88:R97)</f>
        <v>-87603.695104198356</v>
      </c>
      <c r="S99" s="98">
        <f>SUM(S88:S97)</f>
        <v>-88448.414579880977</v>
      </c>
      <c r="T99" s="98">
        <f t="shared" ref="T99:AP99" si="10">SUM(T88:T97)</f>
        <v>-89323.813122383028</v>
      </c>
      <c r="U99" s="98">
        <f t="shared" si="10"/>
        <v>-90231.19312885098</v>
      </c>
      <c r="V99" s="98">
        <f t="shared" si="10"/>
        <v>-91171.919539906521</v>
      </c>
      <c r="W99" s="98">
        <f t="shared" si="10"/>
        <v>-92147.42308231222</v>
      </c>
      <c r="X99" s="98">
        <f t="shared" si="10"/>
        <v>-93159.20368673194</v>
      </c>
      <c r="Y99" s="98">
        <f t="shared" si="10"/>
        <v>-94208.834090229473</v>
      </c>
      <c r="Z99" s="98">
        <f t="shared" si="10"/>
        <v>-95297.963633683918</v>
      </c>
      <c r="AA99" s="98">
        <f t="shared" si="10"/>
        <v>-96428.322264866874</v>
      </c>
      <c r="AB99" s="98">
        <f t="shared" si="10"/>
        <v>-97601.72475852356</v>
      </c>
      <c r="AC99" s="98">
        <f t="shared" si="10"/>
        <v>-98820.075165430651</v>
      </c>
      <c r="AD99" s="98">
        <f t="shared" si="10"/>
        <v>-100085.37150307033</v>
      </c>
      <c r="AE99" s="98">
        <f t="shared" si="10"/>
        <v>-101399.71070126226</v>
      </c>
      <c r="AF99" s="98">
        <f t="shared" si="10"/>
        <v>-102765.29381683847</v>
      </c>
      <c r="AG99" s="98">
        <f t="shared" si="10"/>
        <v>-104184.43153222963</v>
      </c>
      <c r="AH99" s="98">
        <f t="shared" si="10"/>
        <v>-105659.54995365895</v>
      </c>
      <c r="AI99" s="98">
        <f t="shared" si="10"/>
        <v>-107193.19672551393</v>
      </c>
      <c r="AJ99" s="98">
        <f t="shared" si="10"/>
        <v>-108788.04747838914</v>
      </c>
      <c r="AK99" s="98">
        <f t="shared" si="10"/>
        <v>-110446.9126292665</v>
      </c>
      <c r="AL99" s="98">
        <f t="shared" si="10"/>
        <v>-112172.74455333027</v>
      </c>
      <c r="AM99" s="98">
        <f t="shared" si="10"/>
        <v>-113968.64514799725</v>
      </c>
      <c r="AN99" s="98">
        <f t="shared" si="10"/>
        <v>-115837.87381089263</v>
      </c>
      <c r="AO99" s="98">
        <f t="shared" si="10"/>
        <v>-117783.85585471039</v>
      </c>
      <c r="AP99" s="98">
        <f t="shared" si="10"/>
        <v>-119810.19138317721</v>
      </c>
    </row>
    <row r="100" spans="1:42" x14ac:dyDescent="0.35">
      <c r="B100" s="32"/>
      <c r="C100" s="7"/>
      <c r="D100" s="7"/>
      <c r="O100" s="60"/>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row>
    <row r="101" spans="1:42" ht="16" thickBot="1" x14ac:dyDescent="0.4">
      <c r="C101" s="7"/>
      <c r="D101" s="7"/>
      <c r="O101" s="48" t="s">
        <v>132</v>
      </c>
      <c r="P101" s="49"/>
      <c r="Q101" s="50"/>
      <c r="R101" s="50"/>
      <c r="S101" s="50"/>
      <c r="T101" s="50"/>
      <c r="U101" s="50"/>
      <c r="V101" s="50"/>
      <c r="W101" s="50"/>
      <c r="X101" s="50"/>
      <c r="Y101" s="50"/>
      <c r="Z101" s="50"/>
      <c r="AA101" s="50"/>
      <c r="AB101" s="50"/>
      <c r="AC101" s="50"/>
      <c r="AD101" s="50"/>
      <c r="AE101" s="50"/>
      <c r="AF101" s="50"/>
      <c r="AG101" s="50"/>
      <c r="AH101" s="50"/>
      <c r="AI101" s="50"/>
      <c r="AJ101" s="50"/>
      <c r="AK101" s="50"/>
      <c r="AL101" s="50"/>
      <c r="AM101" s="50"/>
      <c r="AN101" s="50"/>
      <c r="AO101" s="50"/>
      <c r="AP101" s="50"/>
    </row>
    <row r="102" spans="1:42" ht="15" thickBot="1" x14ac:dyDescent="0.4">
      <c r="A102" s="136" t="s">
        <v>182</v>
      </c>
      <c r="B102" s="149">
        <f>AVERAGE(_xlfn.ANCHORARRAY(B98))</f>
        <v>6710.9658195043403</v>
      </c>
      <c r="O102" s="95"/>
      <c r="P102" s="52"/>
      <c r="Q102" s="53"/>
      <c r="R102" s="53"/>
      <c r="S102" s="53"/>
      <c r="T102" s="53"/>
      <c r="U102" s="53"/>
      <c r="V102" s="53"/>
      <c r="W102" s="53"/>
      <c r="X102" s="53"/>
      <c r="Y102" s="53"/>
      <c r="Z102" s="53"/>
      <c r="AA102" s="53"/>
      <c r="AB102" s="53"/>
      <c r="AC102" s="53"/>
      <c r="AD102" s="53"/>
      <c r="AE102" s="53"/>
      <c r="AF102" s="53"/>
      <c r="AG102" s="53"/>
      <c r="AH102" s="53"/>
      <c r="AI102" s="53"/>
      <c r="AJ102" s="53"/>
      <c r="AK102" s="53"/>
      <c r="AL102" s="53"/>
      <c r="AM102" s="53"/>
      <c r="AN102" s="53"/>
      <c r="AO102" s="53"/>
      <c r="AP102" s="53"/>
    </row>
    <row r="103" spans="1:42" ht="15" thickBot="1" x14ac:dyDescent="0.4">
      <c r="B103"/>
      <c r="O103" s="94" t="s">
        <v>200</v>
      </c>
      <c r="P103" s="55"/>
      <c r="Q103" s="56"/>
      <c r="R103" s="65"/>
      <c r="S103" s="53"/>
      <c r="T103" s="53"/>
      <c r="U103" s="53"/>
      <c r="V103" s="53"/>
      <c r="W103" s="53"/>
      <c r="X103" s="53"/>
      <c r="Y103" s="53"/>
      <c r="Z103" s="53"/>
      <c r="AA103" s="53"/>
      <c r="AB103" s="53"/>
      <c r="AC103" s="53"/>
      <c r="AD103" s="53"/>
      <c r="AE103" s="53"/>
      <c r="AF103" s="53"/>
      <c r="AG103" s="53"/>
      <c r="AH103" s="53"/>
      <c r="AI103" s="53"/>
      <c r="AJ103" s="53"/>
      <c r="AK103" s="53"/>
      <c r="AL103" s="53"/>
      <c r="AM103" s="53"/>
      <c r="AN103" s="53"/>
      <c r="AO103" s="53"/>
      <c r="AP103" s="53"/>
    </row>
    <row r="104" spans="1:42" ht="15" thickBot="1" x14ac:dyDescent="0.4">
      <c r="A104" s="136"/>
      <c r="B104" s="155"/>
      <c r="O104" s="63" t="s">
        <v>154</v>
      </c>
      <c r="P104" s="55"/>
      <c r="Q104" s="56"/>
      <c r="R104" s="65">
        <f>B44*(AVERAGE(B31,B35)*((1+$B$49)^$P$80))</f>
        <v>159125.9266053772</v>
      </c>
      <c r="S104" s="53">
        <f>(R104*(1+$B$49))</f>
        <v>163104.07477051162</v>
      </c>
      <c r="T104" s="53">
        <f t="shared" ref="T104:AP104" si="11">(S104*(1+$B$49))</f>
        <v>167181.67663977441</v>
      </c>
      <c r="U104" s="53">
        <f t="shared" si="11"/>
        <v>171361.21855576875</v>
      </c>
      <c r="V104" s="53">
        <f t="shared" si="11"/>
        <v>175645.24901966297</v>
      </c>
      <c r="W104" s="53">
        <f t="shared" si="11"/>
        <v>180036.38024515452</v>
      </c>
      <c r="X104" s="53">
        <f t="shared" si="11"/>
        <v>184537.28975128336</v>
      </c>
      <c r="Y104" s="53">
        <f t="shared" si="11"/>
        <v>189150.72199506543</v>
      </c>
      <c r="Z104" s="53">
        <f t="shared" si="11"/>
        <v>193879.49004494204</v>
      </c>
      <c r="AA104" s="53">
        <f t="shared" si="11"/>
        <v>198726.47729606557</v>
      </c>
      <c r="AB104" s="53">
        <f t="shared" si="11"/>
        <v>203694.63922846719</v>
      </c>
      <c r="AC104" s="53">
        <f t="shared" si="11"/>
        <v>208787.00520917884</v>
      </c>
      <c r="AD104" s="53">
        <f t="shared" si="11"/>
        <v>214006.68033940828</v>
      </c>
      <c r="AE104" s="53">
        <f t="shared" si="11"/>
        <v>219356.84734789346</v>
      </c>
      <c r="AF104" s="53">
        <f t="shared" si="11"/>
        <v>224840.76853159079</v>
      </c>
      <c r="AG104" s="53">
        <f t="shared" si="11"/>
        <v>230461.78774488054</v>
      </c>
      <c r="AH104" s="53">
        <f t="shared" si="11"/>
        <v>236223.33243850252</v>
      </c>
      <c r="AI104" s="53">
        <f t="shared" si="11"/>
        <v>242128.91574946506</v>
      </c>
      <c r="AJ104" s="53">
        <f t="shared" si="11"/>
        <v>248182.13864320167</v>
      </c>
      <c r="AK104" s="53">
        <f t="shared" si="11"/>
        <v>254386.69210928169</v>
      </c>
      <c r="AL104" s="53">
        <f t="shared" si="11"/>
        <v>260746.3594120137</v>
      </c>
      <c r="AM104" s="53">
        <f t="shared" si="11"/>
        <v>267265.01839731401</v>
      </c>
      <c r="AN104" s="53">
        <f t="shared" si="11"/>
        <v>273946.64385724685</v>
      </c>
      <c r="AO104" s="53">
        <f t="shared" si="11"/>
        <v>280795.30995367799</v>
      </c>
      <c r="AP104" s="53">
        <f t="shared" si="11"/>
        <v>287815.19270251994</v>
      </c>
    </row>
    <row r="105" spans="1:42" x14ac:dyDescent="0.35">
      <c r="B105"/>
      <c r="O105" s="94" t="s">
        <v>187</v>
      </c>
      <c r="P105" s="55"/>
      <c r="Q105" s="56"/>
      <c r="R105" s="65"/>
      <c r="S105" s="53"/>
      <c r="T105" s="53"/>
      <c r="U105" s="53"/>
      <c r="V105" s="53"/>
      <c r="W105" s="53"/>
      <c r="X105" s="53"/>
      <c r="Y105" s="53"/>
      <c r="Z105" s="53"/>
      <c r="AA105" s="53"/>
      <c r="AB105" s="53"/>
      <c r="AC105" s="53"/>
      <c r="AD105" s="53"/>
      <c r="AE105" s="53"/>
      <c r="AF105" s="53"/>
      <c r="AG105" s="53"/>
      <c r="AH105" s="53"/>
      <c r="AI105" s="53"/>
      <c r="AJ105" s="53"/>
      <c r="AK105" s="53"/>
      <c r="AL105" s="53"/>
      <c r="AM105" s="53"/>
      <c r="AN105" s="53"/>
      <c r="AO105" s="53"/>
      <c r="AP105" s="53"/>
    </row>
    <row r="106" spans="1:42" x14ac:dyDescent="0.35">
      <c r="B106"/>
      <c r="O106" s="63" t="s">
        <v>282</v>
      </c>
      <c r="P106" s="55"/>
      <c r="Q106" s="56"/>
      <c r="R106" s="65">
        <f>$B$176*((1+$B$49)^$P$80)</f>
        <v>37399.151040384757</v>
      </c>
      <c r="S106" s="53">
        <f>R106*(1+$B$49)</f>
        <v>38334.129816394372</v>
      </c>
      <c r="T106" s="53">
        <f>S106*(1+$B$49)</f>
        <v>39292.483061804225</v>
      </c>
      <c r="U106" s="53">
        <f t="shared" ref="U106:AP106" si="12">T106*(1+$B$49)</f>
        <v>40274.795138349327</v>
      </c>
      <c r="V106" s="53">
        <f t="shared" si="12"/>
        <v>41281.66501680806</v>
      </c>
      <c r="W106" s="53">
        <f t="shared" si="12"/>
        <v>42313.706642228259</v>
      </c>
      <c r="X106" s="53">
        <f t="shared" si="12"/>
        <v>43371.54930828396</v>
      </c>
      <c r="Y106" s="53">
        <f t="shared" si="12"/>
        <v>44455.838040991053</v>
      </c>
      <c r="Z106" s="53">
        <f t="shared" si="12"/>
        <v>45567.233992015827</v>
      </c>
      <c r="AA106" s="53">
        <f t="shared" si="12"/>
        <v>46706.414841816215</v>
      </c>
      <c r="AB106" s="53">
        <f t="shared" si="12"/>
        <v>47874.075212861615</v>
      </c>
      <c r="AC106" s="53">
        <f t="shared" si="12"/>
        <v>49070.927093183149</v>
      </c>
      <c r="AD106" s="53">
        <f t="shared" si="12"/>
        <v>50297.700270512723</v>
      </c>
      <c r="AE106" s="53">
        <f t="shared" si="12"/>
        <v>51555.142777275534</v>
      </c>
      <c r="AF106" s="53">
        <f t="shared" si="12"/>
        <v>52844.021346707421</v>
      </c>
      <c r="AG106" s="53">
        <f t="shared" si="12"/>
        <v>54165.121880375104</v>
      </c>
      <c r="AH106" s="53">
        <f t="shared" si="12"/>
        <v>55519.249927384473</v>
      </c>
      <c r="AI106" s="53">
        <f t="shared" si="12"/>
        <v>56907.231175569083</v>
      </c>
      <c r="AJ106" s="53">
        <f t="shared" si="12"/>
        <v>58329.911954958305</v>
      </c>
      <c r="AK106" s="53">
        <f t="shared" si="12"/>
        <v>59788.15975383226</v>
      </c>
      <c r="AL106" s="53">
        <f t="shared" si="12"/>
        <v>61282.863747678064</v>
      </c>
      <c r="AM106" s="53">
        <f t="shared" si="12"/>
        <v>62814.935341370008</v>
      </c>
      <c r="AN106" s="53">
        <f t="shared" si="12"/>
        <v>64385.308724904251</v>
      </c>
      <c r="AO106" s="53">
        <f t="shared" si="12"/>
        <v>65994.941443026852</v>
      </c>
      <c r="AP106" s="53">
        <f t="shared" si="12"/>
        <v>67644.814979102521</v>
      </c>
    </row>
    <row r="107" spans="1:42" x14ac:dyDescent="0.35">
      <c r="A107" s="156" t="s">
        <v>183</v>
      </c>
      <c r="B107"/>
      <c r="O107" s="63" t="s">
        <v>157</v>
      </c>
      <c r="P107" s="55"/>
      <c r="Q107" s="56"/>
      <c r="R107" s="65"/>
      <c r="S107" s="53"/>
      <c r="T107" s="53"/>
      <c r="U107" s="53"/>
      <c r="V107" s="53"/>
      <c r="W107" s="53"/>
      <c r="X107" s="53"/>
      <c r="Y107" s="53"/>
      <c r="Z107" s="53"/>
      <c r="AA107" s="53"/>
      <c r="AB107" s="53"/>
      <c r="AC107" s="53"/>
      <c r="AD107" s="53"/>
      <c r="AE107" s="53"/>
      <c r="AF107" s="53"/>
      <c r="AG107" s="53"/>
      <c r="AH107" s="53"/>
      <c r="AI107" s="53"/>
      <c r="AJ107" s="53"/>
      <c r="AK107" s="53"/>
      <c r="AL107" s="53"/>
      <c r="AM107" s="53"/>
      <c r="AN107" s="53"/>
      <c r="AO107" s="53"/>
      <c r="AP107" s="53"/>
    </row>
    <row r="108" spans="1:42" ht="15" thickBot="1" x14ac:dyDescent="0.4">
      <c r="B108"/>
      <c r="O108" s="63" t="s">
        <v>156</v>
      </c>
      <c r="P108" s="55"/>
      <c r="Q108" s="56"/>
      <c r="R108" s="65"/>
      <c r="S108" s="53"/>
      <c r="T108" s="53"/>
      <c r="U108" s="53"/>
      <c r="V108" s="53"/>
      <c r="W108" s="53"/>
      <c r="X108" s="53"/>
      <c r="Y108" s="53"/>
      <c r="Z108" s="53"/>
      <c r="AA108" s="53"/>
      <c r="AB108" s="53"/>
      <c r="AC108" s="53"/>
      <c r="AD108" s="53"/>
      <c r="AE108" s="53"/>
      <c r="AF108" s="53"/>
      <c r="AG108" s="53"/>
      <c r="AH108" s="53"/>
      <c r="AI108" s="53"/>
      <c r="AJ108" s="53"/>
      <c r="AK108" s="53"/>
      <c r="AL108" s="53"/>
      <c r="AM108" s="53"/>
      <c r="AN108" s="53"/>
      <c r="AO108" s="53"/>
      <c r="AP108" s="53"/>
    </row>
    <row r="109" spans="1:42" x14ac:dyDescent="0.35">
      <c r="A109" s="138" t="s">
        <v>286</v>
      </c>
      <c r="B109" s="157">
        <v>60</v>
      </c>
      <c r="C109" s="21" t="s">
        <v>186</v>
      </c>
      <c r="E109" s="5" t="s">
        <v>184</v>
      </c>
      <c r="O109" s="63"/>
      <c r="P109" s="55"/>
      <c r="Q109" s="56"/>
      <c r="R109" s="65"/>
      <c r="S109" s="53"/>
      <c r="T109" s="53"/>
      <c r="U109" s="53"/>
      <c r="V109" s="53"/>
      <c r="W109" s="53"/>
      <c r="X109" s="53"/>
      <c r="Y109" s="53"/>
      <c r="Z109" s="53"/>
      <c r="AA109" s="53"/>
      <c r="AB109" s="53"/>
      <c r="AC109" s="53"/>
      <c r="AD109" s="53"/>
      <c r="AE109" s="53"/>
      <c r="AF109" s="53"/>
      <c r="AG109" s="53"/>
      <c r="AH109" s="53"/>
      <c r="AI109" s="53"/>
      <c r="AJ109" s="53"/>
      <c r="AK109" s="53"/>
      <c r="AL109" s="53"/>
      <c r="AM109" s="53"/>
      <c r="AN109" s="53"/>
      <c r="AO109" s="53"/>
      <c r="AP109" s="53"/>
    </row>
    <row r="110" spans="1:42" x14ac:dyDescent="0.35">
      <c r="A110" s="22"/>
      <c r="B110" s="32">
        <v>100</v>
      </c>
      <c r="C110" s="23" t="s">
        <v>186</v>
      </c>
      <c r="O110" s="57" t="s">
        <v>133</v>
      </c>
      <c r="P110" s="58"/>
      <c r="Q110" s="59">
        <f t="shared" ref="Q110:AP110" si="13">SUM(Q102:Q108)</f>
        <v>0</v>
      </c>
      <c r="R110" s="59">
        <f t="shared" si="13"/>
        <v>196525.07764576195</v>
      </c>
      <c r="S110" s="59">
        <f t="shared" si="13"/>
        <v>201438.20458690601</v>
      </c>
      <c r="T110" s="59">
        <f t="shared" si="13"/>
        <v>206474.15970157864</v>
      </c>
      <c r="U110" s="59">
        <f t="shared" si="13"/>
        <v>211636.01369411807</v>
      </c>
      <c r="V110" s="59">
        <f t="shared" si="13"/>
        <v>216926.91403647102</v>
      </c>
      <c r="W110" s="59">
        <f t="shared" si="13"/>
        <v>222350.08688738279</v>
      </c>
      <c r="X110" s="59">
        <f t="shared" si="13"/>
        <v>227908.83905956731</v>
      </c>
      <c r="Y110" s="59">
        <f t="shared" si="13"/>
        <v>233606.56003605647</v>
      </c>
      <c r="Z110" s="59">
        <f t="shared" si="13"/>
        <v>239446.72403695786</v>
      </c>
      <c r="AA110" s="59">
        <f t="shared" si="13"/>
        <v>245432.89213788178</v>
      </c>
      <c r="AB110" s="59">
        <f t="shared" si="13"/>
        <v>251568.7144413288</v>
      </c>
      <c r="AC110" s="59">
        <f t="shared" si="13"/>
        <v>257857.93230236199</v>
      </c>
      <c r="AD110" s="59">
        <f t="shared" si="13"/>
        <v>264304.38060992101</v>
      </c>
      <c r="AE110" s="59">
        <f t="shared" si="13"/>
        <v>270911.99012516899</v>
      </c>
      <c r="AF110" s="59">
        <f t="shared" si="13"/>
        <v>277684.78987829818</v>
      </c>
      <c r="AG110" s="59">
        <f t="shared" si="13"/>
        <v>284626.90962525562</v>
      </c>
      <c r="AH110" s="59">
        <f t="shared" si="13"/>
        <v>291742.58236588701</v>
      </c>
      <c r="AI110" s="59">
        <f t="shared" si="13"/>
        <v>299036.14692503412</v>
      </c>
      <c r="AJ110" s="59">
        <f t="shared" si="13"/>
        <v>306512.05059815996</v>
      </c>
      <c r="AK110" s="59">
        <f t="shared" si="13"/>
        <v>314174.85186311393</v>
      </c>
      <c r="AL110" s="59">
        <f t="shared" si="13"/>
        <v>322029.22315969178</v>
      </c>
      <c r="AM110" s="59">
        <f t="shared" si="13"/>
        <v>330079.95373868401</v>
      </c>
      <c r="AN110" s="59">
        <f t="shared" si="13"/>
        <v>338331.95258215111</v>
      </c>
      <c r="AO110" s="59">
        <f t="shared" si="13"/>
        <v>346790.25139670481</v>
      </c>
      <c r="AP110" s="59">
        <f t="shared" si="13"/>
        <v>355460.00768162246</v>
      </c>
    </row>
    <row r="111" spans="1:42" ht="15" thickBot="1" x14ac:dyDescent="0.4">
      <c r="A111" s="24"/>
      <c r="B111" s="158">
        <f>AVERAGE(B109:B110)</f>
        <v>80</v>
      </c>
      <c r="C111" s="26" t="s">
        <v>186</v>
      </c>
      <c r="O111" s="60"/>
      <c r="R111" s="61"/>
      <c r="S111" s="61"/>
      <c r="T111" s="61"/>
      <c r="U111" s="61"/>
      <c r="V111" s="61"/>
      <c r="W111" s="61"/>
      <c r="X111" s="61"/>
      <c r="Y111" s="61"/>
      <c r="Z111" s="61"/>
      <c r="AA111" s="61"/>
      <c r="AB111" s="61"/>
      <c r="AC111" s="61"/>
      <c r="AD111" s="61"/>
      <c r="AE111" s="61"/>
      <c r="AF111" s="61"/>
      <c r="AG111" s="61"/>
      <c r="AH111" s="61"/>
      <c r="AI111" s="61"/>
      <c r="AJ111" s="61"/>
      <c r="AK111" s="61"/>
      <c r="AL111" s="61"/>
      <c r="AM111" s="61"/>
      <c r="AN111" s="61"/>
      <c r="AO111" s="61"/>
      <c r="AP111" s="61"/>
    </row>
    <row r="112" spans="1:42" ht="15" thickBot="1" x14ac:dyDescent="0.4">
      <c r="B112"/>
      <c r="O112" s="60"/>
      <c r="R112" s="61"/>
      <c r="S112" s="61"/>
      <c r="T112" s="61"/>
      <c r="U112" s="61"/>
      <c r="V112" s="61"/>
      <c r="W112" s="61"/>
      <c r="X112" s="61"/>
      <c r="Y112" s="61"/>
      <c r="Z112" s="61"/>
      <c r="AA112" s="61"/>
      <c r="AB112" s="61"/>
      <c r="AC112" s="61"/>
      <c r="AD112" s="61"/>
      <c r="AE112" s="61"/>
      <c r="AF112" s="61"/>
      <c r="AG112" s="61"/>
      <c r="AH112" s="61"/>
      <c r="AI112" s="61"/>
      <c r="AJ112" s="61"/>
      <c r="AK112" s="61"/>
      <c r="AL112" s="61"/>
      <c r="AM112" s="61"/>
      <c r="AN112" s="61"/>
      <c r="AO112" s="61"/>
      <c r="AP112" s="61"/>
    </row>
    <row r="113" spans="1:57" x14ac:dyDescent="0.35">
      <c r="A113" s="159" t="s">
        <v>283</v>
      </c>
      <c r="B113" s="157" cm="1">
        <f t="array" ref="B113:B115">B109:B111*B93*B6</f>
        <v>147000</v>
      </c>
      <c r="C113" s="21"/>
      <c r="O113" s="60"/>
      <c r="R113" s="61"/>
      <c r="S113" s="61"/>
      <c r="T113" s="61"/>
      <c r="U113" s="61"/>
      <c r="V113" s="61"/>
      <c r="W113" s="61"/>
      <c r="X113" s="61"/>
      <c r="Y113" s="61"/>
      <c r="Z113" s="61"/>
      <c r="AA113" s="61"/>
      <c r="AB113" s="61"/>
      <c r="AC113" s="61"/>
      <c r="AD113" s="61"/>
      <c r="AE113" s="61"/>
      <c r="AF113" s="61"/>
      <c r="AG113" s="61"/>
      <c r="AH113" s="61"/>
      <c r="AI113" s="61"/>
      <c r="AJ113" s="61"/>
      <c r="AK113" s="61"/>
      <c r="AL113" s="61"/>
      <c r="AM113" s="61"/>
      <c r="AN113" s="61"/>
      <c r="AO113" s="61"/>
      <c r="AP113" s="61"/>
    </row>
    <row r="114" spans="1:57" x14ac:dyDescent="0.35">
      <c r="A114" s="22"/>
      <c r="B114" s="32">
        <v>245000</v>
      </c>
      <c r="C114" s="23"/>
      <c r="O114" s="57" t="s">
        <v>134</v>
      </c>
      <c r="P114" s="64"/>
      <c r="Q114" s="59">
        <f t="shared" ref="Q114:AP114" si="14">Q85+Q98+Q110</f>
        <v>-1516106.4720542929</v>
      </c>
      <c r="R114" s="59">
        <f t="shared" si="14"/>
        <v>190076.6389237353</v>
      </c>
      <c r="S114" s="59">
        <f t="shared" si="14"/>
        <v>195293.66224919676</v>
      </c>
      <c r="T114" s="59">
        <f t="shared" si="14"/>
        <v>200667.15716952732</v>
      </c>
      <c r="U114" s="59">
        <f t="shared" si="14"/>
        <v>206202.49405125578</v>
      </c>
      <c r="V114" s="59">
        <f t="shared" si="14"/>
        <v>211905.25920036694</v>
      </c>
      <c r="W114" s="59">
        <f t="shared" si="14"/>
        <v>217781.26483488432</v>
      </c>
      <c r="X114" s="59">
        <f t="shared" si="14"/>
        <v>223836.5595629171</v>
      </c>
      <c r="Y114" s="59">
        <f t="shared" si="14"/>
        <v>230077.43939315167</v>
      </c>
      <c r="Z114" s="59">
        <f t="shared" si="14"/>
        <v>236510.45930624718</v>
      </c>
      <c r="AA114" s="59">
        <f t="shared" si="14"/>
        <v>243142.44541715301</v>
      </c>
      <c r="AB114" s="59">
        <f t="shared" si="14"/>
        <v>249980.50776001351</v>
      </c>
      <c r="AC114" s="59">
        <f t="shared" si="14"/>
        <v>257032.05372906165</v>
      </c>
      <c r="AD114" s="59">
        <f t="shared" si="14"/>
        <v>264304.80221073865</v>
      </c>
      <c r="AE114" s="59">
        <f t="shared" si="14"/>
        <v>271806.79844421084</v>
      </c>
      <c r="AF114" s="59">
        <f t="shared" si="14"/>
        <v>279546.42964949924</v>
      </c>
      <c r="AG114" s="59">
        <f t="shared" si="14"/>
        <v>287532.4414645941</v>
      </c>
      <c r="AH114" s="59">
        <f t="shared" si="14"/>
        <v>295773.95523520239</v>
      </c>
      <c r="AI114" s="59">
        <f t="shared" si="14"/>
        <v>304280.4862031794</v>
      </c>
      <c r="AJ114" s="59">
        <f t="shared" si="14"/>
        <v>313061.96264223335</v>
      </c>
      <c r="AK114" s="59">
        <f t="shared" si="14"/>
        <v>322128.74599216628</v>
      </c>
      <c r="AL114" s="59">
        <f t="shared" si="14"/>
        <v>331491.65204574459</v>
      </c>
      <c r="AM114" s="59">
        <f t="shared" si="14"/>
        <v>341161.97324527369</v>
      </c>
      <c r="AN114" s="59">
        <f t="shared" si="14"/>
        <v>351151.50214910065</v>
      </c>
      <c r="AO114" s="59">
        <f t="shared" si="14"/>
        <v>361472.55613159412</v>
      </c>
      <c r="AP114" s="59">
        <f t="shared" si="14"/>
        <v>372138.00338366092</v>
      </c>
    </row>
    <row r="115" spans="1:57" ht="15" thickBot="1" x14ac:dyDescent="0.4">
      <c r="A115" s="24"/>
      <c r="B115" s="160">
        <v>196000</v>
      </c>
      <c r="C115" s="161"/>
      <c r="D115" s="1"/>
      <c r="E115" t="s">
        <v>284</v>
      </c>
      <c r="O115" s="60"/>
    </row>
    <row r="116" spans="1:57" ht="15.5" x14ac:dyDescent="0.35">
      <c r="B116"/>
      <c r="O116" s="48" t="s">
        <v>135</v>
      </c>
      <c r="P116" s="50"/>
      <c r="Q116" s="50"/>
      <c r="R116" s="66"/>
      <c r="S116" s="66"/>
      <c r="T116" s="66"/>
      <c r="U116" s="66"/>
      <c r="V116" s="66"/>
      <c r="W116" s="66"/>
      <c r="X116" s="66"/>
      <c r="Y116" s="66"/>
      <c r="Z116" s="66"/>
      <c r="AA116" s="66"/>
      <c r="AB116" s="66"/>
      <c r="AC116" s="66"/>
      <c r="AD116" s="66"/>
      <c r="AE116" s="66"/>
      <c r="AF116" s="66"/>
      <c r="AG116" s="66"/>
      <c r="AH116" s="66"/>
      <c r="AI116" s="66"/>
      <c r="AJ116" s="66"/>
      <c r="AK116" s="66"/>
      <c r="AL116" s="66"/>
      <c r="AM116" s="66"/>
      <c r="AN116" s="66"/>
      <c r="AO116" s="66"/>
      <c r="AP116" s="66"/>
    </row>
    <row r="117" spans="1:57" ht="15.5" x14ac:dyDescent="0.35">
      <c r="B117"/>
      <c r="O117" s="48"/>
      <c r="P117" s="50"/>
      <c r="Q117" s="50"/>
      <c r="R117" s="66"/>
      <c r="S117" s="66"/>
      <c r="T117" s="66"/>
      <c r="U117" s="66"/>
      <c r="V117" s="66"/>
      <c r="W117" s="66"/>
      <c r="X117" s="66"/>
      <c r="Y117" s="66"/>
      <c r="Z117" s="66"/>
      <c r="AA117" s="66"/>
      <c r="AB117" s="66"/>
      <c r="AC117" s="66"/>
      <c r="AD117" s="66"/>
      <c r="AE117" s="66"/>
      <c r="AF117" s="66"/>
      <c r="AG117" s="66"/>
      <c r="AH117" s="66"/>
      <c r="AI117" s="66"/>
      <c r="AJ117" s="66"/>
      <c r="AK117" s="66"/>
      <c r="AL117" s="66"/>
      <c r="AM117" s="66"/>
      <c r="AN117" s="66"/>
      <c r="AO117" s="66"/>
      <c r="AP117" s="66"/>
    </row>
    <row r="118" spans="1:57" ht="15.5" x14ac:dyDescent="0.35">
      <c r="O118" s="48"/>
      <c r="P118" s="50"/>
      <c r="Q118" s="50"/>
      <c r="R118" s="66"/>
      <c r="S118" s="66"/>
      <c r="T118" s="66"/>
      <c r="U118" s="66"/>
      <c r="V118" s="66"/>
      <c r="W118" s="66"/>
      <c r="X118" s="66"/>
      <c r="Y118" s="66"/>
      <c r="Z118" s="66"/>
      <c r="AA118" s="66"/>
      <c r="AB118" s="66"/>
      <c r="AC118" s="66"/>
      <c r="AD118" s="66"/>
      <c r="AE118" s="66"/>
      <c r="AF118" s="66"/>
      <c r="AG118" s="66"/>
      <c r="AH118" s="66"/>
      <c r="AI118" s="66"/>
      <c r="AJ118" s="66"/>
      <c r="AK118" s="66"/>
      <c r="AL118" s="66"/>
      <c r="AM118" s="66"/>
      <c r="AN118" s="66"/>
      <c r="AO118" s="66"/>
      <c r="AP118" s="66"/>
    </row>
    <row r="119" spans="1:57" x14ac:dyDescent="0.35">
      <c r="O119" s="67" t="s">
        <v>136</v>
      </c>
      <c r="P119" s="68"/>
      <c r="Q119" s="45"/>
      <c r="R119" s="56"/>
      <c r="S119" s="56"/>
      <c r="T119" s="56"/>
      <c r="U119" s="56"/>
      <c r="V119" s="56"/>
      <c r="W119" s="56"/>
      <c r="X119" s="56"/>
      <c r="Y119" s="56"/>
      <c r="Z119" s="56"/>
      <c r="AA119" s="56"/>
      <c r="AB119" s="56"/>
      <c r="AC119" s="56"/>
      <c r="AD119" s="56"/>
      <c r="AE119" s="56"/>
      <c r="AF119" s="56"/>
      <c r="AG119" s="56"/>
      <c r="AH119" s="56"/>
      <c r="AI119" s="56"/>
      <c r="AJ119" s="56"/>
      <c r="AK119" s="56"/>
      <c r="AL119" s="56"/>
      <c r="AM119" s="56"/>
      <c r="AN119" s="56"/>
      <c r="AO119" s="56"/>
      <c r="AP119" s="56"/>
    </row>
    <row r="120" spans="1:57" x14ac:dyDescent="0.35">
      <c r="O120" s="67" t="s">
        <v>137</v>
      </c>
      <c r="P120" s="68"/>
      <c r="Q120" s="45"/>
      <c r="R120" s="56"/>
      <c r="S120" s="56"/>
      <c r="T120" s="56"/>
      <c r="U120" s="56"/>
      <c r="V120" s="56"/>
      <c r="W120" s="56"/>
      <c r="X120" s="56"/>
      <c r="Y120" s="56"/>
      <c r="Z120" s="56"/>
      <c r="AA120" s="56"/>
      <c r="AB120" s="56"/>
      <c r="AC120" s="56"/>
      <c r="AD120" s="56"/>
      <c r="AE120" s="56"/>
      <c r="AF120" s="56"/>
      <c r="AG120" s="56"/>
      <c r="AH120" s="56"/>
      <c r="AI120" s="56"/>
      <c r="AJ120" s="56"/>
      <c r="AK120" s="56"/>
      <c r="AL120" s="56"/>
      <c r="AM120" s="56"/>
      <c r="AN120" s="56"/>
      <c r="AO120" s="56"/>
      <c r="AP120" s="56"/>
    </row>
    <row r="121" spans="1:57" x14ac:dyDescent="0.35">
      <c r="E121" s="5"/>
      <c r="O121" s="57" t="s">
        <v>138</v>
      </c>
      <c r="P121" s="58"/>
      <c r="Q121" s="59">
        <f>SUM(Q119:Q120)</f>
        <v>0</v>
      </c>
      <c r="R121" s="59">
        <f>SUM(R119:R120)</f>
        <v>0</v>
      </c>
      <c r="S121" s="59">
        <f t="shared" ref="S121:AP121" si="15">SUM(S119:S120)</f>
        <v>0</v>
      </c>
      <c r="T121" s="59">
        <f t="shared" si="15"/>
        <v>0</v>
      </c>
      <c r="U121" s="59">
        <f t="shared" si="15"/>
        <v>0</v>
      </c>
      <c r="V121" s="59">
        <f t="shared" si="15"/>
        <v>0</v>
      </c>
      <c r="W121" s="59">
        <f t="shared" si="15"/>
        <v>0</v>
      </c>
      <c r="X121" s="59">
        <f t="shared" si="15"/>
        <v>0</v>
      </c>
      <c r="Y121" s="59">
        <f t="shared" si="15"/>
        <v>0</v>
      </c>
      <c r="Z121" s="59">
        <f t="shared" si="15"/>
        <v>0</v>
      </c>
      <c r="AA121" s="59">
        <f t="shared" si="15"/>
        <v>0</v>
      </c>
      <c r="AB121" s="59">
        <f t="shared" si="15"/>
        <v>0</v>
      </c>
      <c r="AC121" s="59">
        <f t="shared" si="15"/>
        <v>0</v>
      </c>
      <c r="AD121" s="59">
        <f t="shared" si="15"/>
        <v>0</v>
      </c>
      <c r="AE121" s="59">
        <f t="shared" si="15"/>
        <v>0</v>
      </c>
      <c r="AF121" s="59">
        <f t="shared" si="15"/>
        <v>0</v>
      </c>
      <c r="AG121" s="59">
        <f t="shared" si="15"/>
        <v>0</v>
      </c>
      <c r="AH121" s="59">
        <f t="shared" si="15"/>
        <v>0</v>
      </c>
      <c r="AI121" s="59">
        <f t="shared" si="15"/>
        <v>0</v>
      </c>
      <c r="AJ121" s="59">
        <f t="shared" si="15"/>
        <v>0</v>
      </c>
      <c r="AK121" s="59">
        <f t="shared" si="15"/>
        <v>0</v>
      </c>
      <c r="AL121" s="59">
        <f t="shared" si="15"/>
        <v>0</v>
      </c>
      <c r="AM121" s="59">
        <f t="shared" si="15"/>
        <v>0</v>
      </c>
      <c r="AN121" s="59">
        <f t="shared" si="15"/>
        <v>0</v>
      </c>
      <c r="AO121" s="59">
        <f t="shared" si="15"/>
        <v>0</v>
      </c>
      <c r="AP121" s="59">
        <f t="shared" si="15"/>
        <v>0</v>
      </c>
    </row>
    <row r="122" spans="1:57" x14ac:dyDescent="0.35">
      <c r="O122" s="120"/>
      <c r="P122" s="121"/>
      <c r="Q122" s="122"/>
      <c r="R122" s="122"/>
      <c r="S122" s="122"/>
      <c r="T122" s="122"/>
      <c r="U122" s="122"/>
      <c r="V122" s="122"/>
      <c r="W122" s="122"/>
      <c r="X122" s="122"/>
      <c r="Y122" s="122"/>
      <c r="Z122" s="122"/>
      <c r="AA122" s="122"/>
      <c r="AB122" s="122"/>
      <c r="AC122" s="122"/>
      <c r="AD122" s="122"/>
      <c r="AE122" s="122"/>
      <c r="AF122" s="122"/>
      <c r="AG122" s="122"/>
      <c r="AH122" s="122"/>
      <c r="AI122" s="122"/>
      <c r="AJ122" s="122"/>
      <c r="AK122" s="122"/>
      <c r="AL122" s="122"/>
      <c r="AM122" s="122"/>
      <c r="AN122" s="122"/>
      <c r="AO122" s="122"/>
      <c r="AP122" s="122"/>
    </row>
    <row r="123" spans="1:57" x14ac:dyDescent="0.35">
      <c r="O123" s="120"/>
      <c r="P123" s="121"/>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row>
    <row r="124" spans="1:57" x14ac:dyDescent="0.35">
      <c r="O124" s="123"/>
      <c r="P124" s="124"/>
      <c r="Q124" s="125"/>
      <c r="R124" s="125"/>
      <c r="S124" s="125"/>
      <c r="T124" s="125"/>
      <c r="U124" s="125"/>
      <c r="V124" s="125"/>
      <c r="W124" s="125"/>
      <c r="X124" s="125"/>
      <c r="Y124" s="125"/>
      <c r="Z124" s="125"/>
      <c r="AA124" s="125"/>
      <c r="AB124" s="125"/>
      <c r="AC124" s="125"/>
      <c r="AD124" s="125"/>
      <c r="AE124" s="125"/>
      <c r="AF124" s="125"/>
      <c r="AG124" s="125"/>
      <c r="AH124" s="125"/>
      <c r="AI124" s="125"/>
      <c r="AJ124" s="125"/>
      <c r="AK124" s="125"/>
      <c r="AL124" s="125"/>
      <c r="AM124" s="125"/>
      <c r="AN124" s="125"/>
      <c r="AO124" s="125"/>
      <c r="AP124" s="125"/>
      <c r="AQ124" s="69"/>
      <c r="AR124" s="69"/>
      <c r="AS124" s="69"/>
      <c r="AT124" s="69"/>
      <c r="AU124" s="69"/>
      <c r="AV124" s="69"/>
      <c r="AW124" s="69"/>
      <c r="AX124" s="69"/>
      <c r="AY124" s="69"/>
      <c r="AZ124" s="69"/>
      <c r="BA124" s="69"/>
      <c r="BB124" s="69"/>
      <c r="BC124" s="69"/>
      <c r="BD124" s="69"/>
      <c r="BE124" s="69"/>
    </row>
    <row r="125" spans="1:57" x14ac:dyDescent="0.35">
      <c r="O125" s="126"/>
      <c r="P125" s="70"/>
      <c r="Q125" s="127"/>
      <c r="R125" s="127"/>
      <c r="S125" s="127"/>
      <c r="T125" s="127"/>
      <c r="U125" s="127"/>
      <c r="V125" s="127"/>
      <c r="W125" s="127"/>
      <c r="X125" s="127"/>
      <c r="Y125" s="127"/>
      <c r="Z125" s="127"/>
      <c r="AA125" s="127"/>
      <c r="AB125" s="127"/>
      <c r="AC125" s="127"/>
      <c r="AD125" s="127"/>
      <c r="AE125" s="127"/>
      <c r="AF125" s="127"/>
      <c r="AG125" s="127"/>
      <c r="AH125" s="127"/>
      <c r="AI125" s="127"/>
      <c r="AJ125" s="127"/>
      <c r="AK125" s="127"/>
      <c r="AL125" s="127"/>
      <c r="AM125" s="127"/>
      <c r="AN125" s="127"/>
      <c r="AO125" s="127"/>
      <c r="AP125" s="127"/>
      <c r="AQ125" s="69"/>
      <c r="AR125" s="69"/>
      <c r="AS125" s="69"/>
      <c r="AT125" s="69"/>
      <c r="AU125" s="69"/>
      <c r="AV125" s="69"/>
      <c r="AW125" s="69"/>
      <c r="AX125" s="69"/>
      <c r="AY125" s="69"/>
      <c r="AZ125" s="69"/>
      <c r="BA125" s="69"/>
      <c r="BB125" s="69"/>
      <c r="BC125" s="69"/>
      <c r="BD125" s="69"/>
      <c r="BE125" s="69"/>
    </row>
    <row r="126" spans="1:57" x14ac:dyDescent="0.35">
      <c r="D126" s="1"/>
      <c r="O126" s="128"/>
      <c r="P126" s="129"/>
      <c r="Q126" s="130"/>
      <c r="R126" s="130"/>
      <c r="S126" s="130"/>
      <c r="T126" s="130"/>
      <c r="U126" s="130"/>
      <c r="V126" s="130"/>
      <c r="W126" s="130"/>
      <c r="X126" s="130"/>
      <c r="Y126" s="130"/>
      <c r="Z126" s="130"/>
      <c r="AA126" s="130"/>
      <c r="AB126" s="130"/>
      <c r="AC126" s="130"/>
      <c r="AD126" s="130"/>
      <c r="AE126" s="130"/>
      <c r="AF126" s="130"/>
      <c r="AG126" s="130"/>
      <c r="AH126" s="130"/>
      <c r="AI126" s="130"/>
      <c r="AJ126" s="130"/>
      <c r="AK126" s="130"/>
      <c r="AL126" s="130"/>
      <c r="AM126" s="130"/>
      <c r="AN126" s="130"/>
      <c r="AO126" s="130"/>
      <c r="AP126" s="130"/>
    </row>
    <row r="127" spans="1:57" x14ac:dyDescent="0.35">
      <c r="O127" s="115" t="s">
        <v>205</v>
      </c>
      <c r="P127" s="116"/>
      <c r="Q127" s="117">
        <f t="shared" ref="Q127:AP127" si="16">Q85+Q98+Q110</f>
        <v>-1516106.4720542929</v>
      </c>
      <c r="R127" s="117">
        <f t="shared" si="16"/>
        <v>190076.6389237353</v>
      </c>
      <c r="S127" s="117">
        <f t="shared" si="16"/>
        <v>195293.66224919676</v>
      </c>
      <c r="T127" s="117">
        <f t="shared" si="16"/>
        <v>200667.15716952732</v>
      </c>
      <c r="U127" s="117">
        <f t="shared" si="16"/>
        <v>206202.49405125578</v>
      </c>
      <c r="V127" s="117">
        <f t="shared" si="16"/>
        <v>211905.25920036694</v>
      </c>
      <c r="W127" s="117">
        <f t="shared" si="16"/>
        <v>217781.26483488432</v>
      </c>
      <c r="X127" s="117">
        <f t="shared" si="16"/>
        <v>223836.5595629171</v>
      </c>
      <c r="Y127" s="117">
        <f t="shared" si="16"/>
        <v>230077.43939315167</v>
      </c>
      <c r="Z127" s="117">
        <f t="shared" si="16"/>
        <v>236510.45930624718</v>
      </c>
      <c r="AA127" s="117">
        <f t="shared" si="16"/>
        <v>243142.44541715301</v>
      </c>
      <c r="AB127" s="117">
        <f t="shared" si="16"/>
        <v>249980.50776001351</v>
      </c>
      <c r="AC127" s="117">
        <f t="shared" si="16"/>
        <v>257032.05372906165</v>
      </c>
      <c r="AD127" s="117">
        <f t="shared" si="16"/>
        <v>264304.80221073865</v>
      </c>
      <c r="AE127" s="117">
        <f t="shared" si="16"/>
        <v>271806.79844421084</v>
      </c>
      <c r="AF127" s="117">
        <f t="shared" si="16"/>
        <v>279546.42964949924</v>
      </c>
      <c r="AG127" s="117">
        <f t="shared" si="16"/>
        <v>287532.4414645941</v>
      </c>
      <c r="AH127" s="117">
        <f t="shared" si="16"/>
        <v>295773.95523520239</v>
      </c>
      <c r="AI127" s="117">
        <f t="shared" si="16"/>
        <v>304280.4862031794</v>
      </c>
      <c r="AJ127" s="117">
        <f t="shared" si="16"/>
        <v>313061.96264223335</v>
      </c>
      <c r="AK127" s="117">
        <f t="shared" si="16"/>
        <v>322128.74599216628</v>
      </c>
      <c r="AL127" s="117">
        <f t="shared" si="16"/>
        <v>331491.65204574459</v>
      </c>
      <c r="AM127" s="117">
        <f t="shared" si="16"/>
        <v>341161.97324527369</v>
      </c>
      <c r="AN127" s="117">
        <f t="shared" si="16"/>
        <v>351151.50214910065</v>
      </c>
      <c r="AO127" s="117">
        <f t="shared" si="16"/>
        <v>361472.55613159412</v>
      </c>
      <c r="AP127" s="117">
        <f t="shared" si="16"/>
        <v>372138.00338366092</v>
      </c>
      <c r="AQ127" s="69"/>
      <c r="AR127" s="69"/>
      <c r="AS127" s="69"/>
      <c r="AT127" s="69"/>
      <c r="AU127" s="69"/>
      <c r="AV127" s="69"/>
      <c r="AW127" s="69"/>
      <c r="AX127" s="69"/>
      <c r="AY127" s="69"/>
      <c r="AZ127" s="69"/>
      <c r="BA127" s="69"/>
      <c r="BB127" s="69"/>
      <c r="BC127" s="69"/>
      <c r="BD127" s="69"/>
      <c r="BE127" s="69"/>
    </row>
    <row r="128" spans="1:57" x14ac:dyDescent="0.35">
      <c r="O128" s="118" t="s">
        <v>139</v>
      </c>
      <c r="P128" s="119"/>
      <c r="Q128" s="117">
        <f>Q127</f>
        <v>-1516106.4720542929</v>
      </c>
      <c r="R128" s="117">
        <f t="shared" ref="R128:AP128" si="17">Q128+R127</f>
        <v>-1326029.8331305576</v>
      </c>
      <c r="S128" s="117">
        <f t="shared" si="17"/>
        <v>-1130736.1708813608</v>
      </c>
      <c r="T128" s="117">
        <f t="shared" si="17"/>
        <v>-930069.0137118334</v>
      </c>
      <c r="U128" s="117">
        <f t="shared" si="17"/>
        <v>-723866.51966057764</v>
      </c>
      <c r="V128" s="117">
        <f t="shared" si="17"/>
        <v>-511961.26046021073</v>
      </c>
      <c r="W128" s="117">
        <f t="shared" si="17"/>
        <v>-294179.99562532641</v>
      </c>
      <c r="X128" s="117">
        <f t="shared" si="17"/>
        <v>-70343.43606240931</v>
      </c>
      <c r="Y128" s="117">
        <f t="shared" si="17"/>
        <v>159734.00333074236</v>
      </c>
      <c r="Z128" s="117">
        <f t="shared" si="17"/>
        <v>396244.46263698954</v>
      </c>
      <c r="AA128" s="117">
        <f t="shared" si="17"/>
        <v>639386.90805414249</v>
      </c>
      <c r="AB128" s="117">
        <f t="shared" si="17"/>
        <v>889367.41581415595</v>
      </c>
      <c r="AC128" s="117">
        <f t="shared" si="17"/>
        <v>1146399.4695432177</v>
      </c>
      <c r="AD128" s="117">
        <f t="shared" si="17"/>
        <v>1410704.2717539563</v>
      </c>
      <c r="AE128" s="117">
        <f t="shared" si="17"/>
        <v>1682511.0701981671</v>
      </c>
      <c r="AF128" s="117">
        <f t="shared" si="17"/>
        <v>1962057.4998476664</v>
      </c>
      <c r="AG128" s="117">
        <f t="shared" si="17"/>
        <v>2249589.9413122605</v>
      </c>
      <c r="AH128" s="117">
        <f t="shared" si="17"/>
        <v>2545363.8965474628</v>
      </c>
      <c r="AI128" s="117">
        <f t="shared" si="17"/>
        <v>2849644.382750642</v>
      </c>
      <c r="AJ128" s="117">
        <f t="shared" si="17"/>
        <v>3162706.3453928754</v>
      </c>
      <c r="AK128" s="117">
        <f t="shared" si="17"/>
        <v>3484835.0913850418</v>
      </c>
      <c r="AL128" s="117">
        <f t="shared" si="17"/>
        <v>3816326.7434307863</v>
      </c>
      <c r="AM128" s="117">
        <f t="shared" si="17"/>
        <v>4157488.7166760601</v>
      </c>
      <c r="AN128" s="117">
        <f t="shared" si="17"/>
        <v>4508640.2188251605</v>
      </c>
      <c r="AO128" s="117">
        <f t="shared" si="17"/>
        <v>4870112.7749567544</v>
      </c>
      <c r="AP128" s="117">
        <f t="shared" si="17"/>
        <v>5242250.7783404151</v>
      </c>
      <c r="AQ128" s="69"/>
      <c r="AR128" s="69"/>
      <c r="AS128" s="69"/>
      <c r="AT128" s="69"/>
      <c r="AU128" s="69"/>
      <c r="AV128" s="69"/>
      <c r="AW128" s="69"/>
      <c r="AX128" s="69"/>
      <c r="AY128" s="69"/>
      <c r="AZ128" s="69"/>
      <c r="BA128" s="69"/>
      <c r="BB128" s="69"/>
      <c r="BC128" s="69"/>
      <c r="BD128" s="69"/>
      <c r="BE128" s="69"/>
    </row>
    <row r="129" spans="1:42" x14ac:dyDescent="0.35">
      <c r="O129" s="71" t="s">
        <v>140</v>
      </c>
      <c r="P129" s="73"/>
      <c r="Q129" s="72">
        <f t="shared" ref="Q129:AP129" si="18">Q127*(1/(1+$B$53)^Q79)</f>
        <v>-1516106.4720542929</v>
      </c>
      <c r="R129" s="72">
        <f t="shared" si="18"/>
        <v>184182.78965478225</v>
      </c>
      <c r="S129" s="72">
        <f t="shared" si="18"/>
        <v>183370.19846425692</v>
      </c>
      <c r="T129" s="72">
        <f t="shared" si="18"/>
        <v>182573.2750979453</v>
      </c>
      <c r="U129" s="72">
        <f t="shared" si="18"/>
        <v>181792.14946934042</v>
      </c>
      <c r="V129" s="72">
        <f t="shared" si="18"/>
        <v>181026.95610347163</v>
      </c>
      <c r="W129" s="72">
        <f t="shared" si="18"/>
        <v>180277.83423336261</v>
      </c>
      <c r="X129" s="72">
        <f t="shared" si="18"/>
        <v>179544.92789880605</v>
      </c>
      <c r="Y129" s="72">
        <f t="shared" si="18"/>
        <v>178828.38604750775</v>
      </c>
      <c r="Z129" s="72">
        <f t="shared" si="18"/>
        <v>178128.3626386557</v>
      </c>
      <c r="AA129" s="72">
        <f t="shared" si="18"/>
        <v>177445.01674896857</v>
      </c>
      <c r="AB129" s="72">
        <f t="shared" si="18"/>
        <v>176778.5126812823</v>
      </c>
      <c r="AC129" s="72">
        <f t="shared" si="18"/>
        <v>176129.02007573238</v>
      </c>
      <c r="AD129" s="72">
        <f t="shared" si="18"/>
        <v>175496.71402359218</v>
      </c>
      <c r="AE129" s="72">
        <f t="shared" si="18"/>
        <v>174881.77518382849</v>
      </c>
      <c r="AF129" s="72">
        <f t="shared" si="18"/>
        <v>174284.38990243638</v>
      </c>
      <c r="AG129" s="72">
        <f t="shared" si="18"/>
        <v>173704.75033461885</v>
      </c>
      <c r="AH129" s="72">
        <f t="shared" si="18"/>
        <v>173143.05456987608</v>
      </c>
      <c r="AI129" s="72">
        <f t="shared" si="18"/>
        <v>172599.50676007094</v>
      </c>
      <c r="AJ129" s="72">
        <f t="shared" si="18"/>
        <v>172074.31725054132</v>
      </c>
      <c r="AK129" s="72">
        <f t="shared" si="18"/>
        <v>171567.70271432726</v>
      </c>
      <c r="AL129" s="72">
        <f t="shared" si="18"/>
        <v>171079.88628958745</v>
      </c>
      <c r="AM129" s="72">
        <f t="shared" si="18"/>
        <v>170611.09772027665</v>
      </c>
      <c r="AN129" s="72">
        <f t="shared" si="18"/>
        <v>170161.57350016048</v>
      </c>
      <c r="AO129" s="72">
        <f t="shared" si="18"/>
        <v>169731.55702024471</v>
      </c>
      <c r="AP129" s="72">
        <f t="shared" si="18"/>
        <v>169321.29871969807</v>
      </c>
    </row>
    <row r="130" spans="1:42" x14ac:dyDescent="0.35">
      <c r="O130" s="74" t="s">
        <v>141</v>
      </c>
      <c r="P130" s="45"/>
      <c r="Q130" s="75">
        <f>Q129</f>
        <v>-1516106.4720542929</v>
      </c>
      <c r="R130" s="75">
        <f>Q130+R129</f>
        <v>-1331923.6823995106</v>
      </c>
      <c r="S130" s="75">
        <f t="shared" ref="S130:AO130" si="19">R130+S129</f>
        <v>-1148553.4839352537</v>
      </c>
      <c r="T130" s="75">
        <f t="shared" si="19"/>
        <v>-965980.20883730846</v>
      </c>
      <c r="U130" s="75">
        <f>T130+U129</f>
        <v>-784188.059367968</v>
      </c>
      <c r="V130" s="75">
        <f t="shared" si="19"/>
        <v>-603161.10326449643</v>
      </c>
      <c r="W130" s="75">
        <f t="shared" si="19"/>
        <v>-422883.26903113385</v>
      </c>
      <c r="X130" s="75">
        <f t="shared" si="19"/>
        <v>-243338.3411323278</v>
      </c>
      <c r="Y130" s="75">
        <f t="shared" si="19"/>
        <v>-64509.955084820045</v>
      </c>
      <c r="Z130" s="75">
        <f t="shared" si="19"/>
        <v>113618.40755383566</v>
      </c>
      <c r="AA130" s="75">
        <f t="shared" si="19"/>
        <v>291063.42430280423</v>
      </c>
      <c r="AB130" s="75">
        <f t="shared" si="19"/>
        <v>467841.93698408653</v>
      </c>
      <c r="AC130" s="75">
        <f t="shared" si="19"/>
        <v>643970.9570598189</v>
      </c>
      <c r="AD130" s="75">
        <f t="shared" si="19"/>
        <v>819467.67108341109</v>
      </c>
      <c r="AE130" s="75">
        <f t="shared" si="19"/>
        <v>994349.44626723952</v>
      </c>
      <c r="AF130" s="75">
        <f t="shared" si="19"/>
        <v>1168633.8361696759</v>
      </c>
      <c r="AG130" s="75">
        <f t="shared" si="19"/>
        <v>1342338.5865042948</v>
      </c>
      <c r="AH130" s="75">
        <f t="shared" si="19"/>
        <v>1515481.6410741708</v>
      </c>
      <c r="AI130" s="75">
        <f t="shared" si="19"/>
        <v>1688081.1478342419</v>
      </c>
      <c r="AJ130" s="75">
        <f t="shared" si="19"/>
        <v>1860155.4650847833</v>
      </c>
      <c r="AK130" s="75">
        <f t="shared" si="19"/>
        <v>2031723.1677991105</v>
      </c>
      <c r="AL130" s="75">
        <f t="shared" si="19"/>
        <v>2202803.0540886978</v>
      </c>
      <c r="AM130" s="75">
        <f t="shared" si="19"/>
        <v>2373414.1518089743</v>
      </c>
      <c r="AN130" s="75">
        <f t="shared" si="19"/>
        <v>2543575.7253091349</v>
      </c>
      <c r="AO130" s="75">
        <f t="shared" si="19"/>
        <v>2713307.2823293796</v>
      </c>
      <c r="AP130" s="76">
        <f>AO130+AP129</f>
        <v>2882628.5810490777</v>
      </c>
    </row>
    <row r="131" spans="1:42" x14ac:dyDescent="0.35">
      <c r="A131" t="s">
        <v>245</v>
      </c>
      <c r="B131">
        <v>2</v>
      </c>
      <c r="C131" t="s">
        <v>160</v>
      </c>
      <c r="Q131" s="61"/>
      <c r="R131" s="61"/>
      <c r="S131" s="61"/>
      <c r="T131" s="61"/>
      <c r="U131" s="61"/>
      <c r="V131" s="61"/>
      <c r="W131" s="61"/>
      <c r="X131" s="61"/>
      <c r="Y131" s="61"/>
      <c r="Z131" s="61"/>
      <c r="AA131" s="61"/>
      <c r="AB131" s="61"/>
      <c r="AC131" s="61"/>
      <c r="AD131" s="61"/>
      <c r="AE131" s="61"/>
      <c r="AF131" s="61"/>
      <c r="AG131" s="61"/>
      <c r="AH131" s="61"/>
      <c r="AI131" s="61"/>
      <c r="AJ131" s="61"/>
      <c r="AK131" s="61"/>
      <c r="AL131" s="61"/>
      <c r="AM131" s="61"/>
      <c r="AN131" s="61"/>
      <c r="AO131" s="61"/>
      <c r="AP131" s="61"/>
    </row>
    <row r="132" spans="1:42" x14ac:dyDescent="0.35">
      <c r="A132" t="s">
        <v>246</v>
      </c>
      <c r="B132">
        <v>3</v>
      </c>
      <c r="C132" t="s">
        <v>160</v>
      </c>
      <c r="E132" s="5" t="s">
        <v>289</v>
      </c>
      <c r="O132" s="110" t="s">
        <v>205</v>
      </c>
      <c r="P132" s="111"/>
      <c r="Q132" s="112">
        <f t="shared" ref="Q132:AP132" si="20">Q85+Q99+Q110</f>
        <v>0</v>
      </c>
      <c r="R132" s="112">
        <f t="shared" si="20"/>
        <v>129432.38004156359</v>
      </c>
      <c r="S132" s="112">
        <f t="shared" si="20"/>
        <v>134649.40336702502</v>
      </c>
      <c r="T132" s="112">
        <f t="shared" si="20"/>
        <v>140022.89828735561</v>
      </c>
      <c r="U132" s="112">
        <f t="shared" si="20"/>
        <v>145558.23516908404</v>
      </c>
      <c r="V132" s="112">
        <f t="shared" si="20"/>
        <v>151261.00031819521</v>
      </c>
      <c r="W132" s="112">
        <f t="shared" si="20"/>
        <v>157137.00595271261</v>
      </c>
      <c r="X132" s="112">
        <f t="shared" si="20"/>
        <v>163192.30068074536</v>
      </c>
      <c r="Y132" s="112">
        <f t="shared" si="20"/>
        <v>169433.18051097996</v>
      </c>
      <c r="Z132" s="112">
        <f t="shared" si="20"/>
        <v>175866.20042407548</v>
      </c>
      <c r="AA132" s="112">
        <f t="shared" si="20"/>
        <v>182498.1865349813</v>
      </c>
      <c r="AB132" s="112">
        <f t="shared" si="20"/>
        <v>189336.24887784178</v>
      </c>
      <c r="AC132" s="112">
        <f t="shared" si="20"/>
        <v>196387.79484688991</v>
      </c>
      <c r="AD132" s="112">
        <f t="shared" si="20"/>
        <v>203660.54332856694</v>
      </c>
      <c r="AE132" s="112">
        <f t="shared" si="20"/>
        <v>211162.53956203911</v>
      </c>
      <c r="AF132" s="112">
        <f t="shared" si="20"/>
        <v>218902.17076732751</v>
      </c>
      <c r="AG132" s="112">
        <f t="shared" si="20"/>
        <v>226888.18258242239</v>
      </c>
      <c r="AH132" s="112">
        <f t="shared" si="20"/>
        <v>235129.69635303065</v>
      </c>
      <c r="AI132" s="112">
        <f t="shared" si="20"/>
        <v>243636.22732100773</v>
      </c>
      <c r="AJ132" s="112">
        <f t="shared" si="20"/>
        <v>252417.70376006165</v>
      </c>
      <c r="AK132" s="112">
        <f t="shared" si="20"/>
        <v>261484.48710999454</v>
      </c>
      <c r="AL132" s="112">
        <f t="shared" si="20"/>
        <v>270847.39316357288</v>
      </c>
      <c r="AM132" s="112">
        <f t="shared" si="20"/>
        <v>280517.71436310199</v>
      </c>
      <c r="AN132" s="112">
        <f t="shared" si="20"/>
        <v>290507.24326692894</v>
      </c>
      <c r="AO132" s="112">
        <f t="shared" si="20"/>
        <v>300828.29724942241</v>
      </c>
      <c r="AP132" s="112">
        <f t="shared" si="20"/>
        <v>311493.74450148921</v>
      </c>
    </row>
    <row r="133" spans="1:42" x14ac:dyDescent="0.35">
      <c r="A133" t="s">
        <v>262</v>
      </c>
      <c r="B133">
        <f>AVERAGE(B131:B132)</f>
        <v>2.5</v>
      </c>
      <c r="C133" t="s">
        <v>160</v>
      </c>
      <c r="O133" s="113" t="s">
        <v>139</v>
      </c>
      <c r="P133" s="114"/>
      <c r="Q133" s="112">
        <f>Q132</f>
        <v>0</v>
      </c>
      <c r="R133" s="112">
        <f>Q133+R132</f>
        <v>129432.38004156359</v>
      </c>
      <c r="S133" s="112">
        <f t="shared" ref="S133:AP133" si="21">R133+S132</f>
        <v>264081.78340858861</v>
      </c>
      <c r="T133" s="112">
        <f t="shared" si="21"/>
        <v>404104.68169594422</v>
      </c>
      <c r="U133" s="112">
        <f>T133+U132</f>
        <v>549662.91686502821</v>
      </c>
      <c r="V133" s="112">
        <f t="shared" si="21"/>
        <v>700923.91718322341</v>
      </c>
      <c r="W133" s="112">
        <f t="shared" si="21"/>
        <v>858060.92313593603</v>
      </c>
      <c r="X133" s="112">
        <f t="shared" si="21"/>
        <v>1021253.2238166814</v>
      </c>
      <c r="Y133" s="112">
        <f t="shared" si="21"/>
        <v>1190686.4043276613</v>
      </c>
      <c r="Z133" s="112">
        <f t="shared" si="21"/>
        <v>1366552.6047517369</v>
      </c>
      <c r="AA133" s="112">
        <f t="shared" si="21"/>
        <v>1549050.7912867181</v>
      </c>
      <c r="AB133" s="112">
        <f t="shared" si="21"/>
        <v>1738387.0401645598</v>
      </c>
      <c r="AC133" s="112">
        <f t="shared" si="21"/>
        <v>1934774.8350114496</v>
      </c>
      <c r="AD133" s="112">
        <f t="shared" si="21"/>
        <v>2138435.3783400166</v>
      </c>
      <c r="AE133" s="112">
        <f t="shared" si="21"/>
        <v>2349597.9179020557</v>
      </c>
      <c r="AF133" s="112">
        <f t="shared" si="21"/>
        <v>2568500.088669383</v>
      </c>
      <c r="AG133" s="112">
        <f t="shared" si="21"/>
        <v>2795388.2712518051</v>
      </c>
      <c r="AH133" s="112">
        <f t="shared" si="21"/>
        <v>3030517.967604836</v>
      </c>
      <c r="AI133" s="112">
        <f t="shared" si="21"/>
        <v>3274154.1949258437</v>
      </c>
      <c r="AJ133" s="112">
        <f t="shared" si="21"/>
        <v>3526571.8986859052</v>
      </c>
      <c r="AK133" s="112">
        <f t="shared" si="21"/>
        <v>3788056.3857958997</v>
      </c>
      <c r="AL133" s="112">
        <f t="shared" si="21"/>
        <v>4058903.7789594727</v>
      </c>
      <c r="AM133" s="112">
        <f t="shared" si="21"/>
        <v>4339421.4933225745</v>
      </c>
      <c r="AN133" s="112">
        <f t="shared" si="21"/>
        <v>4629928.7365895035</v>
      </c>
      <c r="AO133" s="112">
        <f t="shared" si="21"/>
        <v>4930757.0338389259</v>
      </c>
      <c r="AP133" s="112">
        <f t="shared" si="21"/>
        <v>5242250.7783404151</v>
      </c>
    </row>
    <row r="134" spans="1:42" x14ac:dyDescent="0.35">
      <c r="A134" t="s">
        <v>263</v>
      </c>
      <c r="B134" s="38">
        <f>B6/B133</f>
        <v>10</v>
      </c>
      <c r="O134" s="71" t="s">
        <v>140</v>
      </c>
      <c r="P134" s="73"/>
      <c r="Q134" s="72">
        <f t="shared" ref="Q134:AP134" si="22">Q132*(1/(1+$B$53)^Q79)</f>
        <v>0</v>
      </c>
      <c r="R134" s="72">
        <f t="shared" si="22"/>
        <v>125418.97290849185</v>
      </c>
      <c r="S134" s="72">
        <f t="shared" si="22"/>
        <v>126428.51557056463</v>
      </c>
      <c r="T134" s="72">
        <f t="shared" si="22"/>
        <v>127397.225782352</v>
      </c>
      <c r="U134" s="72">
        <f t="shared" si="22"/>
        <v>128326.98540384303</v>
      </c>
      <c r="V134" s="72">
        <f t="shared" si="22"/>
        <v>129219.62658264082</v>
      </c>
      <c r="W134" s="72">
        <f t="shared" si="22"/>
        <v>130076.93353488318</v>
      </c>
      <c r="X134" s="72">
        <f t="shared" si="22"/>
        <v>130900.64427624842</v>
      </c>
      <c r="Y134" s="72">
        <f t="shared" si="22"/>
        <v>131692.45230471939</v>
      </c>
      <c r="Z134" s="72">
        <f t="shared" si="22"/>
        <v>132454.00823672899</v>
      </c>
      <c r="AA134" s="72">
        <f t="shared" si="22"/>
        <v>133186.92139826439</v>
      </c>
      <c r="AB134" s="72">
        <f t="shared" si="22"/>
        <v>133892.7613724604</v>
      </c>
      <c r="AC134" s="72">
        <f t="shared" si="22"/>
        <v>134573.05950516852</v>
      </c>
      <c r="AD134" s="72">
        <f t="shared" si="22"/>
        <v>135229.31036994504</v>
      </c>
      <c r="AE134" s="72">
        <f t="shared" si="22"/>
        <v>135862.97319386032</v>
      </c>
      <c r="AF134" s="72">
        <f t="shared" si="22"/>
        <v>136475.47324549046</v>
      </c>
      <c r="AG134" s="72">
        <f t="shared" si="22"/>
        <v>137068.20318641549</v>
      </c>
      <c r="AH134" s="72">
        <f t="shared" si="22"/>
        <v>137642.52438750846</v>
      </c>
      <c r="AI134" s="72">
        <f t="shared" si="22"/>
        <v>138199.76821126515</v>
      </c>
      <c r="AJ134" s="72">
        <f t="shared" si="22"/>
        <v>138741.23726138839</v>
      </c>
      <c r="AK134" s="72">
        <f t="shared" si="22"/>
        <v>139268.20660080697</v>
      </c>
      <c r="AL134" s="72">
        <f t="shared" si="22"/>
        <v>139781.92493927712</v>
      </c>
      <c r="AM134" s="72">
        <f t="shared" si="22"/>
        <v>140283.61579168134</v>
      </c>
      <c r="AN134" s="72">
        <f t="shared" si="22"/>
        <v>140774.47860811074</v>
      </c>
      <c r="AO134" s="72">
        <f t="shared" si="22"/>
        <v>141255.68987678568</v>
      </c>
      <c r="AP134" s="72">
        <f t="shared" si="22"/>
        <v>141728.40420084243</v>
      </c>
    </row>
    <row r="135" spans="1:42" x14ac:dyDescent="0.35">
      <c r="O135" s="74" t="s">
        <v>141</v>
      </c>
      <c r="P135" s="45"/>
      <c r="Q135" s="75">
        <f>Q134</f>
        <v>0</v>
      </c>
      <c r="R135" s="75">
        <f>Q135+R134</f>
        <v>125418.97290849185</v>
      </c>
      <c r="S135" s="75">
        <f>R135+S134</f>
        <v>251847.48847905648</v>
      </c>
      <c r="T135" s="75">
        <f t="shared" ref="T135:AP135" si="23">S135+T134</f>
        <v>379244.71426140849</v>
      </c>
      <c r="U135" s="75">
        <f>T135+U134</f>
        <v>507571.69966525154</v>
      </c>
      <c r="V135" s="75">
        <f t="shared" si="23"/>
        <v>636791.32624789234</v>
      </c>
      <c r="W135" s="75">
        <f t="shared" si="23"/>
        <v>766868.25978277554</v>
      </c>
      <c r="X135" s="75">
        <f t="shared" si="23"/>
        <v>897768.90405902395</v>
      </c>
      <c r="Y135" s="75">
        <f t="shared" si="23"/>
        <v>1029461.3563637433</v>
      </c>
      <c r="Z135" s="75">
        <f t="shared" si="23"/>
        <v>1161915.3646004724</v>
      </c>
      <c r="AA135" s="75">
        <f t="shared" si="23"/>
        <v>1295102.2859987367</v>
      </c>
      <c r="AB135" s="75">
        <f t="shared" si="23"/>
        <v>1428995.047371197</v>
      </c>
      <c r="AC135" s="75">
        <f t="shared" si="23"/>
        <v>1563568.1068763656</v>
      </c>
      <c r="AD135" s="75">
        <f t="shared" si="23"/>
        <v>1698797.4172463107</v>
      </c>
      <c r="AE135" s="75">
        <f t="shared" si="23"/>
        <v>1834660.3904401711</v>
      </c>
      <c r="AF135" s="75">
        <f t="shared" si="23"/>
        <v>1971135.8636856615</v>
      </c>
      <c r="AG135" s="75">
        <f t="shared" si="23"/>
        <v>2108204.0668720771</v>
      </c>
      <c r="AH135" s="75">
        <f t="shared" si="23"/>
        <v>2245846.5912595857</v>
      </c>
      <c r="AI135" s="75">
        <f t="shared" si="23"/>
        <v>2384046.3594708508</v>
      </c>
      <c r="AJ135" s="75">
        <f t="shared" si="23"/>
        <v>2522787.5967322392</v>
      </c>
      <c r="AK135" s="75">
        <f t="shared" si="23"/>
        <v>2662055.8033330464</v>
      </c>
      <c r="AL135" s="75">
        <f t="shared" si="23"/>
        <v>2801837.7282723235</v>
      </c>
      <c r="AM135" s="75">
        <f t="shared" si="23"/>
        <v>2942121.3440640047</v>
      </c>
      <c r="AN135" s="75">
        <f t="shared" si="23"/>
        <v>3082895.8226721156</v>
      </c>
      <c r="AO135" s="75">
        <f t="shared" si="23"/>
        <v>3224151.5125489011</v>
      </c>
      <c r="AP135" s="76">
        <f t="shared" si="23"/>
        <v>3365879.9167497437</v>
      </c>
    </row>
    <row r="136" spans="1:42" x14ac:dyDescent="0.35">
      <c r="A136" t="s">
        <v>245</v>
      </c>
      <c r="B136" s="38">
        <v>10</v>
      </c>
      <c r="C136" s="172" t="s">
        <v>160</v>
      </c>
      <c r="O136" s="69"/>
      <c r="Q136" s="109"/>
      <c r="R136" s="109"/>
      <c r="S136" s="109"/>
      <c r="T136" s="109"/>
      <c r="U136" s="109"/>
      <c r="V136" s="109"/>
      <c r="W136" s="109"/>
      <c r="X136" s="109"/>
      <c r="Y136" s="109"/>
      <c r="Z136" s="109"/>
      <c r="AA136" s="109"/>
      <c r="AB136" s="109"/>
      <c r="AC136" s="109"/>
      <c r="AD136" s="109"/>
      <c r="AE136" s="109"/>
      <c r="AF136" s="109"/>
      <c r="AG136" s="109"/>
      <c r="AH136" s="109"/>
      <c r="AI136" s="109"/>
      <c r="AJ136" s="109"/>
      <c r="AK136" s="109"/>
      <c r="AL136" s="109"/>
      <c r="AM136" s="109"/>
      <c r="AN136" s="109"/>
      <c r="AO136" s="109"/>
      <c r="AP136" s="109"/>
    </row>
    <row r="137" spans="1:42" x14ac:dyDescent="0.35">
      <c r="A137" t="s">
        <v>246</v>
      </c>
      <c r="B137" s="38">
        <v>15</v>
      </c>
      <c r="C137" s="172" t="s">
        <v>160</v>
      </c>
      <c r="E137" t="s">
        <v>287</v>
      </c>
      <c r="O137" s="47" t="s">
        <v>142</v>
      </c>
    </row>
    <row r="138" spans="1:42" x14ac:dyDescent="0.35">
      <c r="A138" t="s">
        <v>265</v>
      </c>
      <c r="B138" s="171">
        <f>AVERAGE(B136:B137)</f>
        <v>12.5</v>
      </c>
      <c r="C138" s="172" t="s">
        <v>160</v>
      </c>
    </row>
    <row r="139" spans="1:42" x14ac:dyDescent="0.35">
      <c r="A139" t="s">
        <v>266</v>
      </c>
      <c r="B139" s="38">
        <f>B6/B138</f>
        <v>2</v>
      </c>
      <c r="C139" s="172"/>
      <c r="O139" s="77" t="s">
        <v>143</v>
      </c>
      <c r="P139" s="78">
        <f>IRR(Q127:AP127)</f>
        <v>0.14476295591420008</v>
      </c>
      <c r="AH139" s="79"/>
    </row>
    <row r="140" spans="1:42" x14ac:dyDescent="0.35">
      <c r="A140" t="s">
        <v>275</v>
      </c>
      <c r="B140" s="38">
        <f>B139+1</f>
        <v>3</v>
      </c>
      <c r="O140" s="77" t="s">
        <v>199</v>
      </c>
      <c r="P140" s="80">
        <f>AP130</f>
        <v>2882628.5810490777</v>
      </c>
    </row>
    <row r="141" spans="1:42" x14ac:dyDescent="0.35">
      <c r="Q141" s="81">
        <f t="shared" ref="Q141:AP141" si="24">IF(Q128&gt;0, Q79, 0)</f>
        <v>0</v>
      </c>
      <c r="R141" s="81">
        <f t="shared" si="24"/>
        <v>0</v>
      </c>
      <c r="S141" s="81">
        <f t="shared" si="24"/>
        <v>0</v>
      </c>
      <c r="T141" s="81">
        <f t="shared" si="24"/>
        <v>0</v>
      </c>
      <c r="U141" s="81">
        <f t="shared" si="24"/>
        <v>0</v>
      </c>
      <c r="V141" s="81">
        <f t="shared" si="24"/>
        <v>0</v>
      </c>
      <c r="W141" s="81">
        <f t="shared" si="24"/>
        <v>0</v>
      </c>
      <c r="X141" s="81">
        <f t="shared" si="24"/>
        <v>0</v>
      </c>
      <c r="Y141" s="81">
        <f t="shared" si="24"/>
        <v>8</v>
      </c>
      <c r="Z141" s="81">
        <f t="shared" si="24"/>
        <v>9</v>
      </c>
      <c r="AA141" s="81">
        <f t="shared" si="24"/>
        <v>10</v>
      </c>
      <c r="AB141" s="81">
        <f t="shared" si="24"/>
        <v>11</v>
      </c>
      <c r="AC141" s="81">
        <f t="shared" si="24"/>
        <v>12</v>
      </c>
      <c r="AD141" s="81">
        <f t="shared" si="24"/>
        <v>13</v>
      </c>
      <c r="AE141" s="81">
        <f t="shared" si="24"/>
        <v>14</v>
      </c>
      <c r="AF141" s="81">
        <f t="shared" si="24"/>
        <v>15</v>
      </c>
      <c r="AG141" s="81">
        <f t="shared" si="24"/>
        <v>16</v>
      </c>
      <c r="AH141" s="81">
        <f t="shared" si="24"/>
        <v>17</v>
      </c>
      <c r="AI141" s="81">
        <f t="shared" si="24"/>
        <v>18</v>
      </c>
      <c r="AJ141" s="81">
        <f t="shared" si="24"/>
        <v>19</v>
      </c>
      <c r="AK141" s="81">
        <f t="shared" si="24"/>
        <v>20</v>
      </c>
      <c r="AL141" s="81">
        <f t="shared" si="24"/>
        <v>21</v>
      </c>
      <c r="AM141" s="81">
        <f t="shared" si="24"/>
        <v>22</v>
      </c>
      <c r="AN141" s="81">
        <f t="shared" si="24"/>
        <v>23</v>
      </c>
      <c r="AO141" s="81">
        <f t="shared" si="24"/>
        <v>24</v>
      </c>
      <c r="AP141" s="81">
        <f t="shared" si="24"/>
        <v>25</v>
      </c>
    </row>
    <row r="142" spans="1:42" x14ac:dyDescent="0.35">
      <c r="A142" t="s">
        <v>285</v>
      </c>
      <c r="B142" s="7">
        <f>B6*B93*0.5</f>
        <v>1225</v>
      </c>
      <c r="Q142" s="81">
        <f t="shared" ref="Q142:AP142" si="25">IF(Q130&gt;0, Q79, 0)</f>
        <v>0</v>
      </c>
      <c r="R142" s="81">
        <f t="shared" si="25"/>
        <v>0</v>
      </c>
      <c r="S142" s="81">
        <f t="shared" si="25"/>
        <v>0</v>
      </c>
      <c r="T142" s="81">
        <f t="shared" si="25"/>
        <v>0</v>
      </c>
      <c r="U142" s="81">
        <f t="shared" si="25"/>
        <v>0</v>
      </c>
      <c r="V142" s="81">
        <f t="shared" si="25"/>
        <v>0</v>
      </c>
      <c r="W142" s="81">
        <f t="shared" si="25"/>
        <v>0</v>
      </c>
      <c r="X142" s="81">
        <f t="shared" si="25"/>
        <v>0</v>
      </c>
      <c r="Y142" s="81">
        <f t="shared" si="25"/>
        <v>0</v>
      </c>
      <c r="Z142" s="81">
        <f t="shared" si="25"/>
        <v>9</v>
      </c>
      <c r="AA142" s="81">
        <f t="shared" si="25"/>
        <v>10</v>
      </c>
      <c r="AB142" s="81">
        <f t="shared" si="25"/>
        <v>11</v>
      </c>
      <c r="AC142" s="81">
        <f t="shared" si="25"/>
        <v>12</v>
      </c>
      <c r="AD142" s="81">
        <f t="shared" si="25"/>
        <v>13</v>
      </c>
      <c r="AE142" s="81">
        <f t="shared" si="25"/>
        <v>14</v>
      </c>
      <c r="AF142" s="81">
        <f t="shared" si="25"/>
        <v>15</v>
      </c>
      <c r="AG142" s="81">
        <f t="shared" si="25"/>
        <v>16</v>
      </c>
      <c r="AH142" s="81">
        <f t="shared" si="25"/>
        <v>17</v>
      </c>
      <c r="AI142" s="81">
        <f t="shared" si="25"/>
        <v>18</v>
      </c>
      <c r="AJ142" s="81">
        <f t="shared" si="25"/>
        <v>19</v>
      </c>
      <c r="AK142" s="81">
        <f t="shared" si="25"/>
        <v>20</v>
      </c>
      <c r="AL142" s="81">
        <f t="shared" si="25"/>
        <v>21</v>
      </c>
      <c r="AM142" s="81">
        <f t="shared" si="25"/>
        <v>22</v>
      </c>
      <c r="AN142" s="81">
        <f t="shared" si="25"/>
        <v>23</v>
      </c>
      <c r="AO142" s="81">
        <f t="shared" si="25"/>
        <v>24</v>
      </c>
      <c r="AP142" s="81">
        <f t="shared" si="25"/>
        <v>25</v>
      </c>
    </row>
    <row r="144" spans="1:42" ht="15" thickBot="1" x14ac:dyDescent="0.4"/>
    <row r="145" spans="1:20" ht="19" thickBot="1" x14ac:dyDescent="0.5">
      <c r="A145" t="s">
        <v>273</v>
      </c>
      <c r="B145" s="38">
        <f>(B134+B140)*B93</f>
        <v>1274</v>
      </c>
      <c r="O145" s="134"/>
      <c r="P145" s="135" t="s">
        <v>216</v>
      </c>
      <c r="Q145" s="131" cm="1">
        <f t="array" ref="Q145">MIN(IF(Q141:AP141&gt;0, Q141:AP141))</f>
        <v>8</v>
      </c>
      <c r="R145" s="132" t="s">
        <v>206</v>
      </c>
      <c r="S145" s="131">
        <f>Q145+1</f>
        <v>9</v>
      </c>
      <c r="T145" s="133" t="s">
        <v>160</v>
      </c>
    </row>
    <row r="148" spans="1:20" x14ac:dyDescent="0.35">
      <c r="A148" t="s">
        <v>245</v>
      </c>
      <c r="B148" s="38">
        <v>2</v>
      </c>
      <c r="C148" t="s">
        <v>272</v>
      </c>
    </row>
    <row r="149" spans="1:20" x14ac:dyDescent="0.35">
      <c r="A149" t="s">
        <v>246</v>
      </c>
      <c r="B149" s="38">
        <v>4</v>
      </c>
      <c r="C149" t="s">
        <v>272</v>
      </c>
      <c r="E149" t="s">
        <v>288</v>
      </c>
    </row>
    <row r="150" spans="1:20" x14ac:dyDescent="0.35">
      <c r="A150" t="s">
        <v>271</v>
      </c>
      <c r="B150" s="38">
        <f>AVERAGE(B148:B149)</f>
        <v>3</v>
      </c>
      <c r="C150" t="s">
        <v>272</v>
      </c>
    </row>
    <row r="152" spans="1:20" x14ac:dyDescent="0.35">
      <c r="A152" t="s">
        <v>246</v>
      </c>
      <c r="B152" s="32">
        <v>50</v>
      </c>
      <c r="C152" t="s">
        <v>270</v>
      </c>
    </row>
    <row r="153" spans="1:20" x14ac:dyDescent="0.35">
      <c r="A153" t="s">
        <v>245</v>
      </c>
      <c r="B153" s="32">
        <v>80</v>
      </c>
      <c r="C153" t="s">
        <v>270</v>
      </c>
      <c r="E153" t="s">
        <v>288</v>
      </c>
    </row>
    <row r="154" spans="1:20" x14ac:dyDescent="0.35">
      <c r="A154" t="s">
        <v>269</v>
      </c>
      <c r="B154" s="32">
        <f>AVERAGE(B152:B153)</f>
        <v>65</v>
      </c>
      <c r="C154" t="s">
        <v>270</v>
      </c>
    </row>
    <row r="156" spans="1:20" x14ac:dyDescent="0.35">
      <c r="A156" t="s">
        <v>278</v>
      </c>
      <c r="B156" s="32">
        <f>(B145+B142)*B154</f>
        <v>162435</v>
      </c>
    </row>
    <row r="159" spans="1:20" x14ac:dyDescent="0.35">
      <c r="A159" t="s">
        <v>245</v>
      </c>
      <c r="B159" s="32">
        <v>160</v>
      </c>
      <c r="C159" t="s">
        <v>267</v>
      </c>
    </row>
    <row r="160" spans="1:20" x14ac:dyDescent="0.35">
      <c r="A160" s="172" t="s">
        <v>246</v>
      </c>
      <c r="B160" s="32">
        <v>345</v>
      </c>
      <c r="C160" t="s">
        <v>267</v>
      </c>
      <c r="E160" s="5" t="s">
        <v>288</v>
      </c>
    </row>
    <row r="161" spans="1:5" x14ac:dyDescent="0.35">
      <c r="A161" s="172" t="s">
        <v>264</v>
      </c>
      <c r="B161" s="32">
        <f>AVERAGE(B159:B160)</f>
        <v>252.5</v>
      </c>
      <c r="C161" t="s">
        <v>267</v>
      </c>
    </row>
    <row r="163" spans="1:5" x14ac:dyDescent="0.35">
      <c r="A163" s="1"/>
      <c r="B163" s="170"/>
      <c r="C163" s="1"/>
    </row>
    <row r="164" spans="1:5" x14ac:dyDescent="0.35">
      <c r="A164" t="s">
        <v>274</v>
      </c>
      <c r="B164" s="32">
        <f>B161*B93*B134</f>
        <v>247450</v>
      </c>
    </row>
    <row r="167" spans="1:5" x14ac:dyDescent="0.35">
      <c r="A167" t="s">
        <v>245</v>
      </c>
      <c r="B167" s="32">
        <v>500</v>
      </c>
      <c r="C167" t="s">
        <v>267</v>
      </c>
    </row>
    <row r="168" spans="1:5" x14ac:dyDescent="0.35">
      <c r="A168" t="s">
        <v>246</v>
      </c>
      <c r="B168" s="32">
        <v>1000</v>
      </c>
      <c r="C168" t="s">
        <v>267</v>
      </c>
      <c r="E168" t="s">
        <v>288</v>
      </c>
    </row>
    <row r="169" spans="1:5" x14ac:dyDescent="0.35">
      <c r="A169" t="s">
        <v>268</v>
      </c>
      <c r="B169" s="32">
        <f>AVERAGE(B167:B168)</f>
        <v>750</v>
      </c>
      <c r="C169" t="s">
        <v>267</v>
      </c>
    </row>
    <row r="172" spans="1:5" x14ac:dyDescent="0.35">
      <c r="A172" t="s">
        <v>274</v>
      </c>
      <c r="B172" s="32">
        <f>B169*B93*B140</f>
        <v>220500</v>
      </c>
    </row>
    <row r="175" spans="1:5" x14ac:dyDescent="0.35">
      <c r="A175" t="s">
        <v>279</v>
      </c>
      <c r="B175" s="32">
        <f>B156+B164+B172+B115</f>
        <v>826385</v>
      </c>
    </row>
    <row r="176" spans="1:5" x14ac:dyDescent="0.35">
      <c r="A176" t="s">
        <v>280</v>
      </c>
      <c r="B176" s="173">
        <f>B175/25</f>
        <v>33055.4</v>
      </c>
    </row>
    <row r="182" spans="2:2" x14ac:dyDescent="0.35">
      <c r="B182" s="32"/>
    </row>
    <row r="184" spans="2:2" x14ac:dyDescent="0.35">
      <c r="B184" s="32"/>
    </row>
  </sheetData>
  <mergeCells count="1">
    <mergeCell ref="J43:K43"/>
  </mergeCells>
  <phoneticPr fontId="11" type="noConversion"/>
  <conditionalFormatting sqref="D1:D136 E137 D138:D1048576">
    <cfRule type="cellIs" dxfId="0" priority="1" operator="equal">
      <formula>"y"</formula>
    </cfRule>
  </conditionalFormatting>
  <hyperlinks>
    <hyperlink ref="E77" r:id="rId1" xr:uid="{44A0B329-0A4D-904A-B6EC-A4BCAA5FE95A}"/>
    <hyperlink ref="E46" r:id="rId2" xr:uid="{F8D31B71-7A91-824B-81E1-508B9063517E}"/>
    <hyperlink ref="E48" r:id="rId3" xr:uid="{014F830C-FFCB-5C45-9A07-ACD0AD70066A}"/>
    <hyperlink ref="E49" r:id="rId4" xr:uid="{DC73136C-3A3B-0B47-A3EA-691068E20FA0}"/>
    <hyperlink ref="E53" r:id="rId5" xr:uid="{9B5CB515-62B2-B945-AD79-BCBC0EF10124}"/>
    <hyperlink ref="E54" r:id="rId6" xr:uid="{103AE719-79EB-F644-B39E-B38E77D7FDB6}"/>
    <hyperlink ref="E83" r:id="rId7" xr:uid="{EC441894-EE26-DB43-A48B-5017085250BF}"/>
    <hyperlink ref="E109" r:id="rId8" xr:uid="{8C8A921E-2B7D-3146-B328-A2B9C78AA59B}"/>
    <hyperlink ref="E50" r:id="rId9" location=":~:text=Energy%20Inflation%20in%20the%20United,source%3A%20Office%20for%20National%20Statistics&amp;text=Energy%20accounts%20for%20about%208%20percent%20of%20the%20UK%20CPI." xr:uid="{91C37953-52FC-D049-AD7B-DAFBD6B9C061}"/>
    <hyperlink ref="E132" r:id="rId10" location=":~:text=All%20direct%20water%20heaters%20whether,and%20models%20of%20water%20heater." xr:uid="{B681336D-CE2A-6A46-ADAF-CC0032A0F724}"/>
    <hyperlink ref="E160" r:id="rId11" xr:uid="{E11A9197-D87C-8648-8120-68B1F686DDCA}"/>
  </hyperlinks>
  <pageMargins left="0.7" right="0.7" top="0.75" bottom="0.75" header="0.3" footer="0.3"/>
  <ignoredErrors>
    <ignoredError sqref="V129:AP129 U129 S129 Q130:T130 R129" formula="1"/>
    <ignoredError sqref="B53" formulaRange="1"/>
  </ignoredErrors>
  <drawing r:id="rId12"/>
  <legacyDrawing r:id="rId1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1e2d220c-2521-41bc-bc6e-f25cf1e69418">
      <Terms xmlns="http://schemas.microsoft.com/office/infopath/2007/PartnerControls"/>
    </lcf76f155ced4ddcb4097134ff3c332f>
    <TaxCatchAll xmlns="70d470ad-e6cd-41e2-a678-b6fb68e584f0"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15C5CA1986F6FD44913F92C31CCF2B2D" ma:contentTypeVersion="11" ma:contentTypeDescription="Create a new document." ma:contentTypeScope="" ma:versionID="0bb222946497f8386fd3d0e21b16ecbe">
  <xsd:schema xmlns:xsd="http://www.w3.org/2001/XMLSchema" xmlns:xs="http://www.w3.org/2001/XMLSchema" xmlns:p="http://schemas.microsoft.com/office/2006/metadata/properties" xmlns:ns2="1e2d220c-2521-41bc-bc6e-f25cf1e69418" xmlns:ns3="70d470ad-e6cd-41e2-a678-b6fb68e584f0" targetNamespace="http://schemas.microsoft.com/office/2006/metadata/properties" ma:root="true" ma:fieldsID="086c5887a1d5c7e8b8f9e7e30da42f72" ns2:_="" ns3:_="">
    <xsd:import namespace="1e2d220c-2521-41bc-bc6e-f25cf1e69418"/>
    <xsd:import namespace="70d470ad-e6cd-41e2-a678-b6fb68e584f0"/>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GenerationTime" minOccurs="0"/>
                <xsd:element ref="ns2:MediaServiceEventHashCode"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2d220c-2521-41bc-bc6e-f25cf1e6941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dd084387-097e-4aef-8f33-0dee7b0eb57f"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0d470ad-e6cd-41e2-a678-b6fb68e584f0"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eff2850d-8b54-43bf-b52b-dbb9f159b7fa}" ma:internalName="TaxCatchAll" ma:showField="CatchAllData" ma:web="70d470ad-e6cd-41e2-a678-b6fb68e584f0">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07943DB-D4D2-407C-B728-2632FD4DF2B9}">
  <ds:schemaRefs>
    <ds:schemaRef ds:uri="http://purl.org/dc/dcmitype/"/>
    <ds:schemaRef ds:uri="http://schemas.microsoft.com/office/2006/documentManagement/types"/>
    <ds:schemaRef ds:uri="http://schemas.microsoft.com/office/infopath/2007/PartnerControls"/>
    <ds:schemaRef ds:uri="http://purl.org/dc/terms/"/>
    <ds:schemaRef ds:uri="http://schemas.microsoft.com/office/2006/metadata/properties"/>
    <ds:schemaRef ds:uri="http://schemas.openxmlformats.org/package/2006/metadata/core-properties"/>
    <ds:schemaRef ds:uri="http://purl.org/dc/elements/1.1/"/>
    <ds:schemaRef ds:uri="70d470ad-e6cd-41e2-a678-b6fb68e584f0"/>
    <ds:schemaRef ds:uri="1e2d220c-2521-41bc-bc6e-f25cf1e69418"/>
    <ds:schemaRef ds:uri="http://www.w3.org/XML/1998/namespace"/>
  </ds:schemaRefs>
</ds:datastoreItem>
</file>

<file path=customXml/itemProps2.xml><?xml version="1.0" encoding="utf-8"?>
<ds:datastoreItem xmlns:ds="http://schemas.openxmlformats.org/officeDocument/2006/customXml" ds:itemID="{1353243F-7BD4-401B-9977-5A5849B5D72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e2d220c-2521-41bc-bc6e-f25cf1e69418"/>
    <ds:schemaRef ds:uri="70d470ad-e6cd-41e2-a678-b6fb68e584f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F93C71E-7B20-40D1-BB96-FF9F715A1A4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Params and Assumptions</vt:lpstr>
      <vt:lpstr>Costings</vt:lpstr>
      <vt:lpstr>Optim</vt:lpstr>
      <vt:lpstr>Financial Stats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George Powell</dc:creator>
  <cp:keywords/>
  <dc:description/>
  <cp:lastModifiedBy>George Powell</cp:lastModifiedBy>
  <cp:revision/>
  <dcterms:created xsi:type="dcterms:W3CDTF">2015-06-05T18:17:20Z</dcterms:created>
  <dcterms:modified xsi:type="dcterms:W3CDTF">2024-12-04T14:06:42Z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0x01010015C5CA1986F6FD44913F92C31CCF2B2D</vt:lpwstr>
  </property>
  <property fmtid="{D5CDD505-2E9C-101B-9397-08002B2CF9AE}" pid="3" name="MediaServiceImageTags">
    <vt:lpwstr/>
  </property>
</Properties>
</file>